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Volumes/Documents/Users/Atipat Lorwongam/百度云同步盘/[My Portals]/[Documents]/[Business Projects &amp; Investments]/[Gambling]/BlackJack/"/>
    </mc:Choice>
  </mc:AlternateContent>
  <xr:revisionPtr revIDLastSave="0" documentId="13_ncr:1_{0FBF8E90-3946-D84A-BD8D-2A4ED290FBD0}" xr6:coauthVersionLast="36" xr6:coauthVersionMax="36" xr10:uidLastSave="{00000000-0000-0000-0000-000000000000}"/>
  <bookViews>
    <workbookView xWindow="0" yWindow="460" windowWidth="25600" windowHeight="14800" tabRatio="867" activeTab="44" xr2:uid="{00000000-000D-0000-FFFF-FFFF00000000}"/>
  </bookViews>
  <sheets>
    <sheet name="Rules" sheetId="32" r:id="rId1"/>
    <sheet name="Dealer" sheetId="12" state="hidden" r:id="rId2"/>
    <sheet name="Stand" sheetId="13" state="hidden" r:id="rId3"/>
    <sheet name="Hit" sheetId="14" state="hidden" r:id="rId4"/>
    <sheet name="HS" sheetId="15" state="hidden" r:id="rId5"/>
    <sheet name="Double" sheetId="17" state="hidden" r:id="rId6"/>
    <sheet name="HSD" sheetId="18" state="hidden" r:id="rId7"/>
    <sheet name="Surrender" sheetId="19" state="hidden" r:id="rId8"/>
    <sheet name="HSDR" sheetId="20" state="hidden" r:id="rId9"/>
    <sheet name="Pair" sheetId="22" state="hidden" r:id="rId10"/>
    <sheet name="Blackjack" sheetId="28" state="hidden" r:id="rId11"/>
    <sheet name="Prob" sheetId="24" r:id="rId12"/>
    <sheet name="5 Cards" sheetId="33" state="hidden" r:id="rId13"/>
    <sheet name="Three 7 Cards" sheetId="34" state="hidden" r:id="rId14"/>
    <sheet name="ER" sheetId="25" r:id="rId15"/>
    <sheet name="Summary" sheetId="27" state="hidden" r:id="rId16"/>
    <sheet name="EV" sheetId="26" r:id="rId17"/>
    <sheet name="WL Prob" sheetId="29" r:id="rId18"/>
    <sheet name="Analysis" sheetId="35" r:id="rId19"/>
    <sheet name="1x2" sheetId="80" state="hidden" r:id="rId20"/>
    <sheet name="1x3" sheetId="87" state="hidden" r:id="rId21"/>
    <sheet name="1x4" sheetId="88" state="hidden" r:id="rId22"/>
    <sheet name="1x5" sheetId="90" state="hidden" r:id="rId23"/>
    <sheet name="1x6" sheetId="91" state="hidden" r:id="rId24"/>
    <sheet name="1x7" sheetId="92" state="hidden" r:id="rId25"/>
    <sheet name="1x8" sheetId="93" state="hidden" r:id="rId26"/>
    <sheet name="1x9" sheetId="94" state="hidden" r:id="rId27"/>
    <sheet name="1x10" sheetId="96" state="hidden" r:id="rId28"/>
    <sheet name="2x3" sheetId="89" state="hidden" r:id="rId29"/>
    <sheet name="3x4" sheetId="99" state="hidden" r:id="rId30"/>
    <sheet name="2x4" sheetId="100" state="hidden" r:id="rId31"/>
    <sheet name="2x5" sheetId="101" state="hidden" r:id="rId32"/>
    <sheet name="2x6" sheetId="102" state="hidden" r:id="rId33"/>
    <sheet name="2x7" sheetId="103" state="hidden" r:id="rId34"/>
    <sheet name="2x8" sheetId="104" state="hidden" r:id="rId35"/>
    <sheet name="2x9" sheetId="105" state="hidden" r:id="rId36"/>
    <sheet name="2x10" sheetId="106" state="hidden" r:id="rId37"/>
    <sheet name="3x5" sheetId="107" state="hidden" r:id="rId38"/>
    <sheet name="3x6" sheetId="108" state="hidden" r:id="rId39"/>
    <sheet name="3x7" sheetId="109" state="hidden" r:id="rId40"/>
    <sheet name="3x8" sheetId="110" state="hidden" r:id="rId41"/>
    <sheet name="3x9" sheetId="111" state="hidden" r:id="rId42"/>
    <sheet name="3x10" sheetId="112" state="hidden" r:id="rId43"/>
    <sheet name="Strategy Summary" sheetId="95" r:id="rId44"/>
    <sheet name="Final" sheetId="97" r:id="rId45"/>
  </sheets>
  <definedNames>
    <definedName name="_xlnm.Print_Area" localSheetId="27">'1x10'!#REF!</definedName>
    <definedName name="_xlnm.Print_Area" localSheetId="19">'1x2'!#REF!</definedName>
    <definedName name="_xlnm.Print_Area" localSheetId="20">'1x3'!#REF!</definedName>
    <definedName name="_xlnm.Print_Area" localSheetId="21">'1x4'!#REF!</definedName>
    <definedName name="_xlnm.Print_Area" localSheetId="22">'1x5'!#REF!</definedName>
    <definedName name="_xlnm.Print_Area" localSheetId="23">'1x6'!#REF!</definedName>
    <definedName name="_xlnm.Print_Area" localSheetId="24">'1x7'!#REF!</definedName>
    <definedName name="_xlnm.Print_Area" localSheetId="25">'1x8'!#REF!</definedName>
    <definedName name="_xlnm.Print_Area" localSheetId="26">'1x9'!#REF!</definedName>
    <definedName name="_xlnm.Print_Area" localSheetId="36">'2x10'!#REF!</definedName>
    <definedName name="_xlnm.Print_Area" localSheetId="28">'2x3'!#REF!</definedName>
    <definedName name="_xlnm.Print_Area" localSheetId="30">'2x4'!#REF!</definedName>
    <definedName name="_xlnm.Print_Area" localSheetId="31">'2x5'!#REF!</definedName>
    <definedName name="_xlnm.Print_Area" localSheetId="32">'2x6'!#REF!</definedName>
    <definedName name="_xlnm.Print_Area" localSheetId="33">'2x7'!#REF!</definedName>
    <definedName name="_xlnm.Print_Area" localSheetId="34">'2x8'!#REF!</definedName>
    <definedName name="_xlnm.Print_Area" localSheetId="35">'2x9'!#REF!</definedName>
    <definedName name="_xlnm.Print_Area" localSheetId="42">'3x10'!#REF!</definedName>
    <definedName name="_xlnm.Print_Area" localSheetId="29">'3x4'!#REF!</definedName>
    <definedName name="_xlnm.Print_Area" localSheetId="37">'3x5'!#REF!</definedName>
    <definedName name="_xlnm.Print_Area" localSheetId="38">'3x6'!#REF!</definedName>
    <definedName name="_xlnm.Print_Area" localSheetId="39">'3x7'!#REF!</definedName>
    <definedName name="_xlnm.Print_Area" localSheetId="40">'3x8'!#REF!</definedName>
    <definedName name="_xlnm.Print_Area" localSheetId="41">'3x9'!#REF!</definedName>
    <definedName name="_xlnm.Print_Area" localSheetId="44">Final!$A$1:$AH$38</definedName>
    <definedName name="_xlnm.Print_Area" localSheetId="0">Rules!$A$1:$S$43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1" i="97" l="1"/>
  <c r="P31" i="97"/>
  <c r="Q31" i="97"/>
  <c r="R31" i="97"/>
  <c r="S31" i="97"/>
  <c r="T31" i="97"/>
  <c r="U31" i="97"/>
  <c r="V31" i="97"/>
  <c r="N31" i="97"/>
  <c r="V36" i="97"/>
  <c r="U36" i="97"/>
  <c r="T36" i="97"/>
  <c r="S36" i="97"/>
  <c r="R36" i="97"/>
  <c r="Q36" i="97"/>
  <c r="P36" i="97"/>
  <c r="O36" i="97"/>
  <c r="N36" i="97"/>
  <c r="V35" i="97"/>
  <c r="U35" i="97"/>
  <c r="T35" i="97"/>
  <c r="S35" i="97"/>
  <c r="R35" i="97"/>
  <c r="Q35" i="97"/>
  <c r="P35" i="97"/>
  <c r="O35" i="97"/>
  <c r="N35" i="97"/>
  <c r="V34" i="97"/>
  <c r="U34" i="97"/>
  <c r="T34" i="97"/>
  <c r="S34" i="97"/>
  <c r="R34" i="97"/>
  <c r="Q34" i="97"/>
  <c r="P34" i="97"/>
  <c r="O34" i="97"/>
  <c r="N34" i="97"/>
  <c r="V33" i="97"/>
  <c r="U33" i="97"/>
  <c r="T33" i="97"/>
  <c r="S33" i="97"/>
  <c r="R33" i="97"/>
  <c r="Q33" i="97"/>
  <c r="P33" i="97"/>
  <c r="O33" i="97"/>
  <c r="N33" i="97"/>
  <c r="V32" i="97"/>
  <c r="U32" i="97"/>
  <c r="T32" i="97"/>
  <c r="S32" i="97"/>
  <c r="R32" i="97"/>
  <c r="Q32" i="97"/>
  <c r="P32" i="97"/>
  <c r="O32" i="97"/>
  <c r="N32" i="97"/>
  <c r="N25" i="97"/>
  <c r="O25" i="97"/>
  <c r="P25" i="97"/>
  <c r="Q25" i="97"/>
  <c r="R25" i="97"/>
  <c r="S25" i="97"/>
  <c r="T25" i="97"/>
  <c r="U25" i="97"/>
  <c r="V25" i="97"/>
  <c r="N26" i="97"/>
  <c r="O26" i="97"/>
  <c r="P26" i="97"/>
  <c r="Q26" i="97"/>
  <c r="R26" i="97"/>
  <c r="S26" i="97"/>
  <c r="T26" i="97"/>
  <c r="U26" i="97"/>
  <c r="V26" i="97"/>
  <c r="N27" i="97"/>
  <c r="O27" i="97"/>
  <c r="P27" i="97"/>
  <c r="Q27" i="97"/>
  <c r="R27" i="97"/>
  <c r="S27" i="97"/>
  <c r="T27" i="97"/>
  <c r="U27" i="97"/>
  <c r="V27" i="97"/>
  <c r="N28" i="97"/>
  <c r="O28" i="97"/>
  <c r="P28" i="97"/>
  <c r="Q28" i="97"/>
  <c r="R28" i="97"/>
  <c r="S28" i="97"/>
  <c r="T28" i="97"/>
  <c r="U28" i="97"/>
  <c r="V28" i="97"/>
  <c r="O24" i="97"/>
  <c r="P24" i="97"/>
  <c r="Q24" i="97"/>
  <c r="R24" i="97"/>
  <c r="S24" i="97"/>
  <c r="T24" i="97"/>
  <c r="U24" i="97"/>
  <c r="V24" i="97"/>
  <c r="N24" i="97"/>
  <c r="M19" i="97"/>
  <c r="M20" i="97"/>
  <c r="M18" i="97"/>
  <c r="O17" i="97"/>
  <c r="P17" i="97"/>
  <c r="Q17" i="97"/>
  <c r="R17" i="97"/>
  <c r="S17" i="97"/>
  <c r="T17" i="97"/>
  <c r="U17" i="97"/>
  <c r="V17" i="97"/>
  <c r="N17" i="97"/>
  <c r="M14" i="97"/>
  <c r="M15" i="97"/>
  <c r="M13" i="97"/>
  <c r="O12" i="97"/>
  <c r="P12" i="97"/>
  <c r="Q12" i="97"/>
  <c r="R12" i="97"/>
  <c r="S12" i="97"/>
  <c r="T12" i="97"/>
  <c r="U12" i="97"/>
  <c r="V12" i="97"/>
  <c r="N12" i="97"/>
  <c r="M9" i="97"/>
  <c r="M10" i="97"/>
  <c r="M8" i="97"/>
  <c r="O7" i="97"/>
  <c r="P7" i="97"/>
  <c r="Q7" i="97"/>
  <c r="R7" i="97"/>
  <c r="S7" i="97"/>
  <c r="T7" i="97"/>
  <c r="U7" i="97"/>
  <c r="V7" i="97"/>
  <c r="N7" i="97"/>
  <c r="M3" i="97"/>
  <c r="M4" i="97"/>
  <c r="M5" i="97"/>
  <c r="N2" i="97"/>
  <c r="O2" i="97"/>
  <c r="P2" i="97"/>
  <c r="Q2" i="97"/>
  <c r="R2" i="97"/>
  <c r="S2" i="97"/>
  <c r="T2" i="97"/>
  <c r="U2" i="97"/>
  <c r="V2" i="97"/>
  <c r="F27" i="32" l="1"/>
  <c r="F28" i="32"/>
  <c r="F29" i="32"/>
  <c r="F26" i="32"/>
  <c r="B44" i="112" l="1"/>
  <c r="C43" i="112"/>
  <c r="C31" i="112"/>
  <c r="B20" i="112"/>
  <c r="C20" i="112" s="1"/>
  <c r="C19" i="112"/>
  <c r="B44" i="111"/>
  <c r="C43" i="111"/>
  <c r="C31" i="111"/>
  <c r="B20" i="111"/>
  <c r="B21" i="111" s="1"/>
  <c r="C21" i="111" s="1"/>
  <c r="C19" i="111"/>
  <c r="B44" i="110"/>
  <c r="C43" i="110"/>
  <c r="D43" i="110" s="1"/>
  <c r="C31" i="110"/>
  <c r="B20" i="110"/>
  <c r="B21" i="110" s="1"/>
  <c r="C21" i="110" s="1"/>
  <c r="C19" i="110"/>
  <c r="B44" i="109"/>
  <c r="C43" i="109"/>
  <c r="C31" i="109"/>
  <c r="D31" i="109" s="1"/>
  <c r="B20" i="109"/>
  <c r="B21" i="109" s="1"/>
  <c r="B22" i="109" s="1"/>
  <c r="C19" i="109"/>
  <c r="B44" i="108"/>
  <c r="C43" i="108"/>
  <c r="C31" i="108"/>
  <c r="B21" i="108"/>
  <c r="C21" i="108" s="1"/>
  <c r="B20" i="108"/>
  <c r="C20" i="108" s="1"/>
  <c r="C19" i="108"/>
  <c r="B44" i="107"/>
  <c r="C44" i="107" s="1"/>
  <c r="C43" i="107"/>
  <c r="C31" i="107"/>
  <c r="B20" i="107"/>
  <c r="C20" i="107" s="1"/>
  <c r="C19" i="107"/>
  <c r="D19" i="107" s="1"/>
  <c r="D20" i="107" l="1"/>
  <c r="B21" i="107"/>
  <c r="B22" i="107" s="1"/>
  <c r="B21" i="112"/>
  <c r="C21" i="112" s="1"/>
  <c r="D21" i="112" s="1"/>
  <c r="B45" i="112"/>
  <c r="C44" i="112"/>
  <c r="D44" i="112"/>
  <c r="B32" i="112"/>
  <c r="D43" i="112"/>
  <c r="D20" i="112"/>
  <c r="D19" i="112"/>
  <c r="D31" i="112"/>
  <c r="B32" i="111"/>
  <c r="D31" i="111"/>
  <c r="D19" i="111"/>
  <c r="B22" i="111"/>
  <c r="C44" i="111"/>
  <c r="B45" i="111"/>
  <c r="C20" i="111"/>
  <c r="D43" i="111"/>
  <c r="D19" i="110"/>
  <c r="B22" i="110"/>
  <c r="C44" i="110"/>
  <c r="B45" i="110"/>
  <c r="B32" i="110"/>
  <c r="D31" i="110"/>
  <c r="C20" i="110"/>
  <c r="D20" i="110" s="1"/>
  <c r="C22" i="109"/>
  <c r="B23" i="109"/>
  <c r="C21" i="109"/>
  <c r="C20" i="109"/>
  <c r="D21" i="109"/>
  <c r="B45" i="109"/>
  <c r="D19" i="109"/>
  <c r="C44" i="109"/>
  <c r="B32" i="109"/>
  <c r="D43" i="109"/>
  <c r="D31" i="108"/>
  <c r="D21" i="108"/>
  <c r="B45" i="108"/>
  <c r="D19" i="108"/>
  <c r="D20" i="108"/>
  <c r="C44" i="108"/>
  <c r="B32" i="108"/>
  <c r="D43" i="108"/>
  <c r="B22" i="108"/>
  <c r="C21" i="107"/>
  <c r="D21" i="107" s="1"/>
  <c r="B45" i="107"/>
  <c r="B32" i="107"/>
  <c r="D31" i="107"/>
  <c r="D43" i="107"/>
  <c r="D44" i="107"/>
  <c r="B44" i="106"/>
  <c r="B45" i="106" s="1"/>
  <c r="B46" i="106" s="1"/>
  <c r="C43" i="106"/>
  <c r="C31" i="106"/>
  <c r="C20" i="106"/>
  <c r="B20" i="106"/>
  <c r="B21" i="106" s="1"/>
  <c r="C19" i="106"/>
  <c r="D19" i="106" s="1"/>
  <c r="B44" i="105"/>
  <c r="C43" i="105"/>
  <c r="C31" i="105"/>
  <c r="B20" i="105"/>
  <c r="B21" i="105" s="1"/>
  <c r="C21" i="105" s="1"/>
  <c r="C19" i="105"/>
  <c r="B44" i="104"/>
  <c r="C43" i="104"/>
  <c r="C31" i="104"/>
  <c r="B32" i="104" s="1"/>
  <c r="C32" i="104" s="1"/>
  <c r="B20" i="104"/>
  <c r="B21" i="104" s="1"/>
  <c r="C19" i="104"/>
  <c r="B44" i="103"/>
  <c r="C43" i="103"/>
  <c r="C31" i="103"/>
  <c r="D31" i="103" s="1"/>
  <c r="B20" i="103"/>
  <c r="B21" i="103" s="1"/>
  <c r="C19" i="103"/>
  <c r="B44" i="102"/>
  <c r="C43" i="102"/>
  <c r="D43" i="102" s="1"/>
  <c r="C31" i="102"/>
  <c r="D31" i="102" s="1"/>
  <c r="B20" i="102"/>
  <c r="B21" i="102" s="1"/>
  <c r="B22" i="102" s="1"/>
  <c r="C19" i="102"/>
  <c r="B44" i="101"/>
  <c r="B45" i="101" s="1"/>
  <c r="B46" i="101" s="1"/>
  <c r="B47" i="101" s="1"/>
  <c r="C43" i="101"/>
  <c r="D43" i="101" s="1"/>
  <c r="C31" i="101"/>
  <c r="B20" i="101"/>
  <c r="C19" i="101"/>
  <c r="D19" i="101" s="1"/>
  <c r="B44" i="100"/>
  <c r="C44" i="100" s="1"/>
  <c r="C43" i="100"/>
  <c r="C31" i="100"/>
  <c r="B20" i="100"/>
  <c r="C20" i="100" s="1"/>
  <c r="C19" i="100"/>
  <c r="C20" i="105" l="1"/>
  <c r="D20" i="105" s="1"/>
  <c r="B22" i="112"/>
  <c r="B21" i="100"/>
  <c r="C21" i="100" s="1"/>
  <c r="D21" i="100" s="1"/>
  <c r="B46" i="112"/>
  <c r="C45" i="112"/>
  <c r="C22" i="112"/>
  <c r="B23" i="112"/>
  <c r="C32" i="112"/>
  <c r="B46" i="111"/>
  <c r="C45" i="111"/>
  <c r="D44" i="111"/>
  <c r="B23" i="111"/>
  <c r="C22" i="111"/>
  <c r="C32" i="111"/>
  <c r="D20" i="111"/>
  <c r="D21" i="111"/>
  <c r="D44" i="110"/>
  <c r="C32" i="110"/>
  <c r="B23" i="110"/>
  <c r="C22" i="110"/>
  <c r="D21" i="110"/>
  <c r="B46" i="110"/>
  <c r="C45" i="110"/>
  <c r="C45" i="109"/>
  <c r="D45" i="109" s="1"/>
  <c r="B46" i="109"/>
  <c r="D44" i="109"/>
  <c r="B24" i="109"/>
  <c r="C23" i="109"/>
  <c r="D20" i="109"/>
  <c r="D22" i="109"/>
  <c r="C32" i="109"/>
  <c r="C32" i="108"/>
  <c r="D44" i="108"/>
  <c r="C45" i="108"/>
  <c r="D45" i="108" s="1"/>
  <c r="B46" i="108"/>
  <c r="C22" i="108"/>
  <c r="B23" i="108"/>
  <c r="C32" i="107"/>
  <c r="B46" i="107"/>
  <c r="C45" i="107"/>
  <c r="B23" i="107"/>
  <c r="C22" i="107"/>
  <c r="D22" i="107" s="1"/>
  <c r="D31" i="104"/>
  <c r="C44" i="101"/>
  <c r="D44" i="101" s="1"/>
  <c r="C44" i="106"/>
  <c r="D44" i="106" s="1"/>
  <c r="B47" i="106"/>
  <c r="C46" i="106"/>
  <c r="C21" i="106"/>
  <c r="B22" i="106"/>
  <c r="D20" i="106"/>
  <c r="C45" i="106"/>
  <c r="B32" i="106"/>
  <c r="D43" i="106"/>
  <c r="D31" i="106"/>
  <c r="D21" i="105"/>
  <c r="B45" i="105"/>
  <c r="D19" i="105"/>
  <c r="C44" i="105"/>
  <c r="D44" i="105" s="1"/>
  <c r="B32" i="105"/>
  <c r="D43" i="105"/>
  <c r="B22" i="105"/>
  <c r="D31" i="105"/>
  <c r="C21" i="104"/>
  <c r="B22" i="104"/>
  <c r="B33" i="104"/>
  <c r="C20" i="104"/>
  <c r="B45" i="104"/>
  <c r="D19" i="104"/>
  <c r="C44" i="104"/>
  <c r="D44" i="104" s="1"/>
  <c r="D43" i="104"/>
  <c r="D32" i="104"/>
  <c r="C21" i="103"/>
  <c r="B22" i="103"/>
  <c r="C20" i="103"/>
  <c r="D20" i="103" s="1"/>
  <c r="B45" i="103"/>
  <c r="D19" i="103"/>
  <c r="C44" i="103"/>
  <c r="D44" i="103" s="1"/>
  <c r="B32" i="103"/>
  <c r="D43" i="103"/>
  <c r="C22" i="102"/>
  <c r="B23" i="102"/>
  <c r="C21" i="102"/>
  <c r="C20" i="102"/>
  <c r="D20" i="102" s="1"/>
  <c r="B45" i="102"/>
  <c r="C44" i="102"/>
  <c r="D19" i="102"/>
  <c r="D44" i="102"/>
  <c r="B32" i="102"/>
  <c r="C47" i="101"/>
  <c r="B48" i="101"/>
  <c r="B32" i="101"/>
  <c r="C20" i="101"/>
  <c r="D31" i="101"/>
  <c r="B21" i="101"/>
  <c r="C46" i="101"/>
  <c r="C45" i="101"/>
  <c r="B45" i="100"/>
  <c r="D20" i="100"/>
  <c r="D44" i="100"/>
  <c r="B32" i="100"/>
  <c r="D43" i="100"/>
  <c r="D19" i="100"/>
  <c r="D31" i="100"/>
  <c r="C26" i="32"/>
  <c r="D26" i="32"/>
  <c r="E26" i="32"/>
  <c r="C27" i="32"/>
  <c r="D27" i="32"/>
  <c r="E27" i="32"/>
  <c r="C28" i="32"/>
  <c r="D28" i="32"/>
  <c r="E28" i="32"/>
  <c r="C29" i="32"/>
  <c r="D29" i="32"/>
  <c r="E29" i="32"/>
  <c r="B27" i="32"/>
  <c r="B28" i="32"/>
  <c r="B29" i="32"/>
  <c r="B26" i="32"/>
  <c r="F22" i="32"/>
  <c r="F23" i="32"/>
  <c r="D45" i="101" l="1"/>
  <c r="B22" i="100"/>
  <c r="C22" i="100" s="1"/>
  <c r="D45" i="106"/>
  <c r="C23" i="112"/>
  <c r="B24" i="112"/>
  <c r="D23" i="112"/>
  <c r="D22" i="112"/>
  <c r="C46" i="112"/>
  <c r="D46" i="112" s="1"/>
  <c r="B47" i="112"/>
  <c r="D45" i="112"/>
  <c r="D32" i="112"/>
  <c r="B33" i="112"/>
  <c r="D22" i="111"/>
  <c r="B33" i="111"/>
  <c r="D32" i="111"/>
  <c r="B24" i="111"/>
  <c r="C23" i="111"/>
  <c r="D23" i="111"/>
  <c r="C46" i="111"/>
  <c r="B47" i="111"/>
  <c r="D45" i="111"/>
  <c r="C46" i="110"/>
  <c r="D46" i="110" s="1"/>
  <c r="B47" i="110"/>
  <c r="B24" i="110"/>
  <c r="C23" i="110"/>
  <c r="B33" i="110"/>
  <c r="D32" i="110"/>
  <c r="D45" i="110"/>
  <c r="D23" i="110"/>
  <c r="D22" i="110"/>
  <c r="D23" i="109"/>
  <c r="B33" i="109"/>
  <c r="D32" i="109"/>
  <c r="C24" i="109"/>
  <c r="D24" i="109" s="1"/>
  <c r="B25" i="109"/>
  <c r="B47" i="109"/>
  <c r="C46" i="109"/>
  <c r="C23" i="108"/>
  <c r="B24" i="108"/>
  <c r="D22" i="108"/>
  <c r="D23" i="108"/>
  <c r="B47" i="108"/>
  <c r="C46" i="108"/>
  <c r="B33" i="108"/>
  <c r="D32" i="108"/>
  <c r="C46" i="107"/>
  <c r="B47" i="107"/>
  <c r="B33" i="107"/>
  <c r="D32" i="107"/>
  <c r="C23" i="107"/>
  <c r="B24" i="107"/>
  <c r="D23" i="107"/>
  <c r="D45" i="107"/>
  <c r="D46" i="107"/>
  <c r="D46" i="101"/>
  <c r="D46" i="106"/>
  <c r="C32" i="106"/>
  <c r="C47" i="106"/>
  <c r="B48" i="106"/>
  <c r="D21" i="106"/>
  <c r="C22" i="106"/>
  <c r="B23" i="106"/>
  <c r="D47" i="106"/>
  <c r="C32" i="105"/>
  <c r="B46" i="105"/>
  <c r="C45" i="105"/>
  <c r="C22" i="105"/>
  <c r="B23" i="105"/>
  <c r="D21" i="104"/>
  <c r="D20" i="104"/>
  <c r="C33" i="104"/>
  <c r="C22" i="104"/>
  <c r="D22" i="104" s="1"/>
  <c r="B23" i="104"/>
  <c r="B46" i="104"/>
  <c r="C45" i="104"/>
  <c r="D21" i="103"/>
  <c r="C32" i="103"/>
  <c r="C22" i="103"/>
  <c r="B23" i="103"/>
  <c r="B46" i="103"/>
  <c r="C45" i="103"/>
  <c r="C23" i="102"/>
  <c r="B24" i="102"/>
  <c r="C32" i="102"/>
  <c r="B46" i="102"/>
  <c r="C45" i="102"/>
  <c r="D45" i="102"/>
  <c r="D21" i="102"/>
  <c r="D22" i="102"/>
  <c r="B22" i="101"/>
  <c r="C21" i="101"/>
  <c r="D21" i="101" s="1"/>
  <c r="C32" i="101"/>
  <c r="B49" i="101"/>
  <c r="C48" i="101"/>
  <c r="D48" i="101"/>
  <c r="D47" i="101"/>
  <c r="D20" i="101"/>
  <c r="B46" i="100"/>
  <c r="C45" i="100"/>
  <c r="C32" i="100"/>
  <c r="B44" i="99"/>
  <c r="C44" i="99" s="1"/>
  <c r="C43" i="99"/>
  <c r="D43" i="99" s="1"/>
  <c r="B44" i="89"/>
  <c r="C44" i="89" s="1"/>
  <c r="C43" i="89"/>
  <c r="D43" i="89" s="1"/>
  <c r="B44" i="96"/>
  <c r="C44" i="96" s="1"/>
  <c r="C43" i="96"/>
  <c r="D43" i="96" s="1"/>
  <c r="B44" i="94"/>
  <c r="C44" i="94" s="1"/>
  <c r="C43" i="94"/>
  <c r="D43" i="94" s="1"/>
  <c r="B44" i="93"/>
  <c r="C44" i="93" s="1"/>
  <c r="C43" i="93"/>
  <c r="D43" i="93" s="1"/>
  <c r="B44" i="92"/>
  <c r="C44" i="92" s="1"/>
  <c r="C43" i="92"/>
  <c r="D43" i="92" s="1"/>
  <c r="B44" i="91"/>
  <c r="C44" i="91" s="1"/>
  <c r="C43" i="91"/>
  <c r="B44" i="90"/>
  <c r="C44" i="90" s="1"/>
  <c r="C43" i="90"/>
  <c r="D43" i="90" s="1"/>
  <c r="B44" i="88"/>
  <c r="C44" i="88" s="1"/>
  <c r="C43" i="88"/>
  <c r="D43" i="88" s="1"/>
  <c r="B44" i="87"/>
  <c r="C44" i="87" s="1"/>
  <c r="C43" i="87"/>
  <c r="D43" i="87" s="1"/>
  <c r="C31" i="99"/>
  <c r="B32" i="99" s="1"/>
  <c r="C32" i="99" s="1"/>
  <c r="C31" i="89"/>
  <c r="B32" i="89" s="1"/>
  <c r="C32" i="89" s="1"/>
  <c r="C31" i="96"/>
  <c r="D31" i="96" s="1"/>
  <c r="C31" i="94"/>
  <c r="B32" i="94" s="1"/>
  <c r="C32" i="94" s="1"/>
  <c r="C31" i="93"/>
  <c r="D31" i="93" s="1"/>
  <c r="C31" i="92"/>
  <c r="D31" i="92" s="1"/>
  <c r="D31" i="91"/>
  <c r="C31" i="91"/>
  <c r="B32" i="91" s="1"/>
  <c r="C32" i="91" s="1"/>
  <c r="C31" i="90"/>
  <c r="D31" i="90" s="1"/>
  <c r="C31" i="88"/>
  <c r="B32" i="88" s="1"/>
  <c r="C32" i="88" s="1"/>
  <c r="C31" i="87"/>
  <c r="B32" i="87" s="1"/>
  <c r="C32" i="87" s="1"/>
  <c r="B20" i="99"/>
  <c r="C20" i="99" s="1"/>
  <c r="C19" i="99"/>
  <c r="D19" i="99" s="1"/>
  <c r="B20" i="89"/>
  <c r="C20" i="89" s="1"/>
  <c r="C19" i="89"/>
  <c r="D19" i="89" s="1"/>
  <c r="B20" i="96"/>
  <c r="C20" i="96" s="1"/>
  <c r="C19" i="96"/>
  <c r="D19" i="96" s="1"/>
  <c r="B20" i="94"/>
  <c r="C20" i="94" s="1"/>
  <c r="C19" i="94"/>
  <c r="D19" i="94" s="1"/>
  <c r="B20" i="93"/>
  <c r="C20" i="93" s="1"/>
  <c r="C19" i="93"/>
  <c r="D19" i="93" s="1"/>
  <c r="B20" i="92"/>
  <c r="C20" i="92" s="1"/>
  <c r="C19" i="92"/>
  <c r="D19" i="92" s="1"/>
  <c r="B20" i="91"/>
  <c r="C20" i="91" s="1"/>
  <c r="C19" i="91"/>
  <c r="D19" i="91" s="1"/>
  <c r="B20" i="90"/>
  <c r="C20" i="90" s="1"/>
  <c r="C19" i="90"/>
  <c r="D19" i="90" s="1"/>
  <c r="B20" i="88"/>
  <c r="C20" i="88" s="1"/>
  <c r="C19" i="88"/>
  <c r="D19" i="88" s="1"/>
  <c r="B20" i="87"/>
  <c r="C20" i="87" s="1"/>
  <c r="C19" i="87"/>
  <c r="D19" i="87" s="1"/>
  <c r="B44" i="80"/>
  <c r="C44" i="80" s="1"/>
  <c r="C43" i="80"/>
  <c r="D43" i="80" s="1"/>
  <c r="C19" i="80"/>
  <c r="B20" i="80" s="1"/>
  <c r="C20" i="80" s="1"/>
  <c r="B32" i="80"/>
  <c r="C32" i="80" s="1"/>
  <c r="C31" i="80"/>
  <c r="D31" i="80" s="1"/>
  <c r="B32" i="96" l="1"/>
  <c r="C32" i="96" s="1"/>
  <c r="B23" i="100"/>
  <c r="D31" i="94"/>
  <c r="C33" i="112"/>
  <c r="C47" i="112"/>
  <c r="B48" i="112"/>
  <c r="B25" i="112"/>
  <c r="C24" i="112"/>
  <c r="D47" i="112"/>
  <c r="D46" i="111"/>
  <c r="C33" i="111"/>
  <c r="C24" i="111"/>
  <c r="B25" i="111"/>
  <c r="C47" i="111"/>
  <c r="B48" i="111"/>
  <c r="C33" i="110"/>
  <c r="C24" i="110"/>
  <c r="D24" i="110" s="1"/>
  <c r="B25" i="110"/>
  <c r="C47" i="110"/>
  <c r="B48" i="110"/>
  <c r="B48" i="109"/>
  <c r="C47" i="109"/>
  <c r="C33" i="109"/>
  <c r="B26" i="109"/>
  <c r="C25" i="109"/>
  <c r="D46" i="109"/>
  <c r="C33" i="108"/>
  <c r="D46" i="108"/>
  <c r="C24" i="108"/>
  <c r="B25" i="108"/>
  <c r="B48" i="108"/>
  <c r="C47" i="108"/>
  <c r="C33" i="107"/>
  <c r="C24" i="107"/>
  <c r="B25" i="107"/>
  <c r="B48" i="107"/>
  <c r="C47" i="107"/>
  <c r="D24" i="107"/>
  <c r="B32" i="90"/>
  <c r="C32" i="90" s="1"/>
  <c r="D32" i="90" s="1"/>
  <c r="B32" i="93"/>
  <c r="C32" i="93" s="1"/>
  <c r="D31" i="89"/>
  <c r="B45" i="87"/>
  <c r="B46" i="87" s="1"/>
  <c r="B47" i="87" s="1"/>
  <c r="B45" i="90"/>
  <c r="B46" i="90" s="1"/>
  <c r="C46" i="90" s="1"/>
  <c r="D31" i="87"/>
  <c r="B45" i="80"/>
  <c r="B46" i="80" s="1"/>
  <c r="D31" i="99"/>
  <c r="B45" i="91"/>
  <c r="B46" i="91" s="1"/>
  <c r="B47" i="91" s="1"/>
  <c r="B45" i="93"/>
  <c r="B46" i="93" s="1"/>
  <c r="B45" i="96"/>
  <c r="B46" i="96" s="1"/>
  <c r="B45" i="99"/>
  <c r="B46" i="99" s="1"/>
  <c r="C46" i="99" s="1"/>
  <c r="D31" i="88"/>
  <c r="B45" i="88"/>
  <c r="B46" i="88" s="1"/>
  <c r="B21" i="99"/>
  <c r="B22" i="99" s="1"/>
  <c r="B45" i="92"/>
  <c r="B46" i="92" s="1"/>
  <c r="B47" i="92" s="1"/>
  <c r="B45" i="94"/>
  <c r="B46" i="94" s="1"/>
  <c r="B47" i="94" s="1"/>
  <c r="B45" i="89"/>
  <c r="B46" i="89" s="1"/>
  <c r="C23" i="106"/>
  <c r="B24" i="106"/>
  <c r="C48" i="106"/>
  <c r="D48" i="106" s="1"/>
  <c r="B49" i="106"/>
  <c r="B33" i="106"/>
  <c r="D32" i="106"/>
  <c r="D22" i="106"/>
  <c r="C23" i="105"/>
  <c r="B24" i="105"/>
  <c r="D45" i="105"/>
  <c r="D22" i="105"/>
  <c r="B33" i="105"/>
  <c r="D32" i="105"/>
  <c r="B47" i="105"/>
  <c r="C46" i="105"/>
  <c r="B34" i="104"/>
  <c r="D33" i="104"/>
  <c r="C23" i="104"/>
  <c r="B24" i="104"/>
  <c r="B47" i="104"/>
  <c r="C46" i="104"/>
  <c r="D45" i="104"/>
  <c r="C23" i="103"/>
  <c r="B24" i="103"/>
  <c r="B33" i="103"/>
  <c r="D32" i="103"/>
  <c r="D22" i="103"/>
  <c r="B47" i="103"/>
  <c r="C46" i="103"/>
  <c r="D45" i="103"/>
  <c r="B33" i="102"/>
  <c r="D32" i="102"/>
  <c r="B47" i="102"/>
  <c r="C46" i="102"/>
  <c r="D23" i="102"/>
  <c r="C24" i="102"/>
  <c r="D24" i="102" s="1"/>
  <c r="B25" i="102"/>
  <c r="B33" i="101"/>
  <c r="D32" i="101"/>
  <c r="C49" i="101"/>
  <c r="B50" i="101"/>
  <c r="D49" i="101"/>
  <c r="B23" i="101"/>
  <c r="C22" i="101"/>
  <c r="C23" i="100"/>
  <c r="B24" i="100"/>
  <c r="B33" i="100"/>
  <c r="D32" i="100"/>
  <c r="D45" i="100"/>
  <c r="C46" i="100"/>
  <c r="B47" i="100"/>
  <c r="D22" i="100"/>
  <c r="B33" i="80"/>
  <c r="B34" i="80" s="1"/>
  <c r="C34" i="80" s="1"/>
  <c r="D19" i="80"/>
  <c r="B47" i="99"/>
  <c r="D44" i="99"/>
  <c r="B47" i="89"/>
  <c r="C46" i="89"/>
  <c r="C45" i="89"/>
  <c r="D44" i="89"/>
  <c r="B47" i="96"/>
  <c r="C46" i="96"/>
  <c r="C45" i="96"/>
  <c r="D44" i="96"/>
  <c r="D44" i="94"/>
  <c r="C46" i="93"/>
  <c r="B47" i="93"/>
  <c r="C45" i="93"/>
  <c r="D44" i="93"/>
  <c r="C45" i="92"/>
  <c r="D45" i="92" s="1"/>
  <c r="D44" i="92"/>
  <c r="D43" i="91"/>
  <c r="D44" i="91"/>
  <c r="D44" i="90"/>
  <c r="C46" i="88"/>
  <c r="B47" i="88"/>
  <c r="C45" i="88"/>
  <c r="D44" i="88"/>
  <c r="C46" i="87"/>
  <c r="D44" i="87"/>
  <c r="B33" i="99"/>
  <c r="C33" i="99" s="1"/>
  <c r="B34" i="99" s="1"/>
  <c r="C34" i="99" s="1"/>
  <c r="B35" i="99" s="1"/>
  <c r="C35" i="99" s="1"/>
  <c r="B36" i="99" s="1"/>
  <c r="C36" i="99" s="1"/>
  <c r="B37" i="99" s="1"/>
  <c r="C37" i="99" s="1"/>
  <c r="B38" i="99" s="1"/>
  <c r="C38" i="99" s="1"/>
  <c r="B39" i="99" s="1"/>
  <c r="C39" i="99" s="1"/>
  <c r="B40" i="99" s="1"/>
  <c r="C40" i="99" s="1"/>
  <c r="D32" i="99"/>
  <c r="B33" i="89"/>
  <c r="C33" i="89" s="1"/>
  <c r="B34" i="89" s="1"/>
  <c r="C34" i="89" s="1"/>
  <c r="B35" i="89" s="1"/>
  <c r="C35" i="89" s="1"/>
  <c r="B36" i="89" s="1"/>
  <c r="C36" i="89" s="1"/>
  <c r="B37" i="89" s="1"/>
  <c r="C37" i="89" s="1"/>
  <c r="B38" i="89" s="1"/>
  <c r="C38" i="89" s="1"/>
  <c r="B39" i="89" s="1"/>
  <c r="C39" i="89" s="1"/>
  <c r="B40" i="89" s="1"/>
  <c r="C40" i="89" s="1"/>
  <c r="D32" i="89"/>
  <c r="B33" i="96"/>
  <c r="C33" i="96" s="1"/>
  <c r="B34" i="96" s="1"/>
  <c r="C34" i="96" s="1"/>
  <c r="B35" i="96" s="1"/>
  <c r="C35" i="96" s="1"/>
  <c r="B36" i="96" s="1"/>
  <c r="C36" i="96" s="1"/>
  <c r="B37" i="96" s="1"/>
  <c r="C37" i="96" s="1"/>
  <c r="B38" i="96" s="1"/>
  <c r="C38" i="96" s="1"/>
  <c r="B39" i="96" s="1"/>
  <c r="C39" i="96" s="1"/>
  <c r="B40" i="96" s="1"/>
  <c r="C40" i="96" s="1"/>
  <c r="D32" i="96"/>
  <c r="B33" i="94"/>
  <c r="C33" i="94" s="1"/>
  <c r="B34" i="94" s="1"/>
  <c r="C34" i="94" s="1"/>
  <c r="B35" i="94" s="1"/>
  <c r="C35" i="94" s="1"/>
  <c r="B36" i="94" s="1"/>
  <c r="C36" i="94" s="1"/>
  <c r="B37" i="94" s="1"/>
  <c r="C37" i="94" s="1"/>
  <c r="B38" i="94" s="1"/>
  <c r="C38" i="94" s="1"/>
  <c r="B39" i="94" s="1"/>
  <c r="C39" i="94" s="1"/>
  <c r="B40" i="94" s="1"/>
  <c r="C40" i="94" s="1"/>
  <c r="D32" i="94"/>
  <c r="B33" i="93"/>
  <c r="C33" i="93" s="1"/>
  <c r="B34" i="93" s="1"/>
  <c r="C34" i="93" s="1"/>
  <c r="B35" i="93" s="1"/>
  <c r="C35" i="93" s="1"/>
  <c r="B36" i="93" s="1"/>
  <c r="C36" i="93" s="1"/>
  <c r="B37" i="93" s="1"/>
  <c r="C37" i="93" s="1"/>
  <c r="B38" i="93" s="1"/>
  <c r="C38" i="93" s="1"/>
  <c r="B39" i="93" s="1"/>
  <c r="C39" i="93" s="1"/>
  <c r="B40" i="93" s="1"/>
  <c r="C40" i="93" s="1"/>
  <c r="D37" i="93"/>
  <c r="D32" i="93"/>
  <c r="B32" i="92"/>
  <c r="C32" i="92" s="1"/>
  <c r="B33" i="91"/>
  <c r="C33" i="91" s="1"/>
  <c r="B34" i="91" s="1"/>
  <c r="C34" i="91" s="1"/>
  <c r="B35" i="91" s="1"/>
  <c r="C35" i="91" s="1"/>
  <c r="B36" i="91" s="1"/>
  <c r="C36" i="91" s="1"/>
  <c r="B37" i="91" s="1"/>
  <c r="C37" i="91" s="1"/>
  <c r="B38" i="91" s="1"/>
  <c r="C38" i="91" s="1"/>
  <c r="B39" i="91" s="1"/>
  <c r="C39" i="91" s="1"/>
  <c r="B40" i="91" s="1"/>
  <c r="C40" i="91" s="1"/>
  <c r="D32" i="91"/>
  <c r="B33" i="88"/>
  <c r="C33" i="88" s="1"/>
  <c r="B34" i="88" s="1"/>
  <c r="C34" i="88" s="1"/>
  <c r="B35" i="88" s="1"/>
  <c r="C35" i="88" s="1"/>
  <c r="B36" i="88" s="1"/>
  <c r="C36" i="88" s="1"/>
  <c r="B37" i="88" s="1"/>
  <c r="C37" i="88" s="1"/>
  <c r="B38" i="88" s="1"/>
  <c r="C38" i="88" s="1"/>
  <c r="B39" i="88" s="1"/>
  <c r="C39" i="88" s="1"/>
  <c r="B40" i="88" s="1"/>
  <c r="C40" i="88" s="1"/>
  <c r="D32" i="88"/>
  <c r="B33" i="87"/>
  <c r="C33" i="87" s="1"/>
  <c r="B34" i="87" s="1"/>
  <c r="C34" i="87" s="1"/>
  <c r="B35" i="87" s="1"/>
  <c r="C35" i="87" s="1"/>
  <c r="B36" i="87" s="1"/>
  <c r="C36" i="87" s="1"/>
  <c r="B37" i="87" s="1"/>
  <c r="C37" i="87" s="1"/>
  <c r="B38" i="87" s="1"/>
  <c r="C38" i="87" s="1"/>
  <c r="B39" i="87" s="1"/>
  <c r="C39" i="87" s="1"/>
  <c r="B40" i="87" s="1"/>
  <c r="C40" i="87" s="1"/>
  <c r="D32" i="87"/>
  <c r="B21" i="89"/>
  <c r="B22" i="89" s="1"/>
  <c r="B23" i="89" s="1"/>
  <c r="B21" i="96"/>
  <c r="B22" i="96" s="1"/>
  <c r="C22" i="96" s="1"/>
  <c r="B21" i="94"/>
  <c r="B22" i="94" s="1"/>
  <c r="B23" i="94" s="1"/>
  <c r="B21" i="93"/>
  <c r="B22" i="93" s="1"/>
  <c r="B23" i="93" s="1"/>
  <c r="B21" i="92"/>
  <c r="B22" i="92" s="1"/>
  <c r="B23" i="92" s="1"/>
  <c r="B21" i="91"/>
  <c r="B22" i="91" s="1"/>
  <c r="B23" i="91" s="1"/>
  <c r="B21" i="90"/>
  <c r="B22" i="90" s="1"/>
  <c r="C22" i="90" s="1"/>
  <c r="B21" i="88"/>
  <c r="B22" i="88" s="1"/>
  <c r="C22" i="88" s="1"/>
  <c r="B21" i="87"/>
  <c r="B22" i="87" s="1"/>
  <c r="C22" i="87" s="1"/>
  <c r="B23" i="99"/>
  <c r="C22" i="99"/>
  <c r="C21" i="99"/>
  <c r="D20" i="99"/>
  <c r="D20" i="89"/>
  <c r="B23" i="96"/>
  <c r="D20" i="96"/>
  <c r="D20" i="94"/>
  <c r="D20" i="93"/>
  <c r="D20" i="92"/>
  <c r="C21" i="91"/>
  <c r="D21" i="91" s="1"/>
  <c r="D20" i="91"/>
  <c r="D20" i="90"/>
  <c r="D20" i="88"/>
  <c r="D20" i="87"/>
  <c r="B47" i="80"/>
  <c r="C46" i="80"/>
  <c r="C45" i="80"/>
  <c r="D45" i="80" s="1"/>
  <c r="D44" i="80"/>
  <c r="B21" i="80"/>
  <c r="C21" i="80" s="1"/>
  <c r="B22" i="80" s="1"/>
  <c r="C22" i="80" s="1"/>
  <c r="B23" i="80" s="1"/>
  <c r="C23" i="80" s="1"/>
  <c r="B24" i="80" s="1"/>
  <c r="C24" i="80" s="1"/>
  <c r="B25" i="80" s="1"/>
  <c r="C25" i="80" s="1"/>
  <c r="B26" i="80" s="1"/>
  <c r="C26" i="80" s="1"/>
  <c r="B27" i="80" s="1"/>
  <c r="C27" i="80" s="1"/>
  <c r="B28" i="80" s="1"/>
  <c r="C28" i="80" s="1"/>
  <c r="D20" i="80"/>
  <c r="D32" i="80"/>
  <c r="B47" i="90" l="1"/>
  <c r="C21" i="94"/>
  <c r="D21" i="94" s="1"/>
  <c r="C22" i="94"/>
  <c r="C22" i="92"/>
  <c r="C45" i="90"/>
  <c r="C46" i="92"/>
  <c r="D46" i="92" s="1"/>
  <c r="C46" i="94"/>
  <c r="C45" i="94"/>
  <c r="D45" i="94" s="1"/>
  <c r="C46" i="91"/>
  <c r="B34" i="112"/>
  <c r="D33" i="112"/>
  <c r="D24" i="112"/>
  <c r="B26" i="112"/>
  <c r="C25" i="112"/>
  <c r="D25" i="112" s="1"/>
  <c r="C48" i="112"/>
  <c r="D48" i="112" s="1"/>
  <c r="B49" i="112"/>
  <c r="B34" i="111"/>
  <c r="D33" i="111"/>
  <c r="D47" i="111"/>
  <c r="C25" i="111"/>
  <c r="B26" i="111"/>
  <c r="D24" i="111"/>
  <c r="B49" i="111"/>
  <c r="C48" i="111"/>
  <c r="B34" i="110"/>
  <c r="D33" i="110"/>
  <c r="B49" i="110"/>
  <c r="C48" i="110"/>
  <c r="C25" i="110"/>
  <c r="D25" i="110" s="1"/>
  <c r="B26" i="110"/>
  <c r="D47" i="110"/>
  <c r="D48" i="110"/>
  <c r="B34" i="109"/>
  <c r="D33" i="109"/>
  <c r="D25" i="109"/>
  <c r="D47" i="109"/>
  <c r="C26" i="109"/>
  <c r="B27" i="109"/>
  <c r="C48" i="109"/>
  <c r="D48" i="109" s="1"/>
  <c r="B49" i="109"/>
  <c r="C48" i="108"/>
  <c r="B49" i="108"/>
  <c r="D24" i="108"/>
  <c r="D47" i="108"/>
  <c r="B34" i="108"/>
  <c r="D33" i="108"/>
  <c r="B26" i="108"/>
  <c r="C25" i="108"/>
  <c r="B34" i="107"/>
  <c r="D33" i="107"/>
  <c r="B49" i="107"/>
  <c r="C48" i="107"/>
  <c r="D48" i="107" s="1"/>
  <c r="C25" i="107"/>
  <c r="B26" i="107"/>
  <c r="D47" i="107"/>
  <c r="C22" i="91"/>
  <c r="D22" i="91" s="1"/>
  <c r="C22" i="89"/>
  <c r="B33" i="90"/>
  <c r="C33" i="90" s="1"/>
  <c r="C21" i="89"/>
  <c r="D21" i="89" s="1"/>
  <c r="D34" i="87"/>
  <c r="D34" i="89"/>
  <c r="C45" i="99"/>
  <c r="C21" i="96"/>
  <c r="D21" i="96" s="1"/>
  <c r="D33" i="93"/>
  <c r="C45" i="91"/>
  <c r="C45" i="87"/>
  <c r="C24" i="106"/>
  <c r="B25" i="106"/>
  <c r="C33" i="106"/>
  <c r="C49" i="106"/>
  <c r="B50" i="106"/>
  <c r="D23" i="106"/>
  <c r="D23" i="105"/>
  <c r="C33" i="105"/>
  <c r="C47" i="105"/>
  <c r="B48" i="105"/>
  <c r="D46" i="105"/>
  <c r="C24" i="105"/>
  <c r="B25" i="105"/>
  <c r="C47" i="104"/>
  <c r="B48" i="104"/>
  <c r="C24" i="104"/>
  <c r="B25" i="104"/>
  <c r="C34" i="104"/>
  <c r="D23" i="104"/>
  <c r="D46" i="104"/>
  <c r="D24" i="104"/>
  <c r="C47" i="103"/>
  <c r="B48" i="103"/>
  <c r="C33" i="103"/>
  <c r="D46" i="103"/>
  <c r="C24" i="103"/>
  <c r="D24" i="103" s="1"/>
  <c r="B25" i="103"/>
  <c r="D23" i="103"/>
  <c r="C25" i="102"/>
  <c r="D25" i="102" s="1"/>
  <c r="B26" i="102"/>
  <c r="D46" i="102"/>
  <c r="C33" i="102"/>
  <c r="C47" i="102"/>
  <c r="B48" i="102"/>
  <c r="C23" i="101"/>
  <c r="D23" i="101" s="1"/>
  <c r="B24" i="101"/>
  <c r="C33" i="101"/>
  <c r="D22" i="101"/>
  <c r="C50" i="101"/>
  <c r="B51" i="101"/>
  <c r="C47" i="100"/>
  <c r="B48" i="100"/>
  <c r="D46" i="100"/>
  <c r="D23" i="100"/>
  <c r="C24" i="100"/>
  <c r="B25" i="100"/>
  <c r="C33" i="100"/>
  <c r="C33" i="80"/>
  <c r="D33" i="80" s="1"/>
  <c r="B35" i="80"/>
  <c r="C35" i="80" s="1"/>
  <c r="D35" i="80" s="1"/>
  <c r="C47" i="99"/>
  <c r="B48" i="99"/>
  <c r="D46" i="99"/>
  <c r="D45" i="99"/>
  <c r="C47" i="89"/>
  <c r="D47" i="89" s="1"/>
  <c r="B48" i="89"/>
  <c r="D45" i="89"/>
  <c r="D46" i="89"/>
  <c r="C47" i="96"/>
  <c r="B48" i="96"/>
  <c r="D46" i="96"/>
  <c r="D45" i="96"/>
  <c r="C47" i="94"/>
  <c r="B48" i="94"/>
  <c r="D45" i="93"/>
  <c r="D46" i="93"/>
  <c r="C47" i="93"/>
  <c r="B48" i="93"/>
  <c r="C47" i="92"/>
  <c r="D47" i="92" s="1"/>
  <c r="B48" i="92"/>
  <c r="C47" i="91"/>
  <c r="B48" i="91"/>
  <c r="C47" i="90"/>
  <c r="B48" i="90"/>
  <c r="D46" i="90"/>
  <c r="D45" i="90"/>
  <c r="D47" i="90"/>
  <c r="D45" i="88"/>
  <c r="C47" i="88"/>
  <c r="D47" i="88" s="1"/>
  <c r="B48" i="88"/>
  <c r="D46" i="88"/>
  <c r="C47" i="87"/>
  <c r="B48" i="87"/>
  <c r="D39" i="99"/>
  <c r="D38" i="99"/>
  <c r="D34" i="99"/>
  <c r="D37" i="99"/>
  <c r="D36" i="99"/>
  <c r="D33" i="99"/>
  <c r="D35" i="99"/>
  <c r="D40" i="99"/>
  <c r="D39" i="89"/>
  <c r="D38" i="89"/>
  <c r="D33" i="89"/>
  <c r="D36" i="89"/>
  <c r="D35" i="89"/>
  <c r="D37" i="89"/>
  <c r="D40" i="89"/>
  <c r="D38" i="96"/>
  <c r="D33" i="96"/>
  <c r="D36" i="96"/>
  <c r="D39" i="96"/>
  <c r="D37" i="96"/>
  <c r="D35" i="96"/>
  <c r="D34" i="96"/>
  <c r="D40" i="96"/>
  <c r="D37" i="94"/>
  <c r="D34" i="94"/>
  <c r="D33" i="94"/>
  <c r="D39" i="94"/>
  <c r="D38" i="94"/>
  <c r="D36" i="94"/>
  <c r="D35" i="94"/>
  <c r="D40" i="94"/>
  <c r="D35" i="93"/>
  <c r="D36" i="93"/>
  <c r="D39" i="93"/>
  <c r="D38" i="93"/>
  <c r="D34" i="93"/>
  <c r="D40" i="93"/>
  <c r="B33" i="92"/>
  <c r="C33" i="92" s="1"/>
  <c r="D33" i="92" s="1"/>
  <c r="D32" i="92"/>
  <c r="D33" i="91"/>
  <c r="D39" i="91"/>
  <c r="D36" i="91"/>
  <c r="D35" i="91"/>
  <c r="D38" i="91"/>
  <c r="D37" i="91"/>
  <c r="D34" i="91"/>
  <c r="D40" i="91"/>
  <c r="D40" i="88"/>
  <c r="D34" i="88"/>
  <c r="D38" i="88"/>
  <c r="D36" i="88"/>
  <c r="D35" i="88"/>
  <c r="D33" i="88"/>
  <c r="D39" i="88"/>
  <c r="D37" i="88"/>
  <c r="D38" i="87"/>
  <c r="D40" i="87"/>
  <c r="D35" i="87"/>
  <c r="D33" i="87"/>
  <c r="D36" i="87"/>
  <c r="D39" i="87"/>
  <c r="D37" i="87"/>
  <c r="D22" i="99"/>
  <c r="D22" i="94"/>
  <c r="C21" i="93"/>
  <c r="D21" i="93" s="1"/>
  <c r="C22" i="93"/>
  <c r="C21" i="92"/>
  <c r="D21" i="92" s="1"/>
  <c r="B23" i="90"/>
  <c r="C23" i="90" s="1"/>
  <c r="C21" i="90"/>
  <c r="B23" i="88"/>
  <c r="C23" i="88" s="1"/>
  <c r="C21" i="88"/>
  <c r="D21" i="88" s="1"/>
  <c r="B23" i="87"/>
  <c r="B24" i="87" s="1"/>
  <c r="C21" i="87"/>
  <c r="D22" i="87" s="1"/>
  <c r="D21" i="99"/>
  <c r="C23" i="99"/>
  <c r="B24" i="99"/>
  <c r="C23" i="89"/>
  <c r="B24" i="89"/>
  <c r="C23" i="96"/>
  <c r="B24" i="96"/>
  <c r="C23" i="94"/>
  <c r="B24" i="94"/>
  <c r="C23" i="93"/>
  <c r="B24" i="93"/>
  <c r="C23" i="92"/>
  <c r="B24" i="92"/>
  <c r="D22" i="92"/>
  <c r="C23" i="91"/>
  <c r="B24" i="91"/>
  <c r="C23" i="87"/>
  <c r="D21" i="87"/>
  <c r="C47" i="80"/>
  <c r="B48" i="80"/>
  <c r="D46" i="80"/>
  <c r="D47" i="80"/>
  <c r="D28" i="80"/>
  <c r="D21" i="80"/>
  <c r="D26" i="80"/>
  <c r="D23" i="80"/>
  <c r="D25" i="80"/>
  <c r="D24" i="80"/>
  <c r="D22" i="80"/>
  <c r="D27" i="80"/>
  <c r="D46" i="94" l="1"/>
  <c r="D22" i="88"/>
  <c r="D47" i="87"/>
  <c r="D23" i="87"/>
  <c r="B24" i="88"/>
  <c r="C24" i="88" s="1"/>
  <c r="D22" i="93"/>
  <c r="D22" i="89"/>
  <c r="D22" i="96"/>
  <c r="D34" i="80"/>
  <c r="C49" i="112"/>
  <c r="B50" i="112"/>
  <c r="C34" i="112"/>
  <c r="C26" i="112"/>
  <c r="B27" i="112"/>
  <c r="B50" i="111"/>
  <c r="C49" i="111"/>
  <c r="C34" i="111"/>
  <c r="C26" i="111"/>
  <c r="B27" i="111"/>
  <c r="D49" i="111"/>
  <c r="D25" i="111"/>
  <c r="D48" i="111"/>
  <c r="C26" i="110"/>
  <c r="B27" i="110"/>
  <c r="B50" i="110"/>
  <c r="C49" i="110"/>
  <c r="C34" i="110"/>
  <c r="C34" i="109"/>
  <c r="C49" i="109"/>
  <c r="D49" i="109" s="1"/>
  <c r="B50" i="109"/>
  <c r="C27" i="109"/>
  <c r="D27" i="109" s="1"/>
  <c r="B28" i="109"/>
  <c r="D26" i="109"/>
  <c r="C26" i="108"/>
  <c r="D26" i="108" s="1"/>
  <c r="B27" i="108"/>
  <c r="C49" i="108"/>
  <c r="B50" i="108"/>
  <c r="D25" i="108"/>
  <c r="D48" i="108"/>
  <c r="C34" i="108"/>
  <c r="D49" i="108"/>
  <c r="C49" i="107"/>
  <c r="B50" i="107"/>
  <c r="C34" i="107"/>
  <c r="B27" i="107"/>
  <c r="C26" i="107"/>
  <c r="D26" i="107" s="1"/>
  <c r="D25" i="107"/>
  <c r="D45" i="87"/>
  <c r="D46" i="87"/>
  <c r="D46" i="91"/>
  <c r="D45" i="91"/>
  <c r="D23" i="90"/>
  <c r="B34" i="90"/>
  <c r="C34" i="90" s="1"/>
  <c r="D33" i="90"/>
  <c r="C25" i="106"/>
  <c r="B26" i="106"/>
  <c r="D24" i="106"/>
  <c r="D49" i="106"/>
  <c r="C50" i="106"/>
  <c r="B51" i="106"/>
  <c r="B34" i="106"/>
  <c r="D33" i="106"/>
  <c r="C48" i="105"/>
  <c r="B49" i="105"/>
  <c r="D47" i="105"/>
  <c r="D24" i="105"/>
  <c r="B26" i="105"/>
  <c r="C25" i="105"/>
  <c r="B34" i="105"/>
  <c r="D33" i="105"/>
  <c r="B26" i="104"/>
  <c r="C25" i="104"/>
  <c r="B35" i="104"/>
  <c r="D34" i="104"/>
  <c r="C48" i="104"/>
  <c r="B49" i="104"/>
  <c r="D47" i="104"/>
  <c r="D47" i="103"/>
  <c r="C25" i="103"/>
  <c r="B26" i="103"/>
  <c r="B34" i="103"/>
  <c r="D33" i="103"/>
  <c r="C48" i="103"/>
  <c r="B49" i="103"/>
  <c r="C26" i="102"/>
  <c r="B27" i="102"/>
  <c r="B34" i="102"/>
  <c r="D33" i="102"/>
  <c r="C48" i="102"/>
  <c r="D48" i="102" s="1"/>
  <c r="B49" i="102"/>
  <c r="D47" i="102"/>
  <c r="C51" i="101"/>
  <c r="D51" i="101" s="1"/>
  <c r="B52" i="101"/>
  <c r="D50" i="101"/>
  <c r="C24" i="101"/>
  <c r="B25" i="101"/>
  <c r="B34" i="101"/>
  <c r="D33" i="101"/>
  <c r="D24" i="100"/>
  <c r="C25" i="100"/>
  <c r="B26" i="100"/>
  <c r="B34" i="100"/>
  <c r="D33" i="100"/>
  <c r="C48" i="100"/>
  <c r="D48" i="100" s="1"/>
  <c r="B49" i="100"/>
  <c r="D47" i="100"/>
  <c r="B36" i="80"/>
  <c r="C36" i="80" s="1"/>
  <c r="B49" i="99"/>
  <c r="C48" i="99"/>
  <c r="D48" i="99" s="1"/>
  <c r="D47" i="99"/>
  <c r="C48" i="89"/>
  <c r="D48" i="89" s="1"/>
  <c r="B49" i="89"/>
  <c r="D47" i="96"/>
  <c r="C48" i="96"/>
  <c r="D48" i="96" s="1"/>
  <c r="B49" i="96"/>
  <c r="B49" i="94"/>
  <c r="C48" i="94"/>
  <c r="D48" i="94" s="1"/>
  <c r="D47" i="94"/>
  <c r="C48" i="93"/>
  <c r="D48" i="93" s="1"/>
  <c r="B49" i="93"/>
  <c r="D47" i="93"/>
  <c r="C48" i="92"/>
  <c r="D48" i="92" s="1"/>
  <c r="B49" i="92"/>
  <c r="C48" i="91"/>
  <c r="D48" i="91" s="1"/>
  <c r="B49" i="91"/>
  <c r="D47" i="91"/>
  <c r="C48" i="90"/>
  <c r="B49" i="90"/>
  <c r="B49" i="88"/>
  <c r="C48" i="88"/>
  <c r="D48" i="88"/>
  <c r="C48" i="87"/>
  <c r="D48" i="87" s="1"/>
  <c r="B49" i="87"/>
  <c r="B34" i="92"/>
  <c r="C34" i="92" s="1"/>
  <c r="D34" i="92"/>
  <c r="B24" i="90"/>
  <c r="C24" i="90" s="1"/>
  <c r="D24" i="90" s="1"/>
  <c r="D21" i="90"/>
  <c r="D22" i="90"/>
  <c r="D24" i="99"/>
  <c r="D23" i="99"/>
  <c r="C24" i="99"/>
  <c r="B25" i="99"/>
  <c r="D23" i="89"/>
  <c r="C24" i="89"/>
  <c r="B25" i="89"/>
  <c r="B25" i="96"/>
  <c r="C24" i="96"/>
  <c r="D24" i="96" s="1"/>
  <c r="D23" i="96"/>
  <c r="B25" i="94"/>
  <c r="C24" i="94"/>
  <c r="D24" i="94"/>
  <c r="D23" i="94"/>
  <c r="B25" i="93"/>
  <c r="C24" i="93"/>
  <c r="D23" i="93"/>
  <c r="C24" i="92"/>
  <c r="B25" i="92"/>
  <c r="D23" i="92"/>
  <c r="C24" i="91"/>
  <c r="D24" i="91" s="1"/>
  <c r="B25" i="91"/>
  <c r="D23" i="91"/>
  <c r="B25" i="90"/>
  <c r="D23" i="88"/>
  <c r="C24" i="87"/>
  <c r="D24" i="87" s="1"/>
  <c r="B25" i="87"/>
  <c r="C48" i="80"/>
  <c r="B49" i="80"/>
  <c r="B25" i="88" l="1"/>
  <c r="C50" i="112"/>
  <c r="D50" i="112" s="1"/>
  <c r="B51" i="112"/>
  <c r="D49" i="112"/>
  <c r="D26" i="112"/>
  <c r="B35" i="112"/>
  <c r="D34" i="112"/>
  <c r="B28" i="112"/>
  <c r="C27" i="112"/>
  <c r="D27" i="112" s="1"/>
  <c r="C50" i="111"/>
  <c r="D50" i="111" s="1"/>
  <c r="B51" i="111"/>
  <c r="B28" i="111"/>
  <c r="C27" i="111"/>
  <c r="D27" i="111" s="1"/>
  <c r="D26" i="111"/>
  <c r="B35" i="111"/>
  <c r="D34" i="111"/>
  <c r="D26" i="110"/>
  <c r="B35" i="110"/>
  <c r="D34" i="110"/>
  <c r="D50" i="110"/>
  <c r="D49" i="110"/>
  <c r="C50" i="110"/>
  <c r="B51" i="110"/>
  <c r="B28" i="110"/>
  <c r="C27" i="110"/>
  <c r="D27" i="110" s="1"/>
  <c r="C50" i="109"/>
  <c r="B51" i="109"/>
  <c r="C28" i="109"/>
  <c r="D28" i="109" s="1"/>
  <c r="B35" i="109"/>
  <c r="D34" i="109"/>
  <c r="C50" i="108"/>
  <c r="D50" i="108" s="1"/>
  <c r="B51" i="108"/>
  <c r="B28" i="108"/>
  <c r="C27" i="108"/>
  <c r="D27" i="108" s="1"/>
  <c r="B35" i="108"/>
  <c r="D34" i="108"/>
  <c r="D49" i="107"/>
  <c r="C50" i="107"/>
  <c r="D50" i="107" s="1"/>
  <c r="B51" i="107"/>
  <c r="B28" i="107"/>
  <c r="C27" i="107"/>
  <c r="D27" i="107" s="1"/>
  <c r="B35" i="107"/>
  <c r="D34" i="107"/>
  <c r="B35" i="90"/>
  <c r="C35" i="90" s="1"/>
  <c r="B36" i="90" s="1"/>
  <c r="C36" i="90" s="1"/>
  <c r="B37" i="90" s="1"/>
  <c r="C37" i="90" s="1"/>
  <c r="B38" i="90" s="1"/>
  <c r="C38" i="90" s="1"/>
  <c r="B39" i="90" s="1"/>
  <c r="C39" i="90" s="1"/>
  <c r="B40" i="90" s="1"/>
  <c r="C40" i="90" s="1"/>
  <c r="D36" i="90"/>
  <c r="D38" i="90"/>
  <c r="D34" i="90"/>
  <c r="D25" i="106"/>
  <c r="C51" i="106"/>
  <c r="D51" i="106" s="1"/>
  <c r="B52" i="106"/>
  <c r="D50" i="106"/>
  <c r="C26" i="106"/>
  <c r="D26" i="106" s="1"/>
  <c r="B27" i="106"/>
  <c r="C34" i="106"/>
  <c r="D25" i="105"/>
  <c r="C26" i="105"/>
  <c r="D26" i="105" s="1"/>
  <c r="B27" i="105"/>
  <c r="C49" i="105"/>
  <c r="D49" i="105" s="1"/>
  <c r="B50" i="105"/>
  <c r="D48" i="105"/>
  <c r="C34" i="105"/>
  <c r="D48" i="104"/>
  <c r="D25" i="104"/>
  <c r="C26" i="104"/>
  <c r="D26" i="104" s="1"/>
  <c r="B27" i="104"/>
  <c r="C35" i="104"/>
  <c r="C49" i="104"/>
  <c r="D49" i="104" s="1"/>
  <c r="B50" i="104"/>
  <c r="C49" i="103"/>
  <c r="B50" i="103"/>
  <c r="C34" i="103"/>
  <c r="C26" i="103"/>
  <c r="D26" i="103" s="1"/>
  <c r="B27" i="103"/>
  <c r="D25" i="103"/>
  <c r="D48" i="103"/>
  <c r="D26" i="102"/>
  <c r="C49" i="102"/>
  <c r="D49" i="102" s="1"/>
  <c r="B50" i="102"/>
  <c r="C34" i="102"/>
  <c r="C27" i="102"/>
  <c r="D27" i="102" s="1"/>
  <c r="B28" i="102"/>
  <c r="C52" i="101"/>
  <c r="D52" i="101" s="1"/>
  <c r="C34" i="101"/>
  <c r="C25" i="101"/>
  <c r="D25" i="101" s="1"/>
  <c r="B26" i="101"/>
  <c r="D24" i="101"/>
  <c r="D25" i="100"/>
  <c r="C34" i="100"/>
  <c r="C49" i="100"/>
  <c r="D49" i="100" s="1"/>
  <c r="B50" i="100"/>
  <c r="C26" i="100"/>
  <c r="D26" i="100" s="1"/>
  <c r="B27" i="100"/>
  <c r="B37" i="80"/>
  <c r="B38" i="80" s="1"/>
  <c r="B50" i="99"/>
  <c r="C49" i="99"/>
  <c r="D49" i="99" s="1"/>
  <c r="B50" i="89"/>
  <c r="C49" i="89"/>
  <c r="D49" i="89" s="1"/>
  <c r="B50" i="96"/>
  <c r="C49" i="96"/>
  <c r="D49" i="96" s="1"/>
  <c r="B50" i="94"/>
  <c r="C49" i="94"/>
  <c r="D49" i="94" s="1"/>
  <c r="B50" i="93"/>
  <c r="C49" i="93"/>
  <c r="B50" i="92"/>
  <c r="C49" i="92"/>
  <c r="D49" i="92"/>
  <c r="B50" i="91"/>
  <c r="C49" i="91"/>
  <c r="B50" i="90"/>
  <c r="C49" i="90"/>
  <c r="D48" i="90"/>
  <c r="B50" i="88"/>
  <c r="C49" i="88"/>
  <c r="D49" i="88"/>
  <c r="B50" i="87"/>
  <c r="C49" i="87"/>
  <c r="D49" i="87" s="1"/>
  <c r="B35" i="92"/>
  <c r="C35" i="92" s="1"/>
  <c r="D35" i="92" s="1"/>
  <c r="B26" i="99"/>
  <c r="C25" i="99"/>
  <c r="B26" i="89"/>
  <c r="C25" i="89"/>
  <c r="D25" i="89" s="1"/>
  <c r="D24" i="89"/>
  <c r="B26" i="96"/>
  <c r="C25" i="96"/>
  <c r="D25" i="96" s="1"/>
  <c r="B26" i="94"/>
  <c r="C25" i="94"/>
  <c r="D25" i="94" s="1"/>
  <c r="D24" i="93"/>
  <c r="B26" i="93"/>
  <c r="C25" i="93"/>
  <c r="D25" i="93" s="1"/>
  <c r="D24" i="92"/>
  <c r="B26" i="92"/>
  <c r="C25" i="92"/>
  <c r="B26" i="91"/>
  <c r="C25" i="91"/>
  <c r="D25" i="91" s="1"/>
  <c r="B26" i="90"/>
  <c r="C25" i="90"/>
  <c r="B26" i="88"/>
  <c r="C25" i="88"/>
  <c r="D25" i="88" s="1"/>
  <c r="D24" i="88"/>
  <c r="B26" i="87"/>
  <c r="C25" i="87"/>
  <c r="B50" i="80"/>
  <c r="C49" i="80"/>
  <c r="D48" i="80"/>
  <c r="D36" i="80"/>
  <c r="D39" i="90" l="1"/>
  <c r="D35" i="90"/>
  <c r="B52" i="112"/>
  <c r="C51" i="112"/>
  <c r="D51" i="112" s="1"/>
  <c r="C28" i="112"/>
  <c r="D28" i="112" s="1"/>
  <c r="C35" i="112"/>
  <c r="C28" i="111"/>
  <c r="D28" i="111" s="1"/>
  <c r="C51" i="111"/>
  <c r="D51" i="111" s="1"/>
  <c r="B52" i="111"/>
  <c r="C35" i="111"/>
  <c r="C51" i="110"/>
  <c r="D51" i="110" s="1"/>
  <c r="B52" i="110"/>
  <c r="C35" i="110"/>
  <c r="C28" i="110"/>
  <c r="D28" i="110" s="1"/>
  <c r="C35" i="109"/>
  <c r="B52" i="109"/>
  <c r="C51" i="109"/>
  <c r="D51" i="109" s="1"/>
  <c r="D50" i="109"/>
  <c r="C35" i="108"/>
  <c r="C28" i="108"/>
  <c r="D28" i="108" s="1"/>
  <c r="B52" i="108"/>
  <c r="C51" i="108"/>
  <c r="D51" i="108" s="1"/>
  <c r="C51" i="107"/>
  <c r="D51" i="107" s="1"/>
  <c r="B52" i="107"/>
  <c r="C35" i="107"/>
  <c r="C28" i="107"/>
  <c r="D28" i="107" s="1"/>
  <c r="D37" i="90"/>
  <c r="D40" i="90"/>
  <c r="C52" i="106"/>
  <c r="D52" i="106" s="1"/>
  <c r="B35" i="106"/>
  <c r="D34" i="106"/>
  <c r="B28" i="106"/>
  <c r="C27" i="106"/>
  <c r="D27" i="106" s="1"/>
  <c r="C50" i="105"/>
  <c r="D50" i="105" s="1"/>
  <c r="B51" i="105"/>
  <c r="B28" i="105"/>
  <c r="C27" i="105"/>
  <c r="D27" i="105" s="1"/>
  <c r="B35" i="105"/>
  <c r="D34" i="105"/>
  <c r="C50" i="104"/>
  <c r="D50" i="104" s="1"/>
  <c r="B51" i="104"/>
  <c r="B36" i="104"/>
  <c r="D35" i="104"/>
  <c r="B28" i="104"/>
  <c r="C27" i="104"/>
  <c r="D27" i="104" s="1"/>
  <c r="C50" i="103"/>
  <c r="D50" i="103" s="1"/>
  <c r="B51" i="103"/>
  <c r="B35" i="103"/>
  <c r="D34" i="103"/>
  <c r="D49" i="103"/>
  <c r="B28" i="103"/>
  <c r="C27" i="103"/>
  <c r="D27" i="103" s="1"/>
  <c r="B35" i="102"/>
  <c r="D34" i="102"/>
  <c r="C28" i="102"/>
  <c r="D28" i="102" s="1"/>
  <c r="C50" i="102"/>
  <c r="D50" i="102" s="1"/>
  <c r="B51" i="102"/>
  <c r="C26" i="101"/>
  <c r="D26" i="101" s="1"/>
  <c r="B27" i="101"/>
  <c r="B35" i="101"/>
  <c r="D34" i="101"/>
  <c r="B28" i="100"/>
  <c r="C27" i="100"/>
  <c r="D27" i="100" s="1"/>
  <c r="C50" i="100"/>
  <c r="B51" i="100"/>
  <c r="D50" i="100"/>
  <c r="B35" i="100"/>
  <c r="D34" i="100"/>
  <c r="C37" i="80"/>
  <c r="B51" i="99"/>
  <c r="C50" i="99"/>
  <c r="D50" i="99" s="1"/>
  <c r="B51" i="89"/>
  <c r="C50" i="89"/>
  <c r="D50" i="89" s="1"/>
  <c r="B51" i="96"/>
  <c r="C50" i="96"/>
  <c r="C50" i="94"/>
  <c r="D50" i="94" s="1"/>
  <c r="B51" i="94"/>
  <c r="B51" i="93"/>
  <c r="C50" i="93"/>
  <c r="D50" i="93" s="1"/>
  <c r="D49" i="93"/>
  <c r="C50" i="92"/>
  <c r="B51" i="92"/>
  <c r="D49" i="91"/>
  <c r="B51" i="91"/>
  <c r="C50" i="91"/>
  <c r="D50" i="91" s="1"/>
  <c r="D49" i="90"/>
  <c r="B51" i="90"/>
  <c r="C50" i="90"/>
  <c r="D50" i="90" s="1"/>
  <c r="C50" i="88"/>
  <c r="D50" i="88" s="1"/>
  <c r="B51" i="88"/>
  <c r="D50" i="87"/>
  <c r="B51" i="87"/>
  <c r="C50" i="87"/>
  <c r="B36" i="92"/>
  <c r="C36" i="92" s="1"/>
  <c r="D36" i="92" s="1"/>
  <c r="D25" i="99"/>
  <c r="C26" i="99"/>
  <c r="D26" i="99" s="1"/>
  <c r="B27" i="99"/>
  <c r="B27" i="89"/>
  <c r="C26" i="89"/>
  <c r="D26" i="89" s="1"/>
  <c r="B27" i="96"/>
  <c r="C26" i="96"/>
  <c r="D26" i="96" s="1"/>
  <c r="C26" i="94"/>
  <c r="D26" i="94" s="1"/>
  <c r="B27" i="94"/>
  <c r="C26" i="93"/>
  <c r="D26" i="93" s="1"/>
  <c r="B27" i="93"/>
  <c r="B27" i="92"/>
  <c r="C26" i="92"/>
  <c r="D26" i="92" s="1"/>
  <c r="D25" i="92"/>
  <c r="B27" i="91"/>
  <c r="C26" i="91"/>
  <c r="D26" i="91" s="1"/>
  <c r="D25" i="90"/>
  <c r="B27" i="90"/>
  <c r="C26" i="90"/>
  <c r="D26" i="90" s="1"/>
  <c r="C26" i="88"/>
  <c r="D26" i="88" s="1"/>
  <c r="B27" i="88"/>
  <c r="D25" i="87"/>
  <c r="B27" i="87"/>
  <c r="C26" i="87"/>
  <c r="D26" i="87" s="1"/>
  <c r="C50" i="80"/>
  <c r="D50" i="80" s="1"/>
  <c r="B51" i="80"/>
  <c r="D49" i="80"/>
  <c r="C38" i="80"/>
  <c r="B39" i="80"/>
  <c r="B36" i="112" l="1"/>
  <c r="D35" i="112"/>
  <c r="C52" i="112"/>
  <c r="D52" i="112" s="1"/>
  <c r="B36" i="111"/>
  <c r="D35" i="111"/>
  <c r="C52" i="111"/>
  <c r="D52" i="111" s="1"/>
  <c r="B36" i="110"/>
  <c r="D35" i="110"/>
  <c r="C52" i="110"/>
  <c r="D52" i="110" s="1"/>
  <c r="B36" i="109"/>
  <c r="D35" i="109"/>
  <c r="C52" i="109"/>
  <c r="D52" i="109" s="1"/>
  <c r="C52" i="108"/>
  <c r="D52" i="108" s="1"/>
  <c r="B36" i="108"/>
  <c r="D35" i="108"/>
  <c r="B36" i="107"/>
  <c r="D35" i="107"/>
  <c r="C52" i="107"/>
  <c r="D52" i="107" s="1"/>
  <c r="D38" i="80"/>
  <c r="C28" i="106"/>
  <c r="D28" i="106" s="1"/>
  <c r="C35" i="106"/>
  <c r="C35" i="105"/>
  <c r="C28" i="105"/>
  <c r="D28" i="105" s="1"/>
  <c r="B52" i="105"/>
  <c r="C51" i="105"/>
  <c r="D51" i="105" s="1"/>
  <c r="C51" i="104"/>
  <c r="D51" i="104" s="1"/>
  <c r="B52" i="104"/>
  <c r="C28" i="104"/>
  <c r="D28" i="104" s="1"/>
  <c r="C36" i="104"/>
  <c r="C28" i="103"/>
  <c r="D28" i="103" s="1"/>
  <c r="C35" i="103"/>
  <c r="C51" i="103"/>
  <c r="D51" i="103" s="1"/>
  <c r="B52" i="103"/>
  <c r="C35" i="102"/>
  <c r="C51" i="102"/>
  <c r="D51" i="102" s="1"/>
  <c r="B52" i="102"/>
  <c r="C35" i="101"/>
  <c r="C27" i="101"/>
  <c r="D27" i="101" s="1"/>
  <c r="B28" i="101"/>
  <c r="B52" i="100"/>
  <c r="C51" i="100"/>
  <c r="D51" i="100" s="1"/>
  <c r="C35" i="100"/>
  <c r="C28" i="100"/>
  <c r="D28" i="100" s="1"/>
  <c r="D37" i="80"/>
  <c r="C51" i="99"/>
  <c r="D51" i="99" s="1"/>
  <c r="B52" i="99"/>
  <c r="C52" i="99" s="1"/>
  <c r="C51" i="89"/>
  <c r="D51" i="89" s="1"/>
  <c r="B52" i="89"/>
  <c r="C52" i="89" s="1"/>
  <c r="D50" i="96"/>
  <c r="C51" i="96"/>
  <c r="D51" i="96" s="1"/>
  <c r="B52" i="96"/>
  <c r="C52" i="96" s="1"/>
  <c r="D52" i="96" s="1"/>
  <c r="C51" i="94"/>
  <c r="D51" i="94" s="1"/>
  <c r="B52" i="94"/>
  <c r="C52" i="94" s="1"/>
  <c r="C51" i="93"/>
  <c r="D51" i="93" s="1"/>
  <c r="B52" i="93"/>
  <c r="C52" i="93" s="1"/>
  <c r="C51" i="92"/>
  <c r="D51" i="92" s="1"/>
  <c r="B52" i="92"/>
  <c r="C52" i="92" s="1"/>
  <c r="D50" i="92"/>
  <c r="C51" i="91"/>
  <c r="B52" i="91"/>
  <c r="C52" i="91" s="1"/>
  <c r="C51" i="90"/>
  <c r="D51" i="90" s="1"/>
  <c r="B52" i="90"/>
  <c r="C52" i="90" s="1"/>
  <c r="C51" i="88"/>
  <c r="D51" i="88" s="1"/>
  <c r="B52" i="88"/>
  <c r="C52" i="88" s="1"/>
  <c r="C51" i="87"/>
  <c r="D51" i="87" s="1"/>
  <c r="B52" i="87"/>
  <c r="C52" i="87" s="1"/>
  <c r="B37" i="92"/>
  <c r="C37" i="92" s="1"/>
  <c r="C27" i="99"/>
  <c r="D27" i="99" s="1"/>
  <c r="B28" i="99"/>
  <c r="C28" i="99" s="1"/>
  <c r="D28" i="99" s="1"/>
  <c r="C27" i="89"/>
  <c r="D27" i="89" s="1"/>
  <c r="B28" i="89"/>
  <c r="C28" i="89" s="1"/>
  <c r="C27" i="96"/>
  <c r="D27" i="96" s="1"/>
  <c r="B28" i="96"/>
  <c r="C28" i="96" s="1"/>
  <c r="D28" i="96" s="1"/>
  <c r="C27" i="94"/>
  <c r="D27" i="94" s="1"/>
  <c r="B28" i="94"/>
  <c r="C28" i="94" s="1"/>
  <c r="C27" i="93"/>
  <c r="D27" i="93" s="1"/>
  <c r="B28" i="93"/>
  <c r="C28" i="93" s="1"/>
  <c r="D28" i="93" s="1"/>
  <c r="C27" i="92"/>
  <c r="D27" i="92" s="1"/>
  <c r="B28" i="92"/>
  <c r="C28" i="92" s="1"/>
  <c r="C27" i="91"/>
  <c r="D27" i="91" s="1"/>
  <c r="B28" i="91"/>
  <c r="C28" i="91" s="1"/>
  <c r="C27" i="90"/>
  <c r="B28" i="90"/>
  <c r="C28" i="90" s="1"/>
  <c r="C27" i="88"/>
  <c r="D27" i="88" s="1"/>
  <c r="B28" i="88"/>
  <c r="C28" i="88" s="1"/>
  <c r="D28" i="88" s="1"/>
  <c r="C27" i="87"/>
  <c r="D27" i="87" s="1"/>
  <c r="B28" i="87"/>
  <c r="C28" i="87" s="1"/>
  <c r="C51" i="80"/>
  <c r="D51" i="80" s="1"/>
  <c r="B52" i="80"/>
  <c r="C52" i="80" s="1"/>
  <c r="D52" i="80" s="1"/>
  <c r="C39" i="80"/>
  <c r="D39" i="80" s="1"/>
  <c r="B40" i="80"/>
  <c r="C40" i="80" s="1"/>
  <c r="D52" i="94" l="1"/>
  <c r="D52" i="90"/>
  <c r="D52" i="93"/>
  <c r="D28" i="89"/>
  <c r="C36" i="112"/>
  <c r="C36" i="111"/>
  <c r="C36" i="110"/>
  <c r="C36" i="109"/>
  <c r="C36" i="108"/>
  <c r="C36" i="107"/>
  <c r="D40" i="80"/>
  <c r="D28" i="94"/>
  <c r="D52" i="88"/>
  <c r="D52" i="92"/>
  <c r="D52" i="99"/>
  <c r="B36" i="106"/>
  <c r="D35" i="106"/>
  <c r="C52" i="105"/>
  <c r="D52" i="105" s="1"/>
  <c r="B36" i="105"/>
  <c r="D35" i="105"/>
  <c r="C52" i="104"/>
  <c r="D52" i="104" s="1"/>
  <c r="B37" i="104"/>
  <c r="D36" i="104"/>
  <c r="C52" i="103"/>
  <c r="D52" i="103" s="1"/>
  <c r="B36" i="103"/>
  <c r="D35" i="103"/>
  <c r="B36" i="102"/>
  <c r="D35" i="102"/>
  <c r="C52" i="102"/>
  <c r="D52" i="102" s="1"/>
  <c r="B36" i="101"/>
  <c r="D35" i="101"/>
  <c r="C28" i="101"/>
  <c r="D28" i="101" s="1"/>
  <c r="C52" i="100"/>
  <c r="D52" i="100" s="1"/>
  <c r="B36" i="100"/>
  <c r="D35" i="100"/>
  <c r="D52" i="89"/>
  <c r="D52" i="91"/>
  <c r="D51" i="91"/>
  <c r="D52" i="87"/>
  <c r="B38" i="92"/>
  <c r="C38" i="92" s="1"/>
  <c r="D37" i="92"/>
  <c r="D28" i="90"/>
  <c r="D28" i="91"/>
  <c r="D28" i="87"/>
  <c r="D28" i="92"/>
  <c r="D27" i="90"/>
  <c r="B37" i="112" l="1"/>
  <c r="D36" i="112"/>
  <c r="B37" i="111"/>
  <c r="D36" i="111"/>
  <c r="B37" i="110"/>
  <c r="D36" i="110"/>
  <c r="B37" i="109"/>
  <c r="D36" i="109"/>
  <c r="B37" i="108"/>
  <c r="D36" i="108"/>
  <c r="B37" i="107"/>
  <c r="D36" i="107"/>
  <c r="C36" i="106"/>
  <c r="C36" i="105"/>
  <c r="C37" i="104"/>
  <c r="C36" i="103"/>
  <c r="C36" i="102"/>
  <c r="C36" i="101"/>
  <c r="C36" i="100"/>
  <c r="B39" i="92"/>
  <c r="C39" i="92" s="1"/>
  <c r="B40" i="92" s="1"/>
  <c r="C40" i="92" s="1"/>
  <c r="D40" i="92" s="1"/>
  <c r="D38" i="92"/>
  <c r="C37" i="112" l="1"/>
  <c r="C37" i="111"/>
  <c r="C37" i="110"/>
  <c r="C37" i="109"/>
  <c r="C37" i="108"/>
  <c r="C37" i="107"/>
  <c r="B37" i="106"/>
  <c r="D36" i="106"/>
  <c r="B37" i="105"/>
  <c r="D36" i="105"/>
  <c r="B38" i="104"/>
  <c r="D37" i="104"/>
  <c r="B37" i="103"/>
  <c r="D36" i="103"/>
  <c r="B37" i="102"/>
  <c r="D36" i="102"/>
  <c r="B37" i="101"/>
  <c r="D36" i="101"/>
  <c r="B37" i="100"/>
  <c r="D36" i="100"/>
  <c r="D39" i="92"/>
  <c r="B38" i="112" l="1"/>
  <c r="D37" i="112"/>
  <c r="B38" i="111"/>
  <c r="D37" i="111"/>
  <c r="B38" i="110"/>
  <c r="D37" i="110"/>
  <c r="B38" i="109"/>
  <c r="D37" i="109"/>
  <c r="B38" i="108"/>
  <c r="D37" i="108"/>
  <c r="B38" i="107"/>
  <c r="D37" i="107"/>
  <c r="C37" i="106"/>
  <c r="C37" i="105"/>
  <c r="C38" i="104"/>
  <c r="C37" i="103"/>
  <c r="C37" i="102"/>
  <c r="C37" i="101"/>
  <c r="C37" i="100"/>
  <c r="X38" i="97"/>
  <c r="X35" i="97"/>
  <c r="X36" i="97"/>
  <c r="X37" i="97"/>
  <c r="X29" i="97"/>
  <c r="X30" i="97"/>
  <c r="X31" i="97"/>
  <c r="X32" i="97"/>
  <c r="X33" i="97"/>
  <c r="X34" i="97"/>
  <c r="X3" i="97"/>
  <c r="X4" i="97"/>
  <c r="X5" i="97"/>
  <c r="X6" i="97"/>
  <c r="X7" i="97"/>
  <c r="X8" i="97"/>
  <c r="X9" i="97"/>
  <c r="X10" i="97"/>
  <c r="X11" i="97"/>
  <c r="X12" i="97"/>
  <c r="X13" i="97"/>
  <c r="X14" i="97"/>
  <c r="X15" i="97"/>
  <c r="X16" i="97"/>
  <c r="X17" i="97"/>
  <c r="X18" i="97"/>
  <c r="Y18" i="97"/>
  <c r="Z18" i="97"/>
  <c r="AA18" i="97"/>
  <c r="AB18" i="97"/>
  <c r="AC18" i="97"/>
  <c r="AD18" i="97"/>
  <c r="AE18" i="97"/>
  <c r="AF18" i="97"/>
  <c r="AG18" i="97"/>
  <c r="AH18" i="97"/>
  <c r="X19" i="97"/>
  <c r="X20" i="97"/>
  <c r="X21" i="97"/>
  <c r="X22" i="97"/>
  <c r="X23" i="97"/>
  <c r="X24" i="97"/>
  <c r="X25" i="97"/>
  <c r="X26" i="97"/>
  <c r="X27" i="97"/>
  <c r="X28" i="97"/>
  <c r="Y28" i="97"/>
  <c r="Z28" i="97"/>
  <c r="AA28" i="97"/>
  <c r="AB28" i="97"/>
  <c r="AC28" i="97"/>
  <c r="AD28" i="97"/>
  <c r="AE28" i="97"/>
  <c r="AF28" i="97"/>
  <c r="AG28" i="97"/>
  <c r="AH28" i="97"/>
  <c r="AH2" i="97"/>
  <c r="AD2" i="97"/>
  <c r="AE2" i="97"/>
  <c r="AF2" i="97"/>
  <c r="AG2" i="97"/>
  <c r="Y2" i="97"/>
  <c r="Z2" i="97"/>
  <c r="AA2" i="97"/>
  <c r="AB2" i="97"/>
  <c r="AC2" i="97"/>
  <c r="X2" i="97"/>
  <c r="C38" i="112" l="1"/>
  <c r="C38" i="111"/>
  <c r="C38" i="110"/>
  <c r="C38" i="109"/>
  <c r="C38" i="108"/>
  <c r="C38" i="107"/>
  <c r="B38" i="106"/>
  <c r="D37" i="106"/>
  <c r="B38" i="105"/>
  <c r="D37" i="105"/>
  <c r="B39" i="104"/>
  <c r="D38" i="104"/>
  <c r="B38" i="103"/>
  <c r="D37" i="103"/>
  <c r="B38" i="102"/>
  <c r="D37" i="102"/>
  <c r="B38" i="101"/>
  <c r="D37" i="101"/>
  <c r="B38" i="100"/>
  <c r="D37" i="100"/>
  <c r="B39" i="112" l="1"/>
  <c r="D38" i="112"/>
  <c r="B39" i="111"/>
  <c r="D38" i="111"/>
  <c r="B39" i="110"/>
  <c r="D38" i="110"/>
  <c r="B39" i="109"/>
  <c r="D38" i="109"/>
  <c r="B39" i="108"/>
  <c r="D38" i="108"/>
  <c r="B39" i="107"/>
  <c r="D38" i="107"/>
  <c r="C38" i="106"/>
  <c r="C38" i="105"/>
  <c r="C39" i="104"/>
  <c r="C38" i="103"/>
  <c r="C38" i="102"/>
  <c r="C38" i="101"/>
  <c r="C38" i="100"/>
  <c r="C39" i="112" l="1"/>
  <c r="C39" i="111"/>
  <c r="C39" i="110"/>
  <c r="C39" i="109"/>
  <c r="C39" i="108"/>
  <c r="C39" i="107"/>
  <c r="B39" i="106"/>
  <c r="D38" i="106"/>
  <c r="B39" i="105"/>
  <c r="D38" i="105"/>
  <c r="B40" i="104"/>
  <c r="D39" i="104"/>
  <c r="B39" i="103"/>
  <c r="D38" i="103"/>
  <c r="B39" i="102"/>
  <c r="D38" i="102"/>
  <c r="B39" i="101"/>
  <c r="D38" i="101"/>
  <c r="B39" i="100"/>
  <c r="D38" i="100"/>
  <c r="B40" i="112" l="1"/>
  <c r="D39" i="112"/>
  <c r="B40" i="111"/>
  <c r="D39" i="111"/>
  <c r="B40" i="110"/>
  <c r="D39" i="110"/>
  <c r="B40" i="109"/>
  <c r="D39" i="109"/>
  <c r="B40" i="108"/>
  <c r="D39" i="108"/>
  <c r="B40" i="107"/>
  <c r="D39" i="107"/>
  <c r="C39" i="106"/>
  <c r="C39" i="105"/>
  <c r="C40" i="104"/>
  <c r="D40" i="104" s="1"/>
  <c r="C39" i="103"/>
  <c r="C39" i="102"/>
  <c r="C39" i="101"/>
  <c r="C39" i="100"/>
  <c r="C40" i="112" l="1"/>
  <c r="D40" i="112" s="1"/>
  <c r="C40" i="111"/>
  <c r="D40" i="111" s="1"/>
  <c r="C40" i="110"/>
  <c r="D40" i="110" s="1"/>
  <c r="C40" i="109"/>
  <c r="D40" i="109" s="1"/>
  <c r="C40" i="108"/>
  <c r="D40" i="108" s="1"/>
  <c r="C40" i="107"/>
  <c r="D40" i="107" s="1"/>
  <c r="B40" i="106"/>
  <c r="D39" i="106"/>
  <c r="B40" i="105"/>
  <c r="D39" i="105"/>
  <c r="B40" i="103"/>
  <c r="D39" i="103"/>
  <c r="B40" i="102"/>
  <c r="D39" i="102"/>
  <c r="B40" i="101"/>
  <c r="D39" i="101"/>
  <c r="B40" i="100"/>
  <c r="D39" i="100"/>
  <c r="C40" i="106" l="1"/>
  <c r="D40" i="106" s="1"/>
  <c r="C40" i="105"/>
  <c r="D40" i="105" s="1"/>
  <c r="C40" i="103"/>
  <c r="D40" i="103" s="1"/>
  <c r="C40" i="102"/>
  <c r="D40" i="102" s="1"/>
  <c r="C40" i="101"/>
  <c r="D40" i="101" s="1"/>
  <c r="C40" i="100"/>
  <c r="D40" i="100" s="1"/>
  <c r="C2" i="97"/>
  <c r="D2" i="97"/>
  <c r="E2" i="97"/>
  <c r="F2" i="97"/>
  <c r="G2" i="97"/>
  <c r="H2" i="97"/>
  <c r="I2" i="97"/>
  <c r="J2" i="97"/>
  <c r="K2" i="97"/>
  <c r="A31" i="97"/>
  <c r="A30" i="97"/>
  <c r="A17" i="97"/>
  <c r="A18" i="97"/>
  <c r="A19" i="97"/>
  <c r="A20" i="97"/>
  <c r="A21" i="97"/>
  <c r="B21" i="97"/>
  <c r="C21" i="97"/>
  <c r="D21" i="97"/>
  <c r="E21" i="97"/>
  <c r="F21" i="97"/>
  <c r="G21" i="97"/>
  <c r="H21" i="97"/>
  <c r="I21" i="97"/>
  <c r="J21" i="97"/>
  <c r="K21" i="97"/>
  <c r="A22" i="97"/>
  <c r="A23" i="97"/>
  <c r="A24" i="97"/>
  <c r="A25" i="97"/>
  <c r="A26" i="97"/>
  <c r="A27" i="97"/>
  <c r="A28" i="97"/>
  <c r="A29" i="97"/>
  <c r="H13" i="97"/>
  <c r="I13" i="97"/>
  <c r="J13" i="97"/>
  <c r="K13" i="97"/>
  <c r="A2" i="97"/>
  <c r="B2" i="97"/>
  <c r="A3" i="97"/>
  <c r="A4" i="97"/>
  <c r="A5" i="97"/>
  <c r="A6" i="97"/>
  <c r="A7" i="97"/>
  <c r="A8" i="97"/>
  <c r="A9" i="97"/>
  <c r="A10" i="97"/>
  <c r="A11" i="97"/>
  <c r="A12" i="97"/>
  <c r="A13" i="97"/>
  <c r="B13" i="97"/>
  <c r="C13" i="97"/>
  <c r="D13" i="97"/>
  <c r="E13" i="97"/>
  <c r="F13" i="97"/>
  <c r="G13" i="97"/>
  <c r="A14" i="97"/>
  <c r="A15" i="97"/>
  <c r="A16" i="97"/>
  <c r="A1" i="97"/>
  <c r="D45" i="24" l="1"/>
  <c r="D58" i="24"/>
  <c r="E45" i="24"/>
  <c r="F45" i="24"/>
  <c r="G45" i="24"/>
  <c r="H45" i="24"/>
  <c r="I45" i="24"/>
  <c r="J45" i="24"/>
  <c r="K45" i="24"/>
  <c r="C46" i="24"/>
  <c r="E46" i="24"/>
  <c r="F46" i="24"/>
  <c r="G46" i="24"/>
  <c r="H46" i="24"/>
  <c r="I46" i="24"/>
  <c r="J46" i="24"/>
  <c r="K46" i="24"/>
  <c r="C47" i="24"/>
  <c r="D47" i="24"/>
  <c r="F47" i="24"/>
  <c r="G47" i="24"/>
  <c r="H47" i="24"/>
  <c r="I47" i="24"/>
  <c r="J47" i="24"/>
  <c r="K47" i="24"/>
  <c r="C48" i="24"/>
  <c r="D48" i="24"/>
  <c r="E48" i="24"/>
  <c r="G48" i="24"/>
  <c r="H48" i="24"/>
  <c r="I48" i="24"/>
  <c r="J48" i="24"/>
  <c r="K48" i="24"/>
  <c r="C49" i="24"/>
  <c r="D49" i="24"/>
  <c r="E49" i="24"/>
  <c r="F49" i="24"/>
  <c r="H49" i="24"/>
  <c r="I49" i="24"/>
  <c r="J49" i="24"/>
  <c r="K49" i="24"/>
  <c r="C50" i="24"/>
  <c r="D50" i="24"/>
  <c r="E50" i="24"/>
  <c r="F50" i="24"/>
  <c r="G50" i="24"/>
  <c r="I50" i="24"/>
  <c r="J50" i="24"/>
  <c r="K50" i="24"/>
  <c r="C51" i="24"/>
  <c r="D51" i="24"/>
  <c r="E51" i="24"/>
  <c r="F51" i="24"/>
  <c r="G51" i="24"/>
  <c r="H51" i="24"/>
  <c r="J51" i="24"/>
  <c r="K51" i="24"/>
  <c r="C52" i="24"/>
  <c r="D52" i="24"/>
  <c r="E52" i="24"/>
  <c r="F52" i="24"/>
  <c r="G52" i="24"/>
  <c r="H52" i="24"/>
  <c r="I52" i="24"/>
  <c r="K52" i="24"/>
  <c r="C53" i="24"/>
  <c r="D53" i="24"/>
  <c r="E53" i="24"/>
  <c r="F53" i="24"/>
  <c r="G53" i="24"/>
  <c r="H53" i="24"/>
  <c r="I53" i="24"/>
  <c r="J53" i="24"/>
  <c r="E58" i="24"/>
  <c r="F58" i="24"/>
  <c r="G58" i="24"/>
  <c r="H58" i="24"/>
  <c r="I58" i="24"/>
  <c r="J58" i="24"/>
  <c r="K58" i="24"/>
  <c r="C59" i="24"/>
  <c r="E59" i="24"/>
  <c r="F59" i="24"/>
  <c r="G59" i="24"/>
  <c r="H59" i="24"/>
  <c r="I59" i="24"/>
  <c r="J59" i="24"/>
  <c r="K59" i="24"/>
  <c r="C60" i="24"/>
  <c r="D60" i="24"/>
  <c r="F60" i="24"/>
  <c r="G60" i="24"/>
  <c r="H60" i="24"/>
  <c r="I60" i="24"/>
  <c r="J60" i="24"/>
  <c r="K60" i="24"/>
  <c r="C61" i="24"/>
  <c r="D61" i="24"/>
  <c r="E61" i="24"/>
  <c r="G61" i="24"/>
  <c r="H61" i="24"/>
  <c r="I61" i="24"/>
  <c r="J61" i="24"/>
  <c r="K61" i="24"/>
  <c r="C62" i="24"/>
  <c r="D62" i="24"/>
  <c r="E62" i="24"/>
  <c r="F62" i="24"/>
  <c r="H62" i="24"/>
  <c r="I62" i="24"/>
  <c r="J62" i="24"/>
  <c r="K62" i="24"/>
  <c r="C63" i="24"/>
  <c r="D63" i="24"/>
  <c r="E63" i="24"/>
  <c r="F63" i="24"/>
  <c r="G63" i="24"/>
  <c r="I63" i="24"/>
  <c r="J63" i="24"/>
  <c r="K63" i="24"/>
  <c r="C64" i="24"/>
  <c r="D64" i="24"/>
  <c r="E64" i="24"/>
  <c r="F64" i="24"/>
  <c r="G64" i="24"/>
  <c r="H64" i="24"/>
  <c r="J64" i="24"/>
  <c r="K64" i="24"/>
  <c r="C84" i="24" s="1"/>
  <c r="B16" i="24" s="1"/>
  <c r="C65" i="24"/>
  <c r="D65" i="24"/>
  <c r="E65" i="24"/>
  <c r="F65" i="24"/>
  <c r="G65" i="24"/>
  <c r="H65" i="24"/>
  <c r="I65" i="24"/>
  <c r="K65" i="24"/>
  <c r="C66" i="24"/>
  <c r="D66" i="24"/>
  <c r="E66" i="24"/>
  <c r="F66" i="24"/>
  <c r="G66" i="24"/>
  <c r="H66" i="24"/>
  <c r="I66" i="24"/>
  <c r="J66" i="24"/>
  <c r="B22" i="15"/>
  <c r="B23" i="15"/>
  <c r="O23" i="15" s="1"/>
  <c r="B24" i="15"/>
  <c r="O24" i="15" s="1"/>
  <c r="B25" i="15"/>
  <c r="O25" i="15" s="1"/>
  <c r="B26" i="15"/>
  <c r="B27" i="15"/>
  <c r="B28" i="15"/>
  <c r="B29" i="15"/>
  <c r="O29" i="15" s="1"/>
  <c r="B30" i="15"/>
  <c r="O30" i="15" s="1"/>
  <c r="B31" i="15"/>
  <c r="O31" i="15" s="1"/>
  <c r="H24" i="12"/>
  <c r="W14" i="12"/>
  <c r="Q14" i="12" s="1"/>
  <c r="P14" i="12" s="1"/>
  <c r="M44" i="12" s="1"/>
  <c r="H25" i="12"/>
  <c r="Q15" i="12"/>
  <c r="P15" i="12" s="1"/>
  <c r="H26" i="12"/>
  <c r="Q16" i="12"/>
  <c r="P16" i="12" s="1"/>
  <c r="H27" i="12"/>
  <c r="Q17" i="12"/>
  <c r="P17" i="12" s="1"/>
  <c r="H28" i="12"/>
  <c r="Q18" i="12"/>
  <c r="Q28" i="12" s="1"/>
  <c r="H29" i="12"/>
  <c r="Q19" i="12"/>
  <c r="C22" i="15"/>
  <c r="P22" i="15" s="1"/>
  <c r="C23" i="15"/>
  <c r="P23" i="15" s="1"/>
  <c r="C24" i="15"/>
  <c r="C25" i="15"/>
  <c r="C26" i="15"/>
  <c r="P26" i="15" s="1"/>
  <c r="C27" i="15"/>
  <c r="P27" i="15" s="1"/>
  <c r="C28" i="15"/>
  <c r="C29" i="15"/>
  <c r="C30" i="15"/>
  <c r="P30" i="15" s="1"/>
  <c r="C31" i="15"/>
  <c r="P31" i="15" s="1"/>
  <c r="D22" i="15"/>
  <c r="D23" i="15"/>
  <c r="Q23" i="15" s="1"/>
  <c r="D24" i="15"/>
  <c r="Q24" i="15" s="1"/>
  <c r="D25" i="15"/>
  <c r="Q25" i="15" s="1"/>
  <c r="D26" i="15"/>
  <c r="D27" i="15"/>
  <c r="D28" i="15"/>
  <c r="D29" i="15"/>
  <c r="Q29" i="15" s="1"/>
  <c r="D30" i="15"/>
  <c r="Q30" i="15" s="1"/>
  <c r="D31" i="15"/>
  <c r="Q31" i="15" s="1"/>
  <c r="E22" i="15"/>
  <c r="R22" i="15" s="1"/>
  <c r="E23" i="15"/>
  <c r="R23" i="15" s="1"/>
  <c r="E24" i="15"/>
  <c r="E25" i="15"/>
  <c r="E26" i="15"/>
  <c r="R26" i="15" s="1"/>
  <c r="E27" i="15"/>
  <c r="R27" i="15" s="1"/>
  <c r="E28" i="15"/>
  <c r="E29" i="15"/>
  <c r="E30" i="15"/>
  <c r="R30" i="15" s="1"/>
  <c r="E31" i="15"/>
  <c r="R31" i="15" s="1"/>
  <c r="F22" i="15"/>
  <c r="F23" i="15"/>
  <c r="S23" i="15" s="1"/>
  <c r="F24" i="15"/>
  <c r="S24" i="15" s="1"/>
  <c r="F25" i="15"/>
  <c r="S25" i="15" s="1"/>
  <c r="S25" i="18" s="1"/>
  <c r="F26" i="15"/>
  <c r="F27" i="15"/>
  <c r="F28" i="15"/>
  <c r="F29" i="15"/>
  <c r="S29" i="15" s="1"/>
  <c r="F30" i="15"/>
  <c r="S30" i="15" s="1"/>
  <c r="F31" i="15"/>
  <c r="G22" i="15"/>
  <c r="T22" i="15" s="1"/>
  <c r="G23" i="15"/>
  <c r="T23" i="15" s="1"/>
  <c r="G24" i="15"/>
  <c r="G25" i="15"/>
  <c r="G26" i="15"/>
  <c r="T26" i="15" s="1"/>
  <c r="G27" i="15"/>
  <c r="T27" i="15" s="1"/>
  <c r="G28" i="15"/>
  <c r="G29" i="15"/>
  <c r="G30" i="15"/>
  <c r="T30" i="15" s="1"/>
  <c r="G31" i="15"/>
  <c r="H22" i="15"/>
  <c r="H23" i="15"/>
  <c r="U23" i="15" s="1"/>
  <c r="H24" i="15"/>
  <c r="U24" i="15" s="1"/>
  <c r="H25" i="15"/>
  <c r="U25" i="15" s="1"/>
  <c r="H26" i="15"/>
  <c r="H27" i="15"/>
  <c r="H28" i="15"/>
  <c r="H29" i="15"/>
  <c r="U29" i="15" s="1"/>
  <c r="H30" i="15"/>
  <c r="U30" i="15" s="1"/>
  <c r="H31" i="15"/>
  <c r="U31" i="15" s="1"/>
  <c r="I22" i="15"/>
  <c r="I23" i="15"/>
  <c r="V23" i="15" s="1"/>
  <c r="I24" i="15"/>
  <c r="I25" i="15"/>
  <c r="I26" i="15"/>
  <c r="I27" i="15"/>
  <c r="V27" i="15" s="1"/>
  <c r="I28" i="15"/>
  <c r="V28" i="15" s="1"/>
  <c r="I29" i="15"/>
  <c r="V29" i="15" s="1"/>
  <c r="I30" i="15"/>
  <c r="V30" i="15" s="1"/>
  <c r="I31" i="15"/>
  <c r="V31" i="15" s="1"/>
  <c r="J22" i="15"/>
  <c r="W22" i="15" s="1"/>
  <c r="J23" i="15"/>
  <c r="W23" i="15" s="1"/>
  <c r="J24" i="15"/>
  <c r="W24" i="15" s="1"/>
  <c r="J25" i="15"/>
  <c r="W25" i="15" s="1"/>
  <c r="J26" i="15"/>
  <c r="J27" i="15"/>
  <c r="J28" i="15"/>
  <c r="J29" i="15"/>
  <c r="W29" i="15" s="1"/>
  <c r="J30" i="15"/>
  <c r="W30" i="15" s="1"/>
  <c r="J31" i="15"/>
  <c r="W31" i="15" s="1"/>
  <c r="K22" i="15"/>
  <c r="K23" i="15"/>
  <c r="X23" i="15" s="1"/>
  <c r="K24" i="15"/>
  <c r="K25" i="15"/>
  <c r="K26" i="15"/>
  <c r="K27" i="15"/>
  <c r="X27" i="15" s="1"/>
  <c r="K28" i="15"/>
  <c r="X28" i="15" s="1"/>
  <c r="K29" i="15"/>
  <c r="X29" i="15" s="1"/>
  <c r="K30" i="15"/>
  <c r="K31" i="15"/>
  <c r="X31" i="15" s="1"/>
  <c r="B19" i="24"/>
  <c r="C19" i="24"/>
  <c r="D19" i="24"/>
  <c r="E19" i="24"/>
  <c r="F19" i="24"/>
  <c r="G19" i="24"/>
  <c r="H19" i="24"/>
  <c r="I19" i="24"/>
  <c r="J19" i="24"/>
  <c r="K19" i="24"/>
  <c r="B20" i="24"/>
  <c r="C20" i="24"/>
  <c r="D20" i="24"/>
  <c r="E20" i="24"/>
  <c r="F20" i="24"/>
  <c r="G20" i="24"/>
  <c r="H20" i="24"/>
  <c r="I20" i="24"/>
  <c r="J20" i="24"/>
  <c r="K20" i="24"/>
  <c r="B21" i="24"/>
  <c r="C21" i="24"/>
  <c r="D21" i="24"/>
  <c r="E21" i="24"/>
  <c r="F21" i="24"/>
  <c r="G21" i="24"/>
  <c r="H21" i="24"/>
  <c r="I21" i="24"/>
  <c r="J21" i="24"/>
  <c r="K21" i="24"/>
  <c r="B22" i="24"/>
  <c r="C22" i="24"/>
  <c r="D22" i="24"/>
  <c r="E22" i="24"/>
  <c r="F22" i="24"/>
  <c r="G22" i="24"/>
  <c r="H22" i="24"/>
  <c r="I22" i="24"/>
  <c r="J22" i="24"/>
  <c r="K22" i="24"/>
  <c r="B23" i="24"/>
  <c r="C23" i="24"/>
  <c r="D23" i="24"/>
  <c r="E23" i="24"/>
  <c r="F23" i="24"/>
  <c r="G23" i="24"/>
  <c r="H23" i="24"/>
  <c r="I23" i="24"/>
  <c r="J23" i="24"/>
  <c r="K23" i="24"/>
  <c r="B24" i="24"/>
  <c r="C24" i="24"/>
  <c r="D24" i="24"/>
  <c r="E24" i="24"/>
  <c r="F24" i="24"/>
  <c r="G24" i="24"/>
  <c r="H24" i="24"/>
  <c r="I24" i="24"/>
  <c r="J24" i="24"/>
  <c r="K24" i="24"/>
  <c r="B25" i="24"/>
  <c r="C25" i="24"/>
  <c r="D25" i="24"/>
  <c r="E25" i="24"/>
  <c r="F25" i="24"/>
  <c r="G25" i="24"/>
  <c r="H25" i="24"/>
  <c r="I25" i="24"/>
  <c r="J25" i="24"/>
  <c r="K25" i="24"/>
  <c r="B26" i="24"/>
  <c r="C26" i="24"/>
  <c r="D26" i="24"/>
  <c r="E26" i="24"/>
  <c r="F26" i="24"/>
  <c r="G26" i="24"/>
  <c r="H26" i="24"/>
  <c r="I26" i="24"/>
  <c r="J26" i="24"/>
  <c r="K26" i="24"/>
  <c r="B27" i="24"/>
  <c r="B27" i="25"/>
  <c r="Y27" i="97" s="1"/>
  <c r="C27" i="24"/>
  <c r="C27" i="25"/>
  <c r="Z27" i="97" s="1"/>
  <c r="D27" i="24"/>
  <c r="D27" i="25"/>
  <c r="AA27" i="97" s="1"/>
  <c r="E27" i="24"/>
  <c r="E27" i="25"/>
  <c r="AB27" i="97" s="1"/>
  <c r="F27" i="24"/>
  <c r="F27" i="25"/>
  <c r="AC27" i="97" s="1"/>
  <c r="G27" i="24"/>
  <c r="G27" i="25"/>
  <c r="AD27" i="97" s="1"/>
  <c r="H27" i="24"/>
  <c r="H27" i="25"/>
  <c r="AE27" i="97" s="1"/>
  <c r="I27" i="24"/>
  <c r="I27" i="25"/>
  <c r="AF27" i="97" s="1"/>
  <c r="J27" i="24"/>
  <c r="J27" i="25"/>
  <c r="AG27" i="97" s="1"/>
  <c r="K27" i="24"/>
  <c r="K27" i="25"/>
  <c r="AH27" i="97" s="1"/>
  <c r="B29" i="24"/>
  <c r="C29" i="24"/>
  <c r="D29" i="24"/>
  <c r="E29" i="24"/>
  <c r="F29" i="24"/>
  <c r="G29" i="24"/>
  <c r="H29" i="24"/>
  <c r="I29" i="24"/>
  <c r="J29" i="24"/>
  <c r="K29" i="24"/>
  <c r="B30" i="24"/>
  <c r="C30" i="24"/>
  <c r="D30" i="24"/>
  <c r="E30" i="24"/>
  <c r="F30" i="24"/>
  <c r="G30" i="24"/>
  <c r="H30" i="24"/>
  <c r="I30" i="24"/>
  <c r="J30" i="24"/>
  <c r="K30" i="24"/>
  <c r="B31" i="24"/>
  <c r="C31" i="24"/>
  <c r="D31" i="24"/>
  <c r="E31" i="24"/>
  <c r="F31" i="24"/>
  <c r="G31" i="24"/>
  <c r="H31" i="24"/>
  <c r="I31" i="24"/>
  <c r="J31" i="24"/>
  <c r="K31" i="24"/>
  <c r="B32" i="24"/>
  <c r="C32" i="24"/>
  <c r="D32" i="24"/>
  <c r="E32" i="24"/>
  <c r="F32" i="24"/>
  <c r="G32" i="24"/>
  <c r="H32" i="24"/>
  <c r="I32" i="24"/>
  <c r="J32" i="24"/>
  <c r="K32" i="24"/>
  <c r="B33" i="24"/>
  <c r="C33" i="24"/>
  <c r="D33" i="24"/>
  <c r="E33" i="24"/>
  <c r="F33" i="24"/>
  <c r="G33" i="24"/>
  <c r="H33" i="24"/>
  <c r="I33" i="24"/>
  <c r="J33" i="24"/>
  <c r="K33" i="24"/>
  <c r="B34" i="24"/>
  <c r="C34" i="24"/>
  <c r="D34" i="24"/>
  <c r="E34" i="24"/>
  <c r="F34" i="24"/>
  <c r="G34" i="24"/>
  <c r="H34" i="24"/>
  <c r="I34" i="24"/>
  <c r="J34" i="24"/>
  <c r="K34" i="24"/>
  <c r="B35" i="24"/>
  <c r="C35" i="24"/>
  <c r="D35" i="24"/>
  <c r="E35" i="24"/>
  <c r="F35" i="24"/>
  <c r="G35" i="24"/>
  <c r="H35" i="24"/>
  <c r="I35" i="24"/>
  <c r="J35" i="24"/>
  <c r="K35" i="24"/>
  <c r="B36" i="24"/>
  <c r="C36" i="24"/>
  <c r="D36" i="24"/>
  <c r="E36" i="24"/>
  <c r="F36" i="24"/>
  <c r="G36" i="24"/>
  <c r="H36" i="24"/>
  <c r="I36" i="24"/>
  <c r="J36" i="24"/>
  <c r="K36" i="24"/>
  <c r="B37" i="24"/>
  <c r="C37" i="24"/>
  <c r="D37" i="24"/>
  <c r="E37" i="24"/>
  <c r="F37" i="24"/>
  <c r="G37" i="24"/>
  <c r="H37" i="24"/>
  <c r="I37" i="24"/>
  <c r="J37" i="24"/>
  <c r="K37" i="24"/>
  <c r="B38" i="24"/>
  <c r="C38" i="24"/>
  <c r="D38" i="24"/>
  <c r="E38" i="24"/>
  <c r="F38" i="24"/>
  <c r="G38" i="24"/>
  <c r="H38" i="24"/>
  <c r="I38" i="24"/>
  <c r="J38" i="24"/>
  <c r="K38" i="24"/>
  <c r="J33" i="12"/>
  <c r="C1" i="28" s="1"/>
  <c r="C40" i="24"/>
  <c r="H44" i="26"/>
  <c r="H45" i="26"/>
  <c r="K17" i="33"/>
  <c r="J18" i="33"/>
  <c r="I19" i="33"/>
  <c r="H20" i="33"/>
  <c r="C17" i="33"/>
  <c r="D17" i="33"/>
  <c r="E17" i="33"/>
  <c r="F17" i="33"/>
  <c r="G17" i="33"/>
  <c r="H17" i="33"/>
  <c r="I17" i="33"/>
  <c r="J17" i="33"/>
  <c r="C18" i="33"/>
  <c r="D18" i="33"/>
  <c r="E18" i="33"/>
  <c r="F18" i="33"/>
  <c r="G18" i="33"/>
  <c r="H18" i="33"/>
  <c r="I18" i="33"/>
  <c r="K18" i="33"/>
  <c r="C19" i="33"/>
  <c r="D19" i="33"/>
  <c r="E19" i="33"/>
  <c r="F19" i="33"/>
  <c r="G19" i="33"/>
  <c r="H19" i="33"/>
  <c r="J19" i="33"/>
  <c r="K19" i="33"/>
  <c r="C20" i="33"/>
  <c r="D20" i="33"/>
  <c r="E20" i="33"/>
  <c r="F20" i="33"/>
  <c r="G20" i="33"/>
  <c r="I20" i="33"/>
  <c r="J20" i="33"/>
  <c r="K20" i="33"/>
  <c r="C21" i="33"/>
  <c r="D21" i="33"/>
  <c r="E21" i="33"/>
  <c r="F21" i="33"/>
  <c r="G21" i="33"/>
  <c r="H21" i="33"/>
  <c r="I21" i="33"/>
  <c r="J21" i="33"/>
  <c r="K21" i="33"/>
  <c r="C22" i="33"/>
  <c r="D22" i="33"/>
  <c r="E22" i="33"/>
  <c r="F22" i="33"/>
  <c r="G22" i="33"/>
  <c r="H22" i="33"/>
  <c r="I22" i="33"/>
  <c r="J22" i="33"/>
  <c r="K22" i="33"/>
  <c r="C23" i="33"/>
  <c r="D23" i="33"/>
  <c r="E23" i="33"/>
  <c r="F23" i="33"/>
  <c r="G23" i="33"/>
  <c r="H23" i="33"/>
  <c r="I23" i="33"/>
  <c r="J23" i="33"/>
  <c r="K23" i="33"/>
  <c r="C24" i="33"/>
  <c r="D24" i="33"/>
  <c r="E24" i="33"/>
  <c r="F24" i="33"/>
  <c r="G24" i="33"/>
  <c r="H24" i="33"/>
  <c r="I24" i="33"/>
  <c r="J24" i="33"/>
  <c r="K24" i="33"/>
  <c r="C25" i="33"/>
  <c r="D25" i="33"/>
  <c r="E25" i="33"/>
  <c r="F25" i="33"/>
  <c r="G25" i="33"/>
  <c r="H25" i="33"/>
  <c r="I25" i="33"/>
  <c r="J25" i="33"/>
  <c r="K25" i="33"/>
  <c r="C4" i="33"/>
  <c r="D4" i="33"/>
  <c r="E4" i="33"/>
  <c r="F4" i="33"/>
  <c r="G4" i="33"/>
  <c r="H4" i="33"/>
  <c r="I4" i="33"/>
  <c r="J4" i="33"/>
  <c r="K4" i="33"/>
  <c r="C5" i="33"/>
  <c r="D5" i="33"/>
  <c r="E5" i="33"/>
  <c r="F5" i="33"/>
  <c r="G5" i="33"/>
  <c r="H5" i="33"/>
  <c r="I5" i="33"/>
  <c r="J5" i="33"/>
  <c r="K5" i="33"/>
  <c r="C6" i="33"/>
  <c r="D6" i="33"/>
  <c r="E6" i="33"/>
  <c r="F6" i="33"/>
  <c r="G6" i="33"/>
  <c r="H6" i="33"/>
  <c r="I6" i="33"/>
  <c r="J6" i="33"/>
  <c r="K6" i="33"/>
  <c r="C7" i="33"/>
  <c r="D7" i="33"/>
  <c r="E7" i="33"/>
  <c r="F7" i="33"/>
  <c r="G7" i="33"/>
  <c r="H7" i="33"/>
  <c r="I7" i="33"/>
  <c r="J7" i="33"/>
  <c r="K7" i="33"/>
  <c r="C8" i="33"/>
  <c r="D8" i="33"/>
  <c r="E8" i="33"/>
  <c r="F8" i="33"/>
  <c r="G8" i="33"/>
  <c r="H8" i="33"/>
  <c r="I8" i="33"/>
  <c r="J8" i="33"/>
  <c r="K8" i="33"/>
  <c r="C9" i="33"/>
  <c r="D9" i="33"/>
  <c r="E9" i="33"/>
  <c r="F9" i="33"/>
  <c r="G9" i="33"/>
  <c r="H9" i="33"/>
  <c r="I9" i="33"/>
  <c r="J9" i="33"/>
  <c r="K9" i="33"/>
  <c r="C10" i="33"/>
  <c r="D10" i="33"/>
  <c r="E10" i="33"/>
  <c r="F10" i="33"/>
  <c r="G10" i="33"/>
  <c r="H10" i="33"/>
  <c r="I10" i="33"/>
  <c r="J10" i="33"/>
  <c r="K10" i="33"/>
  <c r="C11" i="33"/>
  <c r="D11" i="33"/>
  <c r="E11" i="33"/>
  <c r="F11" i="33"/>
  <c r="G11" i="33"/>
  <c r="H11" i="33"/>
  <c r="I11" i="33"/>
  <c r="J11" i="33"/>
  <c r="K11" i="33"/>
  <c r="C12" i="33"/>
  <c r="D12" i="33"/>
  <c r="E12" i="33"/>
  <c r="F12" i="33"/>
  <c r="G12" i="33"/>
  <c r="H12" i="33"/>
  <c r="I12" i="33"/>
  <c r="J12" i="33"/>
  <c r="K12" i="33"/>
  <c r="Y43" i="33"/>
  <c r="Z43" i="33"/>
  <c r="AA43" i="33"/>
  <c r="AB43" i="33"/>
  <c r="L21" i="33"/>
  <c r="G26" i="33"/>
  <c r="L4" i="33"/>
  <c r="L5" i="33"/>
  <c r="L6" i="33"/>
  <c r="L7" i="33"/>
  <c r="L8" i="33"/>
  <c r="L9" i="33"/>
  <c r="L10" i="33"/>
  <c r="L11" i="33"/>
  <c r="L12" i="33"/>
  <c r="L13" i="33"/>
  <c r="L17" i="33"/>
  <c r="L18" i="33"/>
  <c r="L19" i="33"/>
  <c r="L20" i="33"/>
  <c r="L22" i="33"/>
  <c r="L23" i="33"/>
  <c r="L24" i="33"/>
  <c r="L25" i="33"/>
  <c r="L26" i="33"/>
  <c r="C13" i="33"/>
  <c r="D13" i="33"/>
  <c r="E13" i="33"/>
  <c r="F13" i="33"/>
  <c r="G13" i="33"/>
  <c r="H13" i="33"/>
  <c r="I13" i="33"/>
  <c r="J13" i="33"/>
  <c r="K13" i="33"/>
  <c r="C26" i="33"/>
  <c r="D26" i="33"/>
  <c r="E26" i="33"/>
  <c r="F26" i="33"/>
  <c r="H26" i="33"/>
  <c r="I26" i="33"/>
  <c r="J26" i="33"/>
  <c r="K26" i="33"/>
  <c r="S53" i="33"/>
  <c r="T53" i="33"/>
  <c r="U53" i="33"/>
  <c r="X73" i="33"/>
  <c r="Y73" i="33"/>
  <c r="Z73" i="33"/>
  <c r="AA73" i="33"/>
  <c r="AB73" i="33"/>
  <c r="R82" i="33"/>
  <c r="S82" i="33"/>
  <c r="T82" i="33"/>
  <c r="W102" i="33"/>
  <c r="X102" i="33"/>
  <c r="Y102" i="33"/>
  <c r="Z102" i="33"/>
  <c r="AA102" i="33"/>
  <c r="AB102" i="33"/>
  <c r="B2" i="34"/>
  <c r="C2" i="34" s="1"/>
  <c r="Q110" i="33"/>
  <c r="R110" i="33"/>
  <c r="S110" i="33"/>
  <c r="R114" i="33"/>
  <c r="C114" i="33"/>
  <c r="D114" i="33"/>
  <c r="E114" i="33"/>
  <c r="F114" i="33"/>
  <c r="G114" i="33"/>
  <c r="H114" i="33"/>
  <c r="I114" i="33"/>
  <c r="J114" i="33"/>
  <c r="C86" i="33"/>
  <c r="D86" i="33"/>
  <c r="E86" i="33"/>
  <c r="F86" i="33"/>
  <c r="G86" i="33"/>
  <c r="H86" i="33"/>
  <c r="I86" i="33"/>
  <c r="J86" i="33"/>
  <c r="S86" i="33"/>
  <c r="C57" i="33"/>
  <c r="D57" i="33"/>
  <c r="E57" i="33"/>
  <c r="F57" i="33"/>
  <c r="G57" i="33"/>
  <c r="H57" i="33"/>
  <c r="I57" i="33"/>
  <c r="J57" i="33"/>
  <c r="T110" i="33"/>
  <c r="W20" i="12"/>
  <c r="Q20" i="12" s="1"/>
  <c r="Q30" i="12" s="1"/>
  <c r="H30" i="12"/>
  <c r="R24" i="12"/>
  <c r="R25" i="12"/>
  <c r="R26" i="12"/>
  <c r="R27" i="12"/>
  <c r="R28" i="12"/>
  <c r="R29" i="12"/>
  <c r="R30" i="12"/>
  <c r="S24" i="12"/>
  <c r="S25" i="12"/>
  <c r="S26" i="12"/>
  <c r="S27" i="12"/>
  <c r="S28" i="12"/>
  <c r="S29" i="12"/>
  <c r="S30" i="12"/>
  <c r="T24" i="12"/>
  <c r="T25" i="12"/>
  <c r="T26" i="12"/>
  <c r="T27" i="12"/>
  <c r="T28" i="12"/>
  <c r="T29" i="12"/>
  <c r="T30" i="12"/>
  <c r="U24" i="12"/>
  <c r="U25" i="12"/>
  <c r="U26" i="12"/>
  <c r="U27" i="12"/>
  <c r="U28" i="12"/>
  <c r="U29" i="12"/>
  <c r="U30" i="12"/>
  <c r="V24" i="12"/>
  <c r="V25" i="12"/>
  <c r="V26" i="12"/>
  <c r="V27" i="12"/>
  <c r="V28" i="12"/>
  <c r="V29" i="12"/>
  <c r="V30" i="12"/>
  <c r="W25" i="12"/>
  <c r="W26" i="12"/>
  <c r="W27" i="12"/>
  <c r="W28" i="12"/>
  <c r="W29" i="12"/>
  <c r="I31" i="12"/>
  <c r="J31" i="12"/>
  <c r="K31" i="12"/>
  <c r="L31" i="12"/>
  <c r="C5" i="32"/>
  <c r="B22" i="20"/>
  <c r="B23" i="20"/>
  <c r="B24" i="20"/>
  <c r="B25" i="20"/>
  <c r="B26" i="20"/>
  <c r="B27" i="20"/>
  <c r="B28" i="20"/>
  <c r="B29" i="20"/>
  <c r="B30" i="20"/>
  <c r="B31" i="20"/>
  <c r="C22" i="20"/>
  <c r="D22" i="20"/>
  <c r="E22" i="20"/>
  <c r="F22" i="20"/>
  <c r="G22" i="20"/>
  <c r="H22" i="20"/>
  <c r="I22" i="20"/>
  <c r="J22" i="20"/>
  <c r="K22" i="20"/>
  <c r="C23" i="20"/>
  <c r="D23" i="20"/>
  <c r="E23" i="20"/>
  <c r="F23" i="20"/>
  <c r="G23" i="20"/>
  <c r="H23" i="20"/>
  <c r="I23" i="20"/>
  <c r="J23" i="20"/>
  <c r="K23" i="20"/>
  <c r="C24" i="20"/>
  <c r="D24" i="20"/>
  <c r="E24" i="20"/>
  <c r="F24" i="20"/>
  <c r="G24" i="20"/>
  <c r="H24" i="20"/>
  <c r="I24" i="20"/>
  <c r="J24" i="20"/>
  <c r="K24" i="20"/>
  <c r="C25" i="20"/>
  <c r="D25" i="20"/>
  <c r="E25" i="20"/>
  <c r="F25" i="20"/>
  <c r="G25" i="20"/>
  <c r="H25" i="20"/>
  <c r="I25" i="20"/>
  <c r="J25" i="20"/>
  <c r="K25" i="20"/>
  <c r="C26" i="20"/>
  <c r="D26" i="20"/>
  <c r="E26" i="20"/>
  <c r="F26" i="20"/>
  <c r="G26" i="20"/>
  <c r="H26" i="20"/>
  <c r="U26" i="20" s="1"/>
  <c r="I26" i="20"/>
  <c r="J26" i="20"/>
  <c r="K26" i="20"/>
  <c r="C27" i="20"/>
  <c r="D27" i="20"/>
  <c r="E27" i="20"/>
  <c r="F27" i="20"/>
  <c r="G27" i="20"/>
  <c r="H27" i="20"/>
  <c r="I27" i="20"/>
  <c r="J27" i="20"/>
  <c r="K27" i="20"/>
  <c r="C28" i="20"/>
  <c r="D28" i="20"/>
  <c r="E28" i="20"/>
  <c r="F28" i="20"/>
  <c r="G28" i="20"/>
  <c r="H28" i="20"/>
  <c r="I28" i="20"/>
  <c r="J28" i="20"/>
  <c r="K28" i="20"/>
  <c r="C29" i="20"/>
  <c r="D29" i="20"/>
  <c r="E29" i="20"/>
  <c r="F29" i="20"/>
  <c r="G29" i="20"/>
  <c r="H29" i="20"/>
  <c r="I29" i="20"/>
  <c r="J29" i="20"/>
  <c r="K29" i="20"/>
  <c r="C30" i="20"/>
  <c r="D30" i="20"/>
  <c r="E30" i="20"/>
  <c r="F30" i="20"/>
  <c r="G30" i="20"/>
  <c r="H30" i="20"/>
  <c r="I30" i="20"/>
  <c r="J30" i="20"/>
  <c r="K30" i="20"/>
  <c r="C31" i="20"/>
  <c r="D31" i="20"/>
  <c r="E31" i="20"/>
  <c r="F31" i="20"/>
  <c r="G31" i="20"/>
  <c r="H31" i="20"/>
  <c r="I31" i="20"/>
  <c r="J31" i="20"/>
  <c r="K31" i="20"/>
  <c r="B22" i="18"/>
  <c r="O22" i="15"/>
  <c r="C22" i="18"/>
  <c r="D22" i="18"/>
  <c r="Q22" i="15"/>
  <c r="E22" i="18"/>
  <c r="F22" i="18"/>
  <c r="S22" i="15"/>
  <c r="G22" i="18"/>
  <c r="H22" i="18"/>
  <c r="U22" i="15"/>
  <c r="I22" i="18"/>
  <c r="V22" i="15"/>
  <c r="J22" i="18"/>
  <c r="K22" i="18"/>
  <c r="X22" i="15"/>
  <c r="B23" i="18"/>
  <c r="C23" i="18"/>
  <c r="D23" i="18"/>
  <c r="E23" i="18"/>
  <c r="F23" i="18"/>
  <c r="G23" i="18"/>
  <c r="H23" i="18"/>
  <c r="I23" i="18"/>
  <c r="J23" i="18"/>
  <c r="K23" i="18"/>
  <c r="B24" i="18"/>
  <c r="C24" i="18"/>
  <c r="P24" i="15"/>
  <c r="D24" i="18"/>
  <c r="E24" i="18"/>
  <c r="R24" i="15"/>
  <c r="F24" i="18"/>
  <c r="G24" i="18"/>
  <c r="T24" i="15"/>
  <c r="H24" i="18"/>
  <c r="I24" i="18"/>
  <c r="V24" i="15"/>
  <c r="J24" i="18"/>
  <c r="K24" i="18"/>
  <c r="X24" i="15"/>
  <c r="B25" i="18"/>
  <c r="C25" i="18"/>
  <c r="P25" i="15"/>
  <c r="D25" i="18"/>
  <c r="E25" i="18"/>
  <c r="R25" i="15"/>
  <c r="F25" i="18"/>
  <c r="G25" i="18"/>
  <c r="T25" i="15"/>
  <c r="H25" i="18"/>
  <c r="I25" i="18"/>
  <c r="V25" i="15"/>
  <c r="J25" i="18"/>
  <c r="K25" i="18"/>
  <c r="X25" i="15"/>
  <c r="B26" i="18"/>
  <c r="O26" i="15"/>
  <c r="C26" i="18"/>
  <c r="D26" i="18"/>
  <c r="Q26" i="15"/>
  <c r="E26" i="18"/>
  <c r="F26" i="18"/>
  <c r="S26" i="15"/>
  <c r="G26" i="18"/>
  <c r="H26" i="18"/>
  <c r="U26" i="15"/>
  <c r="I26" i="18"/>
  <c r="V26" i="15"/>
  <c r="J26" i="18"/>
  <c r="W26" i="15"/>
  <c r="K26" i="18"/>
  <c r="X26" i="15"/>
  <c r="B27" i="18"/>
  <c r="O27" i="15"/>
  <c r="C27" i="18"/>
  <c r="D27" i="18"/>
  <c r="Q27" i="15"/>
  <c r="E27" i="18"/>
  <c r="F27" i="18"/>
  <c r="S27" i="15"/>
  <c r="G27" i="18"/>
  <c r="H27" i="18"/>
  <c r="U27" i="15"/>
  <c r="I27" i="18"/>
  <c r="J27" i="18"/>
  <c r="W27" i="15"/>
  <c r="K27" i="18"/>
  <c r="B28" i="18"/>
  <c r="O28" i="15"/>
  <c r="C28" i="18"/>
  <c r="P28" i="15"/>
  <c r="D28" i="18"/>
  <c r="Q28" i="15"/>
  <c r="E28" i="18"/>
  <c r="R28" i="15"/>
  <c r="F28" i="18"/>
  <c r="S28" i="15"/>
  <c r="G28" i="18"/>
  <c r="T28" i="15"/>
  <c r="H28" i="18"/>
  <c r="U28" i="15"/>
  <c r="I28" i="18"/>
  <c r="J28" i="18"/>
  <c r="W28" i="15"/>
  <c r="K28" i="18"/>
  <c r="B29" i="18"/>
  <c r="C29" i="18"/>
  <c r="P29" i="15"/>
  <c r="D29" i="18"/>
  <c r="E29" i="18"/>
  <c r="R29" i="15"/>
  <c r="F29" i="18"/>
  <c r="G29" i="18"/>
  <c r="T29" i="15"/>
  <c r="H29" i="18"/>
  <c r="I29" i="18"/>
  <c r="J29" i="18"/>
  <c r="K29" i="18"/>
  <c r="B30" i="18"/>
  <c r="C30" i="18"/>
  <c r="D30" i="18"/>
  <c r="E30" i="18"/>
  <c r="F30" i="18"/>
  <c r="G30" i="18"/>
  <c r="H30" i="18"/>
  <c r="I30" i="18"/>
  <c r="J30" i="18"/>
  <c r="K30" i="18"/>
  <c r="X30" i="15"/>
  <c r="B31" i="18"/>
  <c r="C31" i="18"/>
  <c r="D31" i="18"/>
  <c r="E31" i="18"/>
  <c r="F31" i="18"/>
  <c r="G31" i="18"/>
  <c r="T31" i="15"/>
  <c r="H31" i="18"/>
  <c r="I31" i="18"/>
  <c r="J31" i="18"/>
  <c r="K31" i="18"/>
  <c r="F43" i="12"/>
  <c r="F42" i="12"/>
  <c r="F41" i="12"/>
  <c r="F40" i="12"/>
  <c r="F39" i="12"/>
  <c r="F38" i="12"/>
  <c r="F37" i="12"/>
  <c r="F36" i="12"/>
  <c r="F35" i="12"/>
  <c r="F34" i="12"/>
  <c r="R21" i="12"/>
  <c r="S21" i="12"/>
  <c r="T21" i="12"/>
  <c r="U21" i="12"/>
  <c r="V21" i="12"/>
  <c r="X21" i="12"/>
  <c r="Y21" i="12"/>
  <c r="Z21" i="12"/>
  <c r="AA21" i="12"/>
  <c r="AB21" i="12"/>
  <c r="AC21" i="12"/>
  <c r="AD21" i="12"/>
  <c r="AE21" i="12"/>
  <c r="AF21" i="12"/>
  <c r="O25" i="18" l="1"/>
  <c r="P29" i="18"/>
  <c r="V22" i="18"/>
  <c r="M45" i="12"/>
  <c r="N45" i="12" s="1"/>
  <c r="V30" i="18"/>
  <c r="R24" i="18"/>
  <c r="W21" i="12"/>
  <c r="T29" i="18"/>
  <c r="O27" i="18"/>
  <c r="U26" i="18"/>
  <c r="W24" i="12"/>
  <c r="C72" i="24"/>
  <c r="D4" i="24" s="1"/>
  <c r="O27" i="20"/>
  <c r="U28" i="18"/>
  <c r="Q28" i="18"/>
  <c r="D27" i="26"/>
  <c r="D26" i="29" s="1"/>
  <c r="J27" i="26"/>
  <c r="J26" i="29" s="1"/>
  <c r="F27" i="26"/>
  <c r="F26" i="29" s="1"/>
  <c r="B27" i="26"/>
  <c r="B26" i="29" s="1"/>
  <c r="V22" i="20"/>
  <c r="S25" i="20"/>
  <c r="T27" i="18"/>
  <c r="X25" i="18"/>
  <c r="C75" i="24"/>
  <c r="C7" i="24" s="1"/>
  <c r="P20" i="12"/>
  <c r="O20" i="12" s="1"/>
  <c r="N20" i="12" s="1"/>
  <c r="Q22" i="20"/>
  <c r="W28" i="20"/>
  <c r="W31" i="20"/>
  <c r="T29" i="20"/>
  <c r="U28" i="20"/>
  <c r="X25" i="20"/>
  <c r="Q30" i="18"/>
  <c r="C73" i="24"/>
  <c r="C5" i="24" s="1"/>
  <c r="Q30" i="20"/>
  <c r="T27" i="20"/>
  <c r="R24" i="20"/>
  <c r="P29" i="20"/>
  <c r="Q28" i="20"/>
  <c r="P31" i="18"/>
  <c r="P31" i="20" s="1"/>
  <c r="Q29" i="18"/>
  <c r="Q29" i="20" s="1"/>
  <c r="X27" i="18"/>
  <c r="X27" i="20" s="1"/>
  <c r="X26" i="18"/>
  <c r="X26" i="20" s="1"/>
  <c r="V26" i="18"/>
  <c r="V26" i="20" s="1"/>
  <c r="V24" i="18"/>
  <c r="V24" i="20" s="1"/>
  <c r="Q22" i="18"/>
  <c r="V30" i="20"/>
  <c r="C76" i="24"/>
  <c r="E76" i="24" s="1"/>
  <c r="W29" i="18"/>
  <c r="W29" i="20" s="1"/>
  <c r="C21" i="14"/>
  <c r="P23" i="18"/>
  <c r="P23" i="20" s="1"/>
  <c r="P18" i="12"/>
  <c r="O18" i="12" s="1"/>
  <c r="H31" i="12"/>
  <c r="C77" i="24"/>
  <c r="B9" i="24" s="1"/>
  <c r="M27" i="24"/>
  <c r="R26" i="18"/>
  <c r="R26" i="20" s="1"/>
  <c r="Q26" i="12"/>
  <c r="C71" i="24"/>
  <c r="H3" i="24" s="1"/>
  <c r="D2" i="34"/>
  <c r="K27" i="26"/>
  <c r="K26" i="29" s="1"/>
  <c r="I27" i="26"/>
  <c r="I26" i="29" s="1"/>
  <c r="E27" i="26"/>
  <c r="E26" i="29" s="1"/>
  <c r="I16" i="24"/>
  <c r="K21" i="14"/>
  <c r="K54" i="14" s="1"/>
  <c r="W31" i="18"/>
  <c r="W23" i="18"/>
  <c r="W23" i="20" s="1"/>
  <c r="S23" i="18"/>
  <c r="S23" i="20" s="1"/>
  <c r="S30" i="18"/>
  <c r="S30" i="20" s="1"/>
  <c r="P27" i="18"/>
  <c r="P27" i="20" s="1"/>
  <c r="T26" i="18"/>
  <c r="T26" i="20" s="1"/>
  <c r="O24" i="18"/>
  <c r="O24" i="20" s="1"/>
  <c r="W22" i="18"/>
  <c r="W22" i="20" s="1"/>
  <c r="R10" i="33"/>
  <c r="X31" i="18"/>
  <c r="X31" i="20" s="1"/>
  <c r="V31" i="18"/>
  <c r="V31" i="20" s="1"/>
  <c r="T31" i="18"/>
  <c r="T31" i="20" s="1"/>
  <c r="R31" i="18"/>
  <c r="R31" i="20" s="1"/>
  <c r="W28" i="18"/>
  <c r="U27" i="18"/>
  <c r="U27" i="20" s="1"/>
  <c r="T25" i="18"/>
  <c r="T25" i="20" s="1"/>
  <c r="R25" i="18"/>
  <c r="R25" i="20" s="1"/>
  <c r="P25" i="18"/>
  <c r="P25" i="20" s="1"/>
  <c r="X24" i="18"/>
  <c r="X24" i="20" s="1"/>
  <c r="S22" i="18"/>
  <c r="S22" i="20" s="1"/>
  <c r="O8" i="33"/>
  <c r="B35" i="33" s="1"/>
  <c r="L35" i="33" s="1"/>
  <c r="G27" i="26"/>
  <c r="G26" i="29" s="1"/>
  <c r="G16" i="24"/>
  <c r="C83" i="24"/>
  <c r="G15" i="24" s="1"/>
  <c r="C74" i="24"/>
  <c r="G6" i="24" s="1"/>
  <c r="F21" i="14"/>
  <c r="F54" i="14" s="1"/>
  <c r="S31" i="15"/>
  <c r="S31" i="18" s="1"/>
  <c r="S31" i="20" s="1"/>
  <c r="R30" i="18"/>
  <c r="R30" i="20" s="1"/>
  <c r="P30" i="18"/>
  <c r="P30" i="20" s="1"/>
  <c r="X29" i="18"/>
  <c r="X29" i="20" s="1"/>
  <c r="V29" i="18"/>
  <c r="V29" i="20" s="1"/>
  <c r="Q27" i="18"/>
  <c r="Q27" i="20" s="1"/>
  <c r="O26" i="18"/>
  <c r="O26" i="20" s="1"/>
  <c r="X23" i="18"/>
  <c r="X23" i="20" s="1"/>
  <c r="V23" i="18"/>
  <c r="V23" i="20" s="1"/>
  <c r="T23" i="18"/>
  <c r="T23" i="20" s="1"/>
  <c r="R23" i="18"/>
  <c r="R23" i="20" s="1"/>
  <c r="R6" i="33"/>
  <c r="B49" i="33" s="1"/>
  <c r="M49" i="33" s="1"/>
  <c r="M38" i="24"/>
  <c r="C27" i="26"/>
  <c r="C26" i="29" s="1"/>
  <c r="C85" i="24"/>
  <c r="E85" i="24" s="1"/>
  <c r="E16" i="24"/>
  <c r="C82" i="24"/>
  <c r="C80" i="24"/>
  <c r="I12" i="24" s="1"/>
  <c r="C79" i="24"/>
  <c r="G11" i="24" s="1"/>
  <c r="E84" i="24"/>
  <c r="W30" i="18"/>
  <c r="W30" i="20" s="1"/>
  <c r="V28" i="18"/>
  <c r="V28" i="20" s="1"/>
  <c r="T28" i="18"/>
  <c r="T28" i="20" s="1"/>
  <c r="R28" i="18"/>
  <c r="R28" i="20" s="1"/>
  <c r="P28" i="18"/>
  <c r="P28" i="20" s="1"/>
  <c r="U25" i="18"/>
  <c r="U25" i="20" s="1"/>
  <c r="S24" i="18"/>
  <c r="S24" i="20" s="1"/>
  <c r="R22" i="18"/>
  <c r="R22" i="20" s="1"/>
  <c r="P22" i="18"/>
  <c r="P22" i="20" s="1"/>
  <c r="H27" i="26"/>
  <c r="H26" i="29" s="1"/>
  <c r="K16" i="24"/>
  <c r="C16" i="24"/>
  <c r="C81" i="24"/>
  <c r="E81" i="24" s="1"/>
  <c r="C78" i="24"/>
  <c r="E78" i="24" s="1"/>
  <c r="B21" i="14"/>
  <c r="B54" i="14" s="1"/>
  <c r="W30" i="12"/>
  <c r="U31" i="18"/>
  <c r="U31" i="20" s="1"/>
  <c r="X30" i="18"/>
  <c r="X30" i="20" s="1"/>
  <c r="O30" i="18"/>
  <c r="O30" i="20" s="1"/>
  <c r="R29" i="18"/>
  <c r="R29" i="20" s="1"/>
  <c r="S28" i="18"/>
  <c r="S28" i="20" s="1"/>
  <c r="V27" i="18"/>
  <c r="V27" i="20" s="1"/>
  <c r="W26" i="18"/>
  <c r="W26" i="20" s="1"/>
  <c r="P26" i="18"/>
  <c r="P26" i="20" s="1"/>
  <c r="Q25" i="18"/>
  <c r="Q25" i="20" s="1"/>
  <c r="T24" i="18"/>
  <c r="T24" i="20" s="1"/>
  <c r="U23" i="18"/>
  <c r="U23" i="20" s="1"/>
  <c r="X22" i="18"/>
  <c r="X22" i="20" s="1"/>
  <c r="O22" i="18"/>
  <c r="O22" i="20" s="1"/>
  <c r="O5" i="33"/>
  <c r="B32" i="33" s="1"/>
  <c r="H32" i="33" s="1"/>
  <c r="C2" i="28"/>
  <c r="C3" i="28" s="1"/>
  <c r="H41" i="26" s="1"/>
  <c r="Q31" i="18"/>
  <c r="Q31" i="20" s="1"/>
  <c r="O31" i="18"/>
  <c r="O31" i="20" s="1"/>
  <c r="T30" i="18"/>
  <c r="T30" i="20" s="1"/>
  <c r="U29" i="18"/>
  <c r="U29" i="20" s="1"/>
  <c r="S29" i="18"/>
  <c r="S29" i="20" s="1"/>
  <c r="X28" i="18"/>
  <c r="X28" i="20" s="1"/>
  <c r="O28" i="18"/>
  <c r="O28" i="20" s="1"/>
  <c r="W27" i="18"/>
  <c r="W27" i="20" s="1"/>
  <c r="R27" i="18"/>
  <c r="R27" i="20" s="1"/>
  <c r="S26" i="18"/>
  <c r="S26" i="20" s="1"/>
  <c r="Q26" i="18"/>
  <c r="Q26" i="20" s="1"/>
  <c r="V25" i="18"/>
  <c r="V25" i="20" s="1"/>
  <c r="W24" i="18"/>
  <c r="W24" i="20" s="1"/>
  <c r="U24" i="18"/>
  <c r="U24" i="20" s="1"/>
  <c r="P24" i="18"/>
  <c r="P24" i="20" s="1"/>
  <c r="Q23" i="18"/>
  <c r="Q23" i="20" s="1"/>
  <c r="O23" i="18"/>
  <c r="O23" i="20" s="1"/>
  <c r="T22" i="18"/>
  <c r="T22" i="20" s="1"/>
  <c r="O12" i="33"/>
  <c r="B39" i="33" s="1"/>
  <c r="T39" i="33" s="1"/>
  <c r="H16" i="24"/>
  <c r="D16" i="24"/>
  <c r="Q24" i="12"/>
  <c r="F44" i="12"/>
  <c r="U30" i="18"/>
  <c r="U30" i="20" s="1"/>
  <c r="O29" i="18"/>
  <c r="O29" i="20" s="1"/>
  <c r="S27" i="18"/>
  <c r="S27" i="20" s="1"/>
  <c r="W25" i="18"/>
  <c r="W25" i="20" s="1"/>
  <c r="Q24" i="18"/>
  <c r="Q24" i="20" s="1"/>
  <c r="U22" i="18"/>
  <c r="U22" i="20" s="1"/>
  <c r="H5" i="24"/>
  <c r="H21" i="14"/>
  <c r="H54" i="14" s="1"/>
  <c r="J16" i="24"/>
  <c r="F16" i="24"/>
  <c r="N44" i="12"/>
  <c r="O44" i="12" s="1"/>
  <c r="O25" i="20"/>
  <c r="U31" i="12"/>
  <c r="O45" i="12"/>
  <c r="V31" i="12"/>
  <c r="R31" i="12"/>
  <c r="R4" i="33"/>
  <c r="B47" i="33" s="1"/>
  <c r="R3" i="33"/>
  <c r="R7" i="33"/>
  <c r="B50" i="33" s="1"/>
  <c r="S31" i="12"/>
  <c r="R9" i="33"/>
  <c r="B52" i="33" s="1"/>
  <c r="O11" i="33"/>
  <c r="B38" i="33" s="1"/>
  <c r="O15" i="33"/>
  <c r="B42" i="33" s="1"/>
  <c r="O3" i="33"/>
  <c r="O10" i="33"/>
  <c r="B37" i="33" s="1"/>
  <c r="O17" i="33"/>
  <c r="O14" i="33"/>
  <c r="B41" i="33" s="1"/>
  <c r="O4" i="33"/>
  <c r="B31" i="33" s="1"/>
  <c r="O9" i="33"/>
  <c r="B36" i="33" s="1"/>
  <c r="O18" i="33"/>
  <c r="O13" i="33"/>
  <c r="B40" i="33" s="1"/>
  <c r="O6" i="33"/>
  <c r="B33" i="33" s="1"/>
  <c r="O7" i="33"/>
  <c r="B34" i="33" s="1"/>
  <c r="O19" i="33"/>
  <c r="T31" i="12"/>
  <c r="Q21" i="12"/>
  <c r="L49" i="33"/>
  <c r="O16" i="33"/>
  <c r="R12" i="33"/>
  <c r="R8" i="33"/>
  <c r="B51" i="33" s="1"/>
  <c r="R11" i="33"/>
  <c r="R5" i="33"/>
  <c r="B48" i="33" s="1"/>
  <c r="I21" i="14"/>
  <c r="J21" i="14"/>
  <c r="D21" i="14"/>
  <c r="H4" i="24"/>
  <c r="C54" i="14"/>
  <c r="G21" i="14"/>
  <c r="E21" i="14"/>
  <c r="P19" i="12"/>
  <c r="Q29" i="12"/>
  <c r="P27" i="12"/>
  <c r="O17" i="12"/>
  <c r="P25" i="12"/>
  <c r="O15" i="12"/>
  <c r="O16" i="12"/>
  <c r="P26" i="12"/>
  <c r="O14" i="12"/>
  <c r="P24" i="12"/>
  <c r="Q27" i="12"/>
  <c r="Q25" i="12"/>
  <c r="P28" i="12" l="1"/>
  <c r="F13" i="24"/>
  <c r="O49" i="33"/>
  <c r="N49" i="33"/>
  <c r="B13" i="24"/>
  <c r="I49" i="33"/>
  <c r="W31" i="12"/>
  <c r="C3" i="24"/>
  <c r="B3" i="24"/>
  <c r="J4" i="24"/>
  <c r="J3" i="24"/>
  <c r="C4" i="24"/>
  <c r="I13" i="24"/>
  <c r="G13" i="24"/>
  <c r="E13" i="24"/>
  <c r="C13" i="24"/>
  <c r="J13" i="24"/>
  <c r="K4" i="24"/>
  <c r="E4" i="24"/>
  <c r="E3" i="24"/>
  <c r="B4" i="24"/>
  <c r="F4" i="24"/>
  <c r="H13" i="24"/>
  <c r="G9" i="24"/>
  <c r="D5" i="24"/>
  <c r="G4" i="24"/>
  <c r="I4" i="24"/>
  <c r="F3" i="24"/>
  <c r="H6" i="24"/>
  <c r="D3" i="24"/>
  <c r="E72" i="24"/>
  <c r="K13" i="24"/>
  <c r="D13" i="24"/>
  <c r="G49" i="33"/>
  <c r="K3" i="24"/>
  <c r="I3" i="24"/>
  <c r="K9" i="24"/>
  <c r="H7" i="24"/>
  <c r="K32" i="33"/>
  <c r="K7" i="24"/>
  <c r="G8" i="24"/>
  <c r="D7" i="24"/>
  <c r="H9" i="24"/>
  <c r="F8" i="24"/>
  <c r="I7" i="24"/>
  <c r="E7" i="24"/>
  <c r="J5" i="24"/>
  <c r="G7" i="24"/>
  <c r="C8" i="24"/>
  <c r="G17" i="24"/>
  <c r="M35" i="33"/>
  <c r="K8" i="24"/>
  <c r="D8" i="24"/>
  <c r="B8" i="24"/>
  <c r="E8" i="24"/>
  <c r="J10" i="24"/>
  <c r="J8" i="24"/>
  <c r="F17" i="24"/>
  <c r="I8" i="24"/>
  <c r="K10" i="24"/>
  <c r="H8" i="24"/>
  <c r="B7" i="24"/>
  <c r="B15" i="24"/>
  <c r="S39" i="33"/>
  <c r="N32" i="33"/>
  <c r="E80" i="24"/>
  <c r="H12" i="24"/>
  <c r="I15" i="24"/>
  <c r="H15" i="24"/>
  <c r="J15" i="24"/>
  <c r="K15" i="24"/>
  <c r="E15" i="24"/>
  <c r="F15" i="24"/>
  <c r="D15" i="24"/>
  <c r="E12" i="24"/>
  <c r="J7" i="24"/>
  <c r="B5" i="24"/>
  <c r="H10" i="24"/>
  <c r="E17" i="24"/>
  <c r="D17" i="24"/>
  <c r="H35" i="33"/>
  <c r="P30" i="12"/>
  <c r="O30" i="12"/>
  <c r="G10" i="24"/>
  <c r="D10" i="24"/>
  <c r="E10" i="24"/>
  <c r="C17" i="24"/>
  <c r="J35" i="33"/>
  <c r="Q35" i="33"/>
  <c r="P35" i="33"/>
  <c r="B10" i="24"/>
  <c r="C10" i="24"/>
  <c r="K17" i="24"/>
  <c r="H17" i="24"/>
  <c r="N35" i="33"/>
  <c r="O35" i="33"/>
  <c r="I35" i="33"/>
  <c r="R39" i="33"/>
  <c r="I9" i="24"/>
  <c r="I5" i="24"/>
  <c r="F5" i="24"/>
  <c r="K11" i="24"/>
  <c r="G3" i="24"/>
  <c r="F9" i="24"/>
  <c r="G5" i="24"/>
  <c r="E5" i="24"/>
  <c r="F7" i="24"/>
  <c r="E9" i="24"/>
  <c r="E73" i="24"/>
  <c r="K5" i="24"/>
  <c r="J9" i="24"/>
  <c r="D9" i="24"/>
  <c r="C9" i="24"/>
  <c r="E75" i="24"/>
  <c r="F12" i="24"/>
  <c r="E71" i="24"/>
  <c r="E77" i="24"/>
  <c r="Q39" i="33"/>
  <c r="L27" i="26"/>
  <c r="J12" i="24"/>
  <c r="D12" i="24"/>
  <c r="O39" i="33"/>
  <c r="B12" i="24"/>
  <c r="B14" i="24"/>
  <c r="H14" i="24"/>
  <c r="J14" i="24"/>
  <c r="D14" i="24"/>
  <c r="F14" i="24"/>
  <c r="E82" i="24"/>
  <c r="C6" i="24"/>
  <c r="E74" i="24"/>
  <c r="I6" i="24"/>
  <c r="B6" i="24"/>
  <c r="J6" i="24"/>
  <c r="C14" i="24"/>
  <c r="K6" i="24"/>
  <c r="D6" i="24"/>
  <c r="F49" i="33"/>
  <c r="J49" i="33"/>
  <c r="G14" i="24"/>
  <c r="E14" i="24"/>
  <c r="C11" i="24"/>
  <c r="E11" i="24"/>
  <c r="J11" i="24"/>
  <c r="F11" i="24"/>
  <c r="B11" i="24"/>
  <c r="H11" i="24"/>
  <c r="E79" i="24"/>
  <c r="D11" i="24"/>
  <c r="I11" i="24"/>
  <c r="E6" i="24"/>
  <c r="F6" i="24"/>
  <c r="F10" i="24"/>
  <c r="I10" i="24"/>
  <c r="I17" i="24"/>
  <c r="J17" i="24"/>
  <c r="B17" i="24"/>
  <c r="K35" i="33"/>
  <c r="K49" i="33"/>
  <c r="H49" i="33"/>
  <c r="K14" i="24"/>
  <c r="I14" i="24"/>
  <c r="C12" i="24"/>
  <c r="G12" i="24"/>
  <c r="K12" i="24"/>
  <c r="C15" i="24"/>
  <c r="E83" i="24"/>
  <c r="C87" i="24"/>
  <c r="I32" i="33"/>
  <c r="L39" i="33"/>
  <c r="M32" i="33"/>
  <c r="E32" i="33"/>
  <c r="G32" i="33"/>
  <c r="L32" i="33"/>
  <c r="P39" i="33"/>
  <c r="N39" i="33"/>
  <c r="J32" i="33"/>
  <c r="M39" i="33"/>
  <c r="U39" i="33"/>
  <c r="F32" i="33"/>
  <c r="N16" i="12"/>
  <c r="O26" i="12"/>
  <c r="O42" i="33"/>
  <c r="X42" i="33"/>
  <c r="X43" i="33" s="1"/>
  <c r="T42" i="33"/>
  <c r="W42" i="33"/>
  <c r="P42" i="33"/>
  <c r="S42" i="33"/>
  <c r="Q42" i="33"/>
  <c r="U42" i="33"/>
  <c r="R42" i="33"/>
  <c r="V42" i="33"/>
  <c r="R14" i="33"/>
  <c r="B46" i="33"/>
  <c r="Q31" i="12"/>
  <c r="N14" i="12"/>
  <c r="O24" i="12"/>
  <c r="M43" i="12"/>
  <c r="O19" i="12"/>
  <c r="O21" i="12" s="1"/>
  <c r="P29" i="12"/>
  <c r="P21" i="12"/>
  <c r="G54" i="14"/>
  <c r="D54" i="14"/>
  <c r="I54" i="14"/>
  <c r="C46" i="29"/>
  <c r="H43" i="26"/>
  <c r="N51" i="33"/>
  <c r="I51" i="33"/>
  <c r="L51" i="33"/>
  <c r="M51" i="33"/>
  <c r="H51" i="33"/>
  <c r="J51" i="33"/>
  <c r="O51" i="33"/>
  <c r="Q51" i="33"/>
  <c r="K51" i="33"/>
  <c r="P51" i="33"/>
  <c r="K38" i="33"/>
  <c r="M38" i="33"/>
  <c r="O38" i="33"/>
  <c r="T38" i="33"/>
  <c r="L38" i="33"/>
  <c r="N38" i="33"/>
  <c r="P38" i="33"/>
  <c r="S38" i="33"/>
  <c r="Q38" i="33"/>
  <c r="R38" i="33"/>
  <c r="G47" i="33"/>
  <c r="E47" i="33"/>
  <c r="L47" i="33"/>
  <c r="M47" i="33"/>
  <c r="H47" i="33"/>
  <c r="J47" i="33"/>
  <c r="D47" i="33"/>
  <c r="I47" i="33"/>
  <c r="F47" i="33"/>
  <c r="K47" i="33"/>
  <c r="O25" i="12"/>
  <c r="N15" i="12"/>
  <c r="E54" i="14"/>
  <c r="K48" i="33"/>
  <c r="F48" i="33"/>
  <c r="N48" i="33"/>
  <c r="G48" i="33"/>
  <c r="E48" i="33"/>
  <c r="I48" i="33"/>
  <c r="L48" i="33"/>
  <c r="M48" i="33"/>
  <c r="H48" i="33"/>
  <c r="J48" i="33"/>
  <c r="W41" i="33"/>
  <c r="N41" i="33"/>
  <c r="P41" i="33"/>
  <c r="S41" i="33"/>
  <c r="U41" i="33"/>
  <c r="V41" i="33"/>
  <c r="Q41" i="33"/>
  <c r="R41" i="33"/>
  <c r="T41" i="33"/>
  <c r="O41" i="33"/>
  <c r="N30" i="12"/>
  <c r="T23" i="33"/>
  <c r="W56" i="33" s="1"/>
  <c r="V85" i="33" s="1"/>
  <c r="U113" i="33" s="1"/>
  <c r="E118" i="33" s="1"/>
  <c r="G34" i="33"/>
  <c r="K34" i="33"/>
  <c r="M34" i="33"/>
  <c r="O34" i="33"/>
  <c r="J34" i="33"/>
  <c r="H34" i="33"/>
  <c r="L34" i="33"/>
  <c r="N34" i="33"/>
  <c r="P34" i="33"/>
  <c r="I34" i="33"/>
  <c r="L36" i="33"/>
  <c r="N36" i="33"/>
  <c r="P36" i="33"/>
  <c r="Q36" i="33"/>
  <c r="R36" i="33"/>
  <c r="K36" i="33"/>
  <c r="M36" i="33"/>
  <c r="O36" i="33"/>
  <c r="I36" i="33"/>
  <c r="J36" i="33"/>
  <c r="L37" i="33"/>
  <c r="N37" i="33"/>
  <c r="P37" i="33"/>
  <c r="S37" i="33"/>
  <c r="J37" i="33"/>
  <c r="Q37" i="33"/>
  <c r="R37" i="33"/>
  <c r="K37" i="33"/>
  <c r="M37" i="33"/>
  <c r="O37" i="33"/>
  <c r="K52" i="33"/>
  <c r="P52" i="33"/>
  <c r="R52" i="33"/>
  <c r="R53" i="33" s="1"/>
  <c r="N52" i="33"/>
  <c r="Q52" i="33"/>
  <c r="I52" i="33"/>
  <c r="L52" i="33"/>
  <c r="M52" i="33"/>
  <c r="J52" i="33"/>
  <c r="O52" i="33"/>
  <c r="T40" i="33"/>
  <c r="N40" i="33"/>
  <c r="P40" i="33"/>
  <c r="S40" i="33"/>
  <c r="U40" i="33"/>
  <c r="V40" i="33"/>
  <c r="Q40" i="33"/>
  <c r="R40" i="33"/>
  <c r="M40" i="33"/>
  <c r="O40" i="33"/>
  <c r="N18" i="12"/>
  <c r="O28" i="12"/>
  <c r="O27" i="12"/>
  <c r="N17" i="12"/>
  <c r="J54" i="14"/>
  <c r="M20" i="12"/>
  <c r="F33" i="33"/>
  <c r="J33" i="33"/>
  <c r="G33" i="33"/>
  <c r="H33" i="33"/>
  <c r="L33" i="33"/>
  <c r="N33" i="33"/>
  <c r="I33" i="33"/>
  <c r="K33" i="33"/>
  <c r="M33" i="33"/>
  <c r="O33" i="33"/>
  <c r="F31" i="33"/>
  <c r="I31" i="33"/>
  <c r="K31" i="33"/>
  <c r="M31" i="33"/>
  <c r="E31" i="33"/>
  <c r="J31" i="33"/>
  <c r="H31" i="33"/>
  <c r="D31" i="33"/>
  <c r="G31" i="33"/>
  <c r="L31" i="33"/>
  <c r="B30" i="33"/>
  <c r="O23" i="33"/>
  <c r="I50" i="33"/>
  <c r="L50" i="33"/>
  <c r="M50" i="33"/>
  <c r="H50" i="33"/>
  <c r="J50" i="33"/>
  <c r="O50" i="33"/>
  <c r="K50" i="33"/>
  <c r="P50" i="33"/>
  <c r="N50" i="33"/>
  <c r="G50" i="33"/>
  <c r="P31" i="12" l="1"/>
  <c r="Q43" i="33"/>
  <c r="Q56" i="33" s="1"/>
  <c r="M17" i="24"/>
  <c r="M40" i="24"/>
  <c r="M41" i="24" s="1"/>
  <c r="O53" i="33"/>
  <c r="U43" i="33"/>
  <c r="W43" i="33"/>
  <c r="P53" i="33"/>
  <c r="O43" i="33"/>
  <c r="N43" i="33"/>
  <c r="V43" i="33"/>
  <c r="S43" i="33"/>
  <c r="S56" i="33" s="1"/>
  <c r="L20" i="12"/>
  <c r="M30" i="12"/>
  <c r="K9" i="12"/>
  <c r="K20" i="12"/>
  <c r="N28" i="12"/>
  <c r="M18" i="12"/>
  <c r="R43" i="33"/>
  <c r="R56" i="33" s="1"/>
  <c r="M53" i="33"/>
  <c r="Q53" i="33"/>
  <c r="N26" i="12"/>
  <c r="M16" i="12"/>
  <c r="I46" i="33"/>
  <c r="I53" i="33" s="1"/>
  <c r="Q57" i="33" s="1"/>
  <c r="L46" i="33"/>
  <c r="L53" i="33" s="1"/>
  <c r="H46" i="33"/>
  <c r="H53" i="33" s="1"/>
  <c r="P57" i="33" s="1"/>
  <c r="B81" i="33" s="1"/>
  <c r="C46" i="33"/>
  <c r="C53" i="33" s="1"/>
  <c r="K57" i="33" s="1"/>
  <c r="J46" i="33"/>
  <c r="J53" i="33" s="1"/>
  <c r="R57" i="33" s="1"/>
  <c r="D46" i="33"/>
  <c r="D53" i="33" s="1"/>
  <c r="L57" i="33" s="1"/>
  <c r="B77" i="33" s="1"/>
  <c r="K46" i="33"/>
  <c r="K53" i="33" s="1"/>
  <c r="S57" i="33" s="1"/>
  <c r="F46" i="33"/>
  <c r="F53" i="33" s="1"/>
  <c r="N57" i="33" s="1"/>
  <c r="B79" i="33" s="1"/>
  <c r="E46" i="33"/>
  <c r="E53" i="33" s="1"/>
  <c r="M57" i="33" s="1"/>
  <c r="B78" i="33" s="1"/>
  <c r="G46" i="33"/>
  <c r="G53" i="33" s="1"/>
  <c r="O57" i="33" s="1"/>
  <c r="B80" i="33" s="1"/>
  <c r="M43" i="33"/>
  <c r="P43" i="33"/>
  <c r="P56" i="33" s="1"/>
  <c r="T43" i="33"/>
  <c r="N24" i="12"/>
  <c r="M14" i="12"/>
  <c r="M42" i="12"/>
  <c r="R15" i="33"/>
  <c r="D30" i="33"/>
  <c r="D43" i="33" s="1"/>
  <c r="D56" i="33" s="1"/>
  <c r="B62" i="33" s="1"/>
  <c r="K30" i="33"/>
  <c r="K43" i="33" s="1"/>
  <c r="E30" i="33"/>
  <c r="E43" i="33" s="1"/>
  <c r="E56" i="33" s="1"/>
  <c r="B63" i="33" s="1"/>
  <c r="J30" i="33"/>
  <c r="J43" i="33" s="1"/>
  <c r="C30" i="33"/>
  <c r="C43" i="33" s="1"/>
  <c r="C56" i="33" s="1"/>
  <c r="G30" i="33"/>
  <c r="G43" i="33" s="1"/>
  <c r="G56" i="33" s="1"/>
  <c r="B65" i="33" s="1"/>
  <c r="H30" i="33"/>
  <c r="H43" i="33" s="1"/>
  <c r="H56" i="33" s="1"/>
  <c r="B66" i="33" s="1"/>
  <c r="L30" i="33"/>
  <c r="L43" i="33" s="1"/>
  <c r="F30" i="33"/>
  <c r="F43" i="33" s="1"/>
  <c r="F56" i="33" s="1"/>
  <c r="B64" i="33" s="1"/>
  <c r="I30" i="33"/>
  <c r="I43" i="33" s="1"/>
  <c r="I56" i="33" s="1"/>
  <c r="B67" i="33" s="1"/>
  <c r="M17" i="12"/>
  <c r="N27" i="12"/>
  <c r="G118" i="33"/>
  <c r="H118" i="33" s="1"/>
  <c r="N53" i="33"/>
  <c r="M15" i="12"/>
  <c r="N25" i="12"/>
  <c r="N19" i="12"/>
  <c r="O29" i="12"/>
  <c r="N43" i="12"/>
  <c r="O43" i="12" s="1"/>
  <c r="K56" i="33" l="1"/>
  <c r="B69" i="33" s="1"/>
  <c r="Q69" i="33" s="1"/>
  <c r="N56" i="33"/>
  <c r="B72" i="33" s="1"/>
  <c r="W72" i="33" s="1"/>
  <c r="W73" i="33" s="1"/>
  <c r="M56" i="33"/>
  <c r="B71" i="33" s="1"/>
  <c r="N71" i="33" s="1"/>
  <c r="T56" i="33"/>
  <c r="F119" i="33" s="1"/>
  <c r="O56" i="33"/>
  <c r="L56" i="33"/>
  <c r="B70" i="33" s="1"/>
  <c r="O70" i="33" s="1"/>
  <c r="J56" i="33"/>
  <c r="B68" i="33" s="1"/>
  <c r="S68" i="33" s="1"/>
  <c r="N29" i="12"/>
  <c r="M19" i="12"/>
  <c r="M21" i="12" s="1"/>
  <c r="M25" i="12"/>
  <c r="K15" i="12"/>
  <c r="L15" i="12"/>
  <c r="K4" i="12"/>
  <c r="M81" i="33"/>
  <c r="P81" i="33"/>
  <c r="N81" i="33"/>
  <c r="O81" i="33"/>
  <c r="L81" i="33"/>
  <c r="Q81" i="33"/>
  <c r="Q82" i="33" s="1"/>
  <c r="I81" i="33"/>
  <c r="K81" i="33"/>
  <c r="H81" i="33"/>
  <c r="J81" i="33"/>
  <c r="G30" i="12"/>
  <c r="M27" i="12"/>
  <c r="K17" i="12"/>
  <c r="L17" i="12"/>
  <c r="K6" i="12"/>
  <c r="I66" i="33"/>
  <c r="L66" i="33"/>
  <c r="N66" i="33"/>
  <c r="M66" i="33"/>
  <c r="Q66" i="33"/>
  <c r="O66" i="33"/>
  <c r="K66" i="33"/>
  <c r="J66" i="33"/>
  <c r="H66" i="33"/>
  <c r="P66" i="33"/>
  <c r="J63" i="33"/>
  <c r="H63" i="33"/>
  <c r="E63" i="33"/>
  <c r="G63" i="33"/>
  <c r="L63" i="33"/>
  <c r="K63" i="33"/>
  <c r="F63" i="33"/>
  <c r="N63" i="33"/>
  <c r="I63" i="33"/>
  <c r="M63" i="33"/>
  <c r="K14" i="12"/>
  <c r="L14" i="12"/>
  <c r="M24" i="12"/>
  <c r="K3" i="12"/>
  <c r="M41" i="12"/>
  <c r="N80" i="33"/>
  <c r="O80" i="33"/>
  <c r="L80" i="33"/>
  <c r="G80" i="33"/>
  <c r="H80" i="33"/>
  <c r="I80" i="33"/>
  <c r="J80" i="33"/>
  <c r="K80" i="33"/>
  <c r="P80" i="33"/>
  <c r="M80" i="33"/>
  <c r="M77" i="33"/>
  <c r="D77" i="33"/>
  <c r="H77" i="33"/>
  <c r="L77" i="33"/>
  <c r="F77" i="33"/>
  <c r="G77" i="33"/>
  <c r="J77" i="33"/>
  <c r="I77" i="33"/>
  <c r="K77" i="33"/>
  <c r="E77" i="33"/>
  <c r="K16" i="12"/>
  <c r="L16" i="12"/>
  <c r="M26" i="12"/>
  <c r="K5" i="12"/>
  <c r="B20" i="12"/>
  <c r="J20" i="12"/>
  <c r="B30" i="12"/>
  <c r="L67" i="33"/>
  <c r="Q67" i="33"/>
  <c r="O67" i="33"/>
  <c r="M67" i="33"/>
  <c r="P67" i="33"/>
  <c r="R67" i="33"/>
  <c r="K67" i="33"/>
  <c r="N67" i="33"/>
  <c r="I67" i="33"/>
  <c r="J67" i="33"/>
  <c r="I65" i="33"/>
  <c r="M65" i="33"/>
  <c r="L65" i="33"/>
  <c r="O65" i="33"/>
  <c r="J65" i="33"/>
  <c r="P65" i="33"/>
  <c r="G65" i="33"/>
  <c r="K65" i="33"/>
  <c r="H65" i="33"/>
  <c r="N65" i="33"/>
  <c r="N42" i="12"/>
  <c r="O42" i="12" s="1"/>
  <c r="N31" i="12"/>
  <c r="I78" i="33"/>
  <c r="J78" i="33"/>
  <c r="K78" i="33"/>
  <c r="E78" i="33"/>
  <c r="H78" i="33"/>
  <c r="M78" i="33"/>
  <c r="N78" i="33"/>
  <c r="L78" i="33"/>
  <c r="F78" i="33"/>
  <c r="G78" i="33"/>
  <c r="I20" i="12"/>
  <c r="F64" i="33"/>
  <c r="H64" i="33"/>
  <c r="N64" i="33"/>
  <c r="G64" i="33"/>
  <c r="L64" i="33"/>
  <c r="M64" i="33"/>
  <c r="J64" i="33"/>
  <c r="I64" i="33"/>
  <c r="K64" i="33"/>
  <c r="O64" i="33"/>
  <c r="B61" i="33"/>
  <c r="E62" i="33"/>
  <c r="M62" i="33"/>
  <c r="D62" i="33"/>
  <c r="J62" i="33"/>
  <c r="H62" i="33"/>
  <c r="K62" i="33"/>
  <c r="F62" i="33"/>
  <c r="G62" i="33"/>
  <c r="L62" i="33"/>
  <c r="I62" i="33"/>
  <c r="N21" i="12"/>
  <c r="L79" i="33"/>
  <c r="F79" i="33"/>
  <c r="G79" i="33"/>
  <c r="H79" i="33"/>
  <c r="I79" i="33"/>
  <c r="J79" i="33"/>
  <c r="K79" i="33"/>
  <c r="M79" i="33"/>
  <c r="N79" i="33"/>
  <c r="O79" i="33"/>
  <c r="B76" i="33"/>
  <c r="U57" i="33"/>
  <c r="O31" i="12"/>
  <c r="K18" i="12"/>
  <c r="L18" i="12"/>
  <c r="M28" i="12"/>
  <c r="K7" i="12"/>
  <c r="L69" i="33" l="1"/>
  <c r="K69" i="33"/>
  <c r="T69" i="33"/>
  <c r="P69" i="33"/>
  <c r="O69" i="33"/>
  <c r="N69" i="33"/>
  <c r="S69" i="33"/>
  <c r="M69" i="33"/>
  <c r="R69" i="33"/>
  <c r="S72" i="33"/>
  <c r="T72" i="33"/>
  <c r="Q72" i="33"/>
  <c r="U72" i="33"/>
  <c r="R72" i="33"/>
  <c r="P72" i="33"/>
  <c r="N72" i="33"/>
  <c r="O72" i="33"/>
  <c r="V72" i="33"/>
  <c r="P71" i="33"/>
  <c r="V71" i="33"/>
  <c r="M71" i="33"/>
  <c r="O71" i="33"/>
  <c r="T71" i="33"/>
  <c r="R71" i="33"/>
  <c r="Q71" i="33"/>
  <c r="U71" i="33"/>
  <c r="S71" i="33"/>
  <c r="I16" i="12"/>
  <c r="I5" i="12" s="1"/>
  <c r="P82" i="33"/>
  <c r="V56" i="33"/>
  <c r="W85" i="33" s="1"/>
  <c r="V113" i="33" s="1"/>
  <c r="I17" i="12"/>
  <c r="I6" i="12" s="1"/>
  <c r="O82" i="33"/>
  <c r="L68" i="33"/>
  <c r="Q68" i="33"/>
  <c r="J68" i="33"/>
  <c r="K68" i="33"/>
  <c r="N68" i="33"/>
  <c r="O68" i="33"/>
  <c r="M68" i="33"/>
  <c r="R68" i="33"/>
  <c r="P68" i="33"/>
  <c r="R70" i="33"/>
  <c r="T70" i="33"/>
  <c r="S70" i="33"/>
  <c r="I18" i="12"/>
  <c r="U56" i="33"/>
  <c r="U58" i="33" s="1"/>
  <c r="U70" i="33"/>
  <c r="P70" i="33"/>
  <c r="M70" i="33"/>
  <c r="L70" i="33"/>
  <c r="N70" i="33"/>
  <c r="Q70" i="33"/>
  <c r="J18" i="12"/>
  <c r="B18" i="12"/>
  <c r="B28" i="12"/>
  <c r="D61" i="33"/>
  <c r="D73" i="33" s="1"/>
  <c r="D85" i="33" s="1"/>
  <c r="B92" i="33" s="1"/>
  <c r="I61" i="33"/>
  <c r="I73" i="33" s="1"/>
  <c r="H61" i="33"/>
  <c r="H73" i="33" s="1"/>
  <c r="H85" i="33" s="1"/>
  <c r="B96" i="33" s="1"/>
  <c r="G61" i="33"/>
  <c r="G73" i="33" s="1"/>
  <c r="G85" i="33" s="1"/>
  <c r="B95" i="33" s="1"/>
  <c r="K61" i="33"/>
  <c r="F61" i="33"/>
  <c r="F73" i="33" s="1"/>
  <c r="F85" i="33" s="1"/>
  <c r="B94" i="33" s="1"/>
  <c r="C61" i="33"/>
  <c r="C73" i="33" s="1"/>
  <c r="C85" i="33" s="1"/>
  <c r="B91" i="33" s="1"/>
  <c r="J61" i="33"/>
  <c r="L61" i="33"/>
  <c r="E61" i="33"/>
  <c r="E73" i="33" s="1"/>
  <c r="E85" i="33" s="1"/>
  <c r="B93" i="33" s="1"/>
  <c r="G26" i="12"/>
  <c r="G24" i="12"/>
  <c r="G27" i="12"/>
  <c r="J15" i="12"/>
  <c r="B15" i="12"/>
  <c r="B25" i="12"/>
  <c r="I9" i="12"/>
  <c r="G20" i="12"/>
  <c r="G9" i="12" s="1"/>
  <c r="J9" i="12"/>
  <c r="H20" i="12"/>
  <c r="H9" i="12" s="1"/>
  <c r="J16" i="12"/>
  <c r="B26" i="12"/>
  <c r="B16" i="12"/>
  <c r="N41" i="12"/>
  <c r="O41" i="12" s="1"/>
  <c r="J14" i="12"/>
  <c r="B14" i="12"/>
  <c r="B24" i="12"/>
  <c r="M40" i="12"/>
  <c r="J17" i="12"/>
  <c r="B27" i="12"/>
  <c r="B17" i="12"/>
  <c r="F30" i="12"/>
  <c r="M29" i="12"/>
  <c r="K19" i="12"/>
  <c r="K21" i="12" s="1"/>
  <c r="L19" i="12"/>
  <c r="L21" i="12" s="1"/>
  <c r="K8" i="12"/>
  <c r="K17" i="13" s="1"/>
  <c r="H76" i="33"/>
  <c r="H82" i="33" s="1"/>
  <c r="P86" i="33" s="1"/>
  <c r="D76" i="33"/>
  <c r="D82" i="33" s="1"/>
  <c r="L86" i="33" s="1"/>
  <c r="B106" i="33" s="1"/>
  <c r="L76" i="33"/>
  <c r="L82" i="33" s="1"/>
  <c r="F76" i="33"/>
  <c r="F82" i="33" s="1"/>
  <c r="N86" i="33" s="1"/>
  <c r="B108" i="33" s="1"/>
  <c r="G76" i="33"/>
  <c r="G82" i="33" s="1"/>
  <c r="O86" i="33" s="1"/>
  <c r="B109" i="33" s="1"/>
  <c r="I76" i="33"/>
  <c r="I82" i="33" s="1"/>
  <c r="Q86" i="33" s="1"/>
  <c r="J76" i="33"/>
  <c r="J82" i="33" s="1"/>
  <c r="R86" i="33" s="1"/>
  <c r="K76" i="33"/>
  <c r="K82" i="33" s="1"/>
  <c r="E76" i="33"/>
  <c r="E82" i="33" s="1"/>
  <c r="M86" i="33" s="1"/>
  <c r="B107" i="33" s="1"/>
  <c r="C76" i="33"/>
  <c r="C82" i="33" s="1"/>
  <c r="K86" i="33" s="1"/>
  <c r="I7" i="12"/>
  <c r="N82" i="33"/>
  <c r="M82" i="33"/>
  <c r="I15" i="12"/>
  <c r="G28" i="12"/>
  <c r="K21" i="13"/>
  <c r="K20" i="13"/>
  <c r="I14" i="12"/>
  <c r="C43" i="12"/>
  <c r="M39" i="12"/>
  <c r="G25" i="12"/>
  <c r="G16" i="12" l="1"/>
  <c r="G5" i="12" s="1"/>
  <c r="K10" i="12"/>
  <c r="D43" i="12"/>
  <c r="V73" i="33"/>
  <c r="G17" i="12"/>
  <c r="G6" i="12" s="1"/>
  <c r="T73" i="33"/>
  <c r="S73" i="33"/>
  <c r="U73" i="33"/>
  <c r="O73" i="33"/>
  <c r="O85" i="33" s="1"/>
  <c r="E119" i="33"/>
  <c r="G119" i="33" s="1"/>
  <c r="H119" i="33" s="1"/>
  <c r="G18" i="12"/>
  <c r="G7" i="12" s="1"/>
  <c r="K73" i="33"/>
  <c r="K85" i="33" s="1"/>
  <c r="B99" i="33" s="1"/>
  <c r="J73" i="33"/>
  <c r="J85" i="33" s="1"/>
  <c r="B98" i="33" s="1"/>
  <c r="F20" i="12"/>
  <c r="F9" i="12" s="1"/>
  <c r="N73" i="33"/>
  <c r="N85" i="33" s="1"/>
  <c r="L73" i="33"/>
  <c r="L85" i="33" s="1"/>
  <c r="B100" i="33" s="1"/>
  <c r="Q73" i="33"/>
  <c r="Q85" i="33" s="1"/>
  <c r="R73" i="33"/>
  <c r="R85" i="33" s="1"/>
  <c r="P73" i="33"/>
  <c r="P85" i="33" s="1"/>
  <c r="M73" i="33"/>
  <c r="M85" i="33" s="1"/>
  <c r="B101" i="33" s="1"/>
  <c r="Q101" i="33" s="1"/>
  <c r="K2" i="13"/>
  <c r="K3" i="13" s="1"/>
  <c r="K4" i="13" s="1"/>
  <c r="K5" i="13" s="1"/>
  <c r="K18" i="13"/>
  <c r="K51" i="13" s="1"/>
  <c r="K19" i="13"/>
  <c r="K42" i="13" s="1"/>
  <c r="I19" i="12"/>
  <c r="D41" i="12" s="1"/>
  <c r="N39" i="12"/>
  <c r="O39" i="12" s="1"/>
  <c r="K53" i="13"/>
  <c r="K43" i="13"/>
  <c r="J108" i="33"/>
  <c r="L108" i="33"/>
  <c r="O108" i="33"/>
  <c r="F108" i="33"/>
  <c r="I108" i="33"/>
  <c r="M108" i="33"/>
  <c r="N108" i="33"/>
  <c r="H108" i="33"/>
  <c r="K108" i="33"/>
  <c r="G108" i="33"/>
  <c r="G29" i="12"/>
  <c r="G31" i="12" s="1"/>
  <c r="J4" i="12"/>
  <c r="H15" i="12"/>
  <c r="F26" i="12"/>
  <c r="D92" i="33"/>
  <c r="I92" i="33"/>
  <c r="J92" i="33"/>
  <c r="L92" i="33"/>
  <c r="G92" i="33"/>
  <c r="E92" i="33"/>
  <c r="M92" i="33"/>
  <c r="H92" i="33"/>
  <c r="K92" i="33"/>
  <c r="F92" i="33"/>
  <c r="K44" i="13"/>
  <c r="K54" i="13"/>
  <c r="K21" i="15"/>
  <c r="K21" i="17" s="1"/>
  <c r="K54" i="17" s="1"/>
  <c r="J19" i="12"/>
  <c r="D42" i="12" s="1"/>
  <c r="B19" i="12"/>
  <c r="B21" i="12" s="1"/>
  <c r="B29" i="12"/>
  <c r="B31" i="12" s="1"/>
  <c r="E20" i="12"/>
  <c r="E9" i="12" s="1"/>
  <c r="E30" i="12"/>
  <c r="H17" i="12"/>
  <c r="H6" i="12" s="1"/>
  <c r="J6" i="12"/>
  <c r="C34" i="12"/>
  <c r="F24" i="12"/>
  <c r="I95" i="33"/>
  <c r="P95" i="33"/>
  <c r="H95" i="33"/>
  <c r="M95" i="33"/>
  <c r="L95" i="33"/>
  <c r="N95" i="33"/>
  <c r="G95" i="33"/>
  <c r="O95" i="33"/>
  <c r="K95" i="33"/>
  <c r="J95" i="33"/>
  <c r="F25" i="12"/>
  <c r="G43" i="12"/>
  <c r="E43" i="12"/>
  <c r="F28" i="12"/>
  <c r="I4" i="12"/>
  <c r="G15" i="12"/>
  <c r="B105" i="33"/>
  <c r="T86" i="33"/>
  <c r="K106" i="33"/>
  <c r="G106" i="33"/>
  <c r="J106" i="33"/>
  <c r="D106" i="33"/>
  <c r="E106" i="33"/>
  <c r="L106" i="33"/>
  <c r="F106" i="33"/>
  <c r="M106" i="33"/>
  <c r="I106" i="33"/>
  <c r="H106" i="33"/>
  <c r="N40" i="12"/>
  <c r="O40" i="12" s="1"/>
  <c r="H14" i="12"/>
  <c r="F14" i="12" s="1"/>
  <c r="J3" i="12"/>
  <c r="M38" i="12"/>
  <c r="C42" i="12"/>
  <c r="M31" i="12"/>
  <c r="F91" i="33"/>
  <c r="E91" i="33"/>
  <c r="C91" i="33"/>
  <c r="C102" i="33" s="1"/>
  <c r="C113" i="33" s="1"/>
  <c r="K91" i="33"/>
  <c r="I91" i="33"/>
  <c r="G91" i="33"/>
  <c r="J91" i="33"/>
  <c r="L91" i="33"/>
  <c r="H91" i="33"/>
  <c r="D91" i="33"/>
  <c r="N96" i="33"/>
  <c r="O96" i="33"/>
  <c r="K96" i="33"/>
  <c r="Q96" i="33"/>
  <c r="L96" i="33"/>
  <c r="H96" i="33"/>
  <c r="I96" i="33"/>
  <c r="M96" i="33"/>
  <c r="J96" i="33"/>
  <c r="P96" i="33"/>
  <c r="I3" i="12"/>
  <c r="M37" i="12"/>
  <c r="C41" i="12"/>
  <c r="G14" i="12"/>
  <c r="K40" i="13"/>
  <c r="K50" i="13"/>
  <c r="J107" i="33"/>
  <c r="M107" i="33"/>
  <c r="N107" i="33"/>
  <c r="H107" i="33"/>
  <c r="K107" i="33"/>
  <c r="G107" i="33"/>
  <c r="E107" i="33"/>
  <c r="F107" i="33"/>
  <c r="L107" i="33"/>
  <c r="I107" i="33"/>
  <c r="J109" i="33"/>
  <c r="L109" i="33"/>
  <c r="O109" i="33"/>
  <c r="I109" i="33"/>
  <c r="M109" i="33"/>
  <c r="N109" i="33"/>
  <c r="H109" i="33"/>
  <c r="G109" i="33"/>
  <c r="K109" i="33"/>
  <c r="P109" i="33"/>
  <c r="P110" i="33" s="1"/>
  <c r="H16" i="12"/>
  <c r="H5" i="12" s="1"/>
  <c r="J5" i="12"/>
  <c r="F27" i="12"/>
  <c r="N93" i="33"/>
  <c r="G93" i="33"/>
  <c r="K93" i="33"/>
  <c r="M93" i="33"/>
  <c r="I93" i="33"/>
  <c r="F93" i="33"/>
  <c r="J93" i="33"/>
  <c r="H93" i="33"/>
  <c r="L93" i="33"/>
  <c r="E93" i="33"/>
  <c r="L94" i="33"/>
  <c r="G94" i="33"/>
  <c r="J94" i="33"/>
  <c r="O94" i="33"/>
  <c r="I94" i="33"/>
  <c r="K94" i="33"/>
  <c r="H94" i="33"/>
  <c r="F94" i="33"/>
  <c r="N94" i="33"/>
  <c r="M94" i="33"/>
  <c r="I85" i="33"/>
  <c r="B97" i="33" s="1"/>
  <c r="H18" i="12"/>
  <c r="H7" i="12" s="1"/>
  <c r="J7" i="12"/>
  <c r="I21" i="12" l="1"/>
  <c r="K21" i="20"/>
  <c r="K21" i="18"/>
  <c r="S85" i="33"/>
  <c r="F120" i="33" s="1"/>
  <c r="N110" i="33"/>
  <c r="K41" i="13"/>
  <c r="J21" i="12"/>
  <c r="K52" i="13"/>
  <c r="T101" i="33"/>
  <c r="M101" i="33"/>
  <c r="N101" i="33"/>
  <c r="P101" i="33"/>
  <c r="V101" i="33"/>
  <c r="V102" i="33" s="1"/>
  <c r="R101" i="33"/>
  <c r="U101" i="33"/>
  <c r="S101" i="33"/>
  <c r="O101" i="33"/>
  <c r="G19" i="12"/>
  <c r="G8" i="12" s="1"/>
  <c r="D34" i="12"/>
  <c r="I8" i="12"/>
  <c r="I17" i="13" s="1"/>
  <c r="F17" i="12"/>
  <c r="F6" i="12" s="1"/>
  <c r="H102" i="33"/>
  <c r="E17" i="12"/>
  <c r="E6" i="12" s="1"/>
  <c r="E27" i="12"/>
  <c r="N37" i="12"/>
  <c r="O37" i="12" s="1"/>
  <c r="N38" i="12"/>
  <c r="O38" i="12" s="1"/>
  <c r="M110" i="33"/>
  <c r="D102" i="33"/>
  <c r="D113" i="33" s="1"/>
  <c r="F16" i="12"/>
  <c r="F5" i="12" s="1"/>
  <c r="G102" i="33"/>
  <c r="G113" i="33" s="1"/>
  <c r="E102" i="33"/>
  <c r="E113" i="33" s="1"/>
  <c r="D105" i="33"/>
  <c r="D110" i="33" s="1"/>
  <c r="L114" i="33" s="1"/>
  <c r="E105" i="33"/>
  <c r="E110" i="33" s="1"/>
  <c r="M114" i="33" s="1"/>
  <c r="L105" i="33"/>
  <c r="L110" i="33" s="1"/>
  <c r="C105" i="33"/>
  <c r="C110" i="33" s="1"/>
  <c r="K114" i="33" s="1"/>
  <c r="F105" i="33"/>
  <c r="F110" i="33" s="1"/>
  <c r="N114" i="33" s="1"/>
  <c r="I105" i="33"/>
  <c r="I110" i="33" s="1"/>
  <c r="Q114" i="33" s="1"/>
  <c r="G105" i="33"/>
  <c r="G110" i="33" s="1"/>
  <c r="O114" i="33" s="1"/>
  <c r="J105" i="33"/>
  <c r="J110" i="33" s="1"/>
  <c r="K105" i="33"/>
  <c r="K110" i="33" s="1"/>
  <c r="H105" i="33"/>
  <c r="H110" i="33" s="1"/>
  <c r="P114" i="33" s="1"/>
  <c r="E18" i="12"/>
  <c r="E7" i="12" s="1"/>
  <c r="E28" i="12"/>
  <c r="F3" i="12"/>
  <c r="C38" i="12"/>
  <c r="M34" i="12"/>
  <c r="S99" i="33"/>
  <c r="O99" i="33"/>
  <c r="K99" i="33"/>
  <c r="N99" i="33"/>
  <c r="T99" i="33"/>
  <c r="M99" i="33"/>
  <c r="P99" i="33"/>
  <c r="L99" i="33"/>
  <c r="Q99" i="33"/>
  <c r="R99" i="33"/>
  <c r="F29" i="12"/>
  <c r="F31" i="12" s="1"/>
  <c r="G3" i="12"/>
  <c r="C39" i="12"/>
  <c r="M35" i="12"/>
  <c r="I21" i="13"/>
  <c r="G4" i="12"/>
  <c r="F18" i="12"/>
  <c r="F7" i="12" s="1"/>
  <c r="E15" i="12"/>
  <c r="E25" i="12"/>
  <c r="M98" i="33"/>
  <c r="K98" i="33"/>
  <c r="L98" i="33"/>
  <c r="J98" i="33"/>
  <c r="P98" i="33"/>
  <c r="N98" i="33"/>
  <c r="O98" i="33"/>
  <c r="R98" i="33"/>
  <c r="Q98" i="33"/>
  <c r="S98" i="33"/>
  <c r="G34" i="12"/>
  <c r="E34" i="12"/>
  <c r="D20" i="12"/>
  <c r="D9" i="12" s="1"/>
  <c r="D30" i="12"/>
  <c r="H19" i="12"/>
  <c r="H8" i="12" s="1"/>
  <c r="J8" i="12"/>
  <c r="J17" i="13" s="1"/>
  <c r="P100" i="33"/>
  <c r="N100" i="33"/>
  <c r="L100" i="33"/>
  <c r="S100" i="33"/>
  <c r="T100" i="33"/>
  <c r="Q100" i="33"/>
  <c r="M100" i="33"/>
  <c r="U100" i="33"/>
  <c r="R100" i="33"/>
  <c r="O100" i="33"/>
  <c r="H4" i="12"/>
  <c r="O110" i="33"/>
  <c r="F102" i="33"/>
  <c r="F113" i="33" s="1"/>
  <c r="J21" i="13"/>
  <c r="I97" i="33"/>
  <c r="I102" i="33" s="1"/>
  <c r="K97" i="33"/>
  <c r="M97" i="33"/>
  <c r="L97" i="33"/>
  <c r="J97" i="33"/>
  <c r="Q97" i="33"/>
  <c r="N97" i="33"/>
  <c r="P97" i="33"/>
  <c r="O97" i="33"/>
  <c r="R97" i="33"/>
  <c r="E41" i="12"/>
  <c r="G41" i="12"/>
  <c r="E42" i="12"/>
  <c r="G42" i="12"/>
  <c r="H3" i="12"/>
  <c r="M36" i="12"/>
  <c r="C40" i="12"/>
  <c r="F15" i="12"/>
  <c r="E14" i="12"/>
  <c r="E24" i="12"/>
  <c r="K20" i="14"/>
  <c r="X21" i="15"/>
  <c r="X21" i="18" s="1"/>
  <c r="X21" i="20" s="1"/>
  <c r="K54" i="18"/>
  <c r="K54" i="20"/>
  <c r="K54" i="15"/>
  <c r="K6" i="13"/>
  <c r="E16" i="12"/>
  <c r="E5" i="12" s="1"/>
  <c r="E26" i="12"/>
  <c r="I10" i="12" l="1"/>
  <c r="I19" i="13"/>
  <c r="I42" i="13" s="1"/>
  <c r="J19" i="13"/>
  <c r="G21" i="12"/>
  <c r="T85" i="33"/>
  <c r="T87" i="33" s="1"/>
  <c r="W87" i="33" s="1"/>
  <c r="U85" i="33"/>
  <c r="E120" i="33" s="1"/>
  <c r="E122" i="33" s="1"/>
  <c r="D39" i="12"/>
  <c r="G39" i="12" s="1"/>
  <c r="H113" i="33"/>
  <c r="U102" i="33"/>
  <c r="I113" i="33"/>
  <c r="J20" i="13"/>
  <c r="J43" i="13" s="1"/>
  <c r="I20" i="13"/>
  <c r="I53" i="13" s="1"/>
  <c r="I18" i="13"/>
  <c r="I41" i="13" s="1"/>
  <c r="J2" i="13"/>
  <c r="J3" i="13" s="1"/>
  <c r="J4" i="13" s="1"/>
  <c r="J5" i="13" s="1"/>
  <c r="H21" i="12"/>
  <c r="J10" i="12"/>
  <c r="D40" i="12"/>
  <c r="E40" i="12" s="1"/>
  <c r="I2" i="13"/>
  <c r="I3" i="13" s="1"/>
  <c r="I4" i="13" s="1"/>
  <c r="I5" i="13" s="1"/>
  <c r="O102" i="33"/>
  <c r="O113" i="33" s="1"/>
  <c r="R102" i="33"/>
  <c r="Q102" i="33"/>
  <c r="Q113" i="33" s="1"/>
  <c r="S102" i="33"/>
  <c r="J102" i="33"/>
  <c r="J113" i="33" s="1"/>
  <c r="P102" i="33"/>
  <c r="P113" i="33" s="1"/>
  <c r="L102" i="33"/>
  <c r="L113" i="33" s="1"/>
  <c r="M102" i="33"/>
  <c r="M113" i="33" s="1"/>
  <c r="N102" i="33"/>
  <c r="N113" i="33" s="1"/>
  <c r="K102" i="33"/>
  <c r="K113" i="33" s="1"/>
  <c r="T102" i="33"/>
  <c r="J40" i="13"/>
  <c r="J50" i="13"/>
  <c r="D16" i="12"/>
  <c r="D5" i="12" s="1"/>
  <c r="D26" i="12"/>
  <c r="D14" i="12"/>
  <c r="D24" i="12"/>
  <c r="E3" i="12"/>
  <c r="C37" i="12"/>
  <c r="J52" i="13"/>
  <c r="J42" i="13"/>
  <c r="E19" i="12"/>
  <c r="E8" i="12" s="1"/>
  <c r="E29" i="12"/>
  <c r="E31" i="12" s="1"/>
  <c r="D17" i="12"/>
  <c r="D6" i="12" s="1"/>
  <c r="D27" i="12"/>
  <c r="N36" i="12"/>
  <c r="O36" i="12" s="1"/>
  <c r="J18" i="13"/>
  <c r="J44" i="13"/>
  <c r="J54" i="13"/>
  <c r="J21" i="15"/>
  <c r="J21" i="17" s="1"/>
  <c r="J54" i="17" s="1"/>
  <c r="D15" i="12"/>
  <c r="D25" i="12"/>
  <c r="F19" i="12"/>
  <c r="D38" i="12" s="1"/>
  <c r="N34" i="12"/>
  <c r="O34" i="12" s="1"/>
  <c r="X54" i="15"/>
  <c r="X54" i="18" s="1"/>
  <c r="X54" i="20" s="1"/>
  <c r="H18" i="13"/>
  <c r="H19" i="13"/>
  <c r="H21" i="13"/>
  <c r="H20" i="13"/>
  <c r="H2" i="13"/>
  <c r="H3" i="13" s="1"/>
  <c r="H4" i="13" s="1"/>
  <c r="H17" i="13"/>
  <c r="H10" i="12"/>
  <c r="I44" i="13"/>
  <c r="I54" i="13"/>
  <c r="I21" i="15"/>
  <c r="I21" i="17" s="1"/>
  <c r="I54" i="17" s="1"/>
  <c r="N35" i="12"/>
  <c r="K7" i="13"/>
  <c r="K20" i="15"/>
  <c r="K20" i="17" s="1"/>
  <c r="K53" i="17" s="1"/>
  <c r="K53" i="14"/>
  <c r="F4" i="12"/>
  <c r="C20" i="12"/>
  <c r="C9" i="12" s="1"/>
  <c r="C30" i="12"/>
  <c r="L9" i="12" s="1"/>
  <c r="B9" i="12" s="1"/>
  <c r="E4" i="12"/>
  <c r="I40" i="13"/>
  <c r="I50" i="13"/>
  <c r="G18" i="13"/>
  <c r="G17" i="13"/>
  <c r="G20" i="13"/>
  <c r="G21" i="13"/>
  <c r="G2" i="13"/>
  <c r="G3" i="13" s="1"/>
  <c r="G4" i="13" s="1"/>
  <c r="G19" i="13"/>
  <c r="G10" i="12"/>
  <c r="D18" i="12"/>
  <c r="D7" i="12" s="1"/>
  <c r="D28" i="12"/>
  <c r="S114" i="33"/>
  <c r="K20" i="20" l="1"/>
  <c r="I21" i="18"/>
  <c r="J21" i="20"/>
  <c r="K20" i="18"/>
  <c r="I21" i="20"/>
  <c r="J21" i="18"/>
  <c r="I52" i="13"/>
  <c r="E39" i="12"/>
  <c r="D37" i="12"/>
  <c r="E37" i="12" s="1"/>
  <c r="J53" i="13"/>
  <c r="W113" i="33"/>
  <c r="G120" i="33"/>
  <c r="H120" i="33" s="1"/>
  <c r="I51" i="13"/>
  <c r="M46" i="12"/>
  <c r="E38" i="12"/>
  <c r="G38" i="12"/>
  <c r="I43" i="13"/>
  <c r="G40" i="12"/>
  <c r="R113" i="33"/>
  <c r="S113" i="33" s="1"/>
  <c r="S115" i="33" s="1"/>
  <c r="C18" i="12"/>
  <c r="C7" i="12" s="1"/>
  <c r="C28" i="12"/>
  <c r="L7" i="12" s="1"/>
  <c r="B7" i="12" s="1"/>
  <c r="G53" i="13"/>
  <c r="G43" i="13"/>
  <c r="K53" i="15"/>
  <c r="K53" i="20"/>
  <c r="K53" i="18"/>
  <c r="K8" i="13"/>
  <c r="I54" i="15"/>
  <c r="I54" i="20"/>
  <c r="I54" i="18"/>
  <c r="H5" i="13"/>
  <c r="H41" i="13"/>
  <c r="H51" i="13"/>
  <c r="F8" i="12"/>
  <c r="F17" i="13" s="1"/>
  <c r="F21" i="12"/>
  <c r="C17" i="12"/>
  <c r="C6" i="12" s="1"/>
  <c r="C27" i="12"/>
  <c r="L6" i="12" s="1"/>
  <c r="B6" i="12" s="1"/>
  <c r="F21" i="13"/>
  <c r="E21" i="12"/>
  <c r="D3" i="12"/>
  <c r="C36" i="12"/>
  <c r="G42" i="13"/>
  <c r="G52" i="13"/>
  <c r="G40" i="13"/>
  <c r="G50" i="13"/>
  <c r="K19" i="14"/>
  <c r="X20" i="15"/>
  <c r="O35" i="12"/>
  <c r="H53" i="13"/>
  <c r="H43" i="13"/>
  <c r="N46" i="12"/>
  <c r="J54" i="15"/>
  <c r="J54" i="18"/>
  <c r="J54" i="20"/>
  <c r="E21" i="13"/>
  <c r="E20" i="13"/>
  <c r="E2" i="13"/>
  <c r="E3" i="13" s="1"/>
  <c r="E4" i="13" s="1"/>
  <c r="E18" i="13"/>
  <c r="E19" i="13"/>
  <c r="E17" i="13"/>
  <c r="E10" i="12"/>
  <c r="G5" i="13"/>
  <c r="G51" i="13"/>
  <c r="G41" i="13"/>
  <c r="H54" i="13"/>
  <c r="H44" i="13"/>
  <c r="H21" i="15"/>
  <c r="H21" i="17" s="1"/>
  <c r="H54" i="17" s="1"/>
  <c r="C15" i="12"/>
  <c r="C25" i="12"/>
  <c r="L4" i="12" s="1"/>
  <c r="B4" i="12" s="1"/>
  <c r="J20" i="14"/>
  <c r="W21" i="15"/>
  <c r="W21" i="18" s="1"/>
  <c r="W21" i="20" s="1"/>
  <c r="C16" i="12"/>
  <c r="C5" i="12" s="1"/>
  <c r="C26" i="12"/>
  <c r="L5" i="12" s="1"/>
  <c r="B5" i="12" s="1"/>
  <c r="G44" i="13"/>
  <c r="G54" i="13"/>
  <c r="G21" i="15"/>
  <c r="G21" i="17" s="1"/>
  <c r="G54" i="17" s="1"/>
  <c r="I6" i="13"/>
  <c r="V21" i="15"/>
  <c r="I20" i="14"/>
  <c r="H50" i="13"/>
  <c r="H40" i="13"/>
  <c r="H42" i="13"/>
  <c r="H52" i="13"/>
  <c r="D4" i="12"/>
  <c r="J51" i="13"/>
  <c r="J41" i="13"/>
  <c r="J6" i="13"/>
  <c r="D19" i="12"/>
  <c r="D8" i="12" s="1"/>
  <c r="D29" i="12"/>
  <c r="D31" i="12" s="1"/>
  <c r="G37" i="12"/>
  <c r="C14" i="12"/>
  <c r="C24" i="12"/>
  <c r="X20" i="18" l="1"/>
  <c r="X20" i="20" s="1"/>
  <c r="G21" i="18"/>
  <c r="V21" i="18"/>
  <c r="V21" i="20" s="1"/>
  <c r="G21" i="20"/>
  <c r="H21" i="18"/>
  <c r="H21" i="20"/>
  <c r="X115" i="33"/>
  <c r="D36" i="12"/>
  <c r="E36" i="12" s="1"/>
  <c r="T113" i="33"/>
  <c r="F121" i="33"/>
  <c r="G121" i="33" s="1"/>
  <c r="G122" i="33" s="1"/>
  <c r="J20" i="15"/>
  <c r="J20" i="17" s="1"/>
  <c r="J53" i="17" s="1"/>
  <c r="J53" i="14"/>
  <c r="E52" i="13"/>
  <c r="E42" i="13"/>
  <c r="V54" i="15"/>
  <c r="V54" i="18" s="1"/>
  <c r="V54" i="20" s="1"/>
  <c r="T21" i="15"/>
  <c r="T21" i="18" s="1"/>
  <c r="G20" i="14"/>
  <c r="F19" i="13"/>
  <c r="G6" i="13"/>
  <c r="E51" i="13"/>
  <c r="E41" i="13"/>
  <c r="W54" i="15"/>
  <c r="W54" i="18" s="1"/>
  <c r="W54" i="20" s="1"/>
  <c r="D21" i="12"/>
  <c r="H6" i="13"/>
  <c r="F18" i="13"/>
  <c r="K9" i="13"/>
  <c r="J7" i="13"/>
  <c r="L3" i="12"/>
  <c r="C19" i="12"/>
  <c r="C8" i="12" s="1"/>
  <c r="C29" i="12"/>
  <c r="L8" i="12" s="1"/>
  <c r="B8" i="12" s="1"/>
  <c r="I7" i="13"/>
  <c r="F2" i="13"/>
  <c r="F3" i="13" s="1"/>
  <c r="F4" i="13" s="1"/>
  <c r="H54" i="18"/>
  <c r="H54" i="20"/>
  <c r="H54" i="15"/>
  <c r="E5" i="13"/>
  <c r="F20" i="13"/>
  <c r="D17" i="13"/>
  <c r="D21" i="13"/>
  <c r="D19" i="13"/>
  <c r="D18" i="13"/>
  <c r="D20" i="13"/>
  <c r="D2" i="13"/>
  <c r="D3" i="13" s="1"/>
  <c r="D4" i="13" s="1"/>
  <c r="D10" i="12"/>
  <c r="F44" i="13"/>
  <c r="F54" i="13"/>
  <c r="F21" i="15"/>
  <c r="F21" i="17" s="1"/>
  <c r="F54" i="17" s="1"/>
  <c r="I20" i="15"/>
  <c r="I20" i="17" s="1"/>
  <c r="I53" i="17" s="1"/>
  <c r="I53" i="14"/>
  <c r="E54" i="13"/>
  <c r="E44" i="13"/>
  <c r="E21" i="15"/>
  <c r="E21" i="17" s="1"/>
  <c r="E54" i="17" s="1"/>
  <c r="F50" i="13"/>
  <c r="F40" i="13"/>
  <c r="X53" i="15"/>
  <c r="X53" i="18" s="1"/>
  <c r="X53" i="20" s="1"/>
  <c r="C3" i="12"/>
  <c r="C35" i="12"/>
  <c r="G54" i="15"/>
  <c r="G54" i="20"/>
  <c r="G54" i="18"/>
  <c r="C4" i="12"/>
  <c r="H20" i="14"/>
  <c r="U21" i="15"/>
  <c r="U21" i="18" s="1"/>
  <c r="U21" i="20" s="1"/>
  <c r="E50" i="13"/>
  <c r="E40" i="13"/>
  <c r="E43" i="13"/>
  <c r="E53" i="13"/>
  <c r="K19" i="15"/>
  <c r="K19" i="17" s="1"/>
  <c r="K52" i="17" s="1"/>
  <c r="K52" i="14"/>
  <c r="F10" i="12"/>
  <c r="K19" i="18" l="1"/>
  <c r="K19" i="20"/>
  <c r="K17" i="25" s="1"/>
  <c r="T21" i="20"/>
  <c r="E21" i="20"/>
  <c r="I20" i="18"/>
  <c r="J20" i="20"/>
  <c r="I20" i="20"/>
  <c r="J20" i="18"/>
  <c r="E21" i="18"/>
  <c r="F21" i="20"/>
  <c r="F21" i="18"/>
  <c r="G36" i="12"/>
  <c r="D35" i="12"/>
  <c r="D44" i="12" s="1"/>
  <c r="C21" i="12"/>
  <c r="F122" i="33"/>
  <c r="H122" i="33" s="1"/>
  <c r="H121" i="33"/>
  <c r="E20" i="14"/>
  <c r="R21" i="15"/>
  <c r="D51" i="13"/>
  <c r="D41" i="13"/>
  <c r="E6" i="13"/>
  <c r="B3" i="12"/>
  <c r="L10" i="12"/>
  <c r="G20" i="15"/>
  <c r="G20" i="17" s="1"/>
  <c r="G53" i="17" s="1"/>
  <c r="G53" i="14"/>
  <c r="W20" i="15"/>
  <c r="J19" i="14"/>
  <c r="K52" i="15"/>
  <c r="K52" i="20"/>
  <c r="K52" i="18"/>
  <c r="C17" i="13"/>
  <c r="C18" i="13"/>
  <c r="C21" i="13"/>
  <c r="C19" i="13"/>
  <c r="C2" i="13"/>
  <c r="C3" i="13" s="1"/>
  <c r="C4" i="13" s="1"/>
  <c r="C20" i="13"/>
  <c r="C10" i="12"/>
  <c r="E54" i="15"/>
  <c r="E54" i="20"/>
  <c r="E54" i="18"/>
  <c r="I53" i="15"/>
  <c r="I53" i="20"/>
  <c r="I53" i="18"/>
  <c r="D42" i="13"/>
  <c r="D52" i="13"/>
  <c r="H7" i="13"/>
  <c r="G7" i="13"/>
  <c r="X19" i="15"/>
  <c r="X19" i="18" s="1"/>
  <c r="X19" i="20" s="1"/>
  <c r="K18" i="14"/>
  <c r="H53" i="14"/>
  <c r="H20" i="15"/>
  <c r="H20" i="17" s="1"/>
  <c r="H53" i="17" s="1"/>
  <c r="I19" i="14"/>
  <c r="V20" i="15"/>
  <c r="V20" i="18" s="1"/>
  <c r="F20" i="14"/>
  <c r="S21" i="15"/>
  <c r="D5" i="13"/>
  <c r="D44" i="13"/>
  <c r="D54" i="13"/>
  <c r="D21" i="15"/>
  <c r="D21" i="17" s="1"/>
  <c r="D54" i="17" s="1"/>
  <c r="F53" i="13"/>
  <c r="F43" i="13"/>
  <c r="U54" i="15"/>
  <c r="U54" i="18" s="1"/>
  <c r="U54" i="20" s="1"/>
  <c r="K10" i="13"/>
  <c r="T54" i="15"/>
  <c r="T54" i="18" s="1"/>
  <c r="T54" i="20" s="1"/>
  <c r="G35" i="12"/>
  <c r="E35" i="12"/>
  <c r="C44" i="12"/>
  <c r="F54" i="15"/>
  <c r="F54" i="18"/>
  <c r="F54" i="20"/>
  <c r="D53" i="13"/>
  <c r="D43" i="13"/>
  <c r="D40" i="13"/>
  <c r="D50" i="13"/>
  <c r="F5" i="13"/>
  <c r="I8" i="13"/>
  <c r="C31" i="12"/>
  <c r="J8" i="13"/>
  <c r="F41" i="13"/>
  <c r="F51" i="13"/>
  <c r="F42" i="13"/>
  <c r="F52" i="13"/>
  <c r="J53" i="15"/>
  <c r="J53" i="20"/>
  <c r="J53" i="18"/>
  <c r="V20" i="20" l="1"/>
  <c r="G20" i="18"/>
  <c r="R21" i="18"/>
  <c r="R21" i="20" s="1"/>
  <c r="D21" i="20"/>
  <c r="W20" i="18"/>
  <c r="W20" i="20" s="1"/>
  <c r="S21" i="18"/>
  <c r="S21" i="20" s="1"/>
  <c r="D21" i="18"/>
  <c r="H20" i="18"/>
  <c r="G20" i="20"/>
  <c r="H20" i="20"/>
  <c r="K17" i="26"/>
  <c r="K16" i="29" s="1"/>
  <c r="AH17" i="97"/>
  <c r="I9" i="13"/>
  <c r="H19" i="14"/>
  <c r="U20" i="15"/>
  <c r="H8" i="13"/>
  <c r="C43" i="13"/>
  <c r="C53" i="13"/>
  <c r="C51" i="13"/>
  <c r="C41" i="13"/>
  <c r="B20" i="13"/>
  <c r="B2" i="13"/>
  <c r="B3" i="13" s="1"/>
  <c r="B4" i="13" s="1"/>
  <c r="B17" i="13"/>
  <c r="B18" i="13"/>
  <c r="B19" i="13"/>
  <c r="B21" i="13"/>
  <c r="B10" i="12"/>
  <c r="J9" i="13"/>
  <c r="W53" i="15"/>
  <c r="W53" i="18" s="1"/>
  <c r="W53" i="20" s="1"/>
  <c r="K11" i="13"/>
  <c r="D6" i="13"/>
  <c r="H53" i="15"/>
  <c r="H53" i="20"/>
  <c r="H53" i="18"/>
  <c r="G8" i="13"/>
  <c r="C5" i="13"/>
  <c r="C40" i="13"/>
  <c r="C50" i="13"/>
  <c r="G53" i="15"/>
  <c r="G53" i="20"/>
  <c r="G53" i="18"/>
  <c r="F6" i="13"/>
  <c r="S54" i="15"/>
  <c r="S54" i="18" s="1"/>
  <c r="S54" i="20" s="1"/>
  <c r="D54" i="20"/>
  <c r="D54" i="15"/>
  <c r="D54" i="18"/>
  <c r="R54" i="15"/>
  <c r="R54" i="18" s="1"/>
  <c r="R54" i="20" s="1"/>
  <c r="C52" i="13"/>
  <c r="C42" i="13"/>
  <c r="X52" i="15"/>
  <c r="X52" i="18" s="1"/>
  <c r="X52" i="20" s="1"/>
  <c r="T20" i="15"/>
  <c r="T20" i="18" s="1"/>
  <c r="G19" i="14"/>
  <c r="E20" i="15"/>
  <c r="E20" i="17" s="1"/>
  <c r="E53" i="17" s="1"/>
  <c r="E53" i="14"/>
  <c r="Q21" i="15"/>
  <c r="Q21" i="18" s="1"/>
  <c r="D20" i="14"/>
  <c r="F20" i="15"/>
  <c r="F20" i="17" s="1"/>
  <c r="F53" i="17" s="1"/>
  <c r="F53" i="14"/>
  <c r="I52" i="14"/>
  <c r="I19" i="15"/>
  <c r="I19" i="17" s="1"/>
  <c r="I52" i="17" s="1"/>
  <c r="K18" i="15"/>
  <c r="K18" i="17" s="1"/>
  <c r="K51" i="17" s="1"/>
  <c r="K51" i="14"/>
  <c r="V53" i="15"/>
  <c r="V53" i="18" s="1"/>
  <c r="V53" i="20" s="1"/>
  <c r="C44" i="13"/>
  <c r="C54" i="13"/>
  <c r="C21" i="15"/>
  <c r="C21" i="17" s="1"/>
  <c r="C54" i="17" s="1"/>
  <c r="J19" i="15"/>
  <c r="J19" i="17" s="1"/>
  <c r="J52" i="17" s="1"/>
  <c r="J52" i="14"/>
  <c r="E7" i="13"/>
  <c r="F20" i="18" l="1"/>
  <c r="U20" i="18"/>
  <c r="Q21" i="20"/>
  <c r="T20" i="20"/>
  <c r="K18" i="20"/>
  <c r="U20" i="20"/>
  <c r="J19" i="18"/>
  <c r="E20" i="20"/>
  <c r="C21" i="18"/>
  <c r="I19" i="20"/>
  <c r="I17" i="25" s="1"/>
  <c r="E20" i="18"/>
  <c r="J19" i="20"/>
  <c r="J17" i="25" s="1"/>
  <c r="K18" i="18"/>
  <c r="F20" i="20"/>
  <c r="C21" i="20"/>
  <c r="I19" i="18"/>
  <c r="E8" i="13"/>
  <c r="K51" i="15"/>
  <c r="K51" i="20"/>
  <c r="K51" i="18"/>
  <c r="I18" i="14"/>
  <c r="V19" i="15"/>
  <c r="R20" i="15"/>
  <c r="E19" i="14"/>
  <c r="C6" i="13"/>
  <c r="U53" i="15"/>
  <c r="U53" i="18" s="1"/>
  <c r="U53" i="20" s="1"/>
  <c r="J10" i="13"/>
  <c r="B52" i="13"/>
  <c r="B42" i="13"/>
  <c r="B43" i="13"/>
  <c r="B53" i="13"/>
  <c r="I10" i="13"/>
  <c r="J52" i="15"/>
  <c r="J52" i="20"/>
  <c r="J52" i="18"/>
  <c r="J18" i="14"/>
  <c r="W19" i="15"/>
  <c r="K17" i="14"/>
  <c r="X18" i="15"/>
  <c r="X18" i="18" s="1"/>
  <c r="X18" i="20" s="1"/>
  <c r="F53" i="15"/>
  <c r="F53" i="20"/>
  <c r="F53" i="18"/>
  <c r="G19" i="15"/>
  <c r="G19" i="17" s="1"/>
  <c r="G52" i="17" s="1"/>
  <c r="G52" i="14"/>
  <c r="Q54" i="15"/>
  <c r="Q54" i="18" s="1"/>
  <c r="Q54" i="20" s="1"/>
  <c r="F7" i="13"/>
  <c r="G9" i="13"/>
  <c r="K12" i="13"/>
  <c r="K34" i="13"/>
  <c r="B51" i="13"/>
  <c r="B41" i="13"/>
  <c r="H52" i="14"/>
  <c r="H19" i="15"/>
  <c r="H19" i="17" s="1"/>
  <c r="H52" i="17" s="1"/>
  <c r="C20" i="14"/>
  <c r="P21" i="15"/>
  <c r="I52" i="15"/>
  <c r="I52" i="20"/>
  <c r="I52" i="18"/>
  <c r="F19" i="14"/>
  <c r="S20" i="15"/>
  <c r="S20" i="18" s="1"/>
  <c r="T53" i="15"/>
  <c r="T53" i="18" s="1"/>
  <c r="T53" i="20" s="1"/>
  <c r="D7" i="13"/>
  <c r="B40" i="13"/>
  <c r="B50" i="13"/>
  <c r="H9" i="13"/>
  <c r="C54" i="20"/>
  <c r="C54" i="18"/>
  <c r="C54" i="15"/>
  <c r="K16" i="25"/>
  <c r="D20" i="15"/>
  <c r="D20" i="17" s="1"/>
  <c r="D53" i="17" s="1"/>
  <c r="D53" i="14"/>
  <c r="E53" i="15"/>
  <c r="E53" i="20"/>
  <c r="E53" i="18"/>
  <c r="B44" i="13"/>
  <c r="B54" i="13"/>
  <c r="B21" i="15"/>
  <c r="B21" i="17" s="1"/>
  <c r="B54" i="17" s="1"/>
  <c r="B5" i="13"/>
  <c r="D20" i="20" l="1"/>
  <c r="W19" i="18"/>
  <c r="P21" i="18"/>
  <c r="P21" i="20" s="1"/>
  <c r="S20" i="20"/>
  <c r="G19" i="20"/>
  <c r="V19" i="18"/>
  <c r="V19" i="20" s="1"/>
  <c r="B21" i="18"/>
  <c r="H19" i="18"/>
  <c r="B21" i="20"/>
  <c r="R20" i="18"/>
  <c r="R20" i="20" s="1"/>
  <c r="W19" i="20"/>
  <c r="H19" i="20"/>
  <c r="H17" i="25" s="1"/>
  <c r="D20" i="18"/>
  <c r="G19" i="18"/>
  <c r="J17" i="26"/>
  <c r="J16" i="29" s="1"/>
  <c r="AG17" i="97"/>
  <c r="K16" i="26"/>
  <c r="K15" i="29" s="1"/>
  <c r="AH16" i="97"/>
  <c r="I17" i="26"/>
  <c r="I16" i="29" s="1"/>
  <c r="AF17" i="97"/>
  <c r="R53" i="15"/>
  <c r="R53" i="18" s="1"/>
  <c r="R53" i="20" s="1"/>
  <c r="D19" i="14"/>
  <c r="Q20" i="15"/>
  <c r="H10" i="13"/>
  <c r="H52" i="15"/>
  <c r="H52" i="20"/>
  <c r="H52" i="18"/>
  <c r="G10" i="13"/>
  <c r="G17" i="25"/>
  <c r="J11" i="13"/>
  <c r="C7" i="13"/>
  <c r="E19" i="15"/>
  <c r="E19" i="17" s="1"/>
  <c r="E52" i="17" s="1"/>
  <c r="E52" i="14"/>
  <c r="E9" i="13"/>
  <c r="B6" i="13"/>
  <c r="P54" i="15"/>
  <c r="P54" i="18" s="1"/>
  <c r="P54" i="20" s="1"/>
  <c r="K13" i="13"/>
  <c r="K45" i="13"/>
  <c r="K35" i="13"/>
  <c r="G52" i="15"/>
  <c r="G52" i="20"/>
  <c r="G52" i="18"/>
  <c r="W52" i="15"/>
  <c r="W52" i="18" s="1"/>
  <c r="W52" i="20" s="1"/>
  <c r="X51" i="15"/>
  <c r="X51" i="18" s="1"/>
  <c r="X51" i="20" s="1"/>
  <c r="B20" i="14"/>
  <c r="O21" i="15"/>
  <c r="D8" i="13"/>
  <c r="F52" i="14"/>
  <c r="F19" i="15"/>
  <c r="F19" i="17" s="1"/>
  <c r="F52" i="17" s="1"/>
  <c r="V52" i="15"/>
  <c r="V52" i="18" s="1"/>
  <c r="V52" i="20" s="1"/>
  <c r="C20" i="15"/>
  <c r="C20" i="17" s="1"/>
  <c r="C53" i="17" s="1"/>
  <c r="C53" i="14"/>
  <c r="G18" i="14"/>
  <c r="T19" i="15"/>
  <c r="S53" i="15"/>
  <c r="S53" i="18" s="1"/>
  <c r="S53" i="20" s="1"/>
  <c r="J51" i="14"/>
  <c r="J18" i="15"/>
  <c r="J18" i="17" s="1"/>
  <c r="J51" i="17" s="1"/>
  <c r="I11" i="13"/>
  <c r="I18" i="15"/>
  <c r="I18" i="17" s="1"/>
  <c r="I51" i="17" s="1"/>
  <c r="I51" i="14"/>
  <c r="B54" i="18"/>
  <c r="B54" i="15"/>
  <c r="B54" i="20"/>
  <c r="D53" i="15"/>
  <c r="D53" i="20"/>
  <c r="D53" i="18"/>
  <c r="H18" i="14"/>
  <c r="U19" i="15"/>
  <c r="F8" i="13"/>
  <c r="K17" i="15"/>
  <c r="K17" i="17" s="1"/>
  <c r="K50" i="17" s="1"/>
  <c r="K50" i="14"/>
  <c r="O21" i="18" l="1"/>
  <c r="U19" i="18"/>
  <c r="U19" i="20" s="1"/>
  <c r="K17" i="20"/>
  <c r="K15" i="25" s="1"/>
  <c r="K17" i="18"/>
  <c r="E19" i="18"/>
  <c r="O21" i="20"/>
  <c r="T19" i="18"/>
  <c r="T19" i="20" s="1"/>
  <c r="I18" i="18"/>
  <c r="I18" i="20"/>
  <c r="I16" i="25" s="1"/>
  <c r="Q20" i="18"/>
  <c r="Q20" i="20" s="1"/>
  <c r="F19" i="18"/>
  <c r="F19" i="20"/>
  <c r="F17" i="25" s="1"/>
  <c r="J18" i="18"/>
  <c r="C20" i="18"/>
  <c r="E19" i="20"/>
  <c r="E17" i="25" s="1"/>
  <c r="J18" i="20"/>
  <c r="J16" i="25" s="1"/>
  <c r="C20" i="20"/>
  <c r="H17" i="26"/>
  <c r="H16" i="29" s="1"/>
  <c r="AE17" i="97"/>
  <c r="G17" i="26"/>
  <c r="G16" i="29" s="1"/>
  <c r="AD17" i="97"/>
  <c r="O54" i="15"/>
  <c r="O54" i="18" s="1"/>
  <c r="O54" i="20" s="1"/>
  <c r="I51" i="15"/>
  <c r="I51" i="20"/>
  <c r="I51" i="18"/>
  <c r="I12" i="13"/>
  <c r="I34" i="13"/>
  <c r="J51" i="15"/>
  <c r="J51" i="20"/>
  <c r="J51" i="18"/>
  <c r="F52" i="15"/>
  <c r="F52" i="20"/>
  <c r="F52" i="18"/>
  <c r="T52" i="15"/>
  <c r="T52" i="18" s="1"/>
  <c r="T52" i="20" s="1"/>
  <c r="B7" i="13"/>
  <c r="E18" i="14"/>
  <c r="R19" i="15"/>
  <c r="Q53" i="15"/>
  <c r="Q53" i="18" s="1"/>
  <c r="Q53" i="20" s="1"/>
  <c r="I17" i="14"/>
  <c r="V18" i="15"/>
  <c r="G51" i="14"/>
  <c r="G18" i="15"/>
  <c r="G18" i="17" s="1"/>
  <c r="G51" i="17" s="1"/>
  <c r="C53" i="15"/>
  <c r="C53" i="20"/>
  <c r="C53" i="18"/>
  <c r="D9" i="13"/>
  <c r="K14" i="13"/>
  <c r="K46" i="13"/>
  <c r="K36" i="13"/>
  <c r="J12" i="13"/>
  <c r="J34" i="13"/>
  <c r="D52" i="14"/>
  <c r="D19" i="15"/>
  <c r="D19" i="17" s="1"/>
  <c r="D52" i="17" s="1"/>
  <c r="K50" i="15"/>
  <c r="K50" i="20"/>
  <c r="K50" i="18"/>
  <c r="F9" i="13"/>
  <c r="H18" i="15"/>
  <c r="H18" i="17" s="1"/>
  <c r="H51" i="17" s="1"/>
  <c r="H51" i="14"/>
  <c r="C19" i="14"/>
  <c r="P20" i="15"/>
  <c r="P20" i="18" s="1"/>
  <c r="U52" i="15"/>
  <c r="U52" i="18" s="1"/>
  <c r="U52" i="20" s="1"/>
  <c r="K16" i="14"/>
  <c r="X17" i="15"/>
  <c r="X17" i="18" s="1"/>
  <c r="J17" i="14"/>
  <c r="W18" i="15"/>
  <c r="F18" i="14"/>
  <c r="S19" i="15"/>
  <c r="B20" i="15"/>
  <c r="B20" i="17" s="1"/>
  <c r="B53" i="17" s="1"/>
  <c r="B53" i="14"/>
  <c r="E10" i="13"/>
  <c r="E52" i="15"/>
  <c r="E52" i="20"/>
  <c r="E52" i="18"/>
  <c r="C8" i="13"/>
  <c r="G11" i="13"/>
  <c r="H11" i="13"/>
  <c r="X17" i="20" l="1"/>
  <c r="V18" i="18"/>
  <c r="V18" i="20" s="1"/>
  <c r="R19" i="18"/>
  <c r="R19" i="20" s="1"/>
  <c r="G18" i="20"/>
  <c r="G16" i="25" s="1"/>
  <c r="G18" i="18"/>
  <c r="S19" i="18"/>
  <c r="S19" i="20" s="1"/>
  <c r="W18" i="18"/>
  <c r="W18" i="20" s="1"/>
  <c r="H18" i="20"/>
  <c r="H16" i="25" s="1"/>
  <c r="D19" i="20"/>
  <c r="D17" i="25" s="1"/>
  <c r="P20" i="20"/>
  <c r="B20" i="20"/>
  <c r="B20" i="18"/>
  <c r="H18" i="18"/>
  <c r="D19" i="18"/>
  <c r="J16" i="26"/>
  <c r="J15" i="29" s="1"/>
  <c r="AG16" i="97"/>
  <c r="F17" i="26"/>
  <c r="F16" i="29" s="1"/>
  <c r="AC17" i="97"/>
  <c r="I16" i="26"/>
  <c r="I15" i="29" s="1"/>
  <c r="AF16" i="97"/>
  <c r="E17" i="26"/>
  <c r="E16" i="29" s="1"/>
  <c r="AB17" i="97"/>
  <c r="K15" i="26"/>
  <c r="K14" i="29" s="1"/>
  <c r="AH15" i="97"/>
  <c r="L12" i="27"/>
  <c r="S13" i="32" s="1"/>
  <c r="K12" i="97" s="1"/>
  <c r="H12" i="13"/>
  <c r="H34" i="13"/>
  <c r="R52" i="15"/>
  <c r="R52" i="18" s="1"/>
  <c r="R52" i="20" s="1"/>
  <c r="H51" i="15"/>
  <c r="H51" i="20"/>
  <c r="H51" i="18"/>
  <c r="F10" i="13"/>
  <c r="J13" i="13"/>
  <c r="J45" i="13"/>
  <c r="J35" i="13"/>
  <c r="G17" i="14"/>
  <c r="T18" i="15"/>
  <c r="I50" i="14"/>
  <c r="I17" i="15"/>
  <c r="I17" i="17" s="1"/>
  <c r="I50" i="17" s="1"/>
  <c r="C9" i="13"/>
  <c r="B53" i="15"/>
  <c r="B53" i="18"/>
  <c r="B53" i="20"/>
  <c r="F18" i="15"/>
  <c r="F18" i="17" s="1"/>
  <c r="F51" i="17" s="1"/>
  <c r="F51" i="14"/>
  <c r="J50" i="14"/>
  <c r="J17" i="15"/>
  <c r="J17" i="17" s="1"/>
  <c r="J50" i="17" s="1"/>
  <c r="U18" i="15"/>
  <c r="H17" i="14"/>
  <c r="K15" i="13"/>
  <c r="K47" i="13"/>
  <c r="K37" i="13"/>
  <c r="D10" i="13"/>
  <c r="P53" i="15"/>
  <c r="P53" i="18" s="1"/>
  <c r="P53" i="20" s="1"/>
  <c r="G51" i="15"/>
  <c r="G51" i="20"/>
  <c r="G51" i="18"/>
  <c r="B8" i="13"/>
  <c r="S52" i="15"/>
  <c r="S52" i="18" s="1"/>
  <c r="S52" i="20" s="1"/>
  <c r="W51" i="15"/>
  <c r="W51" i="18" s="1"/>
  <c r="W51" i="20" s="1"/>
  <c r="V51" i="15"/>
  <c r="V51" i="18" s="1"/>
  <c r="V51" i="20" s="1"/>
  <c r="G12" i="13"/>
  <c r="G34" i="13"/>
  <c r="E11" i="13"/>
  <c r="B19" i="14"/>
  <c r="O20" i="15"/>
  <c r="C19" i="15"/>
  <c r="C19" i="17" s="1"/>
  <c r="C52" i="17" s="1"/>
  <c r="C52" i="14"/>
  <c r="Q19" i="15"/>
  <c r="Q19" i="18" s="1"/>
  <c r="D18" i="14"/>
  <c r="E51" i="14"/>
  <c r="E18" i="15"/>
  <c r="E18" i="17" s="1"/>
  <c r="E51" i="17" s="1"/>
  <c r="I13" i="13"/>
  <c r="I45" i="13"/>
  <c r="I35" i="13"/>
  <c r="K49" i="14"/>
  <c r="X50" i="15"/>
  <c r="X50" i="18" s="1"/>
  <c r="X50" i="20" s="1"/>
  <c r="D52" i="15"/>
  <c r="D52" i="20"/>
  <c r="D52" i="18"/>
  <c r="C19" i="18" l="1"/>
  <c r="T18" i="18"/>
  <c r="T18" i="20" s="1"/>
  <c r="E18" i="18"/>
  <c r="C19" i="20"/>
  <c r="C17" i="25" s="1"/>
  <c r="Q19" i="20"/>
  <c r="O20" i="18"/>
  <c r="O20" i="20" s="1"/>
  <c r="U18" i="18"/>
  <c r="U18" i="20" s="1"/>
  <c r="J17" i="18"/>
  <c r="J17" i="20"/>
  <c r="J15" i="25" s="1"/>
  <c r="E18" i="20"/>
  <c r="F18" i="18"/>
  <c r="I17" i="18"/>
  <c r="F18" i="20"/>
  <c r="F16" i="25" s="1"/>
  <c r="I17" i="20"/>
  <c r="I15" i="25" s="1"/>
  <c r="H16" i="26"/>
  <c r="H15" i="29" s="1"/>
  <c r="AE16" i="97"/>
  <c r="D17" i="26"/>
  <c r="D16" i="29" s="1"/>
  <c r="AA17" i="97"/>
  <c r="G16" i="26"/>
  <c r="G15" i="29" s="1"/>
  <c r="AD16" i="97"/>
  <c r="R18" i="15"/>
  <c r="E17" i="14"/>
  <c r="B19" i="15"/>
  <c r="B19" i="17" s="1"/>
  <c r="B52" i="17" s="1"/>
  <c r="B52" i="14"/>
  <c r="E12" i="13"/>
  <c r="E34" i="13"/>
  <c r="B9" i="13"/>
  <c r="H17" i="15"/>
  <c r="H17" i="17" s="1"/>
  <c r="H50" i="17" s="1"/>
  <c r="H50" i="14"/>
  <c r="F11" i="13"/>
  <c r="E51" i="15"/>
  <c r="E51" i="20"/>
  <c r="E51" i="18"/>
  <c r="C52" i="15"/>
  <c r="C52" i="20"/>
  <c r="C52" i="18"/>
  <c r="D11" i="13"/>
  <c r="J16" i="14"/>
  <c r="W17" i="15"/>
  <c r="W17" i="18" s="1"/>
  <c r="F51" i="15"/>
  <c r="F51" i="20"/>
  <c r="F51" i="18"/>
  <c r="O53" i="15"/>
  <c r="O53" i="18" s="1"/>
  <c r="O53" i="20" s="1"/>
  <c r="V17" i="15"/>
  <c r="I16" i="14"/>
  <c r="G17" i="15"/>
  <c r="G17" i="17" s="1"/>
  <c r="G50" i="17" s="1"/>
  <c r="G50" i="14"/>
  <c r="J14" i="13"/>
  <c r="J46" i="13"/>
  <c r="J36" i="13"/>
  <c r="Q52" i="15"/>
  <c r="Q52" i="18" s="1"/>
  <c r="Q52" i="20" s="1"/>
  <c r="D18" i="15"/>
  <c r="D18" i="17" s="1"/>
  <c r="D51" i="17" s="1"/>
  <c r="D51" i="14"/>
  <c r="P19" i="15"/>
  <c r="P19" i="18" s="1"/>
  <c r="P19" i="20" s="1"/>
  <c r="C18" i="14"/>
  <c r="G13" i="13"/>
  <c r="G45" i="13"/>
  <c r="G35" i="13"/>
  <c r="J50" i="15"/>
  <c r="J50" i="20"/>
  <c r="J50" i="18"/>
  <c r="F17" i="14"/>
  <c r="S18" i="15"/>
  <c r="C10" i="13"/>
  <c r="I50" i="15"/>
  <c r="I50" i="20"/>
  <c r="I50" i="18"/>
  <c r="I46" i="13"/>
  <c r="I14" i="13"/>
  <c r="I36" i="13"/>
  <c r="E16" i="25"/>
  <c r="T51" i="15"/>
  <c r="T51" i="18" s="1"/>
  <c r="T51" i="20" s="1"/>
  <c r="K48" i="13"/>
  <c r="K16" i="13"/>
  <c r="K38" i="13"/>
  <c r="U51" i="15"/>
  <c r="U51" i="18" s="1"/>
  <c r="U51" i="20" s="1"/>
  <c r="H13" i="13"/>
  <c r="H45" i="13"/>
  <c r="H35" i="13"/>
  <c r="R18" i="18" l="1"/>
  <c r="G17" i="20"/>
  <c r="S18" i="18"/>
  <c r="S18" i="20" s="1"/>
  <c r="R18" i="20"/>
  <c r="W17" i="20"/>
  <c r="D18" i="20"/>
  <c r="D16" i="25" s="1"/>
  <c r="V17" i="18"/>
  <c r="V17" i="20" s="1"/>
  <c r="J12" i="27" s="1"/>
  <c r="Q13" i="32" s="1"/>
  <c r="I12" i="97" s="1"/>
  <c r="D18" i="18"/>
  <c r="G17" i="18"/>
  <c r="H17" i="20"/>
  <c r="H15" i="25" s="1"/>
  <c r="B19" i="20"/>
  <c r="B17" i="25" s="1"/>
  <c r="H17" i="18"/>
  <c r="B19" i="18"/>
  <c r="F16" i="26"/>
  <c r="F15" i="29" s="1"/>
  <c r="AC16" i="97"/>
  <c r="I15" i="26"/>
  <c r="I14" i="29" s="1"/>
  <c r="AF15" i="97"/>
  <c r="E16" i="26"/>
  <c r="E15" i="29" s="1"/>
  <c r="AB16" i="97"/>
  <c r="J15" i="26"/>
  <c r="J14" i="29" s="1"/>
  <c r="AG15" i="97"/>
  <c r="C17" i="26"/>
  <c r="C16" i="29" s="1"/>
  <c r="Z17" i="97"/>
  <c r="I15" i="13"/>
  <c r="I47" i="13"/>
  <c r="I37" i="13"/>
  <c r="H46" i="13"/>
  <c r="H14" i="13"/>
  <c r="H36" i="13"/>
  <c r="V50" i="15"/>
  <c r="V50" i="18" s="1"/>
  <c r="V50" i="20" s="1"/>
  <c r="G46" i="13"/>
  <c r="G14" i="13"/>
  <c r="G36" i="13"/>
  <c r="D51" i="15"/>
  <c r="D51" i="20"/>
  <c r="D51" i="18"/>
  <c r="J15" i="13"/>
  <c r="J47" i="13"/>
  <c r="J37" i="13"/>
  <c r="T17" i="15"/>
  <c r="G16" i="14"/>
  <c r="S51" i="15"/>
  <c r="S51" i="18" s="1"/>
  <c r="S51" i="20" s="1"/>
  <c r="D12" i="13"/>
  <c r="D34" i="13"/>
  <c r="R51" i="15"/>
  <c r="R51" i="18" s="1"/>
  <c r="R51" i="20" s="1"/>
  <c r="F12" i="13"/>
  <c r="F34" i="13"/>
  <c r="F17" i="15"/>
  <c r="F17" i="17" s="1"/>
  <c r="F50" i="17" s="1"/>
  <c r="F50" i="14"/>
  <c r="W50" i="15"/>
  <c r="W50" i="18" s="1"/>
  <c r="W50" i="20" s="1"/>
  <c r="D17" i="14"/>
  <c r="Q18" i="15"/>
  <c r="I49" i="14"/>
  <c r="P52" i="15"/>
  <c r="P52" i="18" s="1"/>
  <c r="P52" i="20" s="1"/>
  <c r="H50" i="15"/>
  <c r="H50" i="20"/>
  <c r="H50" i="18"/>
  <c r="K49" i="13"/>
  <c r="K39" i="13"/>
  <c r="K16" i="15"/>
  <c r="K16" i="17" s="1"/>
  <c r="K49" i="17" s="1"/>
  <c r="K10" i="17"/>
  <c r="K9" i="17"/>
  <c r="G15" i="25"/>
  <c r="J49" i="14"/>
  <c r="H16" i="14"/>
  <c r="U17" i="15"/>
  <c r="B52" i="15"/>
  <c r="B52" i="20"/>
  <c r="B52" i="18"/>
  <c r="E17" i="15"/>
  <c r="E17" i="17" s="1"/>
  <c r="E50" i="17" s="1"/>
  <c r="E50" i="14"/>
  <c r="K11" i="17"/>
  <c r="C11" i="13"/>
  <c r="C18" i="15"/>
  <c r="C18" i="17" s="1"/>
  <c r="C51" i="17" s="1"/>
  <c r="C51" i="14"/>
  <c r="G50" i="15"/>
  <c r="G50" i="20"/>
  <c r="G50" i="18"/>
  <c r="B10" i="13"/>
  <c r="E13" i="13"/>
  <c r="E45" i="13"/>
  <c r="E35" i="13"/>
  <c r="O19" i="15"/>
  <c r="B18" i="14"/>
  <c r="K12" i="27" l="1"/>
  <c r="R13" i="32" s="1"/>
  <c r="J12" i="97" s="1"/>
  <c r="Q18" i="18"/>
  <c r="Q18" i="20" s="1"/>
  <c r="T17" i="18"/>
  <c r="T17" i="20" s="1"/>
  <c r="H12" i="27" s="1"/>
  <c r="O13" i="32" s="1"/>
  <c r="G12" i="97" s="1"/>
  <c r="U17" i="18"/>
  <c r="U17" i="20" s="1"/>
  <c r="F17" i="18"/>
  <c r="F17" i="20"/>
  <c r="F15" i="25" s="1"/>
  <c r="C18" i="18"/>
  <c r="E17" i="20"/>
  <c r="E15" i="25" s="1"/>
  <c r="K16" i="20"/>
  <c r="K14" i="25" s="1"/>
  <c r="C18" i="20"/>
  <c r="C16" i="25" s="1"/>
  <c r="K16" i="18"/>
  <c r="O19" i="18"/>
  <c r="O19" i="20" s="1"/>
  <c r="E17" i="18"/>
  <c r="K44" i="17"/>
  <c r="K42" i="17"/>
  <c r="G15" i="26"/>
  <c r="G14" i="29" s="1"/>
  <c r="AD15" i="97"/>
  <c r="B17" i="26"/>
  <c r="B16" i="29" s="1"/>
  <c r="Y17" i="97"/>
  <c r="D16" i="26"/>
  <c r="D15" i="29" s="1"/>
  <c r="AA16" i="97"/>
  <c r="H15" i="26"/>
  <c r="H14" i="29" s="1"/>
  <c r="AE15" i="97"/>
  <c r="B11" i="13"/>
  <c r="C17" i="14"/>
  <c r="P18" i="15"/>
  <c r="C12" i="13"/>
  <c r="C34" i="13"/>
  <c r="E50" i="15"/>
  <c r="E50" i="20"/>
  <c r="E50" i="18"/>
  <c r="O52" i="15"/>
  <c r="O52" i="18" s="1"/>
  <c r="O52" i="20" s="1"/>
  <c r="H49" i="14"/>
  <c r="S17" i="15"/>
  <c r="S17" i="18" s="1"/>
  <c r="S17" i="20" s="1"/>
  <c r="F16" i="14"/>
  <c r="F13" i="13"/>
  <c r="F45" i="13"/>
  <c r="F35" i="13"/>
  <c r="G49" i="14"/>
  <c r="Q51" i="15"/>
  <c r="Q51" i="18" s="1"/>
  <c r="Q51" i="20" s="1"/>
  <c r="I16" i="13"/>
  <c r="I48" i="13"/>
  <c r="I38" i="13"/>
  <c r="B51" i="14"/>
  <c r="B18" i="15"/>
  <c r="B18" i="17" s="1"/>
  <c r="B51" i="17" s="1"/>
  <c r="E16" i="14"/>
  <c r="R17" i="15"/>
  <c r="K15" i="14"/>
  <c r="X16" i="15"/>
  <c r="D50" i="14"/>
  <c r="D17" i="15"/>
  <c r="D17" i="17" s="1"/>
  <c r="D50" i="17" s="1"/>
  <c r="K42" i="22"/>
  <c r="K29" i="22" s="1"/>
  <c r="K16" i="22" s="1"/>
  <c r="K3" i="22" s="1"/>
  <c r="D13" i="13"/>
  <c r="D45" i="13"/>
  <c r="D35" i="13"/>
  <c r="E14" i="13"/>
  <c r="E46" i="13"/>
  <c r="E36" i="13"/>
  <c r="T50" i="15"/>
  <c r="T50" i="18" s="1"/>
  <c r="T50" i="20" s="1"/>
  <c r="K43" i="17"/>
  <c r="K49" i="15"/>
  <c r="K49" i="20"/>
  <c r="K49" i="18"/>
  <c r="U50" i="15"/>
  <c r="U50" i="18" s="1"/>
  <c r="U50" i="20" s="1"/>
  <c r="H15" i="13"/>
  <c r="H37" i="13"/>
  <c r="H47" i="13"/>
  <c r="C51" i="15"/>
  <c r="C51" i="20"/>
  <c r="C51" i="18"/>
  <c r="F50" i="15"/>
  <c r="F50" i="20"/>
  <c r="F50" i="18"/>
  <c r="J48" i="13"/>
  <c r="J16" i="13"/>
  <c r="J38" i="13"/>
  <c r="G15" i="13"/>
  <c r="G47" i="13"/>
  <c r="G37" i="13"/>
  <c r="B18" i="20" l="1"/>
  <c r="P18" i="18"/>
  <c r="P18" i="20" s="1"/>
  <c r="D17" i="20"/>
  <c r="D15" i="25" s="1"/>
  <c r="I12" i="27"/>
  <c r="P13" i="32" s="1"/>
  <c r="H12" i="97" s="1"/>
  <c r="B18" i="18"/>
  <c r="X16" i="18"/>
  <c r="X16" i="20" s="1"/>
  <c r="L11" i="27" s="1"/>
  <c r="S12" i="32" s="1"/>
  <c r="K11" i="97" s="1"/>
  <c r="D17" i="18"/>
  <c r="R17" i="18"/>
  <c r="R17" i="20" s="1"/>
  <c r="F12" i="27" s="1"/>
  <c r="M13" i="32" s="1"/>
  <c r="E12" i="97" s="1"/>
  <c r="L17" i="26"/>
  <c r="F15" i="26"/>
  <c r="F14" i="29" s="1"/>
  <c r="AC15" i="97"/>
  <c r="C16" i="26"/>
  <c r="C15" i="29" s="1"/>
  <c r="Z16" i="97"/>
  <c r="E15" i="26"/>
  <c r="E14" i="29" s="1"/>
  <c r="AB15" i="97"/>
  <c r="K14" i="26"/>
  <c r="K13" i="29" s="1"/>
  <c r="AH14" i="97"/>
  <c r="G16" i="13"/>
  <c r="G11" i="17" s="1"/>
  <c r="G48" i="13"/>
  <c r="G38" i="13"/>
  <c r="J39" i="13"/>
  <c r="J49" i="13"/>
  <c r="J42" i="17" s="1"/>
  <c r="J10" i="17"/>
  <c r="J9" i="17"/>
  <c r="J16" i="15"/>
  <c r="J16" i="17" s="1"/>
  <c r="J49" i="17" s="1"/>
  <c r="J11" i="17"/>
  <c r="G12" i="27"/>
  <c r="N13" i="32" s="1"/>
  <c r="F12" i="97" s="1"/>
  <c r="E47" i="13"/>
  <c r="E15" i="13"/>
  <c r="E37" i="13"/>
  <c r="D14" i="13"/>
  <c r="D46" i="13"/>
  <c r="D36" i="13"/>
  <c r="B16" i="25"/>
  <c r="C17" i="15"/>
  <c r="C17" i="17" s="1"/>
  <c r="C50" i="17" s="1"/>
  <c r="C50" i="14"/>
  <c r="S50" i="15"/>
  <c r="S50" i="18" s="1"/>
  <c r="S50" i="20" s="1"/>
  <c r="P51" i="15"/>
  <c r="P51" i="18" s="1"/>
  <c r="P51" i="20" s="1"/>
  <c r="E49" i="14"/>
  <c r="B17" i="14"/>
  <c r="O18" i="15"/>
  <c r="I49" i="13"/>
  <c r="I42" i="17" s="1"/>
  <c r="I39" i="13"/>
  <c r="I9" i="17"/>
  <c r="I10" i="17"/>
  <c r="I11" i="17"/>
  <c r="I16" i="15"/>
  <c r="I16" i="17" s="1"/>
  <c r="I49" i="17" s="1"/>
  <c r="F46" i="13"/>
  <c r="F14" i="13"/>
  <c r="F36" i="13"/>
  <c r="R50" i="15"/>
  <c r="R50" i="18" s="1"/>
  <c r="R50" i="20" s="1"/>
  <c r="C13" i="13"/>
  <c r="C45" i="13"/>
  <c r="C35" i="13"/>
  <c r="X49" i="15"/>
  <c r="X49" i="18" s="1"/>
  <c r="X49" i="20" s="1"/>
  <c r="Q17" i="15"/>
  <c r="D16" i="14"/>
  <c r="B51" i="15"/>
  <c r="B51" i="18"/>
  <c r="B51" i="20"/>
  <c r="B12" i="13"/>
  <c r="B34" i="13"/>
  <c r="H16" i="13"/>
  <c r="H11" i="17" s="1"/>
  <c r="H48" i="13"/>
  <c r="H38" i="13"/>
  <c r="D50" i="15"/>
  <c r="D50" i="20"/>
  <c r="D50" i="18"/>
  <c r="K15" i="15"/>
  <c r="K15" i="17" s="1"/>
  <c r="K48" i="17" s="1"/>
  <c r="K48" i="14"/>
  <c r="F49" i="14"/>
  <c r="O18" i="18" l="1"/>
  <c r="O18" i="20" s="1"/>
  <c r="Q17" i="18"/>
  <c r="Q17" i="20" s="1"/>
  <c r="E12" i="27" s="1"/>
  <c r="L13" i="32" s="1"/>
  <c r="D12" i="97" s="1"/>
  <c r="J16" i="20"/>
  <c r="I16" i="20"/>
  <c r="I14" i="25" s="1"/>
  <c r="C17" i="18"/>
  <c r="G9" i="17"/>
  <c r="I16" i="18"/>
  <c r="K15" i="18"/>
  <c r="C17" i="20"/>
  <c r="C15" i="25" s="1"/>
  <c r="J16" i="18"/>
  <c r="K15" i="20"/>
  <c r="K13" i="25" s="1"/>
  <c r="D15" i="26"/>
  <c r="D14" i="29" s="1"/>
  <c r="AA15" i="97"/>
  <c r="B16" i="26"/>
  <c r="L16" i="26" s="1"/>
  <c r="Y16" i="97"/>
  <c r="J43" i="17"/>
  <c r="I42" i="22"/>
  <c r="I29" i="22" s="1"/>
  <c r="I16" i="22" s="1"/>
  <c r="I3" i="22" s="1"/>
  <c r="X15" i="15"/>
  <c r="K14" i="14"/>
  <c r="I15" i="14"/>
  <c r="V16" i="15"/>
  <c r="C50" i="15"/>
  <c r="C50" i="20"/>
  <c r="C50" i="18"/>
  <c r="K48" i="15"/>
  <c r="K48" i="20"/>
  <c r="K48" i="18"/>
  <c r="F47" i="13"/>
  <c r="F15" i="13"/>
  <c r="F37" i="13"/>
  <c r="B50" i="14"/>
  <c r="B17" i="15"/>
  <c r="B17" i="17" s="1"/>
  <c r="B50" i="17" s="1"/>
  <c r="C16" i="14"/>
  <c r="P17" i="15"/>
  <c r="J44" i="17"/>
  <c r="J49" i="20"/>
  <c r="J49" i="18"/>
  <c r="J49" i="15"/>
  <c r="G49" i="13"/>
  <c r="G39" i="13"/>
  <c r="G16" i="15"/>
  <c r="G16" i="17" s="1"/>
  <c r="G49" i="17" s="1"/>
  <c r="G10" i="17"/>
  <c r="H49" i="13"/>
  <c r="H43" i="17" s="1"/>
  <c r="H39" i="13"/>
  <c r="H9" i="17"/>
  <c r="H16" i="15"/>
  <c r="H16" i="17" s="1"/>
  <c r="H49" i="17" s="1"/>
  <c r="H10" i="17"/>
  <c r="B13" i="13"/>
  <c r="B45" i="13"/>
  <c r="B35" i="13"/>
  <c r="D49" i="14"/>
  <c r="C46" i="13"/>
  <c r="C14" i="13"/>
  <c r="C36" i="13"/>
  <c r="I44" i="17"/>
  <c r="I49" i="15"/>
  <c r="I43" i="17"/>
  <c r="I49" i="20"/>
  <c r="I49" i="18"/>
  <c r="D15" i="13"/>
  <c r="D47" i="13"/>
  <c r="D37" i="13"/>
  <c r="J14" i="25"/>
  <c r="J42" i="22"/>
  <c r="Q50" i="15"/>
  <c r="Q50" i="18" s="1"/>
  <c r="Q50" i="20" s="1"/>
  <c r="O51" i="15"/>
  <c r="O51" i="18" s="1"/>
  <c r="O51" i="20" s="1"/>
  <c r="E48" i="13"/>
  <c r="E16" i="13"/>
  <c r="E38" i="13"/>
  <c r="W16" i="15"/>
  <c r="J15" i="14"/>
  <c r="P17" i="18" l="1"/>
  <c r="B15" i="29"/>
  <c r="P17" i="20"/>
  <c r="D12" i="27" s="1"/>
  <c r="K13" i="32" s="1"/>
  <c r="C12" i="97" s="1"/>
  <c r="H16" i="18"/>
  <c r="X15" i="18"/>
  <c r="X15" i="20" s="1"/>
  <c r="W16" i="18"/>
  <c r="W16" i="20" s="1"/>
  <c r="K11" i="27" s="1"/>
  <c r="R12" i="32" s="1"/>
  <c r="J11" i="97" s="1"/>
  <c r="G16" i="20"/>
  <c r="G14" i="25" s="1"/>
  <c r="B17" i="20"/>
  <c r="B15" i="25" s="1"/>
  <c r="B17" i="18"/>
  <c r="H16" i="20"/>
  <c r="H14" i="25" s="1"/>
  <c r="G16" i="18"/>
  <c r="V16" i="18"/>
  <c r="V16" i="20" s="1"/>
  <c r="J11" i="27" s="1"/>
  <c r="Q12" i="32" s="1"/>
  <c r="I11" i="97" s="1"/>
  <c r="I14" i="26"/>
  <c r="I13" i="29" s="1"/>
  <c r="AF14" i="97"/>
  <c r="J14" i="26"/>
  <c r="J13" i="29" s="1"/>
  <c r="AG14" i="97"/>
  <c r="K13" i="26"/>
  <c r="K12" i="29" s="1"/>
  <c r="AH13" i="97"/>
  <c r="C15" i="26"/>
  <c r="C14" i="29" s="1"/>
  <c r="Z15" i="97"/>
  <c r="E10" i="17"/>
  <c r="H15" i="14"/>
  <c r="U16" i="15"/>
  <c r="H49" i="18"/>
  <c r="H49" i="15"/>
  <c r="H49" i="20"/>
  <c r="G49" i="15"/>
  <c r="G44" i="17"/>
  <c r="G49" i="20"/>
  <c r="G43" i="17"/>
  <c r="G49" i="18"/>
  <c r="G42" i="17"/>
  <c r="C49" i="14"/>
  <c r="B50" i="15"/>
  <c r="B50" i="20"/>
  <c r="B50" i="18"/>
  <c r="F16" i="13"/>
  <c r="F9" i="17" s="1"/>
  <c r="F48" i="13"/>
  <c r="F38" i="13"/>
  <c r="W49" i="15"/>
  <c r="W49" i="18" s="1"/>
  <c r="W49" i="20" s="1"/>
  <c r="H42" i="22"/>
  <c r="H44" i="17"/>
  <c r="J15" i="15"/>
  <c r="J15" i="17" s="1"/>
  <c r="J48" i="17" s="1"/>
  <c r="J48" i="14"/>
  <c r="J29" i="22"/>
  <c r="J16" i="22" s="1"/>
  <c r="J3" i="22" s="1"/>
  <c r="D48" i="13"/>
  <c r="D16" i="13"/>
  <c r="D11" i="17" s="1"/>
  <c r="D38" i="13"/>
  <c r="C15" i="13"/>
  <c r="C47" i="13"/>
  <c r="C37" i="13"/>
  <c r="B14" i="13"/>
  <c r="B46" i="13"/>
  <c r="B36" i="13"/>
  <c r="L10" i="27"/>
  <c r="S11" i="32" s="1"/>
  <c r="K10" i="97" s="1"/>
  <c r="X48" i="15"/>
  <c r="X48" i="18" s="1"/>
  <c r="X48" i="20" s="1"/>
  <c r="P50" i="15"/>
  <c r="P50" i="18" s="1"/>
  <c r="P50" i="20" s="1"/>
  <c r="I15" i="15"/>
  <c r="I15" i="17" s="1"/>
  <c r="I48" i="17" s="1"/>
  <c r="I48" i="14"/>
  <c r="H42" i="17"/>
  <c r="E49" i="13"/>
  <c r="E39" i="13"/>
  <c r="E9" i="17"/>
  <c r="E16" i="15"/>
  <c r="E16" i="17" s="1"/>
  <c r="E49" i="17" s="1"/>
  <c r="E11" i="17"/>
  <c r="V49" i="15"/>
  <c r="V49" i="18" s="1"/>
  <c r="V49" i="20" s="1"/>
  <c r="T16" i="15"/>
  <c r="G15" i="14"/>
  <c r="G42" i="22"/>
  <c r="B16" i="14"/>
  <c r="O17" i="15"/>
  <c r="K14" i="15"/>
  <c r="K14" i="17" s="1"/>
  <c r="K47" i="17" s="1"/>
  <c r="K47" i="14"/>
  <c r="O17" i="18" l="1"/>
  <c r="O17" i="20" s="1"/>
  <c r="U16" i="18"/>
  <c r="U16" i="20" s="1"/>
  <c r="I11" i="27" s="1"/>
  <c r="P12" i="32" s="1"/>
  <c r="H11" i="97" s="1"/>
  <c r="I15" i="20"/>
  <c r="I13" i="25" s="1"/>
  <c r="E16" i="18"/>
  <c r="E16" i="20"/>
  <c r="K14" i="18"/>
  <c r="T16" i="18"/>
  <c r="T16" i="20" s="1"/>
  <c r="K14" i="20"/>
  <c r="K12" i="25" s="1"/>
  <c r="I15" i="18"/>
  <c r="J15" i="18"/>
  <c r="J15" i="20"/>
  <c r="G14" i="26"/>
  <c r="G13" i="29" s="1"/>
  <c r="AD14" i="97"/>
  <c r="H14" i="26"/>
  <c r="H13" i="29" s="1"/>
  <c r="AE14" i="97"/>
  <c r="B15" i="26"/>
  <c r="L15" i="26" s="1"/>
  <c r="Y15" i="97"/>
  <c r="F11" i="17"/>
  <c r="B49" i="14"/>
  <c r="H48" i="14"/>
  <c r="H15" i="15"/>
  <c r="H15" i="17" s="1"/>
  <c r="H48" i="17" s="1"/>
  <c r="E42" i="17"/>
  <c r="K47" i="15"/>
  <c r="K47" i="20"/>
  <c r="K47" i="18"/>
  <c r="G29" i="22"/>
  <c r="G16" i="22" s="1"/>
  <c r="G3" i="22" s="1"/>
  <c r="C16" i="13"/>
  <c r="C48" i="13"/>
  <c r="C38" i="13"/>
  <c r="J48" i="15"/>
  <c r="J48" i="20"/>
  <c r="J48" i="18"/>
  <c r="O50" i="15"/>
  <c r="O50" i="18" s="1"/>
  <c r="O50" i="20" s="1"/>
  <c r="H29" i="22"/>
  <c r="H16" i="22" s="1"/>
  <c r="H3" i="22" s="1"/>
  <c r="I48" i="15"/>
  <c r="I48" i="20"/>
  <c r="I48" i="18"/>
  <c r="D49" i="13"/>
  <c r="D42" i="17" s="1"/>
  <c r="D39" i="13"/>
  <c r="D9" i="17"/>
  <c r="D16" i="15"/>
  <c r="D16" i="17" s="1"/>
  <c r="D49" i="17" s="1"/>
  <c r="D10" i="17"/>
  <c r="J14" i="14"/>
  <c r="W15" i="15"/>
  <c r="F49" i="13"/>
  <c r="F42" i="17" s="1"/>
  <c r="F39" i="13"/>
  <c r="F16" i="15"/>
  <c r="F16" i="17" s="1"/>
  <c r="F49" i="17" s="1"/>
  <c r="R16" i="15"/>
  <c r="R16" i="18" s="1"/>
  <c r="R16" i="20" s="1"/>
  <c r="E15" i="14"/>
  <c r="E43" i="17"/>
  <c r="E49" i="15"/>
  <c r="E49" i="20"/>
  <c r="E49" i="18"/>
  <c r="B14" i="29"/>
  <c r="J13" i="25"/>
  <c r="K13" i="14"/>
  <c r="X14" i="15"/>
  <c r="G48" i="14"/>
  <c r="G15" i="15"/>
  <c r="G15" i="17" s="1"/>
  <c r="G48" i="17" s="1"/>
  <c r="E14" i="25"/>
  <c r="E42" i="22"/>
  <c r="I14" i="14"/>
  <c r="V15" i="15"/>
  <c r="B15" i="13"/>
  <c r="B47" i="13"/>
  <c r="B37" i="13"/>
  <c r="F10" i="17"/>
  <c r="T49" i="15"/>
  <c r="T49" i="18" s="1"/>
  <c r="T49" i="20" s="1"/>
  <c r="U49" i="15"/>
  <c r="U49" i="18" s="1"/>
  <c r="U49" i="20" s="1"/>
  <c r="E44" i="17"/>
  <c r="V15" i="18" l="1"/>
  <c r="V15" i="20" s="1"/>
  <c r="W15" i="18"/>
  <c r="W15" i="20" s="1"/>
  <c r="X14" i="18"/>
  <c r="X14" i="20" s="1"/>
  <c r="C12" i="27"/>
  <c r="J13" i="32" s="1"/>
  <c r="B12" i="97" s="1"/>
  <c r="H11" i="27"/>
  <c r="O12" i="32" s="1"/>
  <c r="G11" i="97" s="1"/>
  <c r="H15" i="18"/>
  <c r="D16" i="20"/>
  <c r="D14" i="25" s="1"/>
  <c r="F16" i="20"/>
  <c r="F14" i="25" s="1"/>
  <c r="D16" i="18"/>
  <c r="H15" i="20"/>
  <c r="H13" i="25" s="1"/>
  <c r="G15" i="18"/>
  <c r="G15" i="20"/>
  <c r="G13" i="25" s="1"/>
  <c r="F16" i="18"/>
  <c r="J13" i="26"/>
  <c r="J12" i="29" s="1"/>
  <c r="AG13" i="97"/>
  <c r="E14" i="26"/>
  <c r="E13" i="29" s="1"/>
  <c r="AB14" i="97"/>
  <c r="K12" i="26"/>
  <c r="K11" i="29" s="1"/>
  <c r="AH12" i="97"/>
  <c r="I13" i="26"/>
  <c r="I12" i="29" s="1"/>
  <c r="AF13" i="97"/>
  <c r="D44" i="17"/>
  <c r="F43" i="17"/>
  <c r="F11" i="27"/>
  <c r="M12" i="32" s="1"/>
  <c r="E11" i="97" s="1"/>
  <c r="K10" i="27"/>
  <c r="R11" i="32" s="1"/>
  <c r="J10" i="97" s="1"/>
  <c r="J10" i="27"/>
  <c r="Q11" i="32" s="1"/>
  <c r="I10" i="97" s="1"/>
  <c r="B48" i="13"/>
  <c r="B16" i="13"/>
  <c r="B38" i="13"/>
  <c r="F15" i="14"/>
  <c r="S16" i="15"/>
  <c r="D42" i="22"/>
  <c r="D29" i="22" s="1"/>
  <c r="D16" i="22" s="1"/>
  <c r="D3" i="22" s="1"/>
  <c r="C39" i="13"/>
  <c r="C42" i="22" s="1"/>
  <c r="C49" i="13"/>
  <c r="C16" i="15"/>
  <c r="C16" i="17" s="1"/>
  <c r="C49" i="17" s="1"/>
  <c r="C10" i="17"/>
  <c r="K13" i="15"/>
  <c r="K13" i="17" s="1"/>
  <c r="K46" i="17" s="1"/>
  <c r="K46" i="14"/>
  <c r="D15" i="14"/>
  <c r="Q16" i="15"/>
  <c r="Q16" i="18" s="1"/>
  <c r="D49" i="15"/>
  <c r="D49" i="20"/>
  <c r="D49" i="18"/>
  <c r="X47" i="15"/>
  <c r="X47" i="18" s="1"/>
  <c r="X47" i="20" s="1"/>
  <c r="G48" i="15"/>
  <c r="G48" i="20"/>
  <c r="G48" i="18"/>
  <c r="R49" i="15"/>
  <c r="R49" i="18" s="1"/>
  <c r="R49" i="20" s="1"/>
  <c r="F42" i="22"/>
  <c r="F29" i="22" s="1"/>
  <c r="F16" i="22" s="1"/>
  <c r="F3" i="22" s="1"/>
  <c r="J47" i="14"/>
  <c r="J14" i="15"/>
  <c r="J14" i="17" s="1"/>
  <c r="J47" i="17" s="1"/>
  <c r="V48" i="15"/>
  <c r="V48" i="18" s="1"/>
  <c r="V48" i="20" s="1"/>
  <c r="W48" i="15"/>
  <c r="W48" i="18" s="1"/>
  <c r="W48" i="20" s="1"/>
  <c r="H14" i="14"/>
  <c r="U15" i="15"/>
  <c r="U15" i="18" s="1"/>
  <c r="I14" i="15"/>
  <c r="I14" i="17" s="1"/>
  <c r="I47" i="17" s="1"/>
  <c r="I47" i="14"/>
  <c r="G14" i="14"/>
  <c r="T15" i="15"/>
  <c r="E15" i="15"/>
  <c r="E15" i="17" s="1"/>
  <c r="E48" i="17" s="1"/>
  <c r="E48" i="14"/>
  <c r="F49" i="15"/>
  <c r="F49" i="20"/>
  <c r="F49" i="18"/>
  <c r="F44" i="17"/>
  <c r="C11" i="17"/>
  <c r="D43" i="17"/>
  <c r="E29" i="22"/>
  <c r="E16" i="22" s="1"/>
  <c r="E3" i="22" s="1"/>
  <c r="C9" i="17"/>
  <c r="H48" i="15"/>
  <c r="H48" i="20"/>
  <c r="H48" i="18"/>
  <c r="Q16" i="20" l="1"/>
  <c r="L9" i="27"/>
  <c r="S10" i="32" s="1"/>
  <c r="K9" i="97" s="1"/>
  <c r="T15" i="18"/>
  <c r="U15" i="20"/>
  <c r="I14" i="20"/>
  <c r="K13" i="20"/>
  <c r="S16" i="18"/>
  <c r="S16" i="20" s="1"/>
  <c r="G11" i="27" s="1"/>
  <c r="N12" i="32" s="1"/>
  <c r="F11" i="97" s="1"/>
  <c r="I14" i="18"/>
  <c r="J14" i="20"/>
  <c r="J12" i="25" s="1"/>
  <c r="C16" i="20"/>
  <c r="C14" i="25" s="1"/>
  <c r="E15" i="20"/>
  <c r="E13" i="25" s="1"/>
  <c r="J14" i="18"/>
  <c r="K13" i="18"/>
  <c r="T15" i="20"/>
  <c r="H10" i="27" s="1"/>
  <c r="O11" i="32" s="1"/>
  <c r="G10" i="97" s="1"/>
  <c r="C16" i="18"/>
  <c r="E15" i="18"/>
  <c r="H13" i="26"/>
  <c r="H12" i="29" s="1"/>
  <c r="AE13" i="97"/>
  <c r="F14" i="26"/>
  <c r="F13" i="29" s="1"/>
  <c r="AC14" i="97"/>
  <c r="G13" i="26"/>
  <c r="G12" i="29" s="1"/>
  <c r="AD13" i="97"/>
  <c r="D14" i="26"/>
  <c r="D13" i="29" s="1"/>
  <c r="AA14" i="97"/>
  <c r="S49" i="15"/>
  <c r="S49" i="18" s="1"/>
  <c r="S49" i="20" s="1"/>
  <c r="G14" i="15"/>
  <c r="G14" i="17" s="1"/>
  <c r="G47" i="17" s="1"/>
  <c r="G47" i="14"/>
  <c r="E11" i="27"/>
  <c r="L12" i="32" s="1"/>
  <c r="D11" i="97" s="1"/>
  <c r="K46" i="15"/>
  <c r="K46" i="20"/>
  <c r="K46" i="18"/>
  <c r="C15" i="14"/>
  <c r="P16" i="15"/>
  <c r="C29" i="22"/>
  <c r="C16" i="22" s="1"/>
  <c r="C3" i="22" s="1"/>
  <c r="B39" i="13"/>
  <c r="B49" i="13"/>
  <c r="B9" i="17"/>
  <c r="B10" i="17"/>
  <c r="B16" i="15"/>
  <c r="B16" i="17" s="1"/>
  <c r="B49" i="17" s="1"/>
  <c r="K12" i="14"/>
  <c r="X13" i="15"/>
  <c r="E14" i="14"/>
  <c r="R15" i="15"/>
  <c r="I12" i="25"/>
  <c r="J13" i="14"/>
  <c r="W14" i="15"/>
  <c r="U48" i="15"/>
  <c r="U48" i="18" s="1"/>
  <c r="U48" i="20" s="1"/>
  <c r="I13" i="14"/>
  <c r="V14" i="15"/>
  <c r="T48" i="15"/>
  <c r="T48" i="18" s="1"/>
  <c r="T48" i="20" s="1"/>
  <c r="E48" i="15"/>
  <c r="E48" i="20"/>
  <c r="E48" i="18"/>
  <c r="I47" i="15"/>
  <c r="I47" i="20"/>
  <c r="I47" i="18"/>
  <c r="H14" i="15"/>
  <c r="H14" i="17" s="1"/>
  <c r="H47" i="17" s="1"/>
  <c r="H47" i="14"/>
  <c r="J47" i="15"/>
  <c r="J47" i="20"/>
  <c r="J47" i="18"/>
  <c r="B11" i="17"/>
  <c r="Q49" i="15"/>
  <c r="Q49" i="18" s="1"/>
  <c r="Q49" i="20" s="1"/>
  <c r="D15" i="15"/>
  <c r="D15" i="17" s="1"/>
  <c r="D48" i="17" s="1"/>
  <c r="D48" i="14"/>
  <c r="K11" i="25"/>
  <c r="C49" i="20"/>
  <c r="C42" i="17"/>
  <c r="C49" i="18"/>
  <c r="C44" i="17"/>
  <c r="C43" i="17"/>
  <c r="C49" i="15"/>
  <c r="F48" i="14"/>
  <c r="F15" i="15"/>
  <c r="F15" i="17" s="1"/>
  <c r="F48" i="17" s="1"/>
  <c r="I10" i="27" l="1"/>
  <c r="P11" i="32" s="1"/>
  <c r="H10" i="97" s="1"/>
  <c r="V14" i="18"/>
  <c r="V14" i="20" s="1"/>
  <c r="R15" i="18"/>
  <c r="R15" i="20" s="1"/>
  <c r="F10" i="27" s="1"/>
  <c r="M11" i="32" s="1"/>
  <c r="E10" i="97" s="1"/>
  <c r="P16" i="18"/>
  <c r="P16" i="20" s="1"/>
  <c r="F15" i="20"/>
  <c r="B16" i="20"/>
  <c r="F15" i="18"/>
  <c r="W14" i="18"/>
  <c r="W14" i="20" s="1"/>
  <c r="K9" i="27" s="1"/>
  <c r="R10" i="32" s="1"/>
  <c r="J9" i="97" s="1"/>
  <c r="D15" i="18"/>
  <c r="D15" i="20"/>
  <c r="D13" i="25" s="1"/>
  <c r="H14" i="20"/>
  <c r="X13" i="18"/>
  <c r="X13" i="20" s="1"/>
  <c r="L8" i="27" s="1"/>
  <c r="S9" i="32" s="1"/>
  <c r="K8" i="97" s="1"/>
  <c r="H14" i="18"/>
  <c r="B16" i="18"/>
  <c r="G14" i="18"/>
  <c r="G14" i="20"/>
  <c r="G12" i="25" s="1"/>
  <c r="C14" i="26"/>
  <c r="C13" i="29" s="1"/>
  <c r="Z14" i="97"/>
  <c r="I12" i="26"/>
  <c r="I11" i="29" s="1"/>
  <c r="AF12" i="97"/>
  <c r="K11" i="26"/>
  <c r="K10" i="29" s="1"/>
  <c r="AH11" i="97"/>
  <c r="E13" i="26"/>
  <c r="E12" i="29" s="1"/>
  <c r="AB13" i="97"/>
  <c r="J12" i="26"/>
  <c r="J11" i="29" s="1"/>
  <c r="AG12" i="97"/>
  <c r="D11" i="27"/>
  <c r="K12" i="32" s="1"/>
  <c r="C11" i="97" s="1"/>
  <c r="P49" i="15"/>
  <c r="P49" i="18" s="1"/>
  <c r="P49" i="20" s="1"/>
  <c r="H47" i="15"/>
  <c r="H47" i="20"/>
  <c r="H47" i="18"/>
  <c r="R48" i="15"/>
  <c r="R48" i="18" s="1"/>
  <c r="R48" i="20" s="1"/>
  <c r="C15" i="15"/>
  <c r="C15" i="17" s="1"/>
  <c r="C48" i="17" s="1"/>
  <c r="C48" i="14"/>
  <c r="G13" i="14"/>
  <c r="T14" i="15"/>
  <c r="F13" i="25"/>
  <c r="D48" i="15"/>
  <c r="D48" i="20"/>
  <c r="D48" i="18"/>
  <c r="W47" i="15"/>
  <c r="W47" i="18" s="1"/>
  <c r="W47" i="20" s="1"/>
  <c r="U14" i="15"/>
  <c r="H13" i="14"/>
  <c r="V47" i="15"/>
  <c r="V47" i="18" s="1"/>
  <c r="V47" i="20" s="1"/>
  <c r="F14" i="14"/>
  <c r="S15" i="15"/>
  <c r="Q15" i="15"/>
  <c r="D14" i="14"/>
  <c r="B14" i="25"/>
  <c r="I13" i="15"/>
  <c r="I13" i="17" s="1"/>
  <c r="I46" i="17" s="1"/>
  <c r="I46" i="14"/>
  <c r="J13" i="15"/>
  <c r="J13" i="17" s="1"/>
  <c r="J46" i="17" s="1"/>
  <c r="J46" i="14"/>
  <c r="E47" i="14"/>
  <c r="E14" i="15"/>
  <c r="E14" i="17" s="1"/>
  <c r="E47" i="17" s="1"/>
  <c r="J9" i="27"/>
  <c r="Q10" i="32" s="1"/>
  <c r="I9" i="97" s="1"/>
  <c r="B15" i="14"/>
  <c r="O16" i="15"/>
  <c r="B49" i="20"/>
  <c r="B43" i="17"/>
  <c r="B42" i="17"/>
  <c r="B44" i="17"/>
  <c r="B49" i="15"/>
  <c r="B49" i="18"/>
  <c r="F48" i="15"/>
  <c r="F48" i="20"/>
  <c r="F48" i="18"/>
  <c r="H12" i="25"/>
  <c r="K12" i="15"/>
  <c r="K12" i="17" s="1"/>
  <c r="K45" i="17" s="1"/>
  <c r="K45" i="14"/>
  <c r="B42" i="22"/>
  <c r="X46" i="15"/>
  <c r="X46" i="18" s="1"/>
  <c r="X46" i="20" s="1"/>
  <c r="G47" i="15"/>
  <c r="G47" i="20"/>
  <c r="G47" i="18"/>
  <c r="S15" i="18" l="1"/>
  <c r="S15" i="20" s="1"/>
  <c r="O16" i="18"/>
  <c r="O16" i="20" s="1"/>
  <c r="I13" i="18"/>
  <c r="T14" i="18"/>
  <c r="T14" i="20" s="1"/>
  <c r="Q15" i="18"/>
  <c r="Q15" i="20" s="1"/>
  <c r="I13" i="20"/>
  <c r="I11" i="25" s="1"/>
  <c r="E14" i="18"/>
  <c r="U14" i="18"/>
  <c r="U14" i="20" s="1"/>
  <c r="C15" i="20"/>
  <c r="C13" i="25" s="1"/>
  <c r="J13" i="20"/>
  <c r="J11" i="25" s="1"/>
  <c r="E14" i="20"/>
  <c r="E12" i="25" s="1"/>
  <c r="K12" i="18"/>
  <c r="K12" i="20"/>
  <c r="K10" i="25" s="1"/>
  <c r="J13" i="18"/>
  <c r="C15" i="18"/>
  <c r="H12" i="26"/>
  <c r="H11" i="29" s="1"/>
  <c r="AE12" i="97"/>
  <c r="G12" i="26"/>
  <c r="G11" i="29" s="1"/>
  <c r="AD12" i="97"/>
  <c r="F13" i="26"/>
  <c r="F12" i="29" s="1"/>
  <c r="AC13" i="97"/>
  <c r="D13" i="26"/>
  <c r="D12" i="29" s="1"/>
  <c r="AA13" i="97"/>
  <c r="B14" i="26"/>
  <c r="L14" i="26" s="1"/>
  <c r="Y14" i="97"/>
  <c r="C11" i="27"/>
  <c r="J12" i="32" s="1"/>
  <c r="B11" i="97" s="1"/>
  <c r="T47" i="15"/>
  <c r="T47" i="18" s="1"/>
  <c r="T47" i="20" s="1"/>
  <c r="S48" i="15"/>
  <c r="S48" i="18" s="1"/>
  <c r="S48" i="20" s="1"/>
  <c r="O49" i="15"/>
  <c r="O49" i="18" s="1"/>
  <c r="O49" i="20" s="1"/>
  <c r="R14" i="15"/>
  <c r="E13" i="14"/>
  <c r="J46" i="15"/>
  <c r="J46" i="20"/>
  <c r="J46" i="18"/>
  <c r="I46" i="15"/>
  <c r="I46" i="20"/>
  <c r="I46" i="18"/>
  <c r="F14" i="15"/>
  <c r="F14" i="17" s="1"/>
  <c r="F47" i="17" s="1"/>
  <c r="F47" i="14"/>
  <c r="Q48" i="15"/>
  <c r="Q48" i="18" s="1"/>
  <c r="Q48" i="20" s="1"/>
  <c r="C48" i="15"/>
  <c r="C48" i="20"/>
  <c r="C48" i="18"/>
  <c r="B29" i="22"/>
  <c r="B16" i="22" s="1"/>
  <c r="B3" i="22" s="1"/>
  <c r="K45" i="15"/>
  <c r="K45" i="20"/>
  <c r="K45" i="18"/>
  <c r="E47" i="15"/>
  <c r="E47" i="20"/>
  <c r="E47" i="18"/>
  <c r="J12" i="14"/>
  <c r="W13" i="15"/>
  <c r="V13" i="15"/>
  <c r="V13" i="18" s="1"/>
  <c r="I12" i="14"/>
  <c r="H13" i="15"/>
  <c r="H13" i="17" s="1"/>
  <c r="H46" i="17" s="1"/>
  <c r="H46" i="14"/>
  <c r="G46" i="14"/>
  <c r="G13" i="15"/>
  <c r="G13" i="17" s="1"/>
  <c r="G46" i="17" s="1"/>
  <c r="P15" i="15"/>
  <c r="P15" i="18" s="1"/>
  <c r="C14" i="14"/>
  <c r="X12" i="15"/>
  <c r="K11" i="14"/>
  <c r="B15" i="15"/>
  <c r="B15" i="17" s="1"/>
  <c r="B48" i="17" s="1"/>
  <c r="B48" i="14"/>
  <c r="D14" i="15"/>
  <c r="D14" i="17" s="1"/>
  <c r="D47" i="17" s="1"/>
  <c r="D47" i="14"/>
  <c r="U47" i="15"/>
  <c r="U47" i="18" s="1"/>
  <c r="U47" i="20" s="1"/>
  <c r="G10" i="27" l="1"/>
  <c r="N11" i="32" s="1"/>
  <c r="F10" i="97" s="1"/>
  <c r="H9" i="27"/>
  <c r="O10" i="32" s="1"/>
  <c r="G9" i="97" s="1"/>
  <c r="I9" i="27"/>
  <c r="P10" i="32" s="1"/>
  <c r="H9" i="97" s="1"/>
  <c r="R14" i="18"/>
  <c r="R14" i="20" s="1"/>
  <c r="W13" i="18"/>
  <c r="W13" i="20" s="1"/>
  <c r="E10" i="27"/>
  <c r="L11" i="32" s="1"/>
  <c r="D10" i="97" s="1"/>
  <c r="V13" i="20"/>
  <c r="J8" i="27" s="1"/>
  <c r="Q9" i="32" s="1"/>
  <c r="I8" i="97" s="1"/>
  <c r="P15" i="20"/>
  <c r="D10" i="27" s="1"/>
  <c r="K11" i="32" s="1"/>
  <c r="C10" i="97" s="1"/>
  <c r="X12" i="18"/>
  <c r="X12" i="20" s="1"/>
  <c r="H13" i="20"/>
  <c r="H11" i="25" s="1"/>
  <c r="B15" i="18"/>
  <c r="G13" i="20"/>
  <c r="G11" i="25" s="1"/>
  <c r="D14" i="18"/>
  <c r="H13" i="18"/>
  <c r="B15" i="20"/>
  <c r="B13" i="25" s="1"/>
  <c r="G13" i="18"/>
  <c r="F14" i="18"/>
  <c r="D14" i="20"/>
  <c r="D12" i="25" s="1"/>
  <c r="F14" i="20"/>
  <c r="F12" i="25" s="1"/>
  <c r="B13" i="29"/>
  <c r="J11" i="26"/>
  <c r="J10" i="29" s="1"/>
  <c r="AG11" i="97"/>
  <c r="I11" i="26"/>
  <c r="I10" i="29" s="1"/>
  <c r="AF11" i="97"/>
  <c r="C13" i="26"/>
  <c r="C12" i="29" s="1"/>
  <c r="Z13" i="97"/>
  <c r="K10" i="26"/>
  <c r="K9" i="29" s="1"/>
  <c r="AH10" i="97"/>
  <c r="E12" i="26"/>
  <c r="E11" i="29" s="1"/>
  <c r="AB12" i="97"/>
  <c r="K11" i="15"/>
  <c r="X11" i="15" s="1"/>
  <c r="K11" i="18"/>
  <c r="K11" i="20"/>
  <c r="J45" i="14"/>
  <c r="J12" i="15"/>
  <c r="J12" i="17" s="1"/>
  <c r="J45" i="17" s="1"/>
  <c r="G46" i="15"/>
  <c r="G46" i="20"/>
  <c r="G46" i="18"/>
  <c r="H12" i="14"/>
  <c r="U13" i="15"/>
  <c r="F13" i="14"/>
  <c r="S14" i="15"/>
  <c r="S14" i="18" s="1"/>
  <c r="D47" i="15"/>
  <c r="D47" i="20"/>
  <c r="D47" i="18"/>
  <c r="I45" i="14"/>
  <c r="I12" i="15"/>
  <c r="I12" i="17" s="1"/>
  <c r="I45" i="17" s="1"/>
  <c r="D13" i="14"/>
  <c r="Q14" i="15"/>
  <c r="P48" i="15"/>
  <c r="P48" i="18" s="1"/>
  <c r="P48" i="20" s="1"/>
  <c r="W46" i="15"/>
  <c r="W46" i="18" s="1"/>
  <c r="W46" i="20" s="1"/>
  <c r="R47" i="15"/>
  <c r="R47" i="18" s="1"/>
  <c r="R47" i="20" s="1"/>
  <c r="B48" i="15"/>
  <c r="B48" i="20"/>
  <c r="B48" i="18"/>
  <c r="C14" i="15"/>
  <c r="C14" i="17" s="1"/>
  <c r="C47" i="17" s="1"/>
  <c r="C47" i="14"/>
  <c r="O15" i="15"/>
  <c r="O15" i="18" s="1"/>
  <c r="B14" i="14"/>
  <c r="T13" i="15"/>
  <c r="G12" i="14"/>
  <c r="H46" i="15"/>
  <c r="H46" i="20"/>
  <c r="H46" i="18"/>
  <c r="X45" i="15"/>
  <c r="X45" i="18" s="1"/>
  <c r="X45" i="20" s="1"/>
  <c r="K44" i="14"/>
  <c r="F47" i="15"/>
  <c r="F47" i="20"/>
  <c r="F47" i="18"/>
  <c r="V46" i="15"/>
  <c r="V46" i="18" s="1"/>
  <c r="V46" i="20" s="1"/>
  <c r="E13" i="15"/>
  <c r="E13" i="17" s="1"/>
  <c r="E46" i="17" s="1"/>
  <c r="E46" i="14"/>
  <c r="U13" i="18" l="1"/>
  <c r="U13" i="20" s="1"/>
  <c r="K8" i="27"/>
  <c r="R9" i="32" s="1"/>
  <c r="J8" i="97" s="1"/>
  <c r="F9" i="27"/>
  <c r="M10" i="32" s="1"/>
  <c r="E9" i="97" s="1"/>
  <c r="L7" i="27"/>
  <c r="S8" i="32" s="1"/>
  <c r="K7" i="97" s="1"/>
  <c r="Q14" i="18"/>
  <c r="Q14" i="20" s="1"/>
  <c r="E9" i="27" s="1"/>
  <c r="L10" i="32" s="1"/>
  <c r="D9" i="97" s="1"/>
  <c r="J12" i="20"/>
  <c r="J10" i="25" s="1"/>
  <c r="T13" i="18"/>
  <c r="T13" i="20" s="1"/>
  <c r="H8" i="27" s="1"/>
  <c r="O9" i="32" s="1"/>
  <c r="G8" i="97" s="1"/>
  <c r="O15" i="20"/>
  <c r="I12" i="18"/>
  <c r="C14" i="20"/>
  <c r="I12" i="20"/>
  <c r="I10" i="25" s="1"/>
  <c r="C14" i="18"/>
  <c r="E13" i="18"/>
  <c r="E13" i="20"/>
  <c r="S14" i="20"/>
  <c r="G9" i="27" s="1"/>
  <c r="N10" i="32" s="1"/>
  <c r="F9" i="97" s="1"/>
  <c r="J12" i="18"/>
  <c r="F12" i="26"/>
  <c r="F11" i="29" s="1"/>
  <c r="AC12" i="97"/>
  <c r="D12" i="26"/>
  <c r="D11" i="29" s="1"/>
  <c r="AA12" i="97"/>
  <c r="H11" i="26"/>
  <c r="H10" i="29" s="1"/>
  <c r="AE11" i="97"/>
  <c r="G11" i="26"/>
  <c r="G10" i="29" s="1"/>
  <c r="AD11" i="97"/>
  <c r="B13" i="26"/>
  <c r="B12" i="29" s="1"/>
  <c r="Y13" i="97"/>
  <c r="C47" i="15"/>
  <c r="C47" i="20"/>
  <c r="C47" i="18"/>
  <c r="I45" i="15"/>
  <c r="I45" i="20"/>
  <c r="I45" i="18"/>
  <c r="H45" i="14"/>
  <c r="H12" i="15"/>
  <c r="H12" i="17" s="1"/>
  <c r="H45" i="17" s="1"/>
  <c r="E46" i="15"/>
  <c r="E46" i="20"/>
  <c r="E46" i="18"/>
  <c r="C13" i="14"/>
  <c r="P14" i="15"/>
  <c r="W12" i="15"/>
  <c r="J11" i="14"/>
  <c r="E11" i="25"/>
  <c r="E12" i="14"/>
  <c r="R13" i="15"/>
  <c r="U46" i="15"/>
  <c r="U46" i="18" s="1"/>
  <c r="U46" i="20" s="1"/>
  <c r="B47" i="14"/>
  <c r="B14" i="15"/>
  <c r="B14" i="17" s="1"/>
  <c r="B47" i="17" s="1"/>
  <c r="K9" i="25"/>
  <c r="K44" i="15"/>
  <c r="K44" i="18"/>
  <c r="K44" i="20"/>
  <c r="O48" i="15"/>
  <c r="O48" i="18" s="1"/>
  <c r="O48" i="20" s="1"/>
  <c r="S47" i="15"/>
  <c r="S47" i="18" s="1"/>
  <c r="S47" i="20" s="1"/>
  <c r="G45" i="14"/>
  <c r="G12" i="15"/>
  <c r="G12" i="17" s="1"/>
  <c r="G45" i="17" s="1"/>
  <c r="C12" i="25"/>
  <c r="D13" i="15"/>
  <c r="D13" i="17" s="1"/>
  <c r="D46" i="17" s="1"/>
  <c r="D46" i="14"/>
  <c r="V12" i="15"/>
  <c r="I11" i="14"/>
  <c r="Q47" i="15"/>
  <c r="Q47" i="18" s="1"/>
  <c r="Q47" i="20" s="1"/>
  <c r="F13" i="15"/>
  <c r="F13" i="17" s="1"/>
  <c r="F46" i="17" s="1"/>
  <c r="F46" i="14"/>
  <c r="T46" i="15"/>
  <c r="T46" i="18" s="1"/>
  <c r="T46" i="20" s="1"/>
  <c r="J45" i="15"/>
  <c r="J45" i="20"/>
  <c r="J45" i="18"/>
  <c r="X11" i="18"/>
  <c r="X11" i="20" s="1"/>
  <c r="I8" i="27" l="1"/>
  <c r="P9" i="32" s="1"/>
  <c r="H8" i="97" s="1"/>
  <c r="W12" i="18"/>
  <c r="W12" i="20" s="1"/>
  <c r="K7" i="27" s="1"/>
  <c r="R8" i="32" s="1"/>
  <c r="J7" i="97" s="1"/>
  <c r="V12" i="18"/>
  <c r="V12" i="20" s="1"/>
  <c r="C10" i="27"/>
  <c r="J11" i="32" s="1"/>
  <c r="B10" i="97" s="1"/>
  <c r="R13" i="18"/>
  <c r="R13" i="20" s="1"/>
  <c r="F8" i="27" s="1"/>
  <c r="M9" i="32" s="1"/>
  <c r="E8" i="97" s="1"/>
  <c r="P14" i="18"/>
  <c r="P14" i="20" s="1"/>
  <c r="B14" i="18"/>
  <c r="B14" i="20"/>
  <c r="B12" i="25" s="1"/>
  <c r="H12" i="18"/>
  <c r="G12" i="18"/>
  <c r="H12" i="20"/>
  <c r="H10" i="25" s="1"/>
  <c r="D13" i="18"/>
  <c r="G12" i="20"/>
  <c r="G10" i="25" s="1"/>
  <c r="F13" i="18"/>
  <c r="D13" i="20"/>
  <c r="F13" i="20"/>
  <c r="F11" i="25" s="1"/>
  <c r="L13" i="26"/>
  <c r="K9" i="26"/>
  <c r="K8" i="29" s="1"/>
  <c r="AH9" i="97"/>
  <c r="E11" i="26"/>
  <c r="E10" i="29" s="1"/>
  <c r="AB11" i="97"/>
  <c r="J10" i="26"/>
  <c r="J9" i="29" s="1"/>
  <c r="AG10" i="97"/>
  <c r="C12" i="26"/>
  <c r="C11" i="29" s="1"/>
  <c r="Z12" i="97"/>
  <c r="I10" i="26"/>
  <c r="I9" i="29" s="1"/>
  <c r="AF10" i="97"/>
  <c r="L6" i="27"/>
  <c r="S7" i="32" s="1"/>
  <c r="K6" i="97" s="1"/>
  <c r="J11" i="15"/>
  <c r="W11" i="15" s="1"/>
  <c r="J11" i="20"/>
  <c r="J11" i="18"/>
  <c r="Q13" i="15"/>
  <c r="D12" i="14"/>
  <c r="U12" i="15"/>
  <c r="H11" i="14"/>
  <c r="G45" i="15"/>
  <c r="G45" i="20"/>
  <c r="G45" i="18"/>
  <c r="P47" i="15"/>
  <c r="P47" i="18" s="1"/>
  <c r="P47" i="20" s="1"/>
  <c r="R46" i="15"/>
  <c r="R46" i="18" s="1"/>
  <c r="R46" i="20" s="1"/>
  <c r="W45" i="15"/>
  <c r="W45" i="18" s="1"/>
  <c r="W45" i="20" s="1"/>
  <c r="J44" i="14"/>
  <c r="T12" i="15"/>
  <c r="G11" i="14"/>
  <c r="K51" i="22"/>
  <c r="K38" i="22" s="1"/>
  <c r="K25" i="22" s="1"/>
  <c r="B13" i="14"/>
  <c r="O14" i="15"/>
  <c r="O14" i="18" s="1"/>
  <c r="H45" i="15"/>
  <c r="H45" i="20"/>
  <c r="H45" i="18"/>
  <c r="S13" i="15"/>
  <c r="F12" i="14"/>
  <c r="D46" i="15"/>
  <c r="D46" i="20"/>
  <c r="D46" i="18"/>
  <c r="C13" i="15"/>
  <c r="C13" i="17" s="1"/>
  <c r="C46" i="17" s="1"/>
  <c r="C46" i="14"/>
  <c r="E45" i="14"/>
  <c r="E12" i="15"/>
  <c r="E12" i="17" s="1"/>
  <c r="E45" i="17" s="1"/>
  <c r="V45" i="15"/>
  <c r="V45" i="18" s="1"/>
  <c r="V45" i="20" s="1"/>
  <c r="I44" i="14"/>
  <c r="F46" i="15"/>
  <c r="F46" i="20"/>
  <c r="F46" i="18"/>
  <c r="I11" i="15"/>
  <c r="V11" i="15" s="1"/>
  <c r="I11" i="20"/>
  <c r="I11" i="18"/>
  <c r="D11" i="25"/>
  <c r="X44" i="15"/>
  <c r="X44" i="18" s="1"/>
  <c r="X44" i="20" s="1"/>
  <c r="K10" i="14"/>
  <c r="K43" i="14"/>
  <c r="B47" i="15"/>
  <c r="B47" i="18"/>
  <c r="B47" i="20"/>
  <c r="U12" i="18" l="1"/>
  <c r="U12" i="20" s="1"/>
  <c r="D9" i="27"/>
  <c r="K10" i="32" s="1"/>
  <c r="C9" i="97" s="1"/>
  <c r="S13" i="18"/>
  <c r="J7" i="27"/>
  <c r="Q8" i="32" s="1"/>
  <c r="I7" i="97" s="1"/>
  <c r="O14" i="20"/>
  <c r="C9" i="27" s="1"/>
  <c r="J10" i="32" s="1"/>
  <c r="B9" i="97" s="1"/>
  <c r="T12" i="18"/>
  <c r="T12" i="20" s="1"/>
  <c r="H7" i="27" s="1"/>
  <c r="O8" i="32" s="1"/>
  <c r="G7" i="97" s="1"/>
  <c r="E12" i="20"/>
  <c r="Q13" i="18"/>
  <c r="Q13" i="20" s="1"/>
  <c r="E8" i="27" s="1"/>
  <c r="L9" i="32" s="1"/>
  <c r="D8" i="97" s="1"/>
  <c r="E12" i="18"/>
  <c r="C13" i="18"/>
  <c r="S13" i="20"/>
  <c r="G8" i="27" s="1"/>
  <c r="N9" i="32" s="1"/>
  <c r="F8" i="97" s="1"/>
  <c r="C13" i="20"/>
  <c r="C11" i="25" s="1"/>
  <c r="B12" i="26"/>
  <c r="B11" i="29" s="1"/>
  <c r="Y12" i="97"/>
  <c r="G10" i="26"/>
  <c r="G9" i="29" s="1"/>
  <c r="AD10" i="97"/>
  <c r="F11" i="26"/>
  <c r="F10" i="29" s="1"/>
  <c r="AC11" i="97"/>
  <c r="D11" i="26"/>
  <c r="D10" i="29" s="1"/>
  <c r="AA11" i="97"/>
  <c r="H10" i="26"/>
  <c r="H9" i="29" s="1"/>
  <c r="AE10" i="97"/>
  <c r="K63" i="22"/>
  <c r="K12" i="22"/>
  <c r="F12" i="15"/>
  <c r="F12" i="17" s="1"/>
  <c r="F45" i="17" s="1"/>
  <c r="F45" i="14"/>
  <c r="T45" i="15"/>
  <c r="T45" i="18" s="1"/>
  <c r="T45" i="20" s="1"/>
  <c r="G44" i="14"/>
  <c r="D12" i="15"/>
  <c r="D12" i="17" s="1"/>
  <c r="D45" i="17" s="1"/>
  <c r="D45" i="14"/>
  <c r="W11" i="18"/>
  <c r="E45" i="15"/>
  <c r="E45" i="20"/>
  <c r="E45" i="18"/>
  <c r="C12" i="14"/>
  <c r="P13" i="15"/>
  <c r="K43" i="15"/>
  <c r="K43" i="20"/>
  <c r="K43" i="18"/>
  <c r="V11" i="18"/>
  <c r="V11" i="20" s="1"/>
  <c r="I44" i="15"/>
  <c r="I44" i="18"/>
  <c r="I44" i="20"/>
  <c r="E10" i="25"/>
  <c r="B13" i="15"/>
  <c r="B13" i="17" s="1"/>
  <c r="B46" i="17" s="1"/>
  <c r="B46" i="14"/>
  <c r="H11" i="15"/>
  <c r="U11" i="15" s="1"/>
  <c r="H11" i="20"/>
  <c r="H11" i="18"/>
  <c r="J9" i="25"/>
  <c r="W11" i="20"/>
  <c r="G11" i="15"/>
  <c r="T11" i="15" s="1"/>
  <c r="G11" i="18"/>
  <c r="G11" i="20"/>
  <c r="O47" i="15"/>
  <c r="O47" i="18" s="1"/>
  <c r="O47" i="20" s="1"/>
  <c r="K10" i="20"/>
  <c r="K10" i="15"/>
  <c r="X10" i="15" s="1"/>
  <c r="K10" i="18"/>
  <c r="I9" i="25"/>
  <c r="S46" i="15"/>
  <c r="S46" i="18" s="1"/>
  <c r="S46" i="20" s="1"/>
  <c r="R12" i="15"/>
  <c r="R12" i="18" s="1"/>
  <c r="R12" i="20" s="1"/>
  <c r="E11" i="14"/>
  <c r="C46" i="15"/>
  <c r="C46" i="20"/>
  <c r="C46" i="18"/>
  <c r="Q46" i="15"/>
  <c r="Q46" i="18" s="1"/>
  <c r="Q46" i="20" s="1"/>
  <c r="U45" i="15"/>
  <c r="U45" i="18" s="1"/>
  <c r="U45" i="20" s="1"/>
  <c r="H44" i="14"/>
  <c r="J44" i="15"/>
  <c r="J44" i="18"/>
  <c r="J44" i="20"/>
  <c r="I7" i="27" l="1"/>
  <c r="P8" i="32" s="1"/>
  <c r="H7" i="97" s="1"/>
  <c r="P13" i="18"/>
  <c r="P13" i="20" s="1"/>
  <c r="L12" i="26"/>
  <c r="B13" i="20"/>
  <c r="B11" i="25" s="1"/>
  <c r="B13" i="18"/>
  <c r="F12" i="18"/>
  <c r="F12" i="20"/>
  <c r="F10" i="25" s="1"/>
  <c r="D12" i="18"/>
  <c r="D12" i="20"/>
  <c r="D10" i="25" s="1"/>
  <c r="J9" i="26"/>
  <c r="J8" i="29" s="1"/>
  <c r="AG9" i="97"/>
  <c r="C11" i="26"/>
  <c r="C10" i="29" s="1"/>
  <c r="Z11" i="97"/>
  <c r="E10" i="26"/>
  <c r="E9" i="29" s="1"/>
  <c r="AB10" i="97"/>
  <c r="I9" i="26"/>
  <c r="I8" i="29" s="1"/>
  <c r="AF9" i="97"/>
  <c r="F7" i="27"/>
  <c r="M8" i="32" s="1"/>
  <c r="E7" i="97" s="1"/>
  <c r="K8" i="25"/>
  <c r="K6" i="27"/>
  <c r="R7" i="32" s="1"/>
  <c r="J6" i="97" s="1"/>
  <c r="K26" i="25"/>
  <c r="R45" i="15"/>
  <c r="R45" i="18" s="1"/>
  <c r="R45" i="20" s="1"/>
  <c r="E44" i="14"/>
  <c r="G44" i="15"/>
  <c r="G44" i="18"/>
  <c r="G44" i="20"/>
  <c r="S12" i="15"/>
  <c r="S12" i="18" s="1"/>
  <c r="F11" i="14"/>
  <c r="K38" i="25"/>
  <c r="X11" i="22"/>
  <c r="J6" i="27"/>
  <c r="Q7" i="32" s="1"/>
  <c r="I6" i="97" s="1"/>
  <c r="T11" i="18"/>
  <c r="T11" i="20" s="1"/>
  <c r="Q12" i="15"/>
  <c r="D11" i="14"/>
  <c r="W44" i="15"/>
  <c r="W44" i="18" s="1"/>
  <c r="W44" i="20" s="1"/>
  <c r="J10" i="14"/>
  <c r="J43" i="14"/>
  <c r="P46" i="15"/>
  <c r="P46" i="18" s="1"/>
  <c r="P46" i="20" s="1"/>
  <c r="X10" i="18"/>
  <c r="X10" i="20" s="1"/>
  <c r="U11" i="18"/>
  <c r="U11" i="20" s="1"/>
  <c r="I51" i="22"/>
  <c r="I38" i="22" s="1"/>
  <c r="I25" i="22" s="1"/>
  <c r="X43" i="15"/>
  <c r="X43" i="18" s="1"/>
  <c r="X43" i="20" s="1"/>
  <c r="K9" i="14"/>
  <c r="K42" i="14"/>
  <c r="C45" i="14"/>
  <c r="C12" i="15"/>
  <c r="C12" i="17" s="1"/>
  <c r="C45" i="17" s="1"/>
  <c r="B12" i="14"/>
  <c r="O13" i="15"/>
  <c r="O13" i="18" s="1"/>
  <c r="K50" i="22"/>
  <c r="K37" i="22" s="1"/>
  <c r="K24" i="22" s="1"/>
  <c r="F45" i="15"/>
  <c r="F45" i="20"/>
  <c r="F45" i="18"/>
  <c r="J51" i="22"/>
  <c r="J38" i="22" s="1"/>
  <c r="J25" i="22" s="1"/>
  <c r="J63" i="22" s="1"/>
  <c r="H44" i="15"/>
  <c r="H44" i="18"/>
  <c r="H44" i="20"/>
  <c r="E11" i="15"/>
  <c r="R11" i="15" s="1"/>
  <c r="E11" i="20"/>
  <c r="E11" i="18"/>
  <c r="G9" i="25"/>
  <c r="H9" i="25"/>
  <c r="B46" i="15"/>
  <c r="B46" i="20"/>
  <c r="B46" i="18"/>
  <c r="V44" i="15"/>
  <c r="V44" i="18" s="1"/>
  <c r="V44" i="20" s="1"/>
  <c r="I10" i="14"/>
  <c r="I43" i="14"/>
  <c r="D45" i="15"/>
  <c r="D45" i="20"/>
  <c r="D45" i="18"/>
  <c r="S12" i="20" l="1"/>
  <c r="O13" i="20"/>
  <c r="D8" i="27"/>
  <c r="K9" i="32" s="1"/>
  <c r="C8" i="97" s="1"/>
  <c r="Q12" i="18"/>
  <c r="C12" i="18"/>
  <c r="Q12" i="20"/>
  <c r="C12" i="20"/>
  <c r="C10" i="25" s="1"/>
  <c r="K38" i="26"/>
  <c r="K37" i="29" s="1"/>
  <c r="AH38" i="97"/>
  <c r="F10" i="26"/>
  <c r="F9" i="29" s="1"/>
  <c r="AC10" i="97"/>
  <c r="H9" i="26"/>
  <c r="H8" i="29" s="1"/>
  <c r="AE9" i="97"/>
  <c r="K26" i="26"/>
  <c r="K25" i="29" s="1"/>
  <c r="AH26" i="97"/>
  <c r="D10" i="26"/>
  <c r="D9" i="29" s="1"/>
  <c r="AA10" i="97"/>
  <c r="G9" i="26"/>
  <c r="G8" i="29" s="1"/>
  <c r="AD9" i="97"/>
  <c r="B11" i="26"/>
  <c r="L11" i="26" s="1"/>
  <c r="Y11" i="97"/>
  <c r="K8" i="26"/>
  <c r="K7" i="29" s="1"/>
  <c r="AH8" i="97"/>
  <c r="L5" i="27"/>
  <c r="S6" i="32" s="1"/>
  <c r="K5" i="97" s="1"/>
  <c r="C8" i="27"/>
  <c r="J9" i="32" s="1"/>
  <c r="B8" i="97" s="1"/>
  <c r="I63" i="22"/>
  <c r="I12" i="22"/>
  <c r="K62" i="22"/>
  <c r="K11" i="22"/>
  <c r="G7" i="27"/>
  <c r="N8" i="32" s="1"/>
  <c r="F7" i="97" s="1"/>
  <c r="I6" i="27"/>
  <c r="P7" i="32" s="1"/>
  <c r="H6" i="97" s="1"/>
  <c r="I43" i="15"/>
  <c r="I43" i="20"/>
  <c r="I43" i="18"/>
  <c r="E9" i="25"/>
  <c r="U44" i="15"/>
  <c r="U44" i="18" s="1"/>
  <c r="U44" i="20" s="1"/>
  <c r="H10" i="14"/>
  <c r="H43" i="14"/>
  <c r="J12" i="22"/>
  <c r="S45" i="15"/>
  <c r="S45" i="18" s="1"/>
  <c r="S45" i="20" s="1"/>
  <c r="F44" i="14"/>
  <c r="B45" i="14"/>
  <c r="B12" i="15"/>
  <c r="B12" i="17" s="1"/>
  <c r="B45" i="17" s="1"/>
  <c r="C45" i="15"/>
  <c r="C45" i="20"/>
  <c r="C45" i="18"/>
  <c r="J10" i="15"/>
  <c r="W10" i="15" s="1"/>
  <c r="J10" i="20"/>
  <c r="J10" i="18"/>
  <c r="D11" i="15"/>
  <c r="Q11" i="15" s="1"/>
  <c r="D11" i="20"/>
  <c r="D11" i="18"/>
  <c r="E44" i="15"/>
  <c r="E44" i="20"/>
  <c r="E44" i="18"/>
  <c r="J38" i="25"/>
  <c r="W11" i="22"/>
  <c r="J43" i="15"/>
  <c r="J43" i="20"/>
  <c r="J43" i="18"/>
  <c r="I10" i="15"/>
  <c r="V10" i="15" s="1"/>
  <c r="I10" i="20"/>
  <c r="I10" i="18"/>
  <c r="H6" i="27"/>
  <c r="O7" i="32" s="1"/>
  <c r="G6" i="97" s="1"/>
  <c r="K42" i="15"/>
  <c r="K42" i="20"/>
  <c r="K42" i="18"/>
  <c r="F11" i="15"/>
  <c r="S11" i="15" s="1"/>
  <c r="F11" i="20"/>
  <c r="F11" i="18"/>
  <c r="G51" i="22"/>
  <c r="G38" i="22" s="1"/>
  <c r="G25" i="22" s="1"/>
  <c r="G63" i="22" s="1"/>
  <c r="R11" i="18"/>
  <c r="R11" i="20" s="1"/>
  <c r="H51" i="22"/>
  <c r="H38" i="22" s="1"/>
  <c r="H25" i="22" s="1"/>
  <c r="P12" i="15"/>
  <c r="P12" i="18" s="1"/>
  <c r="C11" i="14"/>
  <c r="L31" i="27"/>
  <c r="S32" i="32" s="1"/>
  <c r="K31" i="97" s="1"/>
  <c r="Q45" i="15"/>
  <c r="Q45" i="18" s="1"/>
  <c r="Q45" i="20" s="1"/>
  <c r="D44" i="14"/>
  <c r="O46" i="15"/>
  <c r="O46" i="18" s="1"/>
  <c r="O46" i="20" s="1"/>
  <c r="K9" i="15"/>
  <c r="X9" i="15" s="1"/>
  <c r="K9" i="20"/>
  <c r="K9" i="18"/>
  <c r="T44" i="15"/>
  <c r="T44" i="18" s="1"/>
  <c r="T44" i="20" s="1"/>
  <c r="G10" i="14"/>
  <c r="G43" i="14"/>
  <c r="E7" i="27" l="1"/>
  <c r="L8" i="32" s="1"/>
  <c r="D7" i="97" s="1"/>
  <c r="P12" i="20"/>
  <c r="D7" i="27" s="1"/>
  <c r="K8" i="32" s="1"/>
  <c r="C7" i="97" s="1"/>
  <c r="B12" i="20"/>
  <c r="B12" i="18"/>
  <c r="B10" i="29"/>
  <c r="E9" i="26"/>
  <c r="E8" i="29" s="1"/>
  <c r="AB9" i="97"/>
  <c r="C10" i="26"/>
  <c r="C9" i="29" s="1"/>
  <c r="Z10" i="97"/>
  <c r="J38" i="26"/>
  <c r="J37" i="29" s="1"/>
  <c r="AG38" i="97"/>
  <c r="H63" i="22"/>
  <c r="H12" i="22"/>
  <c r="F6" i="27"/>
  <c r="M7" i="32" s="1"/>
  <c r="E6" i="97" s="1"/>
  <c r="G38" i="25"/>
  <c r="T11" i="22"/>
  <c r="W10" i="18"/>
  <c r="W10" i="20" s="1"/>
  <c r="O12" i="15"/>
  <c r="B11" i="14"/>
  <c r="G10" i="15"/>
  <c r="T10" i="15" s="1"/>
  <c r="G10" i="20"/>
  <c r="G10" i="18"/>
  <c r="K49" i="22"/>
  <c r="K36" i="22" s="1"/>
  <c r="K23" i="22" s="1"/>
  <c r="I8" i="25"/>
  <c r="J26" i="25"/>
  <c r="E51" i="22"/>
  <c r="E38" i="22" s="1"/>
  <c r="E25" i="22" s="1"/>
  <c r="Q11" i="18"/>
  <c r="Q11" i="20" s="1"/>
  <c r="J8" i="25"/>
  <c r="P45" i="15"/>
  <c r="P45" i="18" s="1"/>
  <c r="P45" i="20" s="1"/>
  <c r="C44" i="14"/>
  <c r="B45" i="15"/>
  <c r="B45" i="18"/>
  <c r="B45" i="20"/>
  <c r="I50" i="22"/>
  <c r="I37" i="22" s="1"/>
  <c r="I24" i="22" s="1"/>
  <c r="K37" i="25"/>
  <c r="X10" i="22"/>
  <c r="G43" i="15"/>
  <c r="G43" i="20"/>
  <c r="G43" i="18"/>
  <c r="V10" i="18"/>
  <c r="V10" i="20" s="1"/>
  <c r="S11" i="18"/>
  <c r="S11" i="20" s="1"/>
  <c r="K25" i="25"/>
  <c r="W43" i="15"/>
  <c r="W43" i="18" s="1"/>
  <c r="W43" i="20" s="1"/>
  <c r="J9" i="14"/>
  <c r="J42" i="14"/>
  <c r="D9" i="25"/>
  <c r="F44" i="15"/>
  <c r="F44" i="18"/>
  <c r="F44" i="20"/>
  <c r="H43" i="15"/>
  <c r="H43" i="20"/>
  <c r="H43" i="18"/>
  <c r="I26" i="25"/>
  <c r="C11" i="15"/>
  <c r="P11" i="15" s="1"/>
  <c r="C11" i="18"/>
  <c r="C11" i="20"/>
  <c r="J50" i="22"/>
  <c r="J37" i="22" s="1"/>
  <c r="J24" i="22" s="1"/>
  <c r="X9" i="18"/>
  <c r="X9" i="20" s="1"/>
  <c r="K7" i="25"/>
  <c r="D44" i="15"/>
  <c r="D44" i="18"/>
  <c r="D44" i="20"/>
  <c r="G12" i="22"/>
  <c r="F9" i="25"/>
  <c r="X42" i="15"/>
  <c r="X42" i="18" s="1"/>
  <c r="X42" i="20" s="1"/>
  <c r="K8" i="14"/>
  <c r="K41" i="14"/>
  <c r="K31" i="27"/>
  <c r="R32" i="32" s="1"/>
  <c r="J31" i="97" s="1"/>
  <c r="R44" i="15"/>
  <c r="R44" i="18" s="1"/>
  <c r="R44" i="20" s="1"/>
  <c r="E10" i="14"/>
  <c r="E43" i="14"/>
  <c r="B10" i="25"/>
  <c r="H10" i="20"/>
  <c r="H10" i="15"/>
  <c r="U10" i="15" s="1"/>
  <c r="H10" i="18"/>
  <c r="V43" i="15"/>
  <c r="V43" i="18" s="1"/>
  <c r="V43" i="20" s="1"/>
  <c r="I9" i="14"/>
  <c r="I42" i="14"/>
  <c r="I38" i="25"/>
  <c r="V11" i="22"/>
  <c r="O12" i="18" l="1"/>
  <c r="O12" i="20" s="1"/>
  <c r="F9" i="26"/>
  <c r="F8" i="29" s="1"/>
  <c r="AC9" i="97"/>
  <c r="K7" i="26"/>
  <c r="K6" i="29" s="1"/>
  <c r="AH7" i="97"/>
  <c r="J26" i="26"/>
  <c r="J25" i="29" s="1"/>
  <c r="AG26" i="97"/>
  <c r="B10" i="26"/>
  <c r="L10" i="26" s="1"/>
  <c r="Y10" i="97"/>
  <c r="K37" i="26"/>
  <c r="K36" i="29" s="1"/>
  <c r="AH37" i="97"/>
  <c r="J8" i="26"/>
  <c r="J7" i="29" s="1"/>
  <c r="AG8" i="97"/>
  <c r="I8" i="26"/>
  <c r="I7" i="29" s="1"/>
  <c r="AF8" i="97"/>
  <c r="I38" i="26"/>
  <c r="I37" i="29" s="1"/>
  <c r="AF38" i="97"/>
  <c r="I26" i="26"/>
  <c r="I25" i="29" s="1"/>
  <c r="AF26" i="97"/>
  <c r="D9" i="26"/>
  <c r="D8" i="29" s="1"/>
  <c r="AA9" i="97"/>
  <c r="K25" i="26"/>
  <c r="K24" i="29" s="1"/>
  <c r="AH25" i="97"/>
  <c r="G38" i="26"/>
  <c r="G37" i="29" s="1"/>
  <c r="AD38" i="97"/>
  <c r="E63" i="22"/>
  <c r="E12" i="22"/>
  <c r="J62" i="22"/>
  <c r="J11" i="22"/>
  <c r="J5" i="27"/>
  <c r="Q6" i="32" s="1"/>
  <c r="I5" i="97" s="1"/>
  <c r="K61" i="22"/>
  <c r="K10" i="22"/>
  <c r="L20" i="27"/>
  <c r="S21" i="32" s="1"/>
  <c r="K20" i="97" s="1"/>
  <c r="L4" i="27"/>
  <c r="S5" i="32" s="1"/>
  <c r="K4" i="97" s="1"/>
  <c r="I62" i="22"/>
  <c r="I11" i="22"/>
  <c r="B9" i="29"/>
  <c r="U43" i="15"/>
  <c r="U43" i="18" s="1"/>
  <c r="U43" i="20" s="1"/>
  <c r="H9" i="14"/>
  <c r="H42" i="14"/>
  <c r="C44" i="15"/>
  <c r="C44" i="18"/>
  <c r="C44" i="20"/>
  <c r="I42" i="15"/>
  <c r="I42" i="20"/>
  <c r="I42" i="18"/>
  <c r="K8" i="15"/>
  <c r="C9" i="25"/>
  <c r="E6" i="27"/>
  <c r="L7" i="32" s="1"/>
  <c r="D6" i="97" s="1"/>
  <c r="J9" i="20"/>
  <c r="J9" i="15"/>
  <c r="W9" i="15" s="1"/>
  <c r="J9" i="18"/>
  <c r="T43" i="15"/>
  <c r="T43" i="18" s="1"/>
  <c r="T43" i="20" s="1"/>
  <c r="G9" i="14"/>
  <c r="G42" i="14"/>
  <c r="G8" i="25"/>
  <c r="J42" i="15"/>
  <c r="J42" i="20"/>
  <c r="J42" i="18"/>
  <c r="G26" i="25"/>
  <c r="T10" i="18"/>
  <c r="T10" i="20" s="1"/>
  <c r="I9" i="15"/>
  <c r="V9" i="15" s="1"/>
  <c r="I9" i="20"/>
  <c r="I9" i="18"/>
  <c r="H8" i="25"/>
  <c r="E43" i="15"/>
  <c r="E43" i="20"/>
  <c r="E43" i="18"/>
  <c r="P11" i="18"/>
  <c r="P11" i="20" s="1"/>
  <c r="H50" i="22"/>
  <c r="H37" i="22" s="1"/>
  <c r="H24" i="22" s="1"/>
  <c r="F51" i="22"/>
  <c r="F38" i="22" s="1"/>
  <c r="F25" i="22" s="1"/>
  <c r="L30" i="27"/>
  <c r="S31" i="32" s="1"/>
  <c r="K30" i="97" s="1"/>
  <c r="U10" i="18"/>
  <c r="U10" i="20" s="1"/>
  <c r="K41" i="15"/>
  <c r="K41" i="17" s="1"/>
  <c r="K41" i="20" s="1"/>
  <c r="Q44" i="15"/>
  <c r="Q44" i="18" s="1"/>
  <c r="Q44" i="20" s="1"/>
  <c r="D10" i="14"/>
  <c r="D43" i="14"/>
  <c r="H31" i="27"/>
  <c r="O32" i="32" s="1"/>
  <c r="G31" i="97" s="1"/>
  <c r="J31" i="27"/>
  <c r="Q32" i="32" s="1"/>
  <c r="I31" i="97" s="1"/>
  <c r="C7" i="27"/>
  <c r="J8" i="32" s="1"/>
  <c r="B7" i="97" s="1"/>
  <c r="E10" i="15"/>
  <c r="R10" i="15" s="1"/>
  <c r="E10" i="20"/>
  <c r="E10" i="18"/>
  <c r="G6" i="27"/>
  <c r="N7" i="32" s="1"/>
  <c r="F6" i="97" s="1"/>
  <c r="D51" i="22"/>
  <c r="D38" i="22" s="1"/>
  <c r="D25" i="22" s="1"/>
  <c r="H26" i="25"/>
  <c r="S44" i="15"/>
  <c r="S44" i="18" s="1"/>
  <c r="S44" i="20" s="1"/>
  <c r="F10" i="14"/>
  <c r="F43" i="14"/>
  <c r="G50" i="22"/>
  <c r="G37" i="22" s="1"/>
  <c r="G24" i="22" s="1"/>
  <c r="O45" i="15"/>
  <c r="O45" i="18" s="1"/>
  <c r="O45" i="20" s="1"/>
  <c r="B44" i="14"/>
  <c r="K5" i="27"/>
  <c r="R6" i="32" s="1"/>
  <c r="J5" i="97" s="1"/>
  <c r="B11" i="15"/>
  <c r="O11" i="15" s="1"/>
  <c r="B11" i="20"/>
  <c r="B11" i="18"/>
  <c r="H38" i="25"/>
  <c r="U11" i="22"/>
  <c r="K41" i="18" l="1"/>
  <c r="K48" i="22" s="1"/>
  <c r="K35" i="22" s="1"/>
  <c r="K22" i="22" s="1"/>
  <c r="K60" i="22" s="1"/>
  <c r="X8" i="15"/>
  <c r="K8" i="17"/>
  <c r="H38" i="26"/>
  <c r="H37" i="29" s="1"/>
  <c r="AE38" i="97"/>
  <c r="H26" i="26"/>
  <c r="H25" i="29" s="1"/>
  <c r="AE26" i="97"/>
  <c r="H8" i="26"/>
  <c r="H7" i="29" s="1"/>
  <c r="AE8" i="97"/>
  <c r="G26" i="26"/>
  <c r="G25" i="29" s="1"/>
  <c r="AD26" i="97"/>
  <c r="G8" i="26"/>
  <c r="G7" i="29" s="1"/>
  <c r="AD8" i="97"/>
  <c r="C9" i="26"/>
  <c r="C8" i="29" s="1"/>
  <c r="Z9" i="97"/>
  <c r="D6" i="27"/>
  <c r="K7" i="32" s="1"/>
  <c r="C6" i="97" s="1"/>
  <c r="I5" i="27"/>
  <c r="P6" i="32" s="1"/>
  <c r="H5" i="97" s="1"/>
  <c r="F63" i="22"/>
  <c r="F12" i="22"/>
  <c r="H5" i="27"/>
  <c r="O6" i="32" s="1"/>
  <c r="G5" i="97" s="1"/>
  <c r="H62" i="22"/>
  <c r="H11" i="22"/>
  <c r="G62" i="22"/>
  <c r="G11" i="22"/>
  <c r="D63" i="22"/>
  <c r="D12" i="22"/>
  <c r="J25" i="25"/>
  <c r="P44" i="15"/>
  <c r="P44" i="18" s="1"/>
  <c r="P44" i="20" s="1"/>
  <c r="C10" i="14"/>
  <c r="C43" i="14"/>
  <c r="V9" i="18"/>
  <c r="V9" i="20" s="1"/>
  <c r="K36" i="25"/>
  <c r="X9" i="22"/>
  <c r="I31" i="27"/>
  <c r="P32" i="32" s="1"/>
  <c r="H31" i="97" s="1"/>
  <c r="F10" i="15"/>
  <c r="S10" i="15" s="1"/>
  <c r="F10" i="20"/>
  <c r="F10" i="18"/>
  <c r="R10" i="18"/>
  <c r="R10" i="20" s="1"/>
  <c r="I25" i="25"/>
  <c r="W42" i="15"/>
  <c r="W42" i="18" s="1"/>
  <c r="W42" i="20" s="1"/>
  <c r="J8" i="14"/>
  <c r="J41" i="14"/>
  <c r="H42" i="15"/>
  <c r="H42" i="20"/>
  <c r="H42" i="18"/>
  <c r="J37" i="25"/>
  <c r="W10" i="22"/>
  <c r="O11" i="18"/>
  <c r="O11" i="20" s="1"/>
  <c r="R43" i="15"/>
  <c r="R43" i="18" s="1"/>
  <c r="R43" i="20" s="1"/>
  <c r="E9" i="14"/>
  <c r="E42" i="14"/>
  <c r="I7" i="25"/>
  <c r="G9" i="15"/>
  <c r="T9" i="15" s="1"/>
  <c r="G9" i="20"/>
  <c r="G9" i="18"/>
  <c r="J7" i="25"/>
  <c r="H9" i="15"/>
  <c r="U9" i="15" s="1"/>
  <c r="H9" i="20"/>
  <c r="H9" i="18"/>
  <c r="E50" i="22"/>
  <c r="E37" i="22" s="1"/>
  <c r="E24" i="22" s="1"/>
  <c r="W9" i="18"/>
  <c r="W9" i="20" s="1"/>
  <c r="E8" i="25"/>
  <c r="D43" i="15"/>
  <c r="D43" i="20"/>
  <c r="D43" i="18"/>
  <c r="E26" i="25"/>
  <c r="G42" i="15"/>
  <c r="G42" i="20"/>
  <c r="G42" i="18"/>
  <c r="V42" i="15"/>
  <c r="V42" i="18" s="1"/>
  <c r="V42" i="20" s="1"/>
  <c r="I8" i="14"/>
  <c r="I41" i="14"/>
  <c r="D10" i="15"/>
  <c r="Q10" i="15" s="1"/>
  <c r="D10" i="20"/>
  <c r="D10" i="18"/>
  <c r="K24" i="25"/>
  <c r="B9" i="25"/>
  <c r="B44" i="15"/>
  <c r="B44" i="18"/>
  <c r="B44" i="20"/>
  <c r="F43" i="15"/>
  <c r="F43" i="20"/>
  <c r="F43" i="18"/>
  <c r="X41" i="15"/>
  <c r="X41" i="18" s="1"/>
  <c r="X41" i="20" s="1"/>
  <c r="K7" i="14"/>
  <c r="K40" i="14"/>
  <c r="J49" i="22"/>
  <c r="J36" i="22" s="1"/>
  <c r="J23" i="22" s="1"/>
  <c r="I49" i="22"/>
  <c r="I36" i="22" s="1"/>
  <c r="I23" i="22" s="1"/>
  <c r="C51" i="22"/>
  <c r="C38" i="22" s="1"/>
  <c r="C25" i="22" s="1"/>
  <c r="I37" i="25"/>
  <c r="V10" i="22"/>
  <c r="E38" i="25"/>
  <c r="R11" i="22"/>
  <c r="K8" i="20" l="1"/>
  <c r="K6" i="25" s="1"/>
  <c r="AH6" i="97" s="1"/>
  <c r="K8" i="18"/>
  <c r="X8" i="18" s="1"/>
  <c r="K24" i="26"/>
  <c r="K23" i="29" s="1"/>
  <c r="AH24" i="97"/>
  <c r="I25" i="26"/>
  <c r="I24" i="29" s="1"/>
  <c r="AF25" i="97"/>
  <c r="K36" i="26"/>
  <c r="K35" i="29" s="1"/>
  <c r="AH36" i="97"/>
  <c r="E26" i="26"/>
  <c r="E25" i="29" s="1"/>
  <c r="AB26" i="97"/>
  <c r="J7" i="26"/>
  <c r="J6" i="29" s="1"/>
  <c r="AG7" i="97"/>
  <c r="I7" i="26"/>
  <c r="I6" i="29" s="1"/>
  <c r="AF7" i="97"/>
  <c r="J25" i="26"/>
  <c r="J24" i="29" s="1"/>
  <c r="AG25" i="97"/>
  <c r="I37" i="26"/>
  <c r="I36" i="29" s="1"/>
  <c r="AF37" i="97"/>
  <c r="E38" i="26"/>
  <c r="E37" i="29" s="1"/>
  <c r="AB38" i="97"/>
  <c r="B9" i="26"/>
  <c r="B8" i="29" s="1"/>
  <c r="Y9" i="97"/>
  <c r="E8" i="26"/>
  <c r="E7" i="29" s="1"/>
  <c r="AB8" i="97"/>
  <c r="J37" i="26"/>
  <c r="J36" i="29" s="1"/>
  <c r="AG37" i="97"/>
  <c r="C63" i="22"/>
  <c r="C12" i="22"/>
  <c r="J61" i="22"/>
  <c r="J10" i="22"/>
  <c r="L19" i="27"/>
  <c r="S20" i="32" s="1"/>
  <c r="K19" i="97" s="1"/>
  <c r="K20" i="27"/>
  <c r="R21" i="32" s="1"/>
  <c r="J20" i="97" s="1"/>
  <c r="J20" i="27"/>
  <c r="Q21" i="32" s="1"/>
  <c r="I20" i="97" s="1"/>
  <c r="E62" i="22"/>
  <c r="E11" i="22"/>
  <c r="I61" i="22"/>
  <c r="I10" i="22"/>
  <c r="K4" i="27"/>
  <c r="R5" i="32" s="1"/>
  <c r="J4" i="97" s="1"/>
  <c r="F5" i="27"/>
  <c r="M6" i="32" s="1"/>
  <c r="E5" i="97" s="1"/>
  <c r="U42" i="15"/>
  <c r="U42" i="18" s="1"/>
  <c r="U42" i="20" s="1"/>
  <c r="H8" i="14"/>
  <c r="H41" i="14"/>
  <c r="F31" i="27"/>
  <c r="M32" i="32" s="1"/>
  <c r="E31" i="97" s="1"/>
  <c r="K7" i="15"/>
  <c r="S43" i="15"/>
  <c r="S43" i="18" s="1"/>
  <c r="S43" i="20" s="1"/>
  <c r="F9" i="14"/>
  <c r="F42" i="14"/>
  <c r="C6" i="27"/>
  <c r="J7" i="32" s="1"/>
  <c r="B6" i="97" s="1"/>
  <c r="Q10" i="18"/>
  <c r="Q10" i="20" s="1"/>
  <c r="I8" i="15"/>
  <c r="T42" i="15"/>
  <c r="T42" i="18" s="1"/>
  <c r="T42" i="20" s="1"/>
  <c r="G8" i="14"/>
  <c r="G41" i="14"/>
  <c r="D26" i="25"/>
  <c r="H7" i="25"/>
  <c r="J4" i="27"/>
  <c r="Q5" i="32" s="1"/>
  <c r="I4" i="97" s="1"/>
  <c r="H49" i="22"/>
  <c r="H36" i="22" s="1"/>
  <c r="H23" i="22" s="1"/>
  <c r="S10" i="18"/>
  <c r="S10" i="20" s="1"/>
  <c r="C43" i="15"/>
  <c r="C43" i="20"/>
  <c r="C43" i="18"/>
  <c r="J30" i="27"/>
  <c r="Q31" i="32" s="1"/>
  <c r="I30" i="97" s="1"/>
  <c r="B51" i="22"/>
  <c r="B38" i="22" s="1"/>
  <c r="B25" i="22" s="1"/>
  <c r="E42" i="15"/>
  <c r="E42" i="20"/>
  <c r="E42" i="18"/>
  <c r="K35" i="25"/>
  <c r="X8" i="22"/>
  <c r="L9" i="26"/>
  <c r="D8" i="25"/>
  <c r="Q43" i="15"/>
  <c r="Q43" i="18" s="1"/>
  <c r="Q43" i="20" s="1"/>
  <c r="D9" i="14"/>
  <c r="D42" i="14"/>
  <c r="T9" i="18"/>
  <c r="T9" i="20" s="1"/>
  <c r="H25" i="25"/>
  <c r="J41" i="15"/>
  <c r="J41" i="17" s="1"/>
  <c r="J41" i="18" s="1"/>
  <c r="F8" i="25"/>
  <c r="L29" i="27"/>
  <c r="S30" i="32" s="1"/>
  <c r="K29" i="97" s="1"/>
  <c r="C10" i="15"/>
  <c r="P10" i="15" s="1"/>
  <c r="C10" i="20"/>
  <c r="C10" i="18"/>
  <c r="G37" i="25"/>
  <c r="T10" i="22"/>
  <c r="F50" i="22"/>
  <c r="F37" i="22" s="1"/>
  <c r="F24" i="22" s="1"/>
  <c r="F62" i="22" s="1"/>
  <c r="G49" i="22"/>
  <c r="G36" i="22" s="1"/>
  <c r="G23" i="22" s="1"/>
  <c r="G7" i="25"/>
  <c r="K30" i="27"/>
  <c r="R31" i="32" s="1"/>
  <c r="J30" i="97" s="1"/>
  <c r="J8" i="15"/>
  <c r="K40" i="15"/>
  <c r="K40" i="17" s="1"/>
  <c r="K40" i="18" s="1"/>
  <c r="F26" i="25"/>
  <c r="O44" i="15"/>
  <c r="O44" i="18" s="1"/>
  <c r="O44" i="20" s="1"/>
  <c r="B10" i="14"/>
  <c r="B43" i="14"/>
  <c r="I41" i="15"/>
  <c r="I41" i="17" s="1"/>
  <c r="I41" i="20" s="1"/>
  <c r="G25" i="25"/>
  <c r="D50" i="22"/>
  <c r="D37" i="22" s="1"/>
  <c r="D24" i="22" s="1"/>
  <c r="U9" i="18"/>
  <c r="U9" i="20" s="1"/>
  <c r="E9" i="15"/>
  <c r="R9" i="15" s="1"/>
  <c r="E9" i="20"/>
  <c r="E9" i="18"/>
  <c r="K9" i="22"/>
  <c r="D38" i="25"/>
  <c r="Q11" i="22"/>
  <c r="H37" i="25"/>
  <c r="U10" i="22"/>
  <c r="F38" i="25"/>
  <c r="S11" i="22"/>
  <c r="K6" i="26" l="1"/>
  <c r="K5" i="29" s="1"/>
  <c r="J41" i="20"/>
  <c r="K40" i="20"/>
  <c r="I41" i="18"/>
  <c r="I48" i="22" s="1"/>
  <c r="I35" i="22" s="1"/>
  <c r="I22" i="22" s="1"/>
  <c r="X8" i="20"/>
  <c r="X7" i="15"/>
  <c r="K7" i="17"/>
  <c r="V8" i="15"/>
  <c r="I8" i="17"/>
  <c r="W8" i="15"/>
  <c r="J8" i="17"/>
  <c r="G37" i="26"/>
  <c r="G36" i="29" s="1"/>
  <c r="AD37" i="97"/>
  <c r="H37" i="26"/>
  <c r="H36" i="29" s="1"/>
  <c r="AE37" i="97"/>
  <c r="F26" i="26"/>
  <c r="F25" i="29" s="1"/>
  <c r="AC26" i="97"/>
  <c r="D8" i="26"/>
  <c r="D7" i="29" s="1"/>
  <c r="AA8" i="97"/>
  <c r="K35" i="26"/>
  <c r="K34" i="29" s="1"/>
  <c r="AH35" i="97"/>
  <c r="D26" i="26"/>
  <c r="D25" i="29" s="1"/>
  <c r="AA26" i="97"/>
  <c r="H7" i="26"/>
  <c r="H6" i="29" s="1"/>
  <c r="AE7" i="97"/>
  <c r="G25" i="26"/>
  <c r="G24" i="29" s="1"/>
  <c r="AD25" i="97"/>
  <c r="G7" i="26"/>
  <c r="G6" i="29" s="1"/>
  <c r="AD7" i="97"/>
  <c r="F8" i="26"/>
  <c r="F7" i="29" s="1"/>
  <c r="AC8" i="97"/>
  <c r="F38" i="26"/>
  <c r="F37" i="29" s="1"/>
  <c r="AC38" i="97"/>
  <c r="D38" i="26"/>
  <c r="D37" i="29" s="1"/>
  <c r="AA38" i="97"/>
  <c r="H25" i="26"/>
  <c r="H24" i="29" s="1"/>
  <c r="AE25" i="97"/>
  <c r="G61" i="22"/>
  <c r="G10" i="22"/>
  <c r="D62" i="22"/>
  <c r="D11" i="22"/>
  <c r="B63" i="22"/>
  <c r="B12" i="22"/>
  <c r="I4" i="27"/>
  <c r="P5" i="32" s="1"/>
  <c r="H4" i="97" s="1"/>
  <c r="H20" i="27"/>
  <c r="O21" i="32" s="1"/>
  <c r="G20" i="97" s="1"/>
  <c r="H61" i="22"/>
  <c r="H10" i="22"/>
  <c r="B43" i="15"/>
  <c r="B43" i="20"/>
  <c r="B43" i="18"/>
  <c r="F37" i="25"/>
  <c r="S10" i="22"/>
  <c r="P10" i="18"/>
  <c r="E25" i="25"/>
  <c r="I30" i="27"/>
  <c r="P31" i="32" s="1"/>
  <c r="H30" i="97" s="1"/>
  <c r="B10" i="15"/>
  <c r="O10" i="15" s="1"/>
  <c r="B10" i="20"/>
  <c r="B10" i="18"/>
  <c r="C8" i="25"/>
  <c r="P10" i="20"/>
  <c r="G5" i="27"/>
  <c r="N6" i="32" s="1"/>
  <c r="F5" i="97" s="1"/>
  <c r="W41" i="15"/>
  <c r="J7" i="14"/>
  <c r="J40" i="14"/>
  <c r="D42" i="15"/>
  <c r="D42" i="20"/>
  <c r="D42" i="18"/>
  <c r="L28" i="27"/>
  <c r="S29" i="32" s="1"/>
  <c r="K28" i="97" s="1"/>
  <c r="R42" i="15"/>
  <c r="E8" i="14"/>
  <c r="E41" i="14"/>
  <c r="C50" i="22"/>
  <c r="C37" i="22" s="1"/>
  <c r="C24" i="22" s="1"/>
  <c r="C62" i="22" s="1"/>
  <c r="G8" i="15"/>
  <c r="F42" i="15"/>
  <c r="F42" i="20"/>
  <c r="F42" i="18"/>
  <c r="H41" i="15"/>
  <c r="H41" i="17" s="1"/>
  <c r="H41" i="20" s="1"/>
  <c r="I36" i="25"/>
  <c r="V9" i="22"/>
  <c r="J36" i="25"/>
  <c r="W9" i="22"/>
  <c r="J24" i="25"/>
  <c r="E5" i="27"/>
  <c r="L6" i="32" s="1"/>
  <c r="D5" i="97" s="1"/>
  <c r="K47" i="22"/>
  <c r="K34" i="22" s="1"/>
  <c r="K21" i="22" s="1"/>
  <c r="H4" i="27"/>
  <c r="O5" i="32" s="1"/>
  <c r="G4" i="97" s="1"/>
  <c r="H30" i="27"/>
  <c r="O31" i="32" s="1"/>
  <c r="G30" i="97" s="1"/>
  <c r="I20" i="27"/>
  <c r="P21" i="32" s="1"/>
  <c r="H20" i="97" s="1"/>
  <c r="D9" i="15"/>
  <c r="Q9" i="15" s="1"/>
  <c r="D9" i="20"/>
  <c r="D9" i="18"/>
  <c r="C26" i="25"/>
  <c r="F9" i="15"/>
  <c r="S9" i="15" s="1"/>
  <c r="F9" i="20"/>
  <c r="F9" i="18"/>
  <c r="H8" i="15"/>
  <c r="K23" i="25"/>
  <c r="G41" i="15"/>
  <c r="G41" i="17" s="1"/>
  <c r="G41" i="20" s="1"/>
  <c r="R9" i="18"/>
  <c r="R9" i="20" s="1"/>
  <c r="I24" i="25"/>
  <c r="G31" i="27"/>
  <c r="N32" i="32" s="1"/>
  <c r="F31" i="97" s="1"/>
  <c r="E31" i="27"/>
  <c r="L32" i="32" s="1"/>
  <c r="D31" i="97" s="1"/>
  <c r="E7" i="25"/>
  <c r="V41" i="15"/>
  <c r="I7" i="14"/>
  <c r="I40" i="14"/>
  <c r="X40" i="15"/>
  <c r="X40" i="18" s="1"/>
  <c r="X40" i="20" s="1"/>
  <c r="K6" i="14"/>
  <c r="K39" i="14"/>
  <c r="F11" i="22"/>
  <c r="W41" i="18"/>
  <c r="W41" i="20" s="1"/>
  <c r="J48" i="22"/>
  <c r="J35" i="22" s="1"/>
  <c r="J22" i="22" s="1"/>
  <c r="R42" i="18"/>
  <c r="R42" i="20" s="1"/>
  <c r="E49" i="22"/>
  <c r="E36" i="22" s="1"/>
  <c r="E23" i="22" s="1"/>
  <c r="P43" i="15"/>
  <c r="P43" i="18" s="1"/>
  <c r="P43" i="20" s="1"/>
  <c r="C9" i="14"/>
  <c r="C42" i="14"/>
  <c r="E37" i="25"/>
  <c r="R10" i="22"/>
  <c r="C38" i="25"/>
  <c r="P11" i="22"/>
  <c r="V41" i="18" l="1"/>
  <c r="V41" i="20" s="1"/>
  <c r="H41" i="18"/>
  <c r="H48" i="22" s="1"/>
  <c r="H35" i="22" s="1"/>
  <c r="H22" i="22" s="1"/>
  <c r="L3" i="27"/>
  <c r="S4" i="32" s="1"/>
  <c r="K3" i="97" s="1"/>
  <c r="J8" i="18"/>
  <c r="W8" i="18" s="1"/>
  <c r="J8" i="20"/>
  <c r="J6" i="25" s="1"/>
  <c r="J6" i="26" s="1"/>
  <c r="J5" i="29" s="1"/>
  <c r="T8" i="15"/>
  <c r="G8" i="17"/>
  <c r="U8" i="15"/>
  <c r="H8" i="17"/>
  <c r="I8" i="18"/>
  <c r="V8" i="18" s="1"/>
  <c r="I8" i="20"/>
  <c r="I6" i="25" s="1"/>
  <c r="AF6" i="97" s="1"/>
  <c r="G41" i="18"/>
  <c r="K7" i="20"/>
  <c r="K5" i="25" s="1"/>
  <c r="K5" i="26" s="1"/>
  <c r="K4" i="29" s="1"/>
  <c r="K7" i="18"/>
  <c r="X7" i="18" s="1"/>
  <c r="J24" i="26"/>
  <c r="J23" i="29" s="1"/>
  <c r="AG24" i="97"/>
  <c r="I36" i="26"/>
  <c r="I35" i="29" s="1"/>
  <c r="AF36" i="97"/>
  <c r="E7" i="26"/>
  <c r="E6" i="29" s="1"/>
  <c r="AB7" i="97"/>
  <c r="C8" i="26"/>
  <c r="C7" i="29" s="1"/>
  <c r="Z8" i="97"/>
  <c r="E37" i="26"/>
  <c r="E36" i="29" s="1"/>
  <c r="AB37" i="97"/>
  <c r="C38" i="26"/>
  <c r="C37" i="29" s="1"/>
  <c r="Z38" i="97"/>
  <c r="I24" i="26"/>
  <c r="I23" i="29" s="1"/>
  <c r="AF24" i="97"/>
  <c r="J36" i="26"/>
  <c r="J35" i="29" s="1"/>
  <c r="AG36" i="97"/>
  <c r="F37" i="26"/>
  <c r="F36" i="29" s="1"/>
  <c r="AC37" i="97"/>
  <c r="K23" i="26"/>
  <c r="K22" i="29" s="1"/>
  <c r="AH23" i="97"/>
  <c r="C26" i="26"/>
  <c r="C25" i="29" s="1"/>
  <c r="Z26" i="97"/>
  <c r="E25" i="26"/>
  <c r="E24" i="29" s="1"/>
  <c r="AB25" i="97"/>
  <c r="F20" i="27"/>
  <c r="M21" i="32" s="1"/>
  <c r="E20" i="97" s="1"/>
  <c r="I60" i="22"/>
  <c r="I9" i="22"/>
  <c r="J60" i="22"/>
  <c r="J9" i="22"/>
  <c r="F4" i="27"/>
  <c r="M5" i="32" s="1"/>
  <c r="E4" i="97" s="1"/>
  <c r="L18" i="27"/>
  <c r="S19" i="32" s="1"/>
  <c r="K18" i="97" s="1"/>
  <c r="K59" i="22"/>
  <c r="K8" i="22"/>
  <c r="K19" i="27"/>
  <c r="R20" i="32" s="1"/>
  <c r="J19" i="97" s="1"/>
  <c r="J19" i="27"/>
  <c r="Q20" i="32" s="1"/>
  <c r="I19" i="97" s="1"/>
  <c r="E61" i="22"/>
  <c r="E10" i="22"/>
  <c r="G48" i="22"/>
  <c r="G35" i="22" s="1"/>
  <c r="G22" i="22" s="1"/>
  <c r="D49" i="22"/>
  <c r="D36" i="22" s="1"/>
  <c r="D23" i="22" s="1"/>
  <c r="C42" i="15"/>
  <c r="C42" i="20"/>
  <c r="C42" i="18"/>
  <c r="K39" i="15"/>
  <c r="K39" i="17" s="1"/>
  <c r="K39" i="18" s="1"/>
  <c r="I7" i="15"/>
  <c r="G24" i="25"/>
  <c r="K29" i="27"/>
  <c r="R30" i="32" s="1"/>
  <c r="J29" i="97" s="1"/>
  <c r="F25" i="25"/>
  <c r="C11" i="22"/>
  <c r="D25" i="25"/>
  <c r="B50" i="22"/>
  <c r="B37" i="22" s="1"/>
  <c r="B24" i="22" s="1"/>
  <c r="H36" i="25"/>
  <c r="U9" i="22"/>
  <c r="D37" i="25"/>
  <c r="Q10" i="22"/>
  <c r="D31" i="27"/>
  <c r="K32" i="32" s="1"/>
  <c r="C31" i="97" s="1"/>
  <c r="F49" i="22"/>
  <c r="F36" i="22" s="1"/>
  <c r="F23" i="22" s="1"/>
  <c r="E8" i="15"/>
  <c r="D5" i="27"/>
  <c r="K6" i="32" s="1"/>
  <c r="C5" i="97" s="1"/>
  <c r="F30" i="27"/>
  <c r="M31" i="32" s="1"/>
  <c r="E30" i="97" s="1"/>
  <c r="C9" i="15"/>
  <c r="P9" i="15" s="1"/>
  <c r="C9" i="20"/>
  <c r="C9" i="18"/>
  <c r="K6" i="15"/>
  <c r="T41" i="15"/>
  <c r="T41" i="18" s="1"/>
  <c r="T41" i="20" s="1"/>
  <c r="G7" i="14"/>
  <c r="G40" i="14"/>
  <c r="S9" i="18"/>
  <c r="S9" i="20" s="1"/>
  <c r="H24" i="25"/>
  <c r="S42" i="15"/>
  <c r="S42" i="18" s="1"/>
  <c r="S42" i="20" s="1"/>
  <c r="F8" i="14"/>
  <c r="F41" i="14"/>
  <c r="Q42" i="15"/>
  <c r="Q42" i="18" s="1"/>
  <c r="Q42" i="20" s="1"/>
  <c r="D8" i="14"/>
  <c r="D41" i="14"/>
  <c r="B26" i="25"/>
  <c r="I40" i="15"/>
  <c r="I40" i="17" s="1"/>
  <c r="I40" i="18" s="1"/>
  <c r="D7" i="25"/>
  <c r="C37" i="25"/>
  <c r="P10" i="22"/>
  <c r="J7" i="15"/>
  <c r="B8" i="25"/>
  <c r="F7" i="25"/>
  <c r="Q9" i="18"/>
  <c r="Q9" i="20" s="1"/>
  <c r="J29" i="27"/>
  <c r="Q30" i="32" s="1"/>
  <c r="I29" i="97" s="1"/>
  <c r="U41" i="15"/>
  <c r="U41" i="18" s="1"/>
  <c r="U41" i="20" s="1"/>
  <c r="H7" i="14"/>
  <c r="H40" i="14"/>
  <c r="E41" i="15"/>
  <c r="E41" i="17" s="1"/>
  <c r="E41" i="20" s="1"/>
  <c r="J40" i="15"/>
  <c r="J40" i="17" s="1"/>
  <c r="J40" i="20" s="1"/>
  <c r="O10" i="18"/>
  <c r="O10" i="20" s="1"/>
  <c r="G30" i="27"/>
  <c r="N31" i="32" s="1"/>
  <c r="F30" i="97" s="1"/>
  <c r="O43" i="15"/>
  <c r="O43" i="18" s="1"/>
  <c r="O43" i="20" s="1"/>
  <c r="B9" i="14"/>
  <c r="B42" i="14"/>
  <c r="B38" i="25"/>
  <c r="O11" i="22"/>
  <c r="G36" i="25"/>
  <c r="T9" i="22"/>
  <c r="I6" i="26" l="1"/>
  <c r="I5" i="29" s="1"/>
  <c r="AH5" i="97"/>
  <c r="AG6" i="97"/>
  <c r="I40" i="20"/>
  <c r="I23" i="25" s="1"/>
  <c r="W8" i="20"/>
  <c r="V8" i="20"/>
  <c r="X7" i="20"/>
  <c r="J40" i="18"/>
  <c r="J47" i="22" s="1"/>
  <c r="J34" i="22" s="1"/>
  <c r="J21" i="22" s="1"/>
  <c r="J59" i="22" s="1"/>
  <c r="E41" i="18"/>
  <c r="K39" i="20"/>
  <c r="K22" i="25" s="1"/>
  <c r="W7" i="15"/>
  <c r="J7" i="17"/>
  <c r="H8" i="20"/>
  <c r="H8" i="18"/>
  <c r="U8" i="18" s="1"/>
  <c r="R8" i="15"/>
  <c r="E8" i="17"/>
  <c r="G8" i="18"/>
  <c r="T8" i="18" s="1"/>
  <c r="G8" i="20"/>
  <c r="G6" i="25" s="1"/>
  <c r="G6" i="26" s="1"/>
  <c r="G5" i="29" s="1"/>
  <c r="V7" i="15"/>
  <c r="I7" i="17"/>
  <c r="X6" i="15"/>
  <c r="K6" i="17"/>
  <c r="B38" i="26"/>
  <c r="B37" i="29" s="1"/>
  <c r="Y38" i="97"/>
  <c r="F7" i="26"/>
  <c r="F6" i="29" s="1"/>
  <c r="AC7" i="97"/>
  <c r="H36" i="26"/>
  <c r="H35" i="29" s="1"/>
  <c r="AE36" i="97"/>
  <c r="F25" i="26"/>
  <c r="F24" i="29" s="1"/>
  <c r="AC25" i="97"/>
  <c r="B8" i="26"/>
  <c r="B7" i="29" s="1"/>
  <c r="Y8" i="97"/>
  <c r="G24" i="26"/>
  <c r="G23" i="29" s="1"/>
  <c r="AD24" i="97"/>
  <c r="D7" i="26"/>
  <c r="D6" i="29" s="1"/>
  <c r="AA7" i="97"/>
  <c r="B26" i="26"/>
  <c r="L26" i="26" s="1"/>
  <c r="Y26" i="97"/>
  <c r="G36" i="26"/>
  <c r="G35" i="29" s="1"/>
  <c r="AD36" i="97"/>
  <c r="C37" i="26"/>
  <c r="C36" i="29" s="1"/>
  <c r="Z37" i="97"/>
  <c r="H24" i="26"/>
  <c r="H23" i="29" s="1"/>
  <c r="AE24" i="97"/>
  <c r="D37" i="26"/>
  <c r="D36" i="29" s="1"/>
  <c r="AA37" i="97"/>
  <c r="D25" i="26"/>
  <c r="D24" i="29" s="1"/>
  <c r="AA25" i="97"/>
  <c r="B62" i="22"/>
  <c r="B37" i="25" s="1"/>
  <c r="B11" i="22"/>
  <c r="E20" i="27"/>
  <c r="L21" i="32" s="1"/>
  <c r="D20" i="97" s="1"/>
  <c r="G60" i="22"/>
  <c r="G9" i="22"/>
  <c r="E4" i="27"/>
  <c r="L5" i="32" s="1"/>
  <c r="D4" i="97" s="1"/>
  <c r="G4" i="27"/>
  <c r="N5" i="32" s="1"/>
  <c r="F4" i="97" s="1"/>
  <c r="D61" i="22"/>
  <c r="D10" i="22"/>
  <c r="C5" i="27"/>
  <c r="J6" i="32" s="1"/>
  <c r="B5" i="97" s="1"/>
  <c r="H60" i="22"/>
  <c r="H9" i="22"/>
  <c r="F61" i="22"/>
  <c r="F10" i="22"/>
  <c r="I19" i="27"/>
  <c r="P20" i="32" s="1"/>
  <c r="H19" i="97" s="1"/>
  <c r="G20" i="27"/>
  <c r="N21" i="32" s="1"/>
  <c r="F20" i="97" s="1"/>
  <c r="V40" i="15"/>
  <c r="V40" i="18" s="1"/>
  <c r="I6" i="14"/>
  <c r="I39" i="14"/>
  <c r="D8" i="15"/>
  <c r="P9" i="18"/>
  <c r="P9" i="20" s="1"/>
  <c r="K46" i="22"/>
  <c r="K33" i="22" s="1"/>
  <c r="K20" i="22" s="1"/>
  <c r="C25" i="25"/>
  <c r="B9" i="15"/>
  <c r="O9" i="15" s="1"/>
  <c r="B9" i="20"/>
  <c r="B9" i="18"/>
  <c r="E48" i="22"/>
  <c r="E35" i="22" s="1"/>
  <c r="E22" i="22" s="1"/>
  <c r="H40" i="15"/>
  <c r="H40" i="17" s="1"/>
  <c r="H40" i="18" s="1"/>
  <c r="C7" i="25"/>
  <c r="E30" i="27"/>
  <c r="L31" i="32" s="1"/>
  <c r="D30" i="97" s="1"/>
  <c r="P42" i="15"/>
  <c r="P42" i="18" s="1"/>
  <c r="P42" i="20" s="1"/>
  <c r="C8" i="14"/>
  <c r="C41" i="14"/>
  <c r="K34" i="25"/>
  <c r="X7" i="22"/>
  <c r="I35" i="25"/>
  <c r="V8" i="22"/>
  <c r="X39" i="15"/>
  <c r="X39" i="18" s="1"/>
  <c r="K5" i="14"/>
  <c r="K38" i="14"/>
  <c r="H29" i="27"/>
  <c r="O30" i="32" s="1"/>
  <c r="G29" i="97" s="1"/>
  <c r="B42" i="15"/>
  <c r="B42" i="20"/>
  <c r="B42" i="18"/>
  <c r="W40" i="15"/>
  <c r="J6" i="14"/>
  <c r="J39" i="14"/>
  <c r="C31" i="27"/>
  <c r="J32" i="32" s="1"/>
  <c r="B31" i="97" s="1"/>
  <c r="E24" i="25"/>
  <c r="H7" i="15"/>
  <c r="D30" i="27"/>
  <c r="K31" i="32" s="1"/>
  <c r="C30" i="97" s="1"/>
  <c r="I47" i="22"/>
  <c r="I34" i="22" s="1"/>
  <c r="I21" i="22" s="1"/>
  <c r="F41" i="15"/>
  <c r="F41" i="17" s="1"/>
  <c r="F41" i="20" s="1"/>
  <c r="G40" i="15"/>
  <c r="G40" i="17" s="1"/>
  <c r="G40" i="18" s="1"/>
  <c r="J23" i="25"/>
  <c r="R41" i="15"/>
  <c r="E7" i="14"/>
  <c r="E40" i="14"/>
  <c r="D41" i="15"/>
  <c r="D41" i="17" s="1"/>
  <c r="D41" i="18" s="1"/>
  <c r="F8" i="15"/>
  <c r="G7" i="15"/>
  <c r="I29" i="27"/>
  <c r="P30" i="32" s="1"/>
  <c r="H29" i="97" s="1"/>
  <c r="H19" i="27"/>
  <c r="O20" i="32" s="1"/>
  <c r="G19" i="97" s="1"/>
  <c r="C49" i="22"/>
  <c r="C36" i="22" s="1"/>
  <c r="C23" i="22" s="1"/>
  <c r="E36" i="25"/>
  <c r="R9" i="22"/>
  <c r="J35" i="25"/>
  <c r="W8" i="22"/>
  <c r="W40" i="18" l="1"/>
  <c r="W40" i="20" s="1"/>
  <c r="R41" i="18"/>
  <c r="R41" i="20" s="1"/>
  <c r="J3" i="27"/>
  <c r="Q4" i="32" s="1"/>
  <c r="I3" i="97" s="1"/>
  <c r="V40" i="20"/>
  <c r="D41" i="20"/>
  <c r="X39" i="20"/>
  <c r="H40" i="20"/>
  <c r="AD6" i="97"/>
  <c r="K3" i="27"/>
  <c r="R4" i="32" s="1"/>
  <c r="J3" i="97" s="1"/>
  <c r="G40" i="20"/>
  <c r="G23" i="25" s="1"/>
  <c r="E8" i="20"/>
  <c r="E6" i="25" s="1"/>
  <c r="E6" i="26" s="1"/>
  <c r="E5" i="29" s="1"/>
  <c r="E8" i="18"/>
  <c r="R8" i="18" s="1"/>
  <c r="T7" i="15"/>
  <c r="G7" i="17"/>
  <c r="K6" i="20"/>
  <c r="K4" i="25" s="1"/>
  <c r="AH4" i="97" s="1"/>
  <c r="K6" i="18"/>
  <c r="X6" i="18" s="1"/>
  <c r="S8" i="15"/>
  <c r="F8" i="17"/>
  <c r="F41" i="18"/>
  <c r="S41" i="18" s="1"/>
  <c r="S41" i="20" s="1"/>
  <c r="U7" i="15"/>
  <c r="H7" i="17"/>
  <c r="I7" i="20"/>
  <c r="I5" i="25" s="1"/>
  <c r="I5" i="26" s="1"/>
  <c r="I4" i="29" s="1"/>
  <c r="I7" i="18"/>
  <c r="V7" i="18" s="1"/>
  <c r="H6" i="25"/>
  <c r="U8" i="20"/>
  <c r="L38" i="26"/>
  <c r="J7" i="20"/>
  <c r="J5" i="25" s="1"/>
  <c r="AG5" i="97" s="1"/>
  <c r="J7" i="18"/>
  <c r="W7" i="18" s="1"/>
  <c r="Q8" i="15"/>
  <c r="D8" i="17"/>
  <c r="T8" i="20"/>
  <c r="L8" i="26"/>
  <c r="B25" i="29"/>
  <c r="O10" i="22"/>
  <c r="K34" i="26"/>
  <c r="K33" i="29" s="1"/>
  <c r="AH34" i="97"/>
  <c r="K22" i="26"/>
  <c r="K21" i="29" s="1"/>
  <c r="AH22" i="97"/>
  <c r="C7" i="26"/>
  <c r="C6" i="29" s="1"/>
  <c r="Z7" i="97"/>
  <c r="C25" i="26"/>
  <c r="C24" i="29" s="1"/>
  <c r="Z25" i="97"/>
  <c r="J35" i="26"/>
  <c r="J34" i="29" s="1"/>
  <c r="AG35" i="97"/>
  <c r="I23" i="26"/>
  <c r="I22" i="29" s="1"/>
  <c r="AF23" i="97"/>
  <c r="E24" i="26"/>
  <c r="E23" i="29" s="1"/>
  <c r="AB24" i="97"/>
  <c r="E36" i="26"/>
  <c r="E35" i="29" s="1"/>
  <c r="AB36" i="97"/>
  <c r="J23" i="26"/>
  <c r="J22" i="29" s="1"/>
  <c r="AG23" i="97"/>
  <c r="B37" i="26"/>
  <c r="L37" i="26" s="1"/>
  <c r="Y37" i="97"/>
  <c r="I35" i="26"/>
  <c r="I34" i="29" s="1"/>
  <c r="AF35" i="97"/>
  <c r="K18" i="27"/>
  <c r="R19" i="32" s="1"/>
  <c r="J18" i="97" s="1"/>
  <c r="D4" i="27"/>
  <c r="K5" i="32" s="1"/>
  <c r="C4" i="97" s="1"/>
  <c r="D20" i="27"/>
  <c r="K21" i="32" s="1"/>
  <c r="C20" i="97" s="1"/>
  <c r="K58" i="22"/>
  <c r="K7" i="22"/>
  <c r="I59" i="22"/>
  <c r="I8" i="22"/>
  <c r="C61" i="22"/>
  <c r="C10" i="22"/>
  <c r="E60" i="22"/>
  <c r="E9" i="22"/>
  <c r="S41" i="15"/>
  <c r="F7" i="14"/>
  <c r="F40" i="14"/>
  <c r="J39" i="15"/>
  <c r="J39" i="17" s="1"/>
  <c r="J39" i="18" s="1"/>
  <c r="K28" i="27"/>
  <c r="R29" i="32" s="1"/>
  <c r="J28" i="97" s="1"/>
  <c r="Q41" i="15"/>
  <c r="D7" i="14"/>
  <c r="D40" i="14"/>
  <c r="E40" i="15"/>
  <c r="E40" i="17" s="1"/>
  <c r="E40" i="20" s="1"/>
  <c r="T40" i="15"/>
  <c r="G6" i="14"/>
  <c r="G39" i="14"/>
  <c r="J6" i="15"/>
  <c r="O42" i="15"/>
  <c r="O42" i="18" s="1"/>
  <c r="O42" i="20" s="1"/>
  <c r="B8" i="14"/>
  <c r="B41" i="14"/>
  <c r="K5" i="15"/>
  <c r="J28" i="27"/>
  <c r="Q29" i="32" s="1"/>
  <c r="I28" i="97" s="1"/>
  <c r="C41" i="15"/>
  <c r="C41" i="17" s="1"/>
  <c r="C41" i="18" s="1"/>
  <c r="U40" i="15"/>
  <c r="U40" i="18" s="1"/>
  <c r="U40" i="20" s="1"/>
  <c r="H6" i="14"/>
  <c r="H39" i="14"/>
  <c r="I39" i="15"/>
  <c r="I39" i="17" s="1"/>
  <c r="I39" i="20" s="1"/>
  <c r="F36" i="25"/>
  <c r="S9" i="22"/>
  <c r="G35" i="25"/>
  <c r="T8" i="22"/>
  <c r="D24" i="25"/>
  <c r="B25" i="25"/>
  <c r="B7" i="25"/>
  <c r="E7" i="15"/>
  <c r="C8" i="15"/>
  <c r="I6" i="15"/>
  <c r="W7" i="22"/>
  <c r="J34" i="25"/>
  <c r="K38" i="15"/>
  <c r="K38" i="17" s="1"/>
  <c r="K38" i="20" s="1"/>
  <c r="L17" i="27"/>
  <c r="S18" i="32" s="1"/>
  <c r="K17" i="97" s="1"/>
  <c r="H23" i="25"/>
  <c r="F29" i="27"/>
  <c r="M30" i="32" s="1"/>
  <c r="E29" i="97" s="1"/>
  <c r="Q41" i="18"/>
  <c r="Q41" i="20" s="1"/>
  <c r="D48" i="22"/>
  <c r="D35" i="22" s="1"/>
  <c r="D22" i="22" s="1"/>
  <c r="D60" i="22" s="1"/>
  <c r="T40" i="18"/>
  <c r="G47" i="22"/>
  <c r="G34" i="22" s="1"/>
  <c r="G21" i="22" s="1"/>
  <c r="F24" i="25"/>
  <c r="F19" i="27"/>
  <c r="M20" i="32" s="1"/>
  <c r="E19" i="97" s="1"/>
  <c r="J8" i="22"/>
  <c r="B49" i="22"/>
  <c r="B36" i="22" s="1"/>
  <c r="B23" i="22" s="1"/>
  <c r="L27" i="27"/>
  <c r="S28" i="32" s="1"/>
  <c r="K27" i="97" s="1"/>
  <c r="H47" i="22"/>
  <c r="H34" i="22" s="1"/>
  <c r="H21" i="22" s="1"/>
  <c r="O9" i="18"/>
  <c r="O9" i="20" s="1"/>
  <c r="H35" i="25"/>
  <c r="U8" i="22"/>
  <c r="D36" i="25"/>
  <c r="Q9" i="22"/>
  <c r="K4" i="26" l="1"/>
  <c r="K3" i="29" s="1"/>
  <c r="J18" i="27"/>
  <c r="Q19" i="32" s="1"/>
  <c r="I18" i="97" s="1"/>
  <c r="X6" i="20"/>
  <c r="J5" i="26"/>
  <c r="J4" i="29" s="1"/>
  <c r="F48" i="22"/>
  <c r="F35" i="22" s="1"/>
  <c r="F22" i="22" s="1"/>
  <c r="F60" i="22" s="1"/>
  <c r="AB6" i="97"/>
  <c r="J39" i="20"/>
  <c r="J22" i="25" s="1"/>
  <c r="T40" i="20"/>
  <c r="H18" i="27" s="1"/>
  <c r="O19" i="32" s="1"/>
  <c r="G18" i="97" s="1"/>
  <c r="W7" i="20"/>
  <c r="R8" i="20"/>
  <c r="V7" i="20"/>
  <c r="C30" i="27"/>
  <c r="J31" i="32" s="1"/>
  <c r="B30" i="97" s="1"/>
  <c r="I39" i="18"/>
  <c r="E40" i="18"/>
  <c r="R40" i="18" s="1"/>
  <c r="R40" i="20" s="1"/>
  <c r="AF5" i="97"/>
  <c r="V6" i="15"/>
  <c r="I6" i="17"/>
  <c r="C41" i="20"/>
  <c r="C24" i="25" s="1"/>
  <c r="F8" i="20"/>
  <c r="F6" i="25" s="1"/>
  <c r="AC6" i="97" s="1"/>
  <c r="F8" i="18"/>
  <c r="S8" i="18" s="1"/>
  <c r="K38" i="18"/>
  <c r="K45" i="22" s="1"/>
  <c r="K32" i="22" s="1"/>
  <c r="K19" i="22" s="1"/>
  <c r="W6" i="15"/>
  <c r="J6" i="17"/>
  <c r="H6" i="26"/>
  <c r="H5" i="29" s="1"/>
  <c r="AE6" i="97"/>
  <c r="H3" i="27"/>
  <c r="O4" i="32" s="1"/>
  <c r="G3" i="97" s="1"/>
  <c r="X5" i="15"/>
  <c r="K5" i="17"/>
  <c r="D8" i="20"/>
  <c r="D6" i="25" s="1"/>
  <c r="AA6" i="97" s="1"/>
  <c r="D8" i="18"/>
  <c r="Q8" i="18" s="1"/>
  <c r="G7" i="20"/>
  <c r="G7" i="18"/>
  <c r="T7" i="18" s="1"/>
  <c r="I3" i="27"/>
  <c r="P4" i="32" s="1"/>
  <c r="H3" i="97" s="1"/>
  <c r="H7" i="18"/>
  <c r="U7" i="18" s="1"/>
  <c r="H7" i="20"/>
  <c r="H5" i="25" s="1"/>
  <c r="AE5" i="97" s="1"/>
  <c r="R7" i="15"/>
  <c r="E7" i="17"/>
  <c r="P8" i="15"/>
  <c r="C8" i="17"/>
  <c r="B36" i="29"/>
  <c r="H23" i="26"/>
  <c r="H22" i="29" s="1"/>
  <c r="AE23" i="97"/>
  <c r="F24" i="26"/>
  <c r="F23" i="29" s="1"/>
  <c r="AC24" i="97"/>
  <c r="H35" i="26"/>
  <c r="H34" i="29" s="1"/>
  <c r="AE35" i="97"/>
  <c r="J34" i="26"/>
  <c r="J33" i="29" s="1"/>
  <c r="AG34" i="97"/>
  <c r="B25" i="26"/>
  <c r="B24" i="29" s="1"/>
  <c r="Y25" i="97"/>
  <c r="D24" i="26"/>
  <c r="D23" i="29" s="1"/>
  <c r="AA24" i="97"/>
  <c r="F36" i="26"/>
  <c r="F35" i="29" s="1"/>
  <c r="AC36" i="97"/>
  <c r="D36" i="26"/>
  <c r="D35" i="29" s="1"/>
  <c r="AA36" i="97"/>
  <c r="B7" i="26"/>
  <c r="L7" i="26" s="1"/>
  <c r="Y7" i="97"/>
  <c r="H5" i="26"/>
  <c r="H4" i="29" s="1"/>
  <c r="G23" i="26"/>
  <c r="G22" i="29" s="1"/>
  <c r="AD23" i="97"/>
  <c r="G35" i="26"/>
  <c r="G34" i="29" s="1"/>
  <c r="AD35" i="97"/>
  <c r="C4" i="27"/>
  <c r="J5" i="32" s="1"/>
  <c r="B4" i="97" s="1"/>
  <c r="B61" i="22"/>
  <c r="B10" i="22"/>
  <c r="E19" i="27"/>
  <c r="L20" i="32" s="1"/>
  <c r="D19" i="97" s="1"/>
  <c r="I18" i="27"/>
  <c r="P19" i="32" s="1"/>
  <c r="H18" i="97" s="1"/>
  <c r="G59" i="22"/>
  <c r="G8" i="22"/>
  <c r="H59" i="22"/>
  <c r="H8" i="22"/>
  <c r="D35" i="25"/>
  <c r="Q8" i="22"/>
  <c r="F40" i="15"/>
  <c r="F40" i="17" s="1"/>
  <c r="F40" i="20" s="1"/>
  <c r="X38" i="15"/>
  <c r="X38" i="18" s="1"/>
  <c r="X38" i="20" s="1"/>
  <c r="K4" i="14"/>
  <c r="K37" i="14"/>
  <c r="G29" i="27"/>
  <c r="N30" i="32" s="1"/>
  <c r="F29" i="97" s="1"/>
  <c r="V39" i="15"/>
  <c r="I5" i="14"/>
  <c r="I38" i="14"/>
  <c r="C48" i="22"/>
  <c r="C35" i="22" s="1"/>
  <c r="C22" i="22" s="1"/>
  <c r="C60" i="22" s="1"/>
  <c r="B41" i="15"/>
  <c r="B41" i="17" s="1"/>
  <c r="B41" i="20" s="1"/>
  <c r="G39" i="15"/>
  <c r="G39" i="17" s="1"/>
  <c r="G39" i="20" s="1"/>
  <c r="D40" i="15"/>
  <c r="D40" i="17" s="1"/>
  <c r="D40" i="20" s="1"/>
  <c r="F7" i="15"/>
  <c r="E35" i="25"/>
  <c r="R8" i="22"/>
  <c r="C36" i="25"/>
  <c r="P9" i="22"/>
  <c r="K33" i="25"/>
  <c r="X6" i="22"/>
  <c r="E29" i="27"/>
  <c r="L30" i="32" s="1"/>
  <c r="D29" i="97" s="1"/>
  <c r="K27" i="27"/>
  <c r="R28" i="32" s="1"/>
  <c r="J27" i="97" s="1"/>
  <c r="C20" i="27"/>
  <c r="J21" i="32" s="1"/>
  <c r="B20" i="97" s="1"/>
  <c r="R40" i="15"/>
  <c r="E6" i="14"/>
  <c r="E39" i="14"/>
  <c r="G19" i="27"/>
  <c r="N20" i="32" s="1"/>
  <c r="F19" i="97" s="1"/>
  <c r="K21" i="25"/>
  <c r="H39" i="15"/>
  <c r="H39" i="17" s="1"/>
  <c r="H39" i="20" s="1"/>
  <c r="B8" i="15"/>
  <c r="G6" i="15"/>
  <c r="D7" i="15"/>
  <c r="J46" i="22"/>
  <c r="J33" i="22" s="1"/>
  <c r="J20" i="22" s="1"/>
  <c r="I22" i="25"/>
  <c r="I28" i="27"/>
  <c r="P29" i="32" s="1"/>
  <c r="H28" i="97" s="1"/>
  <c r="D9" i="22"/>
  <c r="H28" i="27"/>
  <c r="O29" i="32" s="1"/>
  <c r="G28" i="97" s="1"/>
  <c r="I46" i="22"/>
  <c r="I33" i="22" s="1"/>
  <c r="I20" i="22" s="1"/>
  <c r="H6" i="15"/>
  <c r="P41" i="15"/>
  <c r="P41" i="18" s="1"/>
  <c r="C7" i="14"/>
  <c r="C40" i="14"/>
  <c r="E23" i="25"/>
  <c r="W39" i="15"/>
  <c r="W39" i="18" s="1"/>
  <c r="J5" i="14"/>
  <c r="J38" i="14"/>
  <c r="I34" i="25"/>
  <c r="V7" i="22"/>
  <c r="W39" i="20" l="1"/>
  <c r="F9" i="22"/>
  <c r="V39" i="18"/>
  <c r="V39" i="20" s="1"/>
  <c r="J17" i="27" s="1"/>
  <c r="Q18" i="32" s="1"/>
  <c r="I17" i="97" s="1"/>
  <c r="B6" i="29"/>
  <c r="E47" i="22"/>
  <c r="E34" i="22" s="1"/>
  <c r="E21" i="22" s="1"/>
  <c r="E59" i="22" s="1"/>
  <c r="U7" i="20"/>
  <c r="F3" i="27"/>
  <c r="M4" i="32" s="1"/>
  <c r="E3" i="97" s="1"/>
  <c r="D40" i="18"/>
  <c r="D47" i="22" s="1"/>
  <c r="D34" i="22" s="1"/>
  <c r="D21" i="22" s="1"/>
  <c r="F6" i="26"/>
  <c r="F5" i="29" s="1"/>
  <c r="S8" i="20"/>
  <c r="P41" i="20"/>
  <c r="D19" i="27" s="1"/>
  <c r="K20" i="32" s="1"/>
  <c r="C19" i="97" s="1"/>
  <c r="B41" i="18"/>
  <c r="B48" i="22" s="1"/>
  <c r="B35" i="22" s="1"/>
  <c r="B22" i="22" s="1"/>
  <c r="L25" i="26"/>
  <c r="U6" i="15"/>
  <c r="H6" i="17"/>
  <c r="D6" i="26"/>
  <c r="D5" i="29" s="1"/>
  <c r="E7" i="20"/>
  <c r="E5" i="25" s="1"/>
  <c r="AB5" i="97" s="1"/>
  <c r="E7" i="18"/>
  <c r="R7" i="18" s="1"/>
  <c r="Q8" i="20"/>
  <c r="J6" i="20"/>
  <c r="J4" i="25" s="1"/>
  <c r="AG4" i="97" s="1"/>
  <c r="J6" i="18"/>
  <c r="W6" i="18" s="1"/>
  <c r="O8" i="15"/>
  <c r="B8" i="17"/>
  <c r="K5" i="20"/>
  <c r="K3" i="25" s="1"/>
  <c r="K3" i="26" s="1"/>
  <c r="K2" i="29" s="1"/>
  <c r="K5" i="18"/>
  <c r="X5" i="18" s="1"/>
  <c r="Q7" i="15"/>
  <c r="D7" i="17"/>
  <c r="T6" i="15"/>
  <c r="G6" i="17"/>
  <c r="H39" i="18"/>
  <c r="H46" i="22" s="1"/>
  <c r="H33" i="22" s="1"/>
  <c r="H20" i="22" s="1"/>
  <c r="G39" i="18"/>
  <c r="G46" i="22" s="1"/>
  <c r="G33" i="22" s="1"/>
  <c r="G20" i="22" s="1"/>
  <c r="F40" i="18"/>
  <c r="C8" i="20"/>
  <c r="C6" i="25" s="1"/>
  <c r="C6" i="26" s="1"/>
  <c r="C5" i="29" s="1"/>
  <c r="C8" i="18"/>
  <c r="P8" i="18" s="1"/>
  <c r="I6" i="18"/>
  <c r="V6" i="18" s="1"/>
  <c r="I6" i="20"/>
  <c r="I4" i="25" s="1"/>
  <c r="AF4" i="97" s="1"/>
  <c r="S7" i="15"/>
  <c r="F7" i="17"/>
  <c r="G5" i="25"/>
  <c r="T7" i="20"/>
  <c r="C36" i="26"/>
  <c r="C35" i="29" s="1"/>
  <c r="Z36" i="97"/>
  <c r="I22" i="26"/>
  <c r="I21" i="29" s="1"/>
  <c r="AF22" i="97"/>
  <c r="C24" i="26"/>
  <c r="C23" i="29" s="1"/>
  <c r="Z24" i="97"/>
  <c r="K21" i="26"/>
  <c r="K20" i="29" s="1"/>
  <c r="AH21" i="97"/>
  <c r="D35" i="26"/>
  <c r="D34" i="29" s="1"/>
  <c r="AA35" i="97"/>
  <c r="K33" i="26"/>
  <c r="K32" i="29" s="1"/>
  <c r="AH33" i="97"/>
  <c r="E35" i="26"/>
  <c r="E34" i="29" s="1"/>
  <c r="AB35" i="97"/>
  <c r="J22" i="26"/>
  <c r="J21" i="29" s="1"/>
  <c r="AG22" i="97"/>
  <c r="E5" i="26"/>
  <c r="E4" i="29" s="1"/>
  <c r="I34" i="26"/>
  <c r="I33" i="29" s="1"/>
  <c r="AF34" i="97"/>
  <c r="E23" i="26"/>
  <c r="E22" i="29" s="1"/>
  <c r="AB23" i="97"/>
  <c r="I58" i="22"/>
  <c r="I7" i="22"/>
  <c r="K57" i="22"/>
  <c r="K6" i="22"/>
  <c r="E8" i="22"/>
  <c r="J58" i="22"/>
  <c r="J7" i="22"/>
  <c r="L16" i="27"/>
  <c r="S17" i="32" s="1"/>
  <c r="K16" i="97" s="1"/>
  <c r="K17" i="27"/>
  <c r="R18" i="32" s="1"/>
  <c r="J17" i="97" s="1"/>
  <c r="J27" i="27"/>
  <c r="Q28" i="32" s="1"/>
  <c r="I27" i="97" s="1"/>
  <c r="C40" i="15"/>
  <c r="C40" i="17" s="1"/>
  <c r="C40" i="20" s="1"/>
  <c r="T39" i="15"/>
  <c r="G5" i="14"/>
  <c r="G38" i="14"/>
  <c r="O41" i="15"/>
  <c r="B7" i="14"/>
  <c r="B40" i="14"/>
  <c r="F18" i="27"/>
  <c r="M19" i="32" s="1"/>
  <c r="E18" i="97" s="1"/>
  <c r="C7" i="15"/>
  <c r="E39" i="15"/>
  <c r="E39" i="17" s="1"/>
  <c r="E39" i="18" s="1"/>
  <c r="Q40" i="15"/>
  <c r="D6" i="14"/>
  <c r="D39" i="14"/>
  <c r="H34" i="25"/>
  <c r="U7" i="22"/>
  <c r="B36" i="25"/>
  <c r="O9" i="22"/>
  <c r="L26" i="27"/>
  <c r="S27" i="32" s="1"/>
  <c r="K26" i="97" s="1"/>
  <c r="D23" i="25"/>
  <c r="C35" i="25"/>
  <c r="P8" i="22"/>
  <c r="K4" i="15"/>
  <c r="S40" i="15"/>
  <c r="F6" i="14"/>
  <c r="F39" i="14"/>
  <c r="J38" i="15"/>
  <c r="J38" i="17" s="1"/>
  <c r="J38" i="20" s="1"/>
  <c r="E6" i="15"/>
  <c r="D29" i="27"/>
  <c r="K30" i="32" s="1"/>
  <c r="C29" i="97" s="1"/>
  <c r="I38" i="15"/>
  <c r="I38" i="17" s="1"/>
  <c r="I38" i="20" s="1"/>
  <c r="F47" i="22"/>
  <c r="F34" i="22" s="1"/>
  <c r="F21" i="22" s="1"/>
  <c r="E28" i="27"/>
  <c r="L29" i="32" s="1"/>
  <c r="D28" i="97" s="1"/>
  <c r="U39" i="15"/>
  <c r="H5" i="14"/>
  <c r="H38" i="14"/>
  <c r="F28" i="27"/>
  <c r="M29" i="32" s="1"/>
  <c r="E28" i="97" s="1"/>
  <c r="J5" i="15"/>
  <c r="H22" i="25"/>
  <c r="Q40" i="18"/>
  <c r="Q40" i="20" s="1"/>
  <c r="G22" i="25"/>
  <c r="B24" i="25"/>
  <c r="C9" i="22"/>
  <c r="I5" i="15"/>
  <c r="K37" i="15"/>
  <c r="K37" i="17" s="1"/>
  <c r="K37" i="20" s="1"/>
  <c r="F23" i="25"/>
  <c r="G34" i="25"/>
  <c r="T7" i="22"/>
  <c r="F35" i="25"/>
  <c r="S8" i="22"/>
  <c r="S40" i="18" l="1"/>
  <c r="S40" i="20" s="1"/>
  <c r="O41" i="18"/>
  <c r="O41" i="20" s="1"/>
  <c r="AH3" i="97"/>
  <c r="E39" i="20"/>
  <c r="E22" i="25" s="1"/>
  <c r="P8" i="20"/>
  <c r="R7" i="20"/>
  <c r="T39" i="18"/>
  <c r="T39" i="20" s="1"/>
  <c r="H17" i="27" s="1"/>
  <c r="O18" i="32" s="1"/>
  <c r="G17" i="97" s="1"/>
  <c r="U39" i="18"/>
  <c r="U39" i="20" s="1"/>
  <c r="I38" i="18"/>
  <c r="G3" i="27"/>
  <c r="N4" i="32" s="1"/>
  <c r="F3" i="97" s="1"/>
  <c r="X5" i="20"/>
  <c r="V5" i="15"/>
  <c r="I5" i="17"/>
  <c r="J38" i="18"/>
  <c r="J45" i="22" s="1"/>
  <c r="J32" i="22" s="1"/>
  <c r="J19" i="22" s="1"/>
  <c r="J4" i="26"/>
  <c r="J3" i="29" s="1"/>
  <c r="G6" i="20"/>
  <c r="G4" i="25" s="1"/>
  <c r="AD4" i="97" s="1"/>
  <c r="G6" i="18"/>
  <c r="T6" i="18" s="1"/>
  <c r="W6" i="20"/>
  <c r="C40" i="18"/>
  <c r="I4" i="26"/>
  <c r="I3" i="29" s="1"/>
  <c r="V6" i="20"/>
  <c r="D7" i="18"/>
  <c r="Q7" i="18" s="1"/>
  <c r="D7" i="20"/>
  <c r="D5" i="25" s="1"/>
  <c r="E3" i="27"/>
  <c r="L4" i="32" s="1"/>
  <c r="D3" i="97" s="1"/>
  <c r="R6" i="15"/>
  <c r="E6" i="17"/>
  <c r="W5" i="15"/>
  <c r="J5" i="17"/>
  <c r="X4" i="15"/>
  <c r="K4" i="17"/>
  <c r="Z6" i="97"/>
  <c r="K37" i="18"/>
  <c r="K44" i="22" s="1"/>
  <c r="K31" i="22" s="1"/>
  <c r="K18" i="22" s="1"/>
  <c r="P7" i="15"/>
  <c r="C7" i="17"/>
  <c r="G5" i="26"/>
  <c r="G4" i="29" s="1"/>
  <c r="AD5" i="97"/>
  <c r="B8" i="20"/>
  <c r="B6" i="25" s="1"/>
  <c r="B6" i="26" s="1"/>
  <c r="B8" i="18"/>
  <c r="O8" i="18" s="1"/>
  <c r="H6" i="20"/>
  <c r="H4" i="25" s="1"/>
  <c r="H4" i="26" s="1"/>
  <c r="H3" i="29" s="1"/>
  <c r="H6" i="18"/>
  <c r="U6" i="18" s="1"/>
  <c r="U6" i="20" s="1"/>
  <c r="F7" i="20"/>
  <c r="F5" i="25" s="1"/>
  <c r="F5" i="26" s="1"/>
  <c r="F4" i="29" s="1"/>
  <c r="F7" i="18"/>
  <c r="S7" i="18" s="1"/>
  <c r="F35" i="26"/>
  <c r="F34" i="29" s="1"/>
  <c r="AC35" i="97"/>
  <c r="H22" i="26"/>
  <c r="H21" i="29" s="1"/>
  <c r="AE22" i="97"/>
  <c r="C35" i="26"/>
  <c r="C34" i="29" s="1"/>
  <c r="Z35" i="97"/>
  <c r="D23" i="26"/>
  <c r="D22" i="29" s="1"/>
  <c r="AA23" i="97"/>
  <c r="B36" i="26"/>
  <c r="L36" i="26" s="1"/>
  <c r="Y36" i="97"/>
  <c r="D5" i="26"/>
  <c r="D4" i="29" s="1"/>
  <c r="AA5" i="97"/>
  <c r="G22" i="26"/>
  <c r="G21" i="29" s="1"/>
  <c r="AD22" i="97"/>
  <c r="G34" i="26"/>
  <c r="G33" i="29" s="1"/>
  <c r="AD34" i="97"/>
  <c r="F23" i="26"/>
  <c r="F22" i="29" s="1"/>
  <c r="AC23" i="97"/>
  <c r="B24" i="26"/>
  <c r="B23" i="29" s="1"/>
  <c r="Y24" i="97"/>
  <c r="H34" i="26"/>
  <c r="H33" i="29" s="1"/>
  <c r="AE34" i="97"/>
  <c r="E18" i="27"/>
  <c r="L19" i="32" s="1"/>
  <c r="D18" i="97" s="1"/>
  <c r="F59" i="22"/>
  <c r="F8" i="22"/>
  <c r="C19" i="27"/>
  <c r="J20" i="32" s="1"/>
  <c r="B19" i="97" s="1"/>
  <c r="B60" i="22"/>
  <c r="B9" i="22"/>
  <c r="G58" i="22"/>
  <c r="G7" i="22"/>
  <c r="D59" i="22"/>
  <c r="D8" i="22"/>
  <c r="I17" i="27"/>
  <c r="P18" i="32" s="1"/>
  <c r="H17" i="97" s="1"/>
  <c r="H58" i="22"/>
  <c r="H7" i="22"/>
  <c r="C23" i="25"/>
  <c r="K20" i="25"/>
  <c r="H38" i="15"/>
  <c r="H38" i="17" s="1"/>
  <c r="H38" i="18" s="1"/>
  <c r="I21" i="25"/>
  <c r="D28" i="27"/>
  <c r="K29" i="32" s="1"/>
  <c r="C28" i="97" s="1"/>
  <c r="I27" i="27"/>
  <c r="P28" i="32" s="1"/>
  <c r="H27" i="97" s="1"/>
  <c r="G38" i="15"/>
  <c r="G38" i="17" s="1"/>
  <c r="G38" i="20" s="1"/>
  <c r="P40" i="15"/>
  <c r="P40" i="18" s="1"/>
  <c r="P40" i="20" s="1"/>
  <c r="C6" i="14"/>
  <c r="C39" i="14"/>
  <c r="E34" i="25"/>
  <c r="R7" i="22"/>
  <c r="I33" i="25"/>
  <c r="V6" i="22"/>
  <c r="F6" i="15"/>
  <c r="D6" i="15"/>
  <c r="E46" i="22"/>
  <c r="E33" i="22" s="1"/>
  <c r="E20" i="22" s="1"/>
  <c r="G28" i="27"/>
  <c r="N29" i="32" s="1"/>
  <c r="F28" i="97" s="1"/>
  <c r="G18" i="27"/>
  <c r="N19" i="32" s="1"/>
  <c r="F18" i="97" s="1"/>
  <c r="X37" i="15"/>
  <c r="K3" i="14"/>
  <c r="K36" i="14"/>
  <c r="H5" i="15"/>
  <c r="V38" i="15"/>
  <c r="V38" i="18" s="1"/>
  <c r="V38" i="20" s="1"/>
  <c r="I4" i="14"/>
  <c r="I37" i="14"/>
  <c r="W38" i="15"/>
  <c r="J4" i="14"/>
  <c r="J37" i="14"/>
  <c r="R39" i="15"/>
  <c r="R39" i="18" s="1"/>
  <c r="E5" i="14"/>
  <c r="E38" i="14"/>
  <c r="B40" i="15"/>
  <c r="B40" i="17" s="1"/>
  <c r="B40" i="20" s="1"/>
  <c r="G5" i="15"/>
  <c r="H27" i="27"/>
  <c r="O28" i="32" s="1"/>
  <c r="G27" i="97" s="1"/>
  <c r="I45" i="22"/>
  <c r="I32" i="22" s="1"/>
  <c r="I19" i="22" s="1"/>
  <c r="J21" i="25"/>
  <c r="F39" i="15"/>
  <c r="F39" i="17" s="1"/>
  <c r="F39" i="18" s="1"/>
  <c r="C29" i="27"/>
  <c r="J30" i="32" s="1"/>
  <c r="B29" i="97" s="1"/>
  <c r="D39" i="15"/>
  <c r="D39" i="17" s="1"/>
  <c r="D39" i="20" s="1"/>
  <c r="B7" i="15"/>
  <c r="C47" i="22"/>
  <c r="C34" i="22" s="1"/>
  <c r="C21" i="22" s="1"/>
  <c r="J33" i="25"/>
  <c r="W6" i="22"/>
  <c r="K32" i="25"/>
  <c r="X5" i="22"/>
  <c r="T6" i="20" l="1"/>
  <c r="L24" i="26"/>
  <c r="R39" i="20"/>
  <c r="W38" i="18"/>
  <c r="W38" i="20" s="1"/>
  <c r="Y6" i="97"/>
  <c r="H38" i="20"/>
  <c r="H21" i="25" s="1"/>
  <c r="B40" i="18"/>
  <c r="B47" i="22" s="1"/>
  <c r="B34" i="22" s="1"/>
  <c r="B21" i="22" s="1"/>
  <c r="B59" i="22" s="1"/>
  <c r="X37" i="18"/>
  <c r="X37" i="20" s="1"/>
  <c r="L15" i="27" s="1"/>
  <c r="S16" i="32" s="1"/>
  <c r="K15" i="97" s="1"/>
  <c r="AE4" i="97"/>
  <c r="D3" i="27"/>
  <c r="K4" i="32" s="1"/>
  <c r="C3" i="97" s="1"/>
  <c r="G4" i="26"/>
  <c r="G3" i="29" s="1"/>
  <c r="F39" i="20"/>
  <c r="F22" i="25" s="1"/>
  <c r="G38" i="18"/>
  <c r="G45" i="22" s="1"/>
  <c r="G32" i="22" s="1"/>
  <c r="G19" i="22" s="1"/>
  <c r="B35" i="29"/>
  <c r="B5" i="29"/>
  <c r="L6" i="26"/>
  <c r="D39" i="18"/>
  <c r="O8" i="20"/>
  <c r="S7" i="20"/>
  <c r="C7" i="20"/>
  <c r="C5" i="25" s="1"/>
  <c r="Z5" i="97" s="1"/>
  <c r="C7" i="18"/>
  <c r="P7" i="18" s="1"/>
  <c r="E6" i="20"/>
  <c r="E4" i="25" s="1"/>
  <c r="E4" i="26" s="1"/>
  <c r="E3" i="29" s="1"/>
  <c r="E6" i="18"/>
  <c r="R6" i="18" s="1"/>
  <c r="T5" i="15"/>
  <c r="G5" i="17"/>
  <c r="S6" i="15"/>
  <c r="F6" i="17"/>
  <c r="U5" i="15"/>
  <c r="H5" i="17"/>
  <c r="AC5" i="97"/>
  <c r="K4" i="18"/>
  <c r="X4" i="18" s="1"/>
  <c r="K4" i="20"/>
  <c r="O7" i="15"/>
  <c r="B7" i="17"/>
  <c r="Q7" i="20"/>
  <c r="J5" i="18"/>
  <c r="W5" i="18" s="1"/>
  <c r="J5" i="20"/>
  <c r="J3" i="25" s="1"/>
  <c r="J3" i="26" s="1"/>
  <c r="J2" i="29" s="1"/>
  <c r="I5" i="20"/>
  <c r="I5" i="18"/>
  <c r="V5" i="18" s="1"/>
  <c r="Q6" i="15"/>
  <c r="D6" i="17"/>
  <c r="E34" i="26"/>
  <c r="E33" i="29" s="1"/>
  <c r="AB34" i="97"/>
  <c r="E22" i="26"/>
  <c r="E21" i="29" s="1"/>
  <c r="AB22" i="97"/>
  <c r="J33" i="26"/>
  <c r="J32" i="29" s="1"/>
  <c r="AG33" i="97"/>
  <c r="C23" i="26"/>
  <c r="C22" i="29" s="1"/>
  <c r="Z23" i="97"/>
  <c r="K20" i="26"/>
  <c r="K19" i="29" s="1"/>
  <c r="AH20" i="97"/>
  <c r="I21" i="26"/>
  <c r="I20" i="29" s="1"/>
  <c r="AF21" i="97"/>
  <c r="J21" i="26"/>
  <c r="J20" i="29" s="1"/>
  <c r="AG21" i="97"/>
  <c r="I33" i="26"/>
  <c r="I32" i="29" s="1"/>
  <c r="AF33" i="97"/>
  <c r="K32" i="26"/>
  <c r="K31" i="29" s="1"/>
  <c r="AH32" i="97"/>
  <c r="I57" i="22"/>
  <c r="I6" i="22"/>
  <c r="J16" i="27"/>
  <c r="Q17" i="32" s="1"/>
  <c r="I16" i="97" s="1"/>
  <c r="D18" i="27"/>
  <c r="K19" i="32" s="1"/>
  <c r="C18" i="97" s="1"/>
  <c r="C59" i="22"/>
  <c r="C8" i="22"/>
  <c r="E58" i="22"/>
  <c r="E7" i="22"/>
  <c r="K56" i="22"/>
  <c r="K5" i="22"/>
  <c r="K16" i="27"/>
  <c r="R17" i="32" s="1"/>
  <c r="J16" i="97" s="1"/>
  <c r="F17" i="27"/>
  <c r="M18" i="32" s="1"/>
  <c r="E17" i="97" s="1"/>
  <c r="J57" i="22"/>
  <c r="J6" i="22"/>
  <c r="F46" i="22"/>
  <c r="F33" i="22" s="1"/>
  <c r="F20" i="22" s="1"/>
  <c r="D46" i="22"/>
  <c r="D33" i="22" s="1"/>
  <c r="D20" i="22" s="1"/>
  <c r="O40" i="15"/>
  <c r="B6" i="14"/>
  <c r="B39" i="14"/>
  <c r="E5" i="15"/>
  <c r="I4" i="15"/>
  <c r="K3" i="15"/>
  <c r="F27" i="27"/>
  <c r="M28" i="32" s="1"/>
  <c r="E27" i="97" s="1"/>
  <c r="K26" i="27"/>
  <c r="R27" i="32" s="1"/>
  <c r="J26" i="97" s="1"/>
  <c r="Q39" i="15"/>
  <c r="Q39" i="18" s="1"/>
  <c r="Q39" i="20" s="1"/>
  <c r="D5" i="14"/>
  <c r="D38" i="14"/>
  <c r="D34" i="25"/>
  <c r="Q7" i="22"/>
  <c r="B35" i="25"/>
  <c r="O8" i="22"/>
  <c r="F34" i="25"/>
  <c r="S7" i="22"/>
  <c r="U38" i="15"/>
  <c r="U38" i="18" s="1"/>
  <c r="H4" i="14"/>
  <c r="H37" i="14"/>
  <c r="J37" i="15"/>
  <c r="J37" i="17" s="1"/>
  <c r="J37" i="20" s="1"/>
  <c r="J26" i="27"/>
  <c r="Q27" i="32" s="1"/>
  <c r="I26" i="97" s="1"/>
  <c r="C39" i="15"/>
  <c r="C39" i="17" s="1"/>
  <c r="C39" i="18" s="1"/>
  <c r="G21" i="25"/>
  <c r="L25" i="27"/>
  <c r="S26" i="32" s="1"/>
  <c r="K25" i="97" s="1"/>
  <c r="D22" i="25"/>
  <c r="S39" i="15"/>
  <c r="S39" i="18" s="1"/>
  <c r="F5" i="14"/>
  <c r="F38" i="14"/>
  <c r="B23" i="25"/>
  <c r="E38" i="15"/>
  <c r="E38" i="17" s="1"/>
  <c r="E38" i="20" s="1"/>
  <c r="J4" i="15"/>
  <c r="I37" i="15"/>
  <c r="I37" i="17" s="1"/>
  <c r="I37" i="18" s="1"/>
  <c r="K36" i="15"/>
  <c r="K36" i="17" s="1"/>
  <c r="K36" i="18" s="1"/>
  <c r="C6" i="15"/>
  <c r="T38" i="15"/>
  <c r="G4" i="14"/>
  <c r="G37" i="14"/>
  <c r="H45" i="22"/>
  <c r="H32" i="22" s="1"/>
  <c r="H19" i="22" s="1"/>
  <c r="H33" i="25"/>
  <c r="U6" i="22"/>
  <c r="G33" i="25"/>
  <c r="T6" i="22"/>
  <c r="U38" i="20" l="1"/>
  <c r="O40" i="18"/>
  <c r="O40" i="20" s="1"/>
  <c r="T38" i="18"/>
  <c r="T38" i="20" s="1"/>
  <c r="S39" i="20"/>
  <c r="C5" i="26"/>
  <c r="C4" i="29" s="1"/>
  <c r="X4" i="20"/>
  <c r="AB4" i="97"/>
  <c r="P7" i="20"/>
  <c r="C39" i="20"/>
  <c r="C22" i="25" s="1"/>
  <c r="AG3" i="97"/>
  <c r="C3" i="27"/>
  <c r="J4" i="32" s="1"/>
  <c r="B3" i="97" s="1"/>
  <c r="E38" i="18"/>
  <c r="E45" i="22" s="1"/>
  <c r="E32" i="22" s="1"/>
  <c r="E19" i="22" s="1"/>
  <c r="J37" i="18"/>
  <c r="J44" i="22" s="1"/>
  <c r="J31" i="22" s="1"/>
  <c r="J18" i="22" s="1"/>
  <c r="R6" i="20"/>
  <c r="I37" i="20"/>
  <c r="B7" i="18"/>
  <c r="O7" i="18" s="1"/>
  <c r="B7" i="20"/>
  <c r="B5" i="25" s="1"/>
  <c r="Y5" i="97" s="1"/>
  <c r="R5" i="15"/>
  <c r="E5" i="17"/>
  <c r="D6" i="20"/>
  <c r="D4" i="25" s="1"/>
  <c r="D4" i="26" s="1"/>
  <c r="D3" i="29" s="1"/>
  <c r="D6" i="18"/>
  <c r="Q6" i="18" s="1"/>
  <c r="X3" i="15"/>
  <c r="K3" i="17"/>
  <c r="V5" i="20"/>
  <c r="I3" i="25"/>
  <c r="G5" i="20"/>
  <c r="G3" i="25" s="1"/>
  <c r="AD3" i="97" s="1"/>
  <c r="G5" i="18"/>
  <c r="T5" i="18" s="1"/>
  <c r="K36" i="20"/>
  <c r="K19" i="25" s="1"/>
  <c r="H5" i="20"/>
  <c r="H3" i="25" s="1"/>
  <c r="H3" i="26" s="1"/>
  <c r="H2" i="29" s="1"/>
  <c r="H5" i="18"/>
  <c r="U5" i="18" s="1"/>
  <c r="V4" i="15"/>
  <c r="I4" i="17"/>
  <c r="W5" i="20"/>
  <c r="W4" i="15"/>
  <c r="J4" i="17"/>
  <c r="P6" i="15"/>
  <c r="C6" i="17"/>
  <c r="F6" i="20"/>
  <c r="F4" i="25" s="1"/>
  <c r="F4" i="26" s="1"/>
  <c r="F3" i="29" s="1"/>
  <c r="F6" i="18"/>
  <c r="S6" i="18" s="1"/>
  <c r="F22" i="26"/>
  <c r="F21" i="29" s="1"/>
  <c r="AC22" i="97"/>
  <c r="G33" i="26"/>
  <c r="G32" i="29" s="1"/>
  <c r="AD33" i="97"/>
  <c r="H21" i="26"/>
  <c r="H20" i="29" s="1"/>
  <c r="AE21" i="97"/>
  <c r="H33" i="26"/>
  <c r="H32" i="29" s="1"/>
  <c r="AE33" i="97"/>
  <c r="B23" i="26"/>
  <c r="B22" i="29" s="1"/>
  <c r="Y23" i="97"/>
  <c r="D22" i="26"/>
  <c r="D21" i="29" s="1"/>
  <c r="AA22" i="97"/>
  <c r="B35" i="26"/>
  <c r="B34" i="29" s="1"/>
  <c r="Y35" i="97"/>
  <c r="G21" i="26"/>
  <c r="G20" i="29" s="1"/>
  <c r="AD21" i="97"/>
  <c r="F34" i="26"/>
  <c r="F33" i="29" s="1"/>
  <c r="AC34" i="97"/>
  <c r="D34" i="26"/>
  <c r="D33" i="29" s="1"/>
  <c r="AA34" i="97"/>
  <c r="H57" i="22"/>
  <c r="H6" i="22"/>
  <c r="I16" i="27"/>
  <c r="P17" i="32" s="1"/>
  <c r="H16" i="97" s="1"/>
  <c r="G57" i="22"/>
  <c r="G6" i="22"/>
  <c r="F58" i="22"/>
  <c r="F7" i="22"/>
  <c r="E17" i="27"/>
  <c r="L18" i="32" s="1"/>
  <c r="D17" i="97" s="1"/>
  <c r="D58" i="22"/>
  <c r="D7" i="22"/>
  <c r="K43" i="22"/>
  <c r="K30" i="22" s="1"/>
  <c r="K17" i="22" s="1"/>
  <c r="B34" i="25"/>
  <c r="O7" i="22"/>
  <c r="G17" i="27"/>
  <c r="N18" i="32" s="1"/>
  <c r="F17" i="97" s="1"/>
  <c r="I26" i="27"/>
  <c r="P27" i="32" s="1"/>
  <c r="H26" i="97" s="1"/>
  <c r="G4" i="15"/>
  <c r="V37" i="15"/>
  <c r="V37" i="18" s="1"/>
  <c r="I3" i="14"/>
  <c r="I36" i="14"/>
  <c r="H16" i="27"/>
  <c r="O17" i="32" s="1"/>
  <c r="G16" i="97" s="1"/>
  <c r="P39" i="15"/>
  <c r="P39" i="18" s="1"/>
  <c r="C5" i="14"/>
  <c r="C38" i="14"/>
  <c r="H4" i="15"/>
  <c r="C28" i="27"/>
  <c r="J29" i="32" s="1"/>
  <c r="B28" i="97" s="1"/>
  <c r="B39" i="15"/>
  <c r="B39" i="17" s="1"/>
  <c r="B39" i="18" s="1"/>
  <c r="J32" i="25"/>
  <c r="W5" i="22"/>
  <c r="E33" i="25"/>
  <c r="R6" i="22"/>
  <c r="C18" i="27"/>
  <c r="J19" i="32" s="1"/>
  <c r="B18" i="97" s="1"/>
  <c r="H37" i="15"/>
  <c r="H37" i="17" s="1"/>
  <c r="H37" i="18" s="1"/>
  <c r="E21" i="25"/>
  <c r="F38" i="15"/>
  <c r="F38" i="17" s="1"/>
  <c r="F38" i="20" s="1"/>
  <c r="W37" i="15"/>
  <c r="J3" i="14"/>
  <c r="J36" i="14"/>
  <c r="D38" i="15"/>
  <c r="D38" i="17" s="1"/>
  <c r="D38" i="18" s="1"/>
  <c r="B6" i="15"/>
  <c r="G37" i="15"/>
  <c r="G37" i="17" s="1"/>
  <c r="G37" i="20" s="1"/>
  <c r="I20" i="25"/>
  <c r="H26" i="27"/>
  <c r="O27" i="32" s="1"/>
  <c r="G26" i="97" s="1"/>
  <c r="X36" i="15"/>
  <c r="X36" i="18" s="1"/>
  <c r="K2" i="14"/>
  <c r="K35" i="14"/>
  <c r="I44" i="22"/>
  <c r="I31" i="22" s="1"/>
  <c r="I18" i="22" s="1"/>
  <c r="R38" i="15"/>
  <c r="E4" i="14"/>
  <c r="E37" i="14"/>
  <c r="F5" i="15"/>
  <c r="C46" i="22"/>
  <c r="C33" i="22" s="1"/>
  <c r="C20" i="22" s="1"/>
  <c r="J20" i="25"/>
  <c r="B8" i="22"/>
  <c r="G27" i="27"/>
  <c r="N28" i="32" s="1"/>
  <c r="F27" i="97" s="1"/>
  <c r="E27" i="27"/>
  <c r="L28" i="32" s="1"/>
  <c r="D27" i="97" s="1"/>
  <c r="D5" i="15"/>
  <c r="K31" i="25"/>
  <c r="X4" i="22"/>
  <c r="C34" i="25"/>
  <c r="P7" i="22"/>
  <c r="I32" i="25"/>
  <c r="V5" i="22"/>
  <c r="L35" i="26" l="1"/>
  <c r="V37" i="20"/>
  <c r="W37" i="18"/>
  <c r="W37" i="20" s="1"/>
  <c r="P39" i="20"/>
  <c r="B5" i="26"/>
  <c r="H37" i="20"/>
  <c r="R38" i="18"/>
  <c r="R38" i="20" s="1"/>
  <c r="Q6" i="20"/>
  <c r="X36" i="20"/>
  <c r="L14" i="27" s="1"/>
  <c r="S15" i="32" s="1"/>
  <c r="K14" i="97" s="1"/>
  <c r="AA4" i="97"/>
  <c r="G3" i="26"/>
  <c r="G2" i="29" s="1"/>
  <c r="T5" i="20"/>
  <c r="B39" i="20"/>
  <c r="B22" i="25" s="1"/>
  <c r="AC4" i="97"/>
  <c r="F38" i="18"/>
  <c r="S5" i="15"/>
  <c r="F5" i="17"/>
  <c r="O6" i="15"/>
  <c r="B6" i="17"/>
  <c r="T4" i="15"/>
  <c r="G4" i="17"/>
  <c r="U5" i="20"/>
  <c r="U4" i="15"/>
  <c r="H4" i="17"/>
  <c r="J4" i="18"/>
  <c r="W4" i="18" s="1"/>
  <c r="J4" i="20"/>
  <c r="E5" i="20"/>
  <c r="E3" i="25" s="1"/>
  <c r="E3" i="26" s="1"/>
  <c r="E2" i="29" s="1"/>
  <c r="E5" i="18"/>
  <c r="R5" i="18" s="1"/>
  <c r="C6" i="20"/>
  <c r="C4" i="25" s="1"/>
  <c r="Z4" i="97" s="1"/>
  <c r="C6" i="18"/>
  <c r="P6" i="18" s="1"/>
  <c r="G37" i="18"/>
  <c r="D38" i="20"/>
  <c r="D21" i="25" s="1"/>
  <c r="AE3" i="97"/>
  <c r="AF3" i="97"/>
  <c r="I3" i="26"/>
  <c r="I2" i="29" s="1"/>
  <c r="Q5" i="15"/>
  <c r="D5" i="17"/>
  <c r="I4" i="20"/>
  <c r="I4" i="18"/>
  <c r="V4" i="18" s="1"/>
  <c r="O7" i="20"/>
  <c r="S6" i="20"/>
  <c r="K3" i="20"/>
  <c r="K3" i="18"/>
  <c r="X3" i="18" s="1"/>
  <c r="L23" i="26"/>
  <c r="E33" i="26"/>
  <c r="E32" i="29" s="1"/>
  <c r="AB33" i="97"/>
  <c r="C34" i="26"/>
  <c r="C33" i="29" s="1"/>
  <c r="Z34" i="97"/>
  <c r="I20" i="26"/>
  <c r="I19" i="29" s="1"/>
  <c r="AF20" i="97"/>
  <c r="C22" i="26"/>
  <c r="C21" i="29" s="1"/>
  <c r="Z22" i="97"/>
  <c r="C4" i="26"/>
  <c r="C3" i="29" s="1"/>
  <c r="J32" i="26"/>
  <c r="J31" i="29" s="1"/>
  <c r="AG32" i="97"/>
  <c r="B34" i="26"/>
  <c r="B33" i="29" s="1"/>
  <c r="Y34" i="97"/>
  <c r="I32" i="26"/>
  <c r="I31" i="29" s="1"/>
  <c r="AF32" i="97"/>
  <c r="K31" i="26"/>
  <c r="K30" i="29" s="1"/>
  <c r="AH31" i="97"/>
  <c r="J20" i="26"/>
  <c r="J19" i="29" s="1"/>
  <c r="AG20" i="97"/>
  <c r="E21" i="26"/>
  <c r="E20" i="29" s="1"/>
  <c r="AB21" i="97"/>
  <c r="K19" i="26"/>
  <c r="K18" i="29" s="1"/>
  <c r="AH19" i="97"/>
  <c r="E57" i="22"/>
  <c r="R5" i="22" s="1"/>
  <c r="E6" i="22"/>
  <c r="C58" i="22"/>
  <c r="C7" i="22"/>
  <c r="J15" i="27"/>
  <c r="Q16" i="32" s="1"/>
  <c r="I15" i="97" s="1"/>
  <c r="J56" i="22"/>
  <c r="J5" i="22"/>
  <c r="D17" i="27"/>
  <c r="K18" i="32" s="1"/>
  <c r="C17" i="97" s="1"/>
  <c r="F16" i="27"/>
  <c r="M17" i="32" s="1"/>
  <c r="E16" i="97" s="1"/>
  <c r="K55" i="22"/>
  <c r="K4" i="22"/>
  <c r="I56" i="22"/>
  <c r="I5" i="22"/>
  <c r="K35" i="15"/>
  <c r="K35" i="17" s="1"/>
  <c r="K35" i="20" s="1"/>
  <c r="J3" i="15"/>
  <c r="D27" i="27"/>
  <c r="K28" i="32" s="1"/>
  <c r="C27" i="97" s="1"/>
  <c r="K15" i="27"/>
  <c r="R16" i="32" s="1"/>
  <c r="J15" i="97" s="1"/>
  <c r="K2" i="15"/>
  <c r="T37" i="15"/>
  <c r="G3" i="14"/>
  <c r="G36" i="14"/>
  <c r="H44" i="22"/>
  <c r="H31" i="22" s="1"/>
  <c r="H18" i="22" s="1"/>
  <c r="B46" i="22"/>
  <c r="B33" i="22" s="1"/>
  <c r="B20" i="22" s="1"/>
  <c r="D33" i="25"/>
  <c r="Q6" i="22"/>
  <c r="F33" i="25"/>
  <c r="S6" i="22"/>
  <c r="Q38" i="15"/>
  <c r="Q38" i="18" s="1"/>
  <c r="D4" i="14"/>
  <c r="D37" i="14"/>
  <c r="H20" i="25"/>
  <c r="F26" i="27"/>
  <c r="M27" i="32" s="1"/>
  <c r="E26" i="97" s="1"/>
  <c r="F21" i="25"/>
  <c r="U37" i="15"/>
  <c r="U37" i="18" s="1"/>
  <c r="U37" i="20" s="1"/>
  <c r="H3" i="14"/>
  <c r="H36" i="14"/>
  <c r="K25" i="27"/>
  <c r="R26" i="32" s="1"/>
  <c r="J25" i="97" s="1"/>
  <c r="O39" i="15"/>
  <c r="O39" i="18" s="1"/>
  <c r="B5" i="14"/>
  <c r="B38" i="14"/>
  <c r="C38" i="15"/>
  <c r="C38" i="17" s="1"/>
  <c r="C38" i="18" s="1"/>
  <c r="I36" i="15"/>
  <c r="I36" i="17" s="1"/>
  <c r="I36" i="20" s="1"/>
  <c r="C27" i="27"/>
  <c r="J28" i="32" s="1"/>
  <c r="B27" i="97" s="1"/>
  <c r="E4" i="15"/>
  <c r="G20" i="25"/>
  <c r="F45" i="22"/>
  <c r="F32" i="22" s="1"/>
  <c r="F19" i="22" s="1"/>
  <c r="J25" i="27"/>
  <c r="Q26" i="32" s="1"/>
  <c r="I25" i="97" s="1"/>
  <c r="L24" i="27"/>
  <c r="S25" i="32" s="1"/>
  <c r="K24" i="97" s="1"/>
  <c r="E37" i="15"/>
  <c r="E37" i="17" s="1"/>
  <c r="E37" i="20" s="1"/>
  <c r="T37" i="18"/>
  <c r="T37" i="20" s="1"/>
  <c r="G44" i="22"/>
  <c r="G31" i="22" s="1"/>
  <c r="G18" i="22" s="1"/>
  <c r="D45" i="22"/>
  <c r="D32" i="22" s="1"/>
  <c r="D19" i="22" s="1"/>
  <c r="D57" i="22" s="1"/>
  <c r="J36" i="15"/>
  <c r="J36" i="17" s="1"/>
  <c r="J36" i="20" s="1"/>
  <c r="S38" i="15"/>
  <c r="S38" i="18" s="1"/>
  <c r="S38" i="20" s="1"/>
  <c r="F4" i="14"/>
  <c r="F37" i="14"/>
  <c r="C5" i="15"/>
  <c r="I3" i="15"/>
  <c r="G32" i="25"/>
  <c r="T5" i="22"/>
  <c r="H32" i="25"/>
  <c r="U5" i="22"/>
  <c r="Q38" i="20" l="1"/>
  <c r="O39" i="20"/>
  <c r="B4" i="29"/>
  <c r="L5" i="26"/>
  <c r="X3" i="20"/>
  <c r="R5" i="20"/>
  <c r="C38" i="20"/>
  <c r="C21" i="25" s="1"/>
  <c r="AB3" i="97"/>
  <c r="P6" i="20"/>
  <c r="V3" i="15"/>
  <c r="I3" i="17"/>
  <c r="J36" i="18"/>
  <c r="R4" i="15"/>
  <c r="E4" i="17"/>
  <c r="X2" i="15"/>
  <c r="K2" i="17"/>
  <c r="V4" i="20"/>
  <c r="P5" i="15"/>
  <c r="C5" i="17"/>
  <c r="D5" i="20"/>
  <c r="D3" i="25" s="1"/>
  <c r="AA3" i="97" s="1"/>
  <c r="D5" i="18"/>
  <c r="Q5" i="18" s="1"/>
  <c r="G4" i="18"/>
  <c r="T4" i="18" s="1"/>
  <c r="G4" i="20"/>
  <c r="K35" i="18"/>
  <c r="B6" i="18"/>
  <c r="O6" i="18" s="1"/>
  <c r="B6" i="20"/>
  <c r="B4" i="25" s="1"/>
  <c r="B4" i="26" s="1"/>
  <c r="I36" i="18"/>
  <c r="I43" i="22" s="1"/>
  <c r="I30" i="22" s="1"/>
  <c r="I17" i="22" s="1"/>
  <c r="W3" i="15"/>
  <c r="J3" i="17"/>
  <c r="W4" i="20"/>
  <c r="F5" i="18"/>
  <c r="S5" i="18" s="1"/>
  <c r="F5" i="20"/>
  <c r="F3" i="25" s="1"/>
  <c r="F3" i="26" s="1"/>
  <c r="F2" i="29" s="1"/>
  <c r="E37" i="18"/>
  <c r="E44" i="22" s="1"/>
  <c r="E31" i="22" s="1"/>
  <c r="E18" i="22" s="1"/>
  <c r="H4" i="18"/>
  <c r="U4" i="18" s="1"/>
  <c r="H4" i="20"/>
  <c r="E32" i="25"/>
  <c r="E32" i="26" s="1"/>
  <c r="E31" i="29" s="1"/>
  <c r="L34" i="26"/>
  <c r="G20" i="26"/>
  <c r="G19" i="29" s="1"/>
  <c r="AD20" i="97"/>
  <c r="D21" i="26"/>
  <c r="D20" i="29" s="1"/>
  <c r="AA21" i="97"/>
  <c r="H20" i="26"/>
  <c r="H19" i="29" s="1"/>
  <c r="AE20" i="97"/>
  <c r="F21" i="26"/>
  <c r="F20" i="29" s="1"/>
  <c r="AC21" i="97"/>
  <c r="D33" i="26"/>
  <c r="D32" i="29" s="1"/>
  <c r="AA33" i="97"/>
  <c r="H32" i="26"/>
  <c r="H31" i="29" s="1"/>
  <c r="AE32" i="97"/>
  <c r="F33" i="26"/>
  <c r="F32" i="29" s="1"/>
  <c r="AC33" i="97"/>
  <c r="G32" i="26"/>
  <c r="G31" i="29" s="1"/>
  <c r="AD32" i="97"/>
  <c r="B22" i="26"/>
  <c r="B21" i="29" s="1"/>
  <c r="Y22" i="97"/>
  <c r="C17" i="27"/>
  <c r="J18" i="32" s="1"/>
  <c r="B17" i="97" s="1"/>
  <c r="F57" i="22"/>
  <c r="F6" i="22"/>
  <c r="E16" i="27"/>
  <c r="L17" i="32" s="1"/>
  <c r="D16" i="97" s="1"/>
  <c r="H56" i="22"/>
  <c r="H5" i="22"/>
  <c r="B58" i="22"/>
  <c r="B7" i="22"/>
  <c r="G56" i="22"/>
  <c r="G5" i="22"/>
  <c r="H15" i="27"/>
  <c r="O16" i="32" s="1"/>
  <c r="G15" i="97" s="1"/>
  <c r="W36" i="15"/>
  <c r="J2" i="14"/>
  <c r="J35" i="14"/>
  <c r="G16" i="27"/>
  <c r="N17" i="32" s="1"/>
  <c r="F16" i="97" s="1"/>
  <c r="H25" i="27"/>
  <c r="O26" i="32" s="1"/>
  <c r="G25" i="97" s="1"/>
  <c r="E20" i="25"/>
  <c r="V36" i="15"/>
  <c r="I2" i="14"/>
  <c r="I35" i="14"/>
  <c r="C45" i="22"/>
  <c r="C32" i="22" s="1"/>
  <c r="C19" i="22" s="1"/>
  <c r="B5" i="15"/>
  <c r="H36" i="15"/>
  <c r="H36" i="17" s="1"/>
  <c r="H36" i="20" s="1"/>
  <c r="G26" i="27"/>
  <c r="N27" i="32" s="1"/>
  <c r="F26" i="97" s="1"/>
  <c r="G36" i="15"/>
  <c r="G36" i="17" s="1"/>
  <c r="G36" i="20" s="1"/>
  <c r="X35" i="15"/>
  <c r="K34" i="14"/>
  <c r="I31" i="25"/>
  <c r="V4" i="22"/>
  <c r="K30" i="25"/>
  <c r="X3" i="22"/>
  <c r="D32" i="25"/>
  <c r="Q5" i="22"/>
  <c r="I15" i="27"/>
  <c r="P16" i="32" s="1"/>
  <c r="H15" i="97" s="1"/>
  <c r="J19" i="25"/>
  <c r="R37" i="15"/>
  <c r="R37" i="18" s="1"/>
  <c r="R37" i="20" s="1"/>
  <c r="E3" i="14"/>
  <c r="E36" i="14"/>
  <c r="I19" i="25"/>
  <c r="H3" i="15"/>
  <c r="D37" i="15"/>
  <c r="D37" i="17" s="1"/>
  <c r="D37" i="20" s="1"/>
  <c r="G3" i="15"/>
  <c r="K54" i="22"/>
  <c r="F4" i="15"/>
  <c r="B38" i="15"/>
  <c r="B38" i="17" s="1"/>
  <c r="B38" i="18" s="1"/>
  <c r="I25" i="27"/>
  <c r="P26" i="32" s="1"/>
  <c r="H25" i="97" s="1"/>
  <c r="F37" i="15"/>
  <c r="F37" i="17" s="1"/>
  <c r="F37" i="20" s="1"/>
  <c r="D6" i="22"/>
  <c r="F25" i="27"/>
  <c r="M26" i="32" s="1"/>
  <c r="E25" i="97" s="1"/>
  <c r="P38" i="15"/>
  <c r="P38" i="18" s="1"/>
  <c r="C4" i="14"/>
  <c r="C37" i="14"/>
  <c r="D4" i="15"/>
  <c r="E26" i="27"/>
  <c r="L27" i="32" s="1"/>
  <c r="D26" i="97" s="1"/>
  <c r="J31" i="25"/>
  <c r="W4" i="22"/>
  <c r="C33" i="25"/>
  <c r="P6" i="22"/>
  <c r="P38" i="20" l="1"/>
  <c r="X35" i="18"/>
  <c r="X35" i="20" s="1"/>
  <c r="B3" i="29"/>
  <c r="L4" i="26"/>
  <c r="Y4" i="97"/>
  <c r="W36" i="18"/>
  <c r="W36" i="20" s="1"/>
  <c r="V36" i="18"/>
  <c r="V36" i="20" s="1"/>
  <c r="T4" i="20"/>
  <c r="D3" i="26"/>
  <c r="D2" i="29" s="1"/>
  <c r="Q5" i="20"/>
  <c r="U4" i="20"/>
  <c r="F37" i="18"/>
  <c r="F44" i="22" s="1"/>
  <c r="F31" i="22" s="1"/>
  <c r="F18" i="22" s="1"/>
  <c r="D37" i="18"/>
  <c r="D44" i="22" s="1"/>
  <c r="D31" i="22" s="1"/>
  <c r="D18" i="22" s="1"/>
  <c r="J43" i="22"/>
  <c r="J30" i="22" s="1"/>
  <c r="J17" i="22" s="1"/>
  <c r="J55" i="22" s="1"/>
  <c r="O6" i="20"/>
  <c r="H36" i="18"/>
  <c r="H43" i="22" s="1"/>
  <c r="H30" i="22" s="1"/>
  <c r="H17" i="22" s="1"/>
  <c r="T3" i="15"/>
  <c r="G3" i="17"/>
  <c r="K2" i="20"/>
  <c r="K2" i="18"/>
  <c r="X2" i="18" s="1"/>
  <c r="S5" i="20"/>
  <c r="S4" i="15"/>
  <c r="F4" i="17"/>
  <c r="O5" i="15"/>
  <c r="B5" i="17"/>
  <c r="AC3" i="97"/>
  <c r="E4" i="20"/>
  <c r="E4" i="18"/>
  <c r="R4" i="18" s="1"/>
  <c r="G36" i="18"/>
  <c r="T36" i="18" s="1"/>
  <c r="T36" i="20" s="1"/>
  <c r="J3" i="18"/>
  <c r="W3" i="18" s="1"/>
  <c r="J3" i="20"/>
  <c r="B38" i="20"/>
  <c r="B21" i="25" s="1"/>
  <c r="C5" i="20"/>
  <c r="C3" i="25" s="1"/>
  <c r="Z3" i="97" s="1"/>
  <c r="C5" i="18"/>
  <c r="P5" i="18" s="1"/>
  <c r="I3" i="20"/>
  <c r="I3" i="18"/>
  <c r="V3" i="18" s="1"/>
  <c r="Q4" i="15"/>
  <c r="D4" i="17"/>
  <c r="U3" i="15"/>
  <c r="H3" i="17"/>
  <c r="AB32" i="97"/>
  <c r="L22" i="26"/>
  <c r="C33" i="26"/>
  <c r="C32" i="29" s="1"/>
  <c r="Z33" i="97"/>
  <c r="D32" i="26"/>
  <c r="D31" i="29" s="1"/>
  <c r="AA32" i="97"/>
  <c r="I31" i="26"/>
  <c r="I30" i="29" s="1"/>
  <c r="AF31" i="97"/>
  <c r="E20" i="26"/>
  <c r="E19" i="29" s="1"/>
  <c r="AB20" i="97"/>
  <c r="J19" i="26"/>
  <c r="J18" i="29" s="1"/>
  <c r="AG19" i="97"/>
  <c r="J31" i="26"/>
  <c r="J30" i="29" s="1"/>
  <c r="AG31" i="97"/>
  <c r="C21" i="26"/>
  <c r="C20" i="29" s="1"/>
  <c r="Z21" i="97"/>
  <c r="I19" i="26"/>
  <c r="I18" i="29" s="1"/>
  <c r="AF19" i="97"/>
  <c r="K30" i="26"/>
  <c r="K29" i="29" s="1"/>
  <c r="AH30" i="97"/>
  <c r="K14" i="27"/>
  <c r="R15" i="32" s="1"/>
  <c r="J14" i="97" s="1"/>
  <c r="E56" i="22"/>
  <c r="E5" i="22"/>
  <c r="C57" i="22"/>
  <c r="C6" i="22"/>
  <c r="I55" i="22"/>
  <c r="I4" i="22"/>
  <c r="F15" i="27"/>
  <c r="M16" i="32" s="1"/>
  <c r="E15" i="97" s="1"/>
  <c r="J14" i="27"/>
  <c r="Q15" i="32" s="1"/>
  <c r="I14" i="97" s="1"/>
  <c r="D16" i="27"/>
  <c r="K17" i="32" s="1"/>
  <c r="C16" i="97" s="1"/>
  <c r="E3" i="15"/>
  <c r="E25" i="27"/>
  <c r="L26" i="32" s="1"/>
  <c r="D25" i="97" s="1"/>
  <c r="U36" i="15"/>
  <c r="H2" i="14"/>
  <c r="H35" i="14"/>
  <c r="J2" i="15"/>
  <c r="D26" i="27"/>
  <c r="K27" i="32" s="1"/>
  <c r="C26" i="97" s="1"/>
  <c r="F20" i="25"/>
  <c r="Q37" i="15"/>
  <c r="Q37" i="18" s="1"/>
  <c r="Q37" i="20" s="1"/>
  <c r="D3" i="14"/>
  <c r="D36" i="14"/>
  <c r="T36" i="15"/>
  <c r="G2" i="14"/>
  <c r="G35" i="14"/>
  <c r="G31" i="25"/>
  <c r="T4" i="22"/>
  <c r="H31" i="25"/>
  <c r="U4" i="22"/>
  <c r="F32" i="25"/>
  <c r="S5" i="22"/>
  <c r="O38" i="15"/>
  <c r="O38" i="18" s="1"/>
  <c r="B4" i="14"/>
  <c r="B37" i="14"/>
  <c r="J24" i="27"/>
  <c r="Q25" i="32" s="1"/>
  <c r="I24" i="97" s="1"/>
  <c r="I2" i="15"/>
  <c r="C37" i="15"/>
  <c r="C37" i="17" s="1"/>
  <c r="C37" i="20" s="1"/>
  <c r="K29" i="25"/>
  <c r="X2" i="22"/>
  <c r="L23" i="27"/>
  <c r="S24" i="32" s="1"/>
  <c r="K23" i="97" s="1"/>
  <c r="K34" i="15"/>
  <c r="H19" i="25"/>
  <c r="K24" i="27"/>
  <c r="R25" i="32" s="1"/>
  <c r="J24" i="97" s="1"/>
  <c r="C4" i="15"/>
  <c r="S37" i="15"/>
  <c r="F3" i="14"/>
  <c r="F36" i="14"/>
  <c r="B45" i="22"/>
  <c r="B32" i="22" s="1"/>
  <c r="B19" i="22" s="1"/>
  <c r="D20" i="25"/>
  <c r="E36" i="15"/>
  <c r="E36" i="17" s="1"/>
  <c r="E36" i="20" s="1"/>
  <c r="G19" i="25"/>
  <c r="I35" i="15"/>
  <c r="I35" i="17" s="1"/>
  <c r="I35" i="18" s="1"/>
  <c r="J35" i="15"/>
  <c r="J35" i="17" s="1"/>
  <c r="J35" i="20" s="1"/>
  <c r="B33" i="25"/>
  <c r="O6" i="22"/>
  <c r="G43" i="22" l="1"/>
  <c r="G30" i="22" s="1"/>
  <c r="G17" i="22" s="1"/>
  <c r="J4" i="22"/>
  <c r="S37" i="18"/>
  <c r="S37" i="20" s="1"/>
  <c r="C3" i="26"/>
  <c r="C2" i="29" s="1"/>
  <c r="O38" i="20"/>
  <c r="I35" i="20"/>
  <c r="U36" i="18"/>
  <c r="U36" i="20" s="1"/>
  <c r="V3" i="20"/>
  <c r="R4" i="20"/>
  <c r="P5" i="20"/>
  <c r="R3" i="15"/>
  <c r="E3" i="17"/>
  <c r="H3" i="20"/>
  <c r="H3" i="18"/>
  <c r="U3" i="18" s="1"/>
  <c r="D4" i="20"/>
  <c r="D4" i="18"/>
  <c r="Q4" i="18" s="1"/>
  <c r="W3" i="20"/>
  <c r="V2" i="15"/>
  <c r="I2" i="17"/>
  <c r="J35" i="18"/>
  <c r="E36" i="18"/>
  <c r="E43" i="22" s="1"/>
  <c r="E30" i="22" s="1"/>
  <c r="E17" i="22" s="1"/>
  <c r="P4" i="15"/>
  <c r="C4" i="17"/>
  <c r="X2" i="20"/>
  <c r="X34" i="15"/>
  <c r="K34" i="17"/>
  <c r="C37" i="18"/>
  <c r="W2" i="15"/>
  <c r="J2" i="17"/>
  <c r="G3" i="18"/>
  <c r="T3" i="18" s="1"/>
  <c r="G3" i="20"/>
  <c r="F4" i="18"/>
  <c r="S4" i="18" s="1"/>
  <c r="F4" i="20"/>
  <c r="B5" i="20"/>
  <c r="B3" i="25" s="1"/>
  <c r="Y3" i="97" s="1"/>
  <c r="B5" i="18"/>
  <c r="O5" i="18" s="1"/>
  <c r="G19" i="26"/>
  <c r="G18" i="29" s="1"/>
  <c r="AD19" i="97"/>
  <c r="H19" i="26"/>
  <c r="H18" i="29" s="1"/>
  <c r="AE19" i="97"/>
  <c r="F32" i="26"/>
  <c r="F31" i="29" s="1"/>
  <c r="AC32" i="97"/>
  <c r="F20" i="26"/>
  <c r="F19" i="29" s="1"/>
  <c r="AC20" i="97"/>
  <c r="B33" i="26"/>
  <c r="B32" i="29" s="1"/>
  <c r="Y33" i="97"/>
  <c r="D20" i="26"/>
  <c r="D19" i="29" s="1"/>
  <c r="AA20" i="97"/>
  <c r="K29" i="26"/>
  <c r="K28" i="29" s="1"/>
  <c r="AH29" i="97"/>
  <c r="H31" i="26"/>
  <c r="H30" i="29" s="1"/>
  <c r="AE31" i="97"/>
  <c r="G31" i="26"/>
  <c r="G30" i="29" s="1"/>
  <c r="AD31" i="97"/>
  <c r="B21" i="26"/>
  <c r="L21" i="26" s="1"/>
  <c r="Y21" i="97"/>
  <c r="G15" i="27"/>
  <c r="N16" i="32" s="1"/>
  <c r="F15" i="97" s="1"/>
  <c r="C16" i="27"/>
  <c r="J17" i="32" s="1"/>
  <c r="B16" i="97" s="1"/>
  <c r="B57" i="22"/>
  <c r="B6" i="22"/>
  <c r="F56" i="22"/>
  <c r="F5" i="22"/>
  <c r="I14" i="27"/>
  <c r="P15" i="32" s="1"/>
  <c r="H14" i="97" s="1"/>
  <c r="G55" i="22"/>
  <c r="G4" i="22"/>
  <c r="D56" i="22"/>
  <c r="D5" i="22"/>
  <c r="H55" i="22"/>
  <c r="H4" i="22"/>
  <c r="D3" i="15"/>
  <c r="J54" i="22"/>
  <c r="F3" i="15"/>
  <c r="L22" i="27"/>
  <c r="S23" i="32" s="1"/>
  <c r="K22" i="97" s="1"/>
  <c r="G25" i="27"/>
  <c r="N26" i="32" s="1"/>
  <c r="F25" i="97" s="1"/>
  <c r="H24" i="27"/>
  <c r="O25" i="32" s="1"/>
  <c r="G24" i="97" s="1"/>
  <c r="C32" i="25"/>
  <c r="P5" i="22"/>
  <c r="W35" i="15"/>
  <c r="J34" i="14"/>
  <c r="F36" i="15"/>
  <c r="F36" i="17" s="1"/>
  <c r="F36" i="20" s="1"/>
  <c r="C26" i="27"/>
  <c r="J27" i="32" s="1"/>
  <c r="B26" i="97" s="1"/>
  <c r="H14" i="27"/>
  <c r="O15" i="32" s="1"/>
  <c r="G14" i="97" s="1"/>
  <c r="E15" i="27"/>
  <c r="L16" i="32" s="1"/>
  <c r="D15" i="97" s="1"/>
  <c r="R36" i="15"/>
  <c r="E2" i="14"/>
  <c r="E35" i="14"/>
  <c r="C44" i="22"/>
  <c r="C31" i="22" s="1"/>
  <c r="C18" i="22" s="1"/>
  <c r="B37" i="15"/>
  <c r="B37" i="17" s="1"/>
  <c r="B37" i="20" s="1"/>
  <c r="G35" i="15"/>
  <c r="G35" i="17" s="1"/>
  <c r="G35" i="18" s="1"/>
  <c r="H35" i="15"/>
  <c r="H35" i="17" s="1"/>
  <c r="H35" i="18" s="1"/>
  <c r="I54" i="22"/>
  <c r="P37" i="15"/>
  <c r="P37" i="18" s="1"/>
  <c r="P37" i="20" s="1"/>
  <c r="C3" i="14"/>
  <c r="C36" i="14"/>
  <c r="V35" i="15"/>
  <c r="V35" i="18" s="1"/>
  <c r="V35" i="20" s="1"/>
  <c r="I34" i="14"/>
  <c r="E19" i="25"/>
  <c r="C20" i="25"/>
  <c r="B4" i="15"/>
  <c r="I24" i="27"/>
  <c r="P25" i="32" s="1"/>
  <c r="H24" i="97" s="1"/>
  <c r="G2" i="15"/>
  <c r="D36" i="15"/>
  <c r="D36" i="17" s="1"/>
  <c r="D36" i="20" s="1"/>
  <c r="H2" i="15"/>
  <c r="I30" i="25"/>
  <c r="V3" i="22"/>
  <c r="E31" i="25"/>
  <c r="R4" i="22"/>
  <c r="J30" i="25"/>
  <c r="W3" i="22"/>
  <c r="L33" i="26" l="1"/>
  <c r="D36" i="18"/>
  <c r="W35" i="18"/>
  <c r="W35" i="20" s="1"/>
  <c r="K39" i="26"/>
  <c r="U3" i="20"/>
  <c r="B3" i="26"/>
  <c r="D43" i="26" s="1"/>
  <c r="T3" i="20"/>
  <c r="B37" i="18"/>
  <c r="B44" i="22" s="1"/>
  <c r="B31" i="22" s="1"/>
  <c r="B18" i="22" s="1"/>
  <c r="H35" i="20"/>
  <c r="G35" i="20"/>
  <c r="G54" i="22" s="1"/>
  <c r="R36" i="18"/>
  <c r="R36" i="20" s="1"/>
  <c r="F14" i="27" s="1"/>
  <c r="M15" i="32" s="1"/>
  <c r="E14" i="97" s="1"/>
  <c r="Q4" i="20"/>
  <c r="Q3" i="15"/>
  <c r="D3" i="17"/>
  <c r="K34" i="20"/>
  <c r="K34" i="18"/>
  <c r="X34" i="18" s="1"/>
  <c r="S4" i="20"/>
  <c r="T2" i="15"/>
  <c r="G2" i="17"/>
  <c r="F36" i="18"/>
  <c r="F43" i="22" s="1"/>
  <c r="F30" i="22" s="1"/>
  <c r="F17" i="22" s="1"/>
  <c r="F55" i="22" s="1"/>
  <c r="S3" i="15"/>
  <c r="F3" i="17"/>
  <c r="C4" i="20"/>
  <c r="C4" i="18"/>
  <c r="P4" i="18" s="1"/>
  <c r="U2" i="15"/>
  <c r="H2" i="17"/>
  <c r="J2" i="20"/>
  <c r="J2" i="18"/>
  <c r="W2" i="18" s="1"/>
  <c r="O4" i="15"/>
  <c r="B4" i="17"/>
  <c r="E3" i="20"/>
  <c r="E3" i="18"/>
  <c r="R3" i="18" s="1"/>
  <c r="O5" i="20"/>
  <c r="I2" i="18"/>
  <c r="V2" i="18" s="1"/>
  <c r="I2" i="20"/>
  <c r="B20" i="29"/>
  <c r="C32" i="26"/>
  <c r="C31" i="29" s="1"/>
  <c r="Z32" i="97"/>
  <c r="E31" i="26"/>
  <c r="E30" i="29" s="1"/>
  <c r="AB31" i="97"/>
  <c r="E19" i="26"/>
  <c r="AB19" i="97"/>
  <c r="J30" i="26"/>
  <c r="J29" i="29" s="1"/>
  <c r="AG30" i="97"/>
  <c r="I30" i="26"/>
  <c r="I29" i="29" s="1"/>
  <c r="AF30" i="97"/>
  <c r="C20" i="26"/>
  <c r="C19" i="29" s="1"/>
  <c r="Z20" i="97"/>
  <c r="D15" i="27"/>
  <c r="K16" i="32" s="1"/>
  <c r="C15" i="97" s="1"/>
  <c r="C56" i="22"/>
  <c r="C5" i="22"/>
  <c r="E55" i="22"/>
  <c r="E4" i="22"/>
  <c r="Q36" i="15"/>
  <c r="Q36" i="18" s="1"/>
  <c r="Q36" i="20" s="1"/>
  <c r="D2" i="14"/>
  <c r="D35" i="14"/>
  <c r="D43" i="22"/>
  <c r="D30" i="22" s="1"/>
  <c r="D17" i="22" s="1"/>
  <c r="C3" i="15"/>
  <c r="E35" i="15"/>
  <c r="E35" i="17" s="1"/>
  <c r="E35" i="18" s="1"/>
  <c r="B20" i="25"/>
  <c r="E2" i="15"/>
  <c r="S36" i="15"/>
  <c r="F2" i="14"/>
  <c r="F35" i="14"/>
  <c r="D25" i="27"/>
  <c r="K26" i="32" s="1"/>
  <c r="C25" i="97" s="1"/>
  <c r="J29" i="25"/>
  <c r="W2" i="22"/>
  <c r="F31" i="25"/>
  <c r="S4" i="22"/>
  <c r="F24" i="27"/>
  <c r="M25" i="32" s="1"/>
  <c r="E24" i="97" s="1"/>
  <c r="I34" i="15"/>
  <c r="C36" i="15"/>
  <c r="C36" i="17" s="1"/>
  <c r="C36" i="20" s="1"/>
  <c r="T35" i="15"/>
  <c r="T35" i="18" s="1"/>
  <c r="G34" i="14"/>
  <c r="O37" i="15"/>
  <c r="B3" i="14"/>
  <c r="B36" i="14"/>
  <c r="K41" i="29"/>
  <c r="K39" i="29"/>
  <c r="K40" i="29" s="1"/>
  <c r="J34" i="15"/>
  <c r="U35" i="15"/>
  <c r="U35" i="18" s="1"/>
  <c r="U35" i="20" s="1"/>
  <c r="H34" i="14"/>
  <c r="H30" i="25"/>
  <c r="U3" i="22"/>
  <c r="G30" i="25"/>
  <c r="T3" i="22"/>
  <c r="K23" i="27"/>
  <c r="R24" i="32" s="1"/>
  <c r="J23" i="97" s="1"/>
  <c r="J23" i="27"/>
  <c r="Q24" i="32" s="1"/>
  <c r="I23" i="97" s="1"/>
  <c r="D19" i="25"/>
  <c r="I29" i="25"/>
  <c r="V2" i="22"/>
  <c r="H54" i="22"/>
  <c r="E18" i="29"/>
  <c r="L3" i="26"/>
  <c r="F19" i="25"/>
  <c r="D31" i="25"/>
  <c r="Q4" i="22"/>
  <c r="B32" i="25"/>
  <c r="O5" i="22"/>
  <c r="O37" i="18" l="1"/>
  <c r="O37" i="20" s="1"/>
  <c r="B2" i="29"/>
  <c r="T35" i="20"/>
  <c r="V2" i="20"/>
  <c r="S36" i="18"/>
  <c r="S36" i="20" s="1"/>
  <c r="G14" i="27" s="1"/>
  <c r="N15" i="32" s="1"/>
  <c r="F14" i="97" s="1"/>
  <c r="E35" i="20"/>
  <c r="R3" i="20"/>
  <c r="P4" i="20"/>
  <c r="X34" i="20"/>
  <c r="W2" i="20"/>
  <c r="C36" i="18"/>
  <c r="C43" i="22" s="1"/>
  <c r="C30" i="22" s="1"/>
  <c r="C17" i="22" s="1"/>
  <c r="H2" i="20"/>
  <c r="H2" i="18"/>
  <c r="U2" i="18" s="1"/>
  <c r="W34" i="15"/>
  <c r="J34" i="17"/>
  <c r="G2" i="18"/>
  <c r="T2" i="18" s="1"/>
  <c r="G2" i="20"/>
  <c r="R2" i="15"/>
  <c r="E2" i="17"/>
  <c r="P3" i="15"/>
  <c r="C3" i="17"/>
  <c r="V34" i="15"/>
  <c r="I34" i="17"/>
  <c r="B4" i="20"/>
  <c r="B4" i="18"/>
  <c r="O4" i="18" s="1"/>
  <c r="F3" i="20"/>
  <c r="F3" i="18"/>
  <c r="S3" i="18" s="1"/>
  <c r="D3" i="20"/>
  <c r="D3" i="18"/>
  <c r="Q3" i="18" s="1"/>
  <c r="G30" i="26"/>
  <c r="G29" i="29" s="1"/>
  <c r="AD30" i="97"/>
  <c r="J29" i="26"/>
  <c r="J39" i="26" s="1"/>
  <c r="AG29" i="97"/>
  <c r="D31" i="26"/>
  <c r="D30" i="29" s="1"/>
  <c r="AA31" i="97"/>
  <c r="D19" i="26"/>
  <c r="D18" i="29" s="1"/>
  <c r="AA19" i="97"/>
  <c r="H30" i="26"/>
  <c r="H29" i="29" s="1"/>
  <c r="AE30" i="97"/>
  <c r="F31" i="26"/>
  <c r="F30" i="29" s="1"/>
  <c r="AC31" i="97"/>
  <c r="B20" i="26"/>
  <c r="B19" i="29" s="1"/>
  <c r="Y20" i="97"/>
  <c r="F19" i="26"/>
  <c r="F18" i="29" s="1"/>
  <c r="AC19" i="97"/>
  <c r="B32" i="26"/>
  <c r="L32" i="26" s="1"/>
  <c r="Y32" i="97"/>
  <c r="I29" i="26"/>
  <c r="I39" i="26" s="1"/>
  <c r="AF29" i="97"/>
  <c r="E14" i="27"/>
  <c r="L15" i="32" s="1"/>
  <c r="D14" i="97" s="1"/>
  <c r="B56" i="22"/>
  <c r="B5" i="22"/>
  <c r="C15" i="27"/>
  <c r="J16" i="32" s="1"/>
  <c r="B15" i="97" s="1"/>
  <c r="D55" i="22"/>
  <c r="D4" i="22"/>
  <c r="E24" i="27"/>
  <c r="L25" i="32" s="1"/>
  <c r="D24" i="97" s="1"/>
  <c r="F4" i="22"/>
  <c r="F35" i="15"/>
  <c r="F35" i="17" s="1"/>
  <c r="F35" i="20" s="1"/>
  <c r="H23" i="27"/>
  <c r="O24" i="32" s="1"/>
  <c r="G23" i="97" s="1"/>
  <c r="P36" i="15"/>
  <c r="C2" i="14"/>
  <c r="C35" i="14"/>
  <c r="G24" i="27"/>
  <c r="N25" i="32" s="1"/>
  <c r="F24" i="97" s="1"/>
  <c r="F2" i="15"/>
  <c r="R35" i="15"/>
  <c r="R35" i="18" s="1"/>
  <c r="R35" i="20" s="1"/>
  <c r="E34" i="14"/>
  <c r="D35" i="15"/>
  <c r="D35" i="17" s="1"/>
  <c r="D35" i="20" s="1"/>
  <c r="C31" i="25"/>
  <c r="P4" i="22"/>
  <c r="H29" i="25"/>
  <c r="U2" i="22"/>
  <c r="B3" i="15"/>
  <c r="C25" i="27"/>
  <c r="J26" i="32" s="1"/>
  <c r="B25" i="97" s="1"/>
  <c r="B31" i="29"/>
  <c r="J22" i="27"/>
  <c r="Q23" i="32" s="1"/>
  <c r="I22" i="97" s="1"/>
  <c r="K43" i="29"/>
  <c r="K42" i="29"/>
  <c r="K44" i="29"/>
  <c r="G34" i="15"/>
  <c r="E54" i="22"/>
  <c r="D2" i="15"/>
  <c r="I23" i="27"/>
  <c r="P24" i="32" s="1"/>
  <c r="H23" i="97" s="1"/>
  <c r="F30" i="25"/>
  <c r="S3" i="22"/>
  <c r="H34" i="15"/>
  <c r="B36" i="15"/>
  <c r="B36" i="17" s="1"/>
  <c r="B36" i="20" s="1"/>
  <c r="C19" i="25"/>
  <c r="K22" i="27"/>
  <c r="R23" i="32" s="1"/>
  <c r="J22" i="97" s="1"/>
  <c r="G29" i="25"/>
  <c r="T2" i="22"/>
  <c r="E30" i="25"/>
  <c r="R3" i="22"/>
  <c r="S3" i="20" l="1"/>
  <c r="P36" i="18"/>
  <c r="P36" i="20" s="1"/>
  <c r="L20" i="26"/>
  <c r="Q3" i="20"/>
  <c r="B36" i="18"/>
  <c r="T2" i="20"/>
  <c r="U34" i="15"/>
  <c r="H34" i="17"/>
  <c r="D35" i="18"/>
  <c r="S2" i="15"/>
  <c r="F2" i="17"/>
  <c r="F35" i="18"/>
  <c r="O4" i="20"/>
  <c r="I34" i="20"/>
  <c r="I34" i="18"/>
  <c r="V34" i="18" s="1"/>
  <c r="J34" i="18"/>
  <c r="W34" i="18" s="1"/>
  <c r="J34" i="20"/>
  <c r="O3" i="15"/>
  <c r="B3" i="17"/>
  <c r="C3" i="20"/>
  <c r="C3" i="18"/>
  <c r="P3" i="18" s="1"/>
  <c r="Q2" i="15"/>
  <c r="D2" i="17"/>
  <c r="U2" i="20"/>
  <c r="T34" i="15"/>
  <c r="G34" i="17"/>
  <c r="E2" i="20"/>
  <c r="E2" i="18"/>
  <c r="R2" i="18" s="1"/>
  <c r="I28" i="29"/>
  <c r="I39" i="29" s="1"/>
  <c r="I40" i="29" s="1"/>
  <c r="E30" i="26"/>
  <c r="E29" i="29" s="1"/>
  <c r="AB30" i="97"/>
  <c r="C31" i="26"/>
  <c r="C30" i="29" s="1"/>
  <c r="Z31" i="97"/>
  <c r="C19" i="26"/>
  <c r="C18" i="29" s="1"/>
  <c r="Z19" i="97"/>
  <c r="F30" i="26"/>
  <c r="F29" i="29" s="1"/>
  <c r="AC30" i="97"/>
  <c r="J28" i="29"/>
  <c r="H29" i="26"/>
  <c r="H28" i="29" s="1"/>
  <c r="AE29" i="97"/>
  <c r="G29" i="26"/>
  <c r="G39" i="26" s="1"/>
  <c r="AD29" i="97"/>
  <c r="C55" i="22"/>
  <c r="P3" i="22" s="1"/>
  <c r="C4" i="22"/>
  <c r="Q35" i="15"/>
  <c r="Q35" i="18" s="1"/>
  <c r="Q35" i="20" s="1"/>
  <c r="D34" i="14"/>
  <c r="S35" i="15"/>
  <c r="S35" i="18" s="1"/>
  <c r="S35" i="20" s="1"/>
  <c r="F34" i="14"/>
  <c r="B19" i="25"/>
  <c r="Y19" i="97" s="1"/>
  <c r="D24" i="27"/>
  <c r="K25" i="32" s="1"/>
  <c r="C24" i="97" s="1"/>
  <c r="D54" i="22"/>
  <c r="F54" i="22"/>
  <c r="D30" i="25"/>
  <c r="Q3" i="22"/>
  <c r="B31" i="25"/>
  <c r="O4" i="22"/>
  <c r="E29" i="25"/>
  <c r="R2" i="22"/>
  <c r="F23" i="27"/>
  <c r="M24" i="32" s="1"/>
  <c r="E23" i="97" s="1"/>
  <c r="D14" i="27"/>
  <c r="K15" i="32" s="1"/>
  <c r="C14" i="97" s="1"/>
  <c r="G23" i="27"/>
  <c r="N24" i="32" s="1"/>
  <c r="F23" i="97" s="1"/>
  <c r="O36" i="15"/>
  <c r="O36" i="18" s="1"/>
  <c r="O36" i="20" s="1"/>
  <c r="B2" i="14"/>
  <c r="B35" i="14"/>
  <c r="C2" i="15"/>
  <c r="H22" i="27"/>
  <c r="O23" i="32" s="1"/>
  <c r="G22" i="97" s="1"/>
  <c r="B43" i="22"/>
  <c r="B30" i="22" s="1"/>
  <c r="B17" i="22" s="1"/>
  <c r="J41" i="29"/>
  <c r="J39" i="29"/>
  <c r="J40" i="29" s="1"/>
  <c r="I22" i="27"/>
  <c r="P23" i="32" s="1"/>
  <c r="H22" i="97" s="1"/>
  <c r="E34" i="15"/>
  <c r="C35" i="15"/>
  <c r="C35" i="17" s="1"/>
  <c r="C35" i="20" s="1"/>
  <c r="H39" i="26" l="1"/>
  <c r="C35" i="18"/>
  <c r="W34" i="20"/>
  <c r="R2" i="20"/>
  <c r="P3" i="20"/>
  <c r="I41" i="29"/>
  <c r="I44" i="29" s="1"/>
  <c r="B3" i="20"/>
  <c r="B3" i="18"/>
  <c r="O3" i="18" s="1"/>
  <c r="F2" i="20"/>
  <c r="F2" i="18"/>
  <c r="S2" i="18" s="1"/>
  <c r="P2" i="15"/>
  <c r="C2" i="17"/>
  <c r="G34" i="20"/>
  <c r="G34" i="18"/>
  <c r="T34" i="18" s="1"/>
  <c r="H34" i="20"/>
  <c r="H34" i="18"/>
  <c r="U34" i="18" s="1"/>
  <c r="R34" i="15"/>
  <c r="E34" i="17"/>
  <c r="D2" i="18"/>
  <c r="Q2" i="18" s="1"/>
  <c r="D2" i="20"/>
  <c r="V34" i="20"/>
  <c r="G28" i="29"/>
  <c r="G39" i="29" s="1"/>
  <c r="G40" i="29" s="1"/>
  <c r="D30" i="26"/>
  <c r="D29" i="29" s="1"/>
  <c r="AA30" i="97"/>
  <c r="E29" i="26"/>
  <c r="E28" i="29" s="1"/>
  <c r="AB29" i="97"/>
  <c r="B31" i="26"/>
  <c r="L31" i="26" s="1"/>
  <c r="Y31" i="97"/>
  <c r="C30" i="25"/>
  <c r="B55" i="22"/>
  <c r="B4" i="22"/>
  <c r="C14" i="27"/>
  <c r="J15" i="32" s="1"/>
  <c r="B14" i="97" s="1"/>
  <c r="B2" i="15"/>
  <c r="F34" i="15"/>
  <c r="H41" i="29"/>
  <c r="H39" i="29"/>
  <c r="H40" i="29" s="1"/>
  <c r="E23" i="27"/>
  <c r="L24" i="32" s="1"/>
  <c r="D23" i="97" s="1"/>
  <c r="P35" i="15"/>
  <c r="P35" i="18" s="1"/>
  <c r="P35" i="20" s="1"/>
  <c r="C34" i="14"/>
  <c r="F22" i="27"/>
  <c r="M23" i="32" s="1"/>
  <c r="E22" i="97" s="1"/>
  <c r="D29" i="25"/>
  <c r="Q2" i="22"/>
  <c r="D34" i="15"/>
  <c r="C54" i="22"/>
  <c r="J43" i="29"/>
  <c r="J42" i="29"/>
  <c r="J44" i="29"/>
  <c r="B35" i="15"/>
  <c r="B35" i="17" s="1"/>
  <c r="B35" i="18" s="1"/>
  <c r="D23" i="27"/>
  <c r="K24" i="32" s="1"/>
  <c r="C23" i="97" s="1"/>
  <c r="C24" i="27"/>
  <c r="J25" i="32" s="1"/>
  <c r="B24" i="97" s="1"/>
  <c r="F29" i="25"/>
  <c r="S2" i="22"/>
  <c r="B19" i="26"/>
  <c r="G41" i="29" l="1"/>
  <c r="G42" i="29" s="1"/>
  <c r="S2" i="20"/>
  <c r="U34" i="20"/>
  <c r="O3" i="20"/>
  <c r="B35" i="20"/>
  <c r="B54" i="22" s="1"/>
  <c r="I43" i="29"/>
  <c r="I42" i="29"/>
  <c r="Q2" i="20"/>
  <c r="Q34" i="15"/>
  <c r="D34" i="17"/>
  <c r="S34" i="15"/>
  <c r="F34" i="17"/>
  <c r="T34" i="20"/>
  <c r="O2" i="15"/>
  <c r="B2" i="17"/>
  <c r="C2" i="18"/>
  <c r="P2" i="18" s="1"/>
  <c r="C2" i="20"/>
  <c r="E34" i="20"/>
  <c r="E34" i="18"/>
  <c r="R34" i="18" s="1"/>
  <c r="B30" i="29"/>
  <c r="E39" i="26"/>
  <c r="C30" i="26"/>
  <c r="C29" i="29" s="1"/>
  <c r="Z30" i="97"/>
  <c r="F29" i="26"/>
  <c r="F28" i="29" s="1"/>
  <c r="AC29" i="97"/>
  <c r="D29" i="26"/>
  <c r="D39" i="26" s="1"/>
  <c r="AA29" i="97"/>
  <c r="G22" i="27"/>
  <c r="N23" i="32" s="1"/>
  <c r="F22" i="97" s="1"/>
  <c r="B18" i="29"/>
  <c r="D44" i="26"/>
  <c r="L19" i="26"/>
  <c r="E41" i="29"/>
  <c r="E39" i="29"/>
  <c r="E40" i="29" s="1"/>
  <c r="O35" i="15"/>
  <c r="O35" i="18" s="1"/>
  <c r="B34" i="14"/>
  <c r="C34" i="15"/>
  <c r="C29" i="25"/>
  <c r="P2" i="22"/>
  <c r="E22" i="27"/>
  <c r="L23" i="32" s="1"/>
  <c r="D22" i="97" s="1"/>
  <c r="H44" i="29"/>
  <c r="H43" i="29"/>
  <c r="H42" i="29"/>
  <c r="B30" i="25"/>
  <c r="O3" i="22"/>
  <c r="G43" i="29" l="1"/>
  <c r="G44" i="29"/>
  <c r="P2" i="20"/>
  <c r="O35" i="20"/>
  <c r="R34" i="20"/>
  <c r="B2" i="18"/>
  <c r="O2" i="18" s="1"/>
  <c r="B2" i="20"/>
  <c r="F34" i="20"/>
  <c r="F34" i="18"/>
  <c r="S34" i="18" s="1"/>
  <c r="P34" i="15"/>
  <c r="C34" i="17"/>
  <c r="D34" i="20"/>
  <c r="D34" i="18"/>
  <c r="Q34" i="18" s="1"/>
  <c r="F39" i="26"/>
  <c r="D28" i="29"/>
  <c r="D41" i="29" s="1"/>
  <c r="B30" i="26"/>
  <c r="B29" i="29" s="1"/>
  <c r="Y30" i="97"/>
  <c r="C29" i="26"/>
  <c r="C39" i="26" s="1"/>
  <c r="Z29" i="97"/>
  <c r="D22" i="27"/>
  <c r="K23" i="32" s="1"/>
  <c r="C22" i="97" s="1"/>
  <c r="B29" i="25"/>
  <c r="Y29" i="97" s="1"/>
  <c r="C23" i="27"/>
  <c r="J24" i="32" s="1"/>
  <c r="B23" i="97" s="1"/>
  <c r="F41" i="29"/>
  <c r="F39" i="29"/>
  <c r="F40" i="29" s="1"/>
  <c r="E42" i="29"/>
  <c r="E43" i="29"/>
  <c r="E44" i="29"/>
  <c r="B34" i="15"/>
  <c r="O2" i="20" l="1"/>
  <c r="D39" i="29"/>
  <c r="D40" i="29" s="1"/>
  <c r="S34" i="20"/>
  <c r="Q34" i="20"/>
  <c r="C34" i="20"/>
  <c r="C34" i="18"/>
  <c r="P34" i="18" s="1"/>
  <c r="O34" i="15"/>
  <c r="B34" i="17"/>
  <c r="C28" i="29"/>
  <c r="C39" i="29" s="1"/>
  <c r="C40" i="29" s="1"/>
  <c r="L30" i="26"/>
  <c r="F43" i="29"/>
  <c r="F42" i="29"/>
  <c r="F44" i="29"/>
  <c r="D42" i="29"/>
  <c r="B29" i="26"/>
  <c r="E42" i="25"/>
  <c r="C45" i="25"/>
  <c r="E43" i="25"/>
  <c r="C42" i="25"/>
  <c r="D43" i="25"/>
  <c r="D44" i="25"/>
  <c r="D42" i="25"/>
  <c r="E44" i="25"/>
  <c r="C43" i="25"/>
  <c r="O9" i="29" s="1"/>
  <c r="D44" i="29" l="1"/>
  <c r="D43" i="29"/>
  <c r="P34" i="20"/>
  <c r="B34" i="20"/>
  <c r="B34" i="18"/>
  <c r="O34" i="18" s="1"/>
  <c r="C41" i="29"/>
  <c r="C43" i="29" s="1"/>
  <c r="O10" i="29"/>
  <c r="C44" i="25"/>
  <c r="B28" i="29"/>
  <c r="D45" i="26"/>
  <c r="L29" i="26"/>
  <c r="L39" i="26" s="1"/>
  <c r="L44" i="26"/>
  <c r="L43" i="26"/>
  <c r="B39" i="26"/>
  <c r="O34" i="20" l="1"/>
  <c r="O2" i="22" s="1"/>
  <c r="C44" i="29"/>
  <c r="C42" i="29"/>
  <c r="L45" i="26"/>
  <c r="J43" i="26"/>
  <c r="H46" i="26"/>
  <c r="C19" i="32" s="1"/>
  <c r="E19" i="32" s="1"/>
  <c r="B41" i="29"/>
  <c r="B39" i="29"/>
  <c r="B40" i="29" s="1"/>
  <c r="O4" i="29"/>
  <c r="O5" i="29"/>
  <c r="F18" i="32" l="1"/>
  <c r="E18" i="32"/>
  <c r="B18" i="32"/>
  <c r="C18" i="32"/>
  <c r="C2" i="35"/>
  <c r="E2" i="35"/>
  <c r="C22" i="27"/>
  <c r="J23" i="32" s="1"/>
  <c r="B22" i="97" s="1"/>
  <c r="B42" i="29"/>
  <c r="B43" i="29"/>
  <c r="L43" i="29" s="1"/>
  <c r="B44" i="29"/>
  <c r="Q5" i="29"/>
  <c r="R5" i="29" s="1"/>
  <c r="O7" i="29"/>
  <c r="P5" i="29"/>
  <c r="B32" i="27"/>
  <c r="I33" i="32" s="1"/>
  <c r="B33" i="27"/>
  <c r="H47" i="26"/>
  <c r="Q4" i="29"/>
  <c r="R4" i="29" s="1"/>
  <c r="P4" i="29"/>
  <c r="O6" i="29"/>
  <c r="G19" i="32" l="1"/>
  <c r="P7" i="29"/>
  <c r="B39" i="35"/>
  <c r="P6" i="29"/>
  <c r="Q6" i="29"/>
  <c r="R6" i="29" s="1"/>
  <c r="L44" i="29"/>
  <c r="C47" i="29"/>
  <c r="C48" i="29" s="1"/>
  <c r="B40" i="35"/>
  <c r="I34" i="32"/>
  <c r="K2" i="35"/>
  <c r="C40" i="35" l="1"/>
  <c r="D40" i="35" s="1"/>
  <c r="E40" i="35" s="1"/>
  <c r="F40" i="35" s="1"/>
  <c r="G40" i="35" s="1"/>
  <c r="H40" i="35" s="1"/>
  <c r="I40" i="35" s="1"/>
  <c r="J40" i="35" s="1"/>
  <c r="K40" i="35" s="1"/>
  <c r="E42" i="35"/>
  <c r="E43" i="35"/>
  <c r="E49" i="35"/>
  <c r="D49" i="35" s="1"/>
  <c r="E45" i="35"/>
  <c r="D45" i="35" s="1"/>
  <c r="C45" i="35" s="1"/>
  <c r="B45" i="35" s="1"/>
  <c r="C2" i="99" s="1"/>
  <c r="E48" i="35"/>
  <c r="D48" i="35" s="1"/>
  <c r="E44" i="35"/>
  <c r="E51" i="35"/>
  <c r="D51" i="35" s="1"/>
  <c r="E47" i="35"/>
  <c r="D47" i="35" s="1"/>
  <c r="C47" i="35" s="1"/>
  <c r="B47" i="35" s="1"/>
  <c r="C2" i="108" s="1"/>
  <c r="E50" i="35"/>
  <c r="D50" i="35" s="1"/>
  <c r="C50" i="35" s="1"/>
  <c r="B50" i="35" s="1"/>
  <c r="C2" i="111" s="1"/>
  <c r="E46" i="35"/>
  <c r="D46" i="35" s="1"/>
  <c r="C46" i="35" s="1"/>
  <c r="B46" i="35" s="1"/>
  <c r="C2" i="107" s="1"/>
  <c r="C39" i="35"/>
  <c r="D39" i="35" s="1"/>
  <c r="E39" i="35" s="1"/>
  <c r="F39" i="35" s="1"/>
  <c r="G39" i="35" s="1"/>
  <c r="H39" i="35" s="1"/>
  <c r="I39" i="35" s="1"/>
  <c r="J39" i="35" s="1"/>
  <c r="K39" i="35" s="1"/>
  <c r="G2" i="35"/>
  <c r="B23" i="35"/>
  <c r="B6" i="35"/>
  <c r="B7" i="35"/>
  <c r="B24" i="35"/>
  <c r="C24" i="35" s="1"/>
  <c r="D24" i="35" s="1"/>
  <c r="E24" i="35" s="1"/>
  <c r="F24" i="35" s="1"/>
  <c r="G24" i="35" s="1"/>
  <c r="H24" i="35" s="1"/>
  <c r="I24" i="35" s="1"/>
  <c r="J24" i="35" s="1"/>
  <c r="K24" i="35" s="1"/>
  <c r="B4" i="107" l="1"/>
  <c r="B4" i="111"/>
  <c r="B4" i="108"/>
  <c r="C12" i="35"/>
  <c r="B4" i="99"/>
  <c r="C48" i="35"/>
  <c r="B48" i="35" s="1"/>
  <c r="C2" i="109" s="1"/>
  <c r="C49" i="35"/>
  <c r="B49" i="35" s="1"/>
  <c r="C2" i="110" s="1"/>
  <c r="F43" i="35"/>
  <c r="D43" i="35"/>
  <c r="C43" i="35" s="1"/>
  <c r="B43" i="35" s="1"/>
  <c r="D42" i="35"/>
  <c r="C42" i="35" s="1"/>
  <c r="B42" i="35" s="1"/>
  <c r="S42" i="35" s="1"/>
  <c r="F42" i="35"/>
  <c r="W42" i="35" s="1"/>
  <c r="D44" i="35"/>
  <c r="C44" i="35" s="1"/>
  <c r="B44" i="35" s="1"/>
  <c r="F44" i="35"/>
  <c r="D27" i="35"/>
  <c r="C51" i="35"/>
  <c r="B51" i="35" s="1"/>
  <c r="C2" i="112" s="1"/>
  <c r="F51" i="35"/>
  <c r="D29" i="35"/>
  <c r="D28" i="35"/>
  <c r="E28" i="35" s="1"/>
  <c r="D26" i="35"/>
  <c r="C26" i="35" s="1"/>
  <c r="F47" i="35"/>
  <c r="F45" i="35"/>
  <c r="F48" i="35"/>
  <c r="F49" i="35"/>
  <c r="F46" i="35"/>
  <c r="F50" i="35"/>
  <c r="C10" i="35"/>
  <c r="C17" i="35"/>
  <c r="C11" i="35"/>
  <c r="C16" i="35"/>
  <c r="C13" i="35"/>
  <c r="C18" i="35"/>
  <c r="C15" i="35"/>
  <c r="C14" i="35"/>
  <c r="C7" i="35"/>
  <c r="D7" i="35" s="1"/>
  <c r="E7" i="35" s="1"/>
  <c r="F7" i="35" s="1"/>
  <c r="G7" i="35" s="1"/>
  <c r="H7" i="35" s="1"/>
  <c r="I7" i="35" s="1"/>
  <c r="J7" i="35" s="1"/>
  <c r="K7" i="35" s="1"/>
  <c r="D9" i="35"/>
  <c r="D33" i="35"/>
  <c r="D30" i="35"/>
  <c r="D35" i="35"/>
  <c r="D31" i="35"/>
  <c r="D34" i="35"/>
  <c r="D32" i="35"/>
  <c r="C23" i="35"/>
  <c r="D23" i="35" s="1"/>
  <c r="E23" i="35" s="1"/>
  <c r="F23" i="35" s="1"/>
  <c r="G23" i="35" s="1"/>
  <c r="H23" i="35" s="1"/>
  <c r="I23" i="35" s="1"/>
  <c r="J23" i="35" s="1"/>
  <c r="K23" i="35" s="1"/>
  <c r="B9" i="35"/>
  <c r="S9" i="35" s="1"/>
  <c r="C6" i="35"/>
  <c r="D6" i="35" s="1"/>
  <c r="E6" i="35" s="1"/>
  <c r="F6" i="35" s="1"/>
  <c r="G6" i="35" s="1"/>
  <c r="H6" i="35" s="1"/>
  <c r="I6" i="35" s="1"/>
  <c r="J6" i="35" s="1"/>
  <c r="K6" i="35" s="1"/>
  <c r="S43" i="35" l="1"/>
  <c r="B4" i="110"/>
  <c r="B4" i="112"/>
  <c r="B4" i="109"/>
  <c r="B7" i="108"/>
  <c r="C4" i="108"/>
  <c r="D4" i="108" s="1"/>
  <c r="E4" i="108" s="1"/>
  <c r="F4" i="108" s="1"/>
  <c r="G4" i="108" s="1"/>
  <c r="H4" i="108" s="1"/>
  <c r="I4" i="108" s="1"/>
  <c r="J4" i="108" s="1"/>
  <c r="K4" i="108" s="1"/>
  <c r="C4" i="111"/>
  <c r="D4" i="111" s="1"/>
  <c r="E4" i="111" s="1"/>
  <c r="F4" i="111" s="1"/>
  <c r="G4" i="111" s="1"/>
  <c r="H4" i="111" s="1"/>
  <c r="I4" i="111" s="1"/>
  <c r="J4" i="111" s="1"/>
  <c r="K4" i="111" s="1"/>
  <c r="B7" i="111"/>
  <c r="B7" i="107"/>
  <c r="C4" i="107"/>
  <c r="D4" i="107" s="1"/>
  <c r="E4" i="107" s="1"/>
  <c r="F4" i="107" s="1"/>
  <c r="G4" i="107" s="1"/>
  <c r="H4" i="107" s="1"/>
  <c r="I4" i="107" s="1"/>
  <c r="J4" i="107" s="1"/>
  <c r="K4" i="107" s="1"/>
  <c r="G50" i="35"/>
  <c r="H50" i="35" s="1"/>
  <c r="I50" i="35" s="1"/>
  <c r="J50" i="35" s="1"/>
  <c r="K50" i="35" s="1"/>
  <c r="L50" i="35" s="1"/>
  <c r="M50" i="35" s="1"/>
  <c r="N50" i="35" s="1"/>
  <c r="G46" i="35"/>
  <c r="H46" i="35" s="1"/>
  <c r="I46" i="35" s="1"/>
  <c r="J46" i="35" s="1"/>
  <c r="G51" i="35"/>
  <c r="H51" i="35" s="1"/>
  <c r="I51" i="35" s="1"/>
  <c r="J51" i="35" s="1"/>
  <c r="K51" i="35" s="1"/>
  <c r="L51" i="35" s="1"/>
  <c r="M51" i="35" s="1"/>
  <c r="N51" i="35" s="1"/>
  <c r="O51" i="35" s="1"/>
  <c r="C4" i="99"/>
  <c r="D4" i="99" s="1"/>
  <c r="E4" i="99" s="1"/>
  <c r="F4" i="99" s="1"/>
  <c r="G4" i="99" s="1"/>
  <c r="H4" i="99" s="1"/>
  <c r="I4" i="99" s="1"/>
  <c r="J4" i="99" s="1"/>
  <c r="K4" i="99" s="1"/>
  <c r="B7" i="99"/>
  <c r="G49" i="35"/>
  <c r="H49" i="35" s="1"/>
  <c r="I49" i="35" s="1"/>
  <c r="J49" i="35" s="1"/>
  <c r="K49" i="35" s="1"/>
  <c r="L49" i="35" s="1"/>
  <c r="M49" i="35" s="1"/>
  <c r="G43" i="35"/>
  <c r="R43" i="35" s="1"/>
  <c r="G48" i="35"/>
  <c r="H48" i="35" s="1"/>
  <c r="I48" i="35" s="1"/>
  <c r="J48" i="35" s="1"/>
  <c r="K48" i="35" s="1"/>
  <c r="L48" i="35" s="1"/>
  <c r="T9" i="35"/>
  <c r="U9" i="35" s="1"/>
  <c r="W9" i="35"/>
  <c r="G44" i="35"/>
  <c r="H44" i="35" s="1"/>
  <c r="T44" i="35" s="1"/>
  <c r="G47" i="35"/>
  <c r="H47" i="35" s="1"/>
  <c r="I47" i="35" s="1"/>
  <c r="J47" i="35" s="1"/>
  <c r="K47" i="35" s="1"/>
  <c r="T42" i="35"/>
  <c r="R42" i="35"/>
  <c r="G45" i="35"/>
  <c r="P42" i="35"/>
  <c r="D11" i="35"/>
  <c r="E29" i="35"/>
  <c r="C29" i="35"/>
  <c r="C27" i="35"/>
  <c r="E27" i="35"/>
  <c r="E31" i="35"/>
  <c r="C31" i="35"/>
  <c r="E33" i="35"/>
  <c r="C33" i="35"/>
  <c r="D14" i="35"/>
  <c r="B14" i="35"/>
  <c r="D16" i="35"/>
  <c r="B16" i="35"/>
  <c r="E30" i="35"/>
  <c r="C30" i="35"/>
  <c r="D17" i="35"/>
  <c r="B17" i="35"/>
  <c r="C2" i="94" s="1"/>
  <c r="E32" i="35"/>
  <c r="C32" i="35"/>
  <c r="F28" i="35"/>
  <c r="G28" i="35" s="1"/>
  <c r="I2" i="89" s="1"/>
  <c r="C28" i="35"/>
  <c r="D15" i="35"/>
  <c r="B15" i="35"/>
  <c r="D12" i="35"/>
  <c r="B12" i="35"/>
  <c r="D10" i="35"/>
  <c r="B10" i="35"/>
  <c r="E26" i="35"/>
  <c r="D13" i="35"/>
  <c r="B13" i="35"/>
  <c r="N9" i="35"/>
  <c r="R9" i="35"/>
  <c r="E34" i="35"/>
  <c r="C34" i="35"/>
  <c r="E35" i="35"/>
  <c r="C35" i="35"/>
  <c r="D18" i="35"/>
  <c r="B18" i="35"/>
  <c r="B11" i="35"/>
  <c r="P46" i="35" l="1"/>
  <c r="E2" i="107"/>
  <c r="B7" i="109"/>
  <c r="C4" i="109"/>
  <c r="D4" i="109" s="1"/>
  <c r="E4" i="109" s="1"/>
  <c r="F4" i="109" s="1"/>
  <c r="G4" i="109" s="1"/>
  <c r="H4" i="109" s="1"/>
  <c r="I4" i="109" s="1"/>
  <c r="J4" i="109" s="1"/>
  <c r="K4" i="109" s="1"/>
  <c r="T48" i="35"/>
  <c r="I2" i="109" s="1"/>
  <c r="E2" i="109"/>
  <c r="C4" i="112"/>
  <c r="D4" i="112" s="1"/>
  <c r="E4" i="112" s="1"/>
  <c r="F4" i="112" s="1"/>
  <c r="G4" i="112" s="1"/>
  <c r="H4" i="112" s="1"/>
  <c r="I4" i="112" s="1"/>
  <c r="J4" i="112" s="1"/>
  <c r="K4" i="112" s="1"/>
  <c r="B7" i="112"/>
  <c r="R46" i="35"/>
  <c r="T49" i="35"/>
  <c r="I2" i="110" s="1"/>
  <c r="E2" i="110"/>
  <c r="T50" i="35"/>
  <c r="I2" i="111" s="1"/>
  <c r="E2" i="111"/>
  <c r="B7" i="110"/>
  <c r="C4" i="110"/>
  <c r="D4" i="110" s="1"/>
  <c r="E4" i="110" s="1"/>
  <c r="F4" i="110" s="1"/>
  <c r="G4" i="110" s="1"/>
  <c r="H4" i="110" s="1"/>
  <c r="I4" i="110" s="1"/>
  <c r="J4" i="110" s="1"/>
  <c r="K4" i="110" s="1"/>
  <c r="R47" i="35"/>
  <c r="E2" i="108"/>
  <c r="T51" i="35"/>
  <c r="I2" i="112" s="1"/>
  <c r="E2" i="112"/>
  <c r="V9" i="35"/>
  <c r="S47" i="35"/>
  <c r="G2" i="108" s="1"/>
  <c r="R51" i="35"/>
  <c r="P47" i="35"/>
  <c r="S46" i="35"/>
  <c r="G2" i="107" s="1"/>
  <c r="T46" i="35"/>
  <c r="S10" i="35"/>
  <c r="G2" i="80" s="1"/>
  <c r="R48" i="35"/>
  <c r="W46" i="35"/>
  <c r="P48" i="35"/>
  <c r="R50" i="35"/>
  <c r="S50" i="35"/>
  <c r="P50" i="35"/>
  <c r="P43" i="35"/>
  <c r="W43" i="35"/>
  <c r="P49" i="35"/>
  <c r="W48" i="35"/>
  <c r="W51" i="35"/>
  <c r="R49" i="35"/>
  <c r="S48" i="35"/>
  <c r="W44" i="35"/>
  <c r="S51" i="35"/>
  <c r="F31" i="35"/>
  <c r="G31" i="35" s="1"/>
  <c r="H31" i="35" s="1"/>
  <c r="I31" i="35" s="1"/>
  <c r="J31" i="35" s="1"/>
  <c r="E2" i="102" s="1"/>
  <c r="B5" i="102" s="1"/>
  <c r="R44" i="35"/>
  <c r="E13" i="35"/>
  <c r="F13" i="35" s="1"/>
  <c r="G13" i="35" s="1"/>
  <c r="H13" i="35" s="1"/>
  <c r="N13" i="35" s="1"/>
  <c r="P44" i="35"/>
  <c r="T43" i="35"/>
  <c r="U43" i="35" s="1"/>
  <c r="F30" i="35"/>
  <c r="G30" i="35" s="1"/>
  <c r="H30" i="35" s="1"/>
  <c r="I30" i="35" s="1"/>
  <c r="E2" i="101" s="1"/>
  <c r="B5" i="101" s="1"/>
  <c r="F27" i="35"/>
  <c r="T27" i="35" s="1"/>
  <c r="T26" i="35"/>
  <c r="W26" i="35"/>
  <c r="E16" i="35"/>
  <c r="F16" i="35" s="1"/>
  <c r="G16" i="35" s="1"/>
  <c r="H16" i="35" s="1"/>
  <c r="I16" i="35" s="1"/>
  <c r="J16" i="35" s="1"/>
  <c r="K16" i="35" s="1"/>
  <c r="E2" i="93" s="1"/>
  <c r="B5" i="93" s="1"/>
  <c r="W49" i="35"/>
  <c r="F35" i="35"/>
  <c r="G35" i="35" s="1"/>
  <c r="H35" i="35" s="1"/>
  <c r="I35" i="35" s="1"/>
  <c r="J35" i="35" s="1"/>
  <c r="K35" i="35" s="1"/>
  <c r="L35" i="35" s="1"/>
  <c r="M35" i="35" s="1"/>
  <c r="N35" i="35" s="1"/>
  <c r="F34" i="35"/>
  <c r="G34" i="35" s="1"/>
  <c r="H34" i="35" s="1"/>
  <c r="I34" i="35" s="1"/>
  <c r="J34" i="35" s="1"/>
  <c r="K34" i="35" s="1"/>
  <c r="L34" i="35" s="1"/>
  <c r="M34" i="35" s="1"/>
  <c r="S44" i="35"/>
  <c r="U44" i="35" s="1"/>
  <c r="E10" i="35"/>
  <c r="E2" i="80" s="1"/>
  <c r="B5" i="80" s="1"/>
  <c r="F32" i="35"/>
  <c r="G32" i="35" s="1"/>
  <c r="H32" i="35" s="1"/>
  <c r="I32" i="35" s="1"/>
  <c r="J32" i="35" s="1"/>
  <c r="K32" i="35" s="1"/>
  <c r="E14" i="35"/>
  <c r="F14" i="35" s="1"/>
  <c r="G14" i="35" s="1"/>
  <c r="H14" i="35" s="1"/>
  <c r="I14" i="35" s="1"/>
  <c r="T14" i="35" s="1"/>
  <c r="I2" i="91" s="1"/>
  <c r="W47" i="35"/>
  <c r="S49" i="35"/>
  <c r="W50" i="35"/>
  <c r="T47" i="35"/>
  <c r="I2" i="108" s="1"/>
  <c r="E17" i="35"/>
  <c r="F17" i="35" s="1"/>
  <c r="G17" i="35" s="1"/>
  <c r="H17" i="35" s="1"/>
  <c r="I17" i="35" s="1"/>
  <c r="J17" i="35" s="1"/>
  <c r="K17" i="35" s="1"/>
  <c r="L17" i="35" s="1"/>
  <c r="N17" i="35" s="1"/>
  <c r="F33" i="35"/>
  <c r="G33" i="35" s="1"/>
  <c r="H33" i="35" s="1"/>
  <c r="I33" i="35" s="1"/>
  <c r="J33" i="35" s="1"/>
  <c r="K33" i="35" s="1"/>
  <c r="L33" i="35" s="1"/>
  <c r="F29" i="35"/>
  <c r="G29" i="35" s="1"/>
  <c r="H29" i="35" s="1"/>
  <c r="P51" i="35"/>
  <c r="W28" i="35"/>
  <c r="C2" i="90"/>
  <c r="C2" i="92"/>
  <c r="C2" i="91"/>
  <c r="B4" i="91" s="1"/>
  <c r="C2" i="87"/>
  <c r="C2" i="88"/>
  <c r="C2" i="93"/>
  <c r="B4" i="93" s="1"/>
  <c r="C2" i="96"/>
  <c r="E2" i="89"/>
  <c r="B5" i="89" s="1"/>
  <c r="T28" i="35"/>
  <c r="E12" i="35"/>
  <c r="F12" i="35" s="1"/>
  <c r="G12" i="35" s="1"/>
  <c r="E18" i="35"/>
  <c r="F18" i="35" s="1"/>
  <c r="G18" i="35" s="1"/>
  <c r="H18" i="35" s="1"/>
  <c r="I18" i="35" s="1"/>
  <c r="J18" i="35" s="1"/>
  <c r="K18" i="35" s="1"/>
  <c r="L18" i="35" s="1"/>
  <c r="M18" i="35" s="1"/>
  <c r="H45" i="35"/>
  <c r="I45" i="35" s="1"/>
  <c r="U42" i="35"/>
  <c r="V42" i="35" s="1"/>
  <c r="C2" i="80"/>
  <c r="B34" i="35"/>
  <c r="C2" i="105" s="1"/>
  <c r="B31" i="35"/>
  <c r="C2" i="102" s="1"/>
  <c r="B27" i="35"/>
  <c r="S27" i="35" s="1"/>
  <c r="B26" i="35"/>
  <c r="S26" i="35" s="1"/>
  <c r="B32" i="35"/>
  <c r="C2" i="103" s="1"/>
  <c r="B30" i="35"/>
  <c r="C2" i="101" s="1"/>
  <c r="B28" i="35"/>
  <c r="G2" i="89" s="1"/>
  <c r="E11" i="35"/>
  <c r="S11" i="35" s="1"/>
  <c r="G2" i="87" s="1"/>
  <c r="B35" i="35"/>
  <c r="C2" i="106" s="1"/>
  <c r="E15" i="35"/>
  <c r="F15" i="35" s="1"/>
  <c r="G15" i="35" s="1"/>
  <c r="H15" i="35" s="1"/>
  <c r="I15" i="35" s="1"/>
  <c r="J15" i="35" s="1"/>
  <c r="B33" i="35"/>
  <c r="C2" i="104" s="1"/>
  <c r="B29" i="35"/>
  <c r="C2" i="100" s="1"/>
  <c r="R10" i="35" l="1"/>
  <c r="N10" i="35"/>
  <c r="T45" i="35"/>
  <c r="I2" i="99" s="1"/>
  <c r="E2" i="99"/>
  <c r="D1" i="99" s="1"/>
  <c r="B5" i="111"/>
  <c r="D1" i="111"/>
  <c r="B5" i="110"/>
  <c r="D1" i="110"/>
  <c r="U48" i="35"/>
  <c r="V48" i="35" s="1"/>
  <c r="G2" i="109"/>
  <c r="U50" i="35"/>
  <c r="G2" i="111"/>
  <c r="B5" i="108"/>
  <c r="D1" i="108"/>
  <c r="U46" i="35"/>
  <c r="V46" i="35" s="1"/>
  <c r="I2" i="107"/>
  <c r="Q7" i="108"/>
  <c r="K2" i="108"/>
  <c r="U51" i="35"/>
  <c r="V51" i="35" s="1"/>
  <c r="G2" i="112"/>
  <c r="U49" i="35"/>
  <c r="G2" i="110"/>
  <c r="B5" i="107"/>
  <c r="D1" i="107"/>
  <c r="B5" i="109"/>
  <c r="D1" i="109"/>
  <c r="B5" i="112"/>
  <c r="D1" i="112"/>
  <c r="B4" i="103"/>
  <c r="T29" i="35"/>
  <c r="I2" i="100" s="1"/>
  <c r="E2" i="100"/>
  <c r="B5" i="100" s="1"/>
  <c r="T32" i="35"/>
  <c r="I2" i="103" s="1"/>
  <c r="E2" i="103"/>
  <c r="B5" i="103" s="1"/>
  <c r="D7" i="101"/>
  <c r="U7" i="101" s="1"/>
  <c r="C5" i="101"/>
  <c r="D5" i="101" s="1"/>
  <c r="E5" i="101" s="1"/>
  <c r="F5" i="101" s="1"/>
  <c r="G5" i="101" s="1"/>
  <c r="H5" i="101" s="1"/>
  <c r="I5" i="101" s="1"/>
  <c r="J5" i="101" s="1"/>
  <c r="K5" i="101" s="1"/>
  <c r="T33" i="35"/>
  <c r="I2" i="104" s="1"/>
  <c r="E2" i="104"/>
  <c r="T34" i="35"/>
  <c r="I2" i="105" s="1"/>
  <c r="E2" i="105"/>
  <c r="B5" i="105" s="1"/>
  <c r="C5" i="102"/>
  <c r="D5" i="102" s="1"/>
  <c r="E5" i="102" s="1"/>
  <c r="F5" i="102" s="1"/>
  <c r="G5" i="102" s="1"/>
  <c r="H5" i="102" s="1"/>
  <c r="I5" i="102" s="1"/>
  <c r="J5" i="102" s="1"/>
  <c r="K5" i="102" s="1"/>
  <c r="D7" i="102"/>
  <c r="U7" i="102" s="1"/>
  <c r="B4" i="106"/>
  <c r="T35" i="35"/>
  <c r="I2" i="106" s="1"/>
  <c r="E2" i="106"/>
  <c r="B4" i="100"/>
  <c r="D1" i="102"/>
  <c r="B4" i="102"/>
  <c r="C12" i="102" s="1"/>
  <c r="B4" i="104"/>
  <c r="D1" i="101"/>
  <c r="B4" i="101"/>
  <c r="C11" i="101" s="1"/>
  <c r="B4" i="105"/>
  <c r="T10" i="35"/>
  <c r="I2" i="80" s="1"/>
  <c r="W10" i="35"/>
  <c r="V49" i="35"/>
  <c r="V44" i="35"/>
  <c r="V43" i="35"/>
  <c r="R13" i="35"/>
  <c r="E2" i="90"/>
  <c r="B5" i="90" s="1"/>
  <c r="D7" i="90" s="1"/>
  <c r="T13" i="35"/>
  <c r="I2" i="90" s="1"/>
  <c r="W13" i="35"/>
  <c r="S30" i="35"/>
  <c r="G2" i="101" s="1"/>
  <c r="S18" i="35"/>
  <c r="G2" i="96" s="1"/>
  <c r="T30" i="35"/>
  <c r="I2" i="101" s="1"/>
  <c r="S13" i="35"/>
  <c r="G2" i="90" s="1"/>
  <c r="E2" i="91"/>
  <c r="D1" i="91" s="1"/>
  <c r="S33" i="35"/>
  <c r="W18" i="35"/>
  <c r="W30" i="35"/>
  <c r="T31" i="35"/>
  <c r="I2" i="102" s="1"/>
  <c r="S31" i="35"/>
  <c r="G2" i="102" s="1"/>
  <c r="V50" i="35"/>
  <c r="S35" i="35"/>
  <c r="W27" i="35"/>
  <c r="W33" i="35"/>
  <c r="B5" i="99"/>
  <c r="W14" i="35"/>
  <c r="W34" i="35"/>
  <c r="R16" i="35"/>
  <c r="S14" i="35"/>
  <c r="G2" i="91" s="1"/>
  <c r="W17" i="35"/>
  <c r="W32" i="35"/>
  <c r="W35" i="35"/>
  <c r="T17" i="35"/>
  <c r="I2" i="94" s="1"/>
  <c r="E2" i="94"/>
  <c r="B5" i="94" s="1"/>
  <c r="C5" i="94" s="1"/>
  <c r="D5" i="94" s="1"/>
  <c r="E5" i="94" s="1"/>
  <c r="F5" i="94" s="1"/>
  <c r="G5" i="94" s="1"/>
  <c r="H5" i="94" s="1"/>
  <c r="I5" i="94" s="1"/>
  <c r="J5" i="94" s="1"/>
  <c r="K5" i="94" s="1"/>
  <c r="W31" i="35"/>
  <c r="S16" i="35"/>
  <c r="G2" i="93" s="1"/>
  <c r="W12" i="35"/>
  <c r="W15" i="35"/>
  <c r="N16" i="35"/>
  <c r="R14" i="35"/>
  <c r="U47" i="35"/>
  <c r="V47" i="35" s="1"/>
  <c r="T16" i="35"/>
  <c r="I2" i="93" s="1"/>
  <c r="S17" i="35"/>
  <c r="G2" i="94" s="1"/>
  <c r="S29" i="35"/>
  <c r="N14" i="35"/>
  <c r="R17" i="35"/>
  <c r="W29" i="35"/>
  <c r="W16" i="35"/>
  <c r="W45" i="35"/>
  <c r="C5" i="89"/>
  <c r="D5" i="89" s="1"/>
  <c r="E5" i="89" s="1"/>
  <c r="F5" i="89" s="1"/>
  <c r="G5" i="89" s="1"/>
  <c r="H5" i="89" s="1"/>
  <c r="I5" i="89" s="1"/>
  <c r="J5" i="89" s="1"/>
  <c r="K5" i="89" s="1"/>
  <c r="D7" i="89"/>
  <c r="C2" i="89"/>
  <c r="S28" i="35"/>
  <c r="T12" i="35"/>
  <c r="I2" i="88" s="1"/>
  <c r="E2" i="88"/>
  <c r="D1" i="88" s="1"/>
  <c r="R12" i="35"/>
  <c r="E2" i="92"/>
  <c r="T15" i="35"/>
  <c r="I2" i="92" s="1"/>
  <c r="S32" i="35"/>
  <c r="S34" i="35"/>
  <c r="N12" i="35"/>
  <c r="B4" i="92"/>
  <c r="B7" i="92" s="1"/>
  <c r="T18" i="35"/>
  <c r="I2" i="96" s="1"/>
  <c r="E2" i="96"/>
  <c r="B5" i="96" s="1"/>
  <c r="C5" i="96" s="1"/>
  <c r="D5" i="96" s="1"/>
  <c r="E5" i="96" s="1"/>
  <c r="F5" i="96" s="1"/>
  <c r="G5" i="96" s="1"/>
  <c r="H5" i="96" s="1"/>
  <c r="I5" i="96" s="1"/>
  <c r="J5" i="96" s="1"/>
  <c r="K5" i="96" s="1"/>
  <c r="S12" i="35"/>
  <c r="G2" i="88" s="1"/>
  <c r="S15" i="35"/>
  <c r="G2" i="92" s="1"/>
  <c r="S45" i="35"/>
  <c r="G2" i="99" s="1"/>
  <c r="Q7" i="99" s="1"/>
  <c r="F11" i="35"/>
  <c r="W11" i="35" s="1"/>
  <c r="R18" i="35"/>
  <c r="N18" i="35"/>
  <c r="B4" i="96"/>
  <c r="C11" i="93"/>
  <c r="C15" i="93"/>
  <c r="C12" i="93"/>
  <c r="C14" i="93"/>
  <c r="C16" i="93"/>
  <c r="C9" i="93"/>
  <c r="C10" i="93"/>
  <c r="C13" i="93"/>
  <c r="D7" i="93"/>
  <c r="C5" i="93"/>
  <c r="D5" i="93" s="1"/>
  <c r="E5" i="93" s="1"/>
  <c r="F5" i="93" s="1"/>
  <c r="G5" i="93" s="1"/>
  <c r="H5" i="93" s="1"/>
  <c r="I5" i="93" s="1"/>
  <c r="J5" i="93" s="1"/>
  <c r="K5" i="93" s="1"/>
  <c r="D1" i="93"/>
  <c r="B4" i="94"/>
  <c r="C4" i="93"/>
  <c r="D4" i="93" s="1"/>
  <c r="E4" i="93" s="1"/>
  <c r="F4" i="93" s="1"/>
  <c r="G4" i="93" s="1"/>
  <c r="H4" i="93" s="1"/>
  <c r="I4" i="93" s="1"/>
  <c r="J4" i="93" s="1"/>
  <c r="K4" i="93" s="1"/>
  <c r="C8" i="93"/>
  <c r="B7" i="93"/>
  <c r="R45" i="35"/>
  <c r="P45" i="35"/>
  <c r="B4" i="80"/>
  <c r="C9" i="80" s="1"/>
  <c r="D1" i="80"/>
  <c r="B4" i="87"/>
  <c r="C4" i="91"/>
  <c r="D4" i="91" s="1"/>
  <c r="E4" i="91" s="1"/>
  <c r="F4" i="91" s="1"/>
  <c r="G4" i="91" s="1"/>
  <c r="H4" i="91" s="1"/>
  <c r="I4" i="91" s="1"/>
  <c r="J4" i="91" s="1"/>
  <c r="K4" i="91" s="1"/>
  <c r="B7" i="91"/>
  <c r="B4" i="88"/>
  <c r="B4" i="90"/>
  <c r="U27" i="35"/>
  <c r="U26" i="35"/>
  <c r="V26" i="35" s="1"/>
  <c r="D7" i="80"/>
  <c r="U7" i="80" s="1"/>
  <c r="C5" i="80"/>
  <c r="D5" i="80" s="1"/>
  <c r="E5" i="80" s="1"/>
  <c r="F5" i="80" s="1"/>
  <c r="G5" i="80" s="1"/>
  <c r="H5" i="80" s="1"/>
  <c r="I5" i="80" s="1"/>
  <c r="J5" i="80" s="1"/>
  <c r="K5" i="80" s="1"/>
  <c r="O26" i="35"/>
  <c r="O27" i="35"/>
  <c r="R15" i="35"/>
  <c r="R31" i="35"/>
  <c r="N15" i="35"/>
  <c r="O33" i="35"/>
  <c r="R33" i="35"/>
  <c r="O31" i="35"/>
  <c r="O30" i="35"/>
  <c r="R30" i="35"/>
  <c r="O29" i="35"/>
  <c r="R29" i="35"/>
  <c r="O32" i="35"/>
  <c r="R32" i="35"/>
  <c r="R26" i="35"/>
  <c r="O35" i="35"/>
  <c r="R35" i="35"/>
  <c r="O28" i="35"/>
  <c r="R28" i="35"/>
  <c r="R27" i="35"/>
  <c r="O34" i="35"/>
  <c r="R34" i="35"/>
  <c r="U10" i="35" l="1"/>
  <c r="V10" i="35" s="1"/>
  <c r="D7" i="94"/>
  <c r="U7" i="94" s="1"/>
  <c r="K2" i="99"/>
  <c r="R7" i="102"/>
  <c r="Q7" i="111"/>
  <c r="K2" i="111"/>
  <c r="D7" i="107"/>
  <c r="R7" i="107" s="1"/>
  <c r="C5" i="107"/>
  <c r="D5" i="107" s="1"/>
  <c r="E5" i="107" s="1"/>
  <c r="F5" i="107" s="1"/>
  <c r="G5" i="107" s="1"/>
  <c r="H5" i="107" s="1"/>
  <c r="I5" i="107" s="1"/>
  <c r="J5" i="107" s="1"/>
  <c r="K5" i="107" s="1"/>
  <c r="C12" i="107"/>
  <c r="C13" i="107"/>
  <c r="C11" i="107"/>
  <c r="C14" i="107"/>
  <c r="C15" i="107"/>
  <c r="C9" i="107"/>
  <c r="C16" i="107"/>
  <c r="C10" i="107"/>
  <c r="B10" i="107" s="1"/>
  <c r="C8" i="107"/>
  <c r="D7" i="111"/>
  <c r="C5" i="111"/>
  <c r="D5" i="111" s="1"/>
  <c r="E5" i="111" s="1"/>
  <c r="F5" i="111" s="1"/>
  <c r="G5" i="111" s="1"/>
  <c r="H5" i="111" s="1"/>
  <c r="I5" i="111" s="1"/>
  <c r="J5" i="111" s="1"/>
  <c r="K5" i="111" s="1"/>
  <c r="C13" i="111"/>
  <c r="C9" i="111"/>
  <c r="C14" i="111"/>
  <c r="C15" i="111"/>
  <c r="C10" i="111"/>
  <c r="C12" i="111"/>
  <c r="C11" i="111"/>
  <c r="C8" i="111"/>
  <c r="C16" i="111"/>
  <c r="B16" i="111" s="1"/>
  <c r="K2" i="102"/>
  <c r="Q7" i="109"/>
  <c r="K2" i="109"/>
  <c r="C16" i="112"/>
  <c r="D7" i="112"/>
  <c r="C5" i="112"/>
  <c r="D5" i="112" s="1"/>
  <c r="E5" i="112" s="1"/>
  <c r="F5" i="112" s="1"/>
  <c r="G5" i="112" s="1"/>
  <c r="H5" i="112" s="1"/>
  <c r="I5" i="112" s="1"/>
  <c r="J5" i="112" s="1"/>
  <c r="K5" i="112" s="1"/>
  <c r="C12" i="112"/>
  <c r="C15" i="112"/>
  <c r="C13" i="112"/>
  <c r="C11" i="112"/>
  <c r="C14" i="112"/>
  <c r="C9" i="112"/>
  <c r="C8" i="112"/>
  <c r="C10" i="112"/>
  <c r="Q7" i="110"/>
  <c r="K2" i="110"/>
  <c r="C15" i="109"/>
  <c r="C10" i="109"/>
  <c r="C13" i="109"/>
  <c r="C12" i="109"/>
  <c r="C9" i="109"/>
  <c r="C14" i="109"/>
  <c r="C16" i="109"/>
  <c r="D7" i="109"/>
  <c r="C11" i="109"/>
  <c r="C5" i="109"/>
  <c r="D5" i="109" s="1"/>
  <c r="E5" i="109" s="1"/>
  <c r="F5" i="109" s="1"/>
  <c r="G5" i="109" s="1"/>
  <c r="H5" i="109" s="1"/>
  <c r="I5" i="109" s="1"/>
  <c r="J5" i="109" s="1"/>
  <c r="K5" i="109" s="1"/>
  <c r="C8" i="109"/>
  <c r="Q7" i="112"/>
  <c r="K2" i="112"/>
  <c r="C5" i="108"/>
  <c r="D5" i="108" s="1"/>
  <c r="E5" i="108" s="1"/>
  <c r="F5" i="108" s="1"/>
  <c r="G5" i="108" s="1"/>
  <c r="H5" i="108" s="1"/>
  <c r="I5" i="108" s="1"/>
  <c r="J5" i="108" s="1"/>
  <c r="K5" i="108" s="1"/>
  <c r="D7" i="108"/>
  <c r="C10" i="108"/>
  <c r="C16" i="108"/>
  <c r="C13" i="108"/>
  <c r="C9" i="108"/>
  <c r="C14" i="108"/>
  <c r="C11" i="108"/>
  <c r="C12" i="108"/>
  <c r="C15" i="108"/>
  <c r="C8" i="108"/>
  <c r="D1" i="105"/>
  <c r="D1" i="100"/>
  <c r="C14" i="110"/>
  <c r="B14" i="110" s="1"/>
  <c r="D7" i="110"/>
  <c r="C5" i="110"/>
  <c r="D5" i="110" s="1"/>
  <c r="E5" i="110" s="1"/>
  <c r="F5" i="110" s="1"/>
  <c r="G5" i="110" s="1"/>
  <c r="H5" i="110" s="1"/>
  <c r="I5" i="110" s="1"/>
  <c r="J5" i="110" s="1"/>
  <c r="K5" i="110" s="1"/>
  <c r="C11" i="110"/>
  <c r="C12" i="110"/>
  <c r="C13" i="110"/>
  <c r="C16" i="110"/>
  <c r="C9" i="110"/>
  <c r="C15" i="110"/>
  <c r="C10" i="110"/>
  <c r="C8" i="110"/>
  <c r="B11" i="101"/>
  <c r="B12" i="102"/>
  <c r="C4" i="104"/>
  <c r="D4" i="104" s="1"/>
  <c r="E4" i="104" s="1"/>
  <c r="F4" i="104" s="1"/>
  <c r="G4" i="104" s="1"/>
  <c r="H4" i="104" s="1"/>
  <c r="I4" i="104" s="1"/>
  <c r="J4" i="104" s="1"/>
  <c r="K4" i="104" s="1"/>
  <c r="B7" i="104"/>
  <c r="C13" i="102"/>
  <c r="C10" i="101"/>
  <c r="U34" i="35"/>
  <c r="V34" i="35" s="1"/>
  <c r="G2" i="105"/>
  <c r="U33" i="35"/>
  <c r="V33" i="35" s="1"/>
  <c r="G2" i="104"/>
  <c r="C4" i="106"/>
  <c r="D4" i="106" s="1"/>
  <c r="E4" i="106" s="1"/>
  <c r="F4" i="106" s="1"/>
  <c r="G4" i="106" s="1"/>
  <c r="H4" i="106" s="1"/>
  <c r="I4" i="106" s="1"/>
  <c r="J4" i="106" s="1"/>
  <c r="K4" i="106" s="1"/>
  <c r="B7" i="106"/>
  <c r="C13" i="101"/>
  <c r="C14" i="103"/>
  <c r="C13" i="103"/>
  <c r="C16" i="103"/>
  <c r="C12" i="103"/>
  <c r="C9" i="103"/>
  <c r="D7" i="103"/>
  <c r="U7" i="103" s="1"/>
  <c r="C11" i="103"/>
  <c r="C5" i="103"/>
  <c r="D5" i="103" s="1"/>
  <c r="E5" i="103" s="1"/>
  <c r="F5" i="103" s="1"/>
  <c r="G5" i="103" s="1"/>
  <c r="H5" i="103" s="1"/>
  <c r="I5" i="103" s="1"/>
  <c r="J5" i="103" s="1"/>
  <c r="K5" i="103" s="1"/>
  <c r="C15" i="103"/>
  <c r="C10" i="103"/>
  <c r="U32" i="35"/>
  <c r="V32" i="35" s="1"/>
  <c r="G2" i="103"/>
  <c r="U29" i="35"/>
  <c r="V29" i="35" s="1"/>
  <c r="G2" i="100"/>
  <c r="U35" i="35"/>
  <c r="G2" i="106"/>
  <c r="C9" i="102"/>
  <c r="B9" i="102" s="1"/>
  <c r="C8" i="102"/>
  <c r="B7" i="102"/>
  <c r="Q7" i="102" s="1"/>
  <c r="C4" i="102"/>
  <c r="D4" i="102" s="1"/>
  <c r="E4" i="102" s="1"/>
  <c r="F4" i="102" s="1"/>
  <c r="G4" i="102" s="1"/>
  <c r="H4" i="102" s="1"/>
  <c r="I4" i="102" s="1"/>
  <c r="J4" i="102" s="1"/>
  <c r="K4" i="102" s="1"/>
  <c r="C14" i="101"/>
  <c r="R7" i="103"/>
  <c r="C14" i="105"/>
  <c r="C4" i="105"/>
  <c r="D4" i="105" s="1"/>
  <c r="E4" i="105" s="1"/>
  <c r="F4" i="105" s="1"/>
  <c r="G4" i="105" s="1"/>
  <c r="H4" i="105" s="1"/>
  <c r="I4" i="105" s="1"/>
  <c r="J4" i="105" s="1"/>
  <c r="K4" i="105" s="1"/>
  <c r="C8" i="105"/>
  <c r="B7" i="105"/>
  <c r="C10" i="102"/>
  <c r="C5" i="100"/>
  <c r="D5" i="100" s="1"/>
  <c r="E5" i="100" s="1"/>
  <c r="F5" i="100" s="1"/>
  <c r="G5" i="100" s="1"/>
  <c r="H5" i="100" s="1"/>
  <c r="I5" i="100" s="1"/>
  <c r="J5" i="100" s="1"/>
  <c r="K5" i="100" s="1"/>
  <c r="C16" i="100"/>
  <c r="C11" i="100"/>
  <c r="B11" i="100" s="1"/>
  <c r="C13" i="100"/>
  <c r="D7" i="100"/>
  <c r="U7" i="100" s="1"/>
  <c r="C9" i="100"/>
  <c r="C10" i="100"/>
  <c r="C14" i="100"/>
  <c r="C15" i="100"/>
  <c r="R7" i="101"/>
  <c r="C15" i="101"/>
  <c r="C8" i="101"/>
  <c r="C4" i="101"/>
  <c r="D4" i="101" s="1"/>
  <c r="E4" i="101" s="1"/>
  <c r="F4" i="101" s="1"/>
  <c r="G4" i="101" s="1"/>
  <c r="H4" i="101" s="1"/>
  <c r="I4" i="101" s="1"/>
  <c r="J4" i="101" s="1"/>
  <c r="K4" i="101" s="1"/>
  <c r="B7" i="101"/>
  <c r="Q7" i="101" s="1"/>
  <c r="C12" i="100"/>
  <c r="B7" i="100"/>
  <c r="C4" i="100"/>
  <c r="D4" i="100" s="1"/>
  <c r="E4" i="100" s="1"/>
  <c r="F4" i="100" s="1"/>
  <c r="G4" i="100" s="1"/>
  <c r="H4" i="100" s="1"/>
  <c r="I4" i="100" s="1"/>
  <c r="J4" i="100" s="1"/>
  <c r="K4" i="100" s="1"/>
  <c r="C8" i="100"/>
  <c r="C14" i="102"/>
  <c r="C5" i="105"/>
  <c r="D5" i="105" s="1"/>
  <c r="E5" i="105" s="1"/>
  <c r="F5" i="105" s="1"/>
  <c r="G5" i="105" s="1"/>
  <c r="H5" i="105" s="1"/>
  <c r="I5" i="105" s="1"/>
  <c r="J5" i="105" s="1"/>
  <c r="K5" i="105" s="1"/>
  <c r="D7" i="105"/>
  <c r="U7" i="105" s="1"/>
  <c r="C16" i="105"/>
  <c r="B16" i="105" s="1"/>
  <c r="C9" i="105"/>
  <c r="C12" i="105"/>
  <c r="B12" i="105" s="1"/>
  <c r="C10" i="105"/>
  <c r="C13" i="105"/>
  <c r="C15" i="105"/>
  <c r="C11" i="105"/>
  <c r="C9" i="101"/>
  <c r="C16" i="102"/>
  <c r="C16" i="101"/>
  <c r="D1" i="103"/>
  <c r="K2" i="101"/>
  <c r="C11" i="102"/>
  <c r="B11" i="102" s="1"/>
  <c r="D1" i="104"/>
  <c r="B5" i="104"/>
  <c r="C8" i="104" s="1"/>
  <c r="C12" i="101"/>
  <c r="D1" i="106"/>
  <c r="B5" i="106"/>
  <c r="C16" i="106" s="1"/>
  <c r="C15" i="102"/>
  <c r="B15" i="102" s="1"/>
  <c r="C4" i="103"/>
  <c r="D4" i="103" s="1"/>
  <c r="E4" i="103" s="1"/>
  <c r="F4" i="103" s="1"/>
  <c r="G4" i="103" s="1"/>
  <c r="H4" i="103" s="1"/>
  <c r="I4" i="103" s="1"/>
  <c r="J4" i="103" s="1"/>
  <c r="K4" i="103" s="1"/>
  <c r="B7" i="103"/>
  <c r="C8" i="103"/>
  <c r="R11" i="35"/>
  <c r="C10" i="90"/>
  <c r="B10" i="90" s="1"/>
  <c r="D1" i="90"/>
  <c r="C5" i="90"/>
  <c r="D5" i="90" s="1"/>
  <c r="E5" i="90" s="1"/>
  <c r="F5" i="90" s="1"/>
  <c r="G5" i="90" s="1"/>
  <c r="H5" i="90" s="1"/>
  <c r="I5" i="90" s="1"/>
  <c r="J5" i="90" s="1"/>
  <c r="K5" i="90" s="1"/>
  <c r="B5" i="91"/>
  <c r="C8" i="91" s="1"/>
  <c r="D8" i="91" s="1"/>
  <c r="U14" i="35"/>
  <c r="V14" i="35" s="1"/>
  <c r="K2" i="91" s="1"/>
  <c r="U13" i="35"/>
  <c r="V13" i="35" s="1"/>
  <c r="K2" i="90" s="1"/>
  <c r="V27" i="35"/>
  <c r="U30" i="35"/>
  <c r="V30" i="35" s="1"/>
  <c r="N11" i="35"/>
  <c r="U31" i="35"/>
  <c r="V31" i="35" s="1"/>
  <c r="D7" i="96"/>
  <c r="U7" i="96" s="1"/>
  <c r="C9" i="94"/>
  <c r="B9" i="94" s="1"/>
  <c r="V35" i="35"/>
  <c r="C15" i="96"/>
  <c r="B15" i="96" s="1"/>
  <c r="D1" i="96"/>
  <c r="D1" i="94"/>
  <c r="B5" i="88"/>
  <c r="C14" i="88" s="1"/>
  <c r="U17" i="35"/>
  <c r="V17" i="35" s="1"/>
  <c r="K2" i="94" s="1"/>
  <c r="U18" i="35"/>
  <c r="V18" i="35" s="1"/>
  <c r="K2" i="96" s="1"/>
  <c r="R7" i="93"/>
  <c r="U7" i="93"/>
  <c r="R7" i="89"/>
  <c r="U7" i="89"/>
  <c r="R7" i="80"/>
  <c r="U12" i="35"/>
  <c r="V12" i="35" s="1"/>
  <c r="K2" i="88" s="1"/>
  <c r="C4" i="92"/>
  <c r="D4" i="92" s="1"/>
  <c r="E4" i="92" s="1"/>
  <c r="F4" i="92" s="1"/>
  <c r="G4" i="92" s="1"/>
  <c r="H4" i="92" s="1"/>
  <c r="I4" i="92" s="1"/>
  <c r="J4" i="92" s="1"/>
  <c r="K4" i="92" s="1"/>
  <c r="C13" i="99"/>
  <c r="B13" i="99" s="1"/>
  <c r="D7" i="99"/>
  <c r="C5" i="99"/>
  <c r="D5" i="99" s="1"/>
  <c r="E5" i="99" s="1"/>
  <c r="F5" i="99" s="1"/>
  <c r="G5" i="99" s="1"/>
  <c r="H5" i="99" s="1"/>
  <c r="I5" i="99" s="1"/>
  <c r="J5" i="99" s="1"/>
  <c r="K5" i="99" s="1"/>
  <c r="C10" i="99"/>
  <c r="C12" i="99"/>
  <c r="C9" i="99"/>
  <c r="C14" i="99"/>
  <c r="C16" i="99"/>
  <c r="C15" i="99"/>
  <c r="C8" i="99"/>
  <c r="C11" i="99"/>
  <c r="U16" i="35"/>
  <c r="V16" i="35" s="1"/>
  <c r="K2" i="93" s="1"/>
  <c r="R7" i="90"/>
  <c r="U7" i="90"/>
  <c r="Q7" i="93"/>
  <c r="D1" i="89"/>
  <c r="Q7" i="91"/>
  <c r="E2" i="87"/>
  <c r="D1" i="87" s="1"/>
  <c r="T11" i="35"/>
  <c r="I2" i="87" s="1"/>
  <c r="C9" i="96"/>
  <c r="B9" i="96" s="1"/>
  <c r="C10" i="96"/>
  <c r="C16" i="96"/>
  <c r="B16" i="96" s="1"/>
  <c r="C13" i="96"/>
  <c r="B10" i="93"/>
  <c r="C11" i="96"/>
  <c r="C14" i="96"/>
  <c r="C12" i="96"/>
  <c r="C4" i="80"/>
  <c r="D4" i="80" s="1"/>
  <c r="E4" i="80" s="1"/>
  <c r="F4" i="80" s="1"/>
  <c r="G4" i="80" s="1"/>
  <c r="H4" i="80" s="1"/>
  <c r="I4" i="80" s="1"/>
  <c r="J4" i="80" s="1"/>
  <c r="K4" i="80" s="1"/>
  <c r="C15" i="80"/>
  <c r="B8" i="93"/>
  <c r="D8" i="93"/>
  <c r="D10" i="93"/>
  <c r="D9" i="93"/>
  <c r="B9" i="93"/>
  <c r="B15" i="93"/>
  <c r="D15" i="93"/>
  <c r="C11" i="94"/>
  <c r="C15" i="90"/>
  <c r="D16" i="93"/>
  <c r="B16" i="93"/>
  <c r="D11" i="93"/>
  <c r="B11" i="93"/>
  <c r="C12" i="94"/>
  <c r="C10" i="94"/>
  <c r="U45" i="35"/>
  <c r="V45" i="35" s="1"/>
  <c r="B13" i="93"/>
  <c r="D13" i="93"/>
  <c r="B14" i="93"/>
  <c r="D14" i="93"/>
  <c r="C16" i="94"/>
  <c r="C8" i="96"/>
  <c r="B7" i="96"/>
  <c r="Q7" i="96" s="1"/>
  <c r="C4" i="96"/>
  <c r="D4" i="96" s="1"/>
  <c r="E4" i="96" s="1"/>
  <c r="F4" i="96" s="1"/>
  <c r="G4" i="96" s="1"/>
  <c r="H4" i="96" s="1"/>
  <c r="I4" i="96" s="1"/>
  <c r="J4" i="96" s="1"/>
  <c r="K4" i="96" s="1"/>
  <c r="C13" i="94"/>
  <c r="B7" i="94"/>
  <c r="Q7" i="94" s="1"/>
  <c r="C4" i="94"/>
  <c r="D4" i="94" s="1"/>
  <c r="E4" i="94" s="1"/>
  <c r="F4" i="94" s="1"/>
  <c r="G4" i="94" s="1"/>
  <c r="H4" i="94" s="1"/>
  <c r="I4" i="94" s="1"/>
  <c r="J4" i="94" s="1"/>
  <c r="K4" i="94" s="1"/>
  <c r="C8" i="94"/>
  <c r="B5" i="92"/>
  <c r="D1" i="92"/>
  <c r="P7" i="93"/>
  <c r="H14" i="95" s="1"/>
  <c r="T8" i="97" s="1"/>
  <c r="N7" i="93"/>
  <c r="O7" i="93"/>
  <c r="D12" i="93"/>
  <c r="B12" i="93"/>
  <c r="C14" i="94"/>
  <c r="C15" i="94"/>
  <c r="C8" i="80"/>
  <c r="C10" i="80"/>
  <c r="C14" i="80"/>
  <c r="C13" i="80"/>
  <c r="C12" i="80"/>
  <c r="C13" i="90"/>
  <c r="B7" i="80"/>
  <c r="C16" i="80"/>
  <c r="C11" i="80"/>
  <c r="C9" i="90"/>
  <c r="C4" i="90"/>
  <c r="D4" i="90" s="1"/>
  <c r="E4" i="90" s="1"/>
  <c r="F4" i="90" s="1"/>
  <c r="G4" i="90" s="1"/>
  <c r="H4" i="90" s="1"/>
  <c r="I4" i="90" s="1"/>
  <c r="J4" i="90" s="1"/>
  <c r="K4" i="90" s="1"/>
  <c r="C8" i="90"/>
  <c r="B7" i="90"/>
  <c r="Q7" i="90" s="1"/>
  <c r="C16" i="90"/>
  <c r="C11" i="90"/>
  <c r="C14" i="90"/>
  <c r="C4" i="87"/>
  <c r="D4" i="87" s="1"/>
  <c r="E4" i="87" s="1"/>
  <c r="F4" i="87" s="1"/>
  <c r="G4" i="87" s="1"/>
  <c r="H4" i="87" s="1"/>
  <c r="I4" i="87" s="1"/>
  <c r="J4" i="87" s="1"/>
  <c r="K4" i="87" s="1"/>
  <c r="B7" i="87"/>
  <c r="Q7" i="87" s="1"/>
  <c r="C4" i="88"/>
  <c r="D4" i="88" s="1"/>
  <c r="E4" i="88" s="1"/>
  <c r="F4" i="88" s="1"/>
  <c r="G4" i="88" s="1"/>
  <c r="H4" i="88" s="1"/>
  <c r="I4" i="88" s="1"/>
  <c r="J4" i="88" s="1"/>
  <c r="K4" i="88" s="1"/>
  <c r="B7" i="88"/>
  <c r="Q7" i="88" s="1"/>
  <c r="C12" i="90"/>
  <c r="B4" i="89"/>
  <c r="B9" i="80"/>
  <c r="U15" i="35"/>
  <c r="V15" i="35" s="1"/>
  <c r="K2" i="92" s="1"/>
  <c r="U28" i="35"/>
  <c r="V28" i="35" s="1"/>
  <c r="K2" i="89" s="1"/>
  <c r="S7" i="102" l="1"/>
  <c r="R7" i="94"/>
  <c r="D7" i="91"/>
  <c r="U7" i="91" s="1"/>
  <c r="C14" i="91"/>
  <c r="C5" i="91"/>
  <c r="D5" i="91" s="1"/>
  <c r="E5" i="91" s="1"/>
  <c r="F5" i="91" s="1"/>
  <c r="G5" i="91" s="1"/>
  <c r="H5" i="91" s="1"/>
  <c r="I5" i="91" s="1"/>
  <c r="J5" i="91" s="1"/>
  <c r="K5" i="91" s="1"/>
  <c r="C12" i="91"/>
  <c r="B8" i="91"/>
  <c r="Q8" i="91" s="1"/>
  <c r="C9" i="91"/>
  <c r="B9" i="91" s="1"/>
  <c r="C13" i="91"/>
  <c r="B13" i="91" s="1"/>
  <c r="C11" i="91"/>
  <c r="C16" i="91"/>
  <c r="B16" i="91" s="1"/>
  <c r="C10" i="91"/>
  <c r="D10" i="91" s="1"/>
  <c r="C15" i="91"/>
  <c r="R7" i="105"/>
  <c r="C13" i="88"/>
  <c r="D14" i="88" s="1"/>
  <c r="C10" i="88"/>
  <c r="S7" i="101"/>
  <c r="T7" i="101" s="1"/>
  <c r="C8" i="88"/>
  <c r="D8" i="88" s="1"/>
  <c r="C15" i="88"/>
  <c r="C9" i="88"/>
  <c r="B9" i="88" s="1"/>
  <c r="U7" i="108"/>
  <c r="N7" i="108"/>
  <c r="O7" i="108"/>
  <c r="P7" i="108"/>
  <c r="R7" i="108"/>
  <c r="S7" i="108" s="1"/>
  <c r="U11" i="35"/>
  <c r="V11" i="35" s="1"/>
  <c r="D14" i="110"/>
  <c r="B13" i="110"/>
  <c r="D13" i="110"/>
  <c r="D8" i="108"/>
  <c r="B8" i="108"/>
  <c r="D10" i="108"/>
  <c r="B10" i="108"/>
  <c r="B12" i="109"/>
  <c r="D12" i="109"/>
  <c r="B10" i="112"/>
  <c r="D10" i="112"/>
  <c r="D8" i="111"/>
  <c r="B8" i="111"/>
  <c r="D11" i="107"/>
  <c r="B11" i="107"/>
  <c r="B8" i="112"/>
  <c r="D8" i="112"/>
  <c r="D11" i="110"/>
  <c r="B11" i="110"/>
  <c r="B12" i="108"/>
  <c r="D12" i="108"/>
  <c r="D10" i="109"/>
  <c r="B10" i="109"/>
  <c r="B9" i="112"/>
  <c r="D9" i="112"/>
  <c r="B16" i="112"/>
  <c r="D16" i="112"/>
  <c r="B12" i="111"/>
  <c r="D12" i="111"/>
  <c r="D8" i="107"/>
  <c r="B8" i="107"/>
  <c r="B12" i="107"/>
  <c r="D12" i="107"/>
  <c r="D12" i="110"/>
  <c r="B12" i="110"/>
  <c r="U7" i="112"/>
  <c r="R7" i="112"/>
  <c r="S7" i="112" s="1"/>
  <c r="P7" i="112"/>
  <c r="N7" i="112"/>
  <c r="O7" i="112"/>
  <c r="B8" i="110"/>
  <c r="D8" i="110"/>
  <c r="D11" i="108"/>
  <c r="B11" i="108"/>
  <c r="D11" i="109"/>
  <c r="B11" i="109"/>
  <c r="B15" i="109"/>
  <c r="D15" i="109"/>
  <c r="D14" i="112"/>
  <c r="B14" i="112"/>
  <c r="B10" i="111"/>
  <c r="D10" i="111"/>
  <c r="B13" i="109"/>
  <c r="D13" i="109"/>
  <c r="D10" i="110"/>
  <c r="B10" i="110"/>
  <c r="U7" i="110"/>
  <c r="R7" i="110"/>
  <c r="S7" i="110" s="1"/>
  <c r="O7" i="110"/>
  <c r="N7" i="110"/>
  <c r="P7" i="110"/>
  <c r="D15" i="108"/>
  <c r="D14" i="108"/>
  <c r="B14" i="108"/>
  <c r="U7" i="109"/>
  <c r="R7" i="109"/>
  <c r="S7" i="109" s="1"/>
  <c r="P7" i="109"/>
  <c r="O7" i="109"/>
  <c r="N7" i="109"/>
  <c r="B11" i="112"/>
  <c r="D11" i="112"/>
  <c r="D16" i="111"/>
  <c r="B15" i="111"/>
  <c r="D15" i="111"/>
  <c r="D16" i="107"/>
  <c r="B16" i="107"/>
  <c r="U7" i="107"/>
  <c r="N7" i="107"/>
  <c r="P7" i="107"/>
  <c r="O7" i="107"/>
  <c r="B15" i="108"/>
  <c r="D11" i="111"/>
  <c r="B11" i="111"/>
  <c r="D15" i="110"/>
  <c r="B15" i="110"/>
  <c r="D9" i="108"/>
  <c r="B9" i="108"/>
  <c r="B16" i="109"/>
  <c r="D16" i="109"/>
  <c r="B13" i="112"/>
  <c r="D13" i="112"/>
  <c r="B14" i="111"/>
  <c r="D14" i="111"/>
  <c r="D10" i="107"/>
  <c r="B9" i="107"/>
  <c r="D9" i="107"/>
  <c r="B13" i="107"/>
  <c r="D13" i="107"/>
  <c r="D9" i="110"/>
  <c r="B9" i="110"/>
  <c r="B13" i="108"/>
  <c r="D13" i="108"/>
  <c r="D14" i="109"/>
  <c r="B14" i="109"/>
  <c r="B15" i="112"/>
  <c r="D15" i="112"/>
  <c r="B9" i="111"/>
  <c r="D9" i="111"/>
  <c r="B15" i="107"/>
  <c r="D15" i="107"/>
  <c r="B8" i="109"/>
  <c r="D8" i="109"/>
  <c r="U7" i="111"/>
  <c r="O7" i="111"/>
  <c r="P7" i="111"/>
  <c r="N7" i="111"/>
  <c r="R7" i="111"/>
  <c r="S7" i="111" s="1"/>
  <c r="D16" i="110"/>
  <c r="B16" i="110"/>
  <c r="B16" i="108"/>
  <c r="D16" i="108"/>
  <c r="B9" i="109"/>
  <c r="D9" i="109"/>
  <c r="D12" i="112"/>
  <c r="B12" i="112"/>
  <c r="B13" i="111"/>
  <c r="D13" i="111"/>
  <c r="B14" i="107"/>
  <c r="D14" i="107"/>
  <c r="B8" i="104"/>
  <c r="D8" i="104"/>
  <c r="B16" i="106"/>
  <c r="B9" i="101"/>
  <c r="D9" i="101"/>
  <c r="D15" i="100"/>
  <c r="B15" i="100"/>
  <c r="Q7" i="103"/>
  <c r="K2" i="103"/>
  <c r="D12" i="103"/>
  <c r="B12" i="103"/>
  <c r="C5" i="106"/>
  <c r="D5" i="106" s="1"/>
  <c r="E5" i="106" s="1"/>
  <c r="F5" i="106" s="1"/>
  <c r="G5" i="106" s="1"/>
  <c r="H5" i="106" s="1"/>
  <c r="I5" i="106" s="1"/>
  <c r="J5" i="106" s="1"/>
  <c r="K5" i="106" s="1"/>
  <c r="C10" i="106"/>
  <c r="D7" i="106"/>
  <c r="O7" i="106" s="1"/>
  <c r="C15" i="106"/>
  <c r="B15" i="106" s="1"/>
  <c r="C13" i="106"/>
  <c r="C9" i="106"/>
  <c r="C14" i="106"/>
  <c r="C11" i="106"/>
  <c r="C12" i="106"/>
  <c r="D12" i="105"/>
  <c r="D11" i="105"/>
  <c r="B11" i="105"/>
  <c r="D8" i="101"/>
  <c r="B8" i="101"/>
  <c r="D14" i="100"/>
  <c r="B14" i="100"/>
  <c r="D11" i="102"/>
  <c r="B10" i="102"/>
  <c r="D10" i="102"/>
  <c r="P7" i="102"/>
  <c r="O7" i="102"/>
  <c r="N7" i="102"/>
  <c r="D16" i="103"/>
  <c r="B16" i="103"/>
  <c r="Q7" i="104"/>
  <c r="K2" i="104"/>
  <c r="D16" i="105"/>
  <c r="D15" i="105"/>
  <c r="B15" i="105"/>
  <c r="D15" i="102"/>
  <c r="D14" i="102"/>
  <c r="B14" i="102"/>
  <c r="B15" i="101"/>
  <c r="D15" i="101"/>
  <c r="D11" i="100"/>
  <c r="D10" i="100"/>
  <c r="B10" i="100"/>
  <c r="P7" i="105"/>
  <c r="N7" i="105"/>
  <c r="O7" i="105"/>
  <c r="D9" i="102"/>
  <c r="D8" i="102"/>
  <c r="B8" i="102"/>
  <c r="D10" i="103"/>
  <c r="B10" i="103"/>
  <c r="D13" i="103"/>
  <c r="B13" i="103"/>
  <c r="B12" i="101"/>
  <c r="D12" i="101"/>
  <c r="B16" i="101"/>
  <c r="D16" i="101"/>
  <c r="D13" i="105"/>
  <c r="B13" i="105"/>
  <c r="B8" i="100"/>
  <c r="D8" i="100"/>
  <c r="B9" i="100"/>
  <c r="D9" i="100"/>
  <c r="D8" i="105"/>
  <c r="B8" i="105"/>
  <c r="D15" i="103"/>
  <c r="B15" i="103"/>
  <c r="D14" i="103"/>
  <c r="B14" i="103"/>
  <c r="Q7" i="105"/>
  <c r="S7" i="105" s="1"/>
  <c r="K2" i="105"/>
  <c r="D8" i="103"/>
  <c r="B8" i="103"/>
  <c r="C10" i="104"/>
  <c r="C9" i="104"/>
  <c r="B9" i="104" s="1"/>
  <c r="C5" i="104"/>
  <c r="D5" i="104" s="1"/>
  <c r="E5" i="104" s="1"/>
  <c r="F5" i="104" s="1"/>
  <c r="G5" i="104" s="1"/>
  <c r="H5" i="104" s="1"/>
  <c r="I5" i="104" s="1"/>
  <c r="J5" i="104" s="1"/>
  <c r="K5" i="104" s="1"/>
  <c r="C14" i="104"/>
  <c r="C11" i="104"/>
  <c r="C15" i="104"/>
  <c r="D7" i="104"/>
  <c r="C13" i="104"/>
  <c r="C12" i="104"/>
  <c r="C16" i="104"/>
  <c r="D10" i="105"/>
  <c r="B10" i="105"/>
  <c r="Q7" i="106"/>
  <c r="K2" i="106"/>
  <c r="D13" i="101"/>
  <c r="B13" i="101"/>
  <c r="N7" i="103"/>
  <c r="P7" i="103"/>
  <c r="O7" i="103"/>
  <c r="B16" i="102"/>
  <c r="D16" i="102"/>
  <c r="N7" i="100"/>
  <c r="P7" i="100"/>
  <c r="O7" i="100"/>
  <c r="B13" i="100"/>
  <c r="D13" i="100"/>
  <c r="D14" i="105"/>
  <c r="B14" i="105"/>
  <c r="D11" i="103"/>
  <c r="B11" i="103"/>
  <c r="D10" i="101"/>
  <c r="B10" i="101"/>
  <c r="D12" i="102"/>
  <c r="D9" i="105"/>
  <c r="B9" i="105"/>
  <c r="B12" i="100"/>
  <c r="D12" i="100"/>
  <c r="S7" i="103"/>
  <c r="T7" i="103" s="1"/>
  <c r="Q7" i="100"/>
  <c r="K2" i="100"/>
  <c r="C8" i="106"/>
  <c r="D13" i="102"/>
  <c r="B13" i="102"/>
  <c r="R7" i="100"/>
  <c r="P7" i="101"/>
  <c r="N7" i="101"/>
  <c r="O7" i="101"/>
  <c r="T7" i="102"/>
  <c r="B16" i="100"/>
  <c r="D16" i="100"/>
  <c r="D14" i="101"/>
  <c r="B14" i="101"/>
  <c r="B9" i="103"/>
  <c r="D9" i="103"/>
  <c r="D11" i="101"/>
  <c r="R7" i="96"/>
  <c r="S7" i="96" s="1"/>
  <c r="T7" i="96" s="1"/>
  <c r="C12" i="88"/>
  <c r="C16" i="88"/>
  <c r="C5" i="88"/>
  <c r="D5" i="88" s="1"/>
  <c r="E5" i="88" s="1"/>
  <c r="F5" i="88" s="1"/>
  <c r="G5" i="88" s="1"/>
  <c r="H5" i="88" s="1"/>
  <c r="I5" i="88" s="1"/>
  <c r="J5" i="88" s="1"/>
  <c r="K5" i="88" s="1"/>
  <c r="C11" i="88"/>
  <c r="D7" i="88"/>
  <c r="R7" i="88" s="1"/>
  <c r="S7" i="88" s="1"/>
  <c r="D10" i="96"/>
  <c r="E10" i="96" s="1"/>
  <c r="S7" i="93"/>
  <c r="T7" i="93" s="1"/>
  <c r="K2" i="87"/>
  <c r="E13" i="93"/>
  <c r="F13" i="93" s="1"/>
  <c r="G13" i="93" s="1"/>
  <c r="H13" i="93" s="1"/>
  <c r="I13" i="93" s="1"/>
  <c r="J13" i="93" s="1"/>
  <c r="E9" i="93"/>
  <c r="Q9" i="93" s="1"/>
  <c r="B9" i="99"/>
  <c r="D9" i="99"/>
  <c r="E9" i="99" s="1"/>
  <c r="F9" i="99" s="1"/>
  <c r="E12" i="93"/>
  <c r="F12" i="93" s="1"/>
  <c r="G12" i="93" s="1"/>
  <c r="H12" i="93" s="1"/>
  <c r="I12" i="93" s="1"/>
  <c r="E8" i="91"/>
  <c r="U8" i="91" s="1"/>
  <c r="E16" i="93"/>
  <c r="F16" i="93" s="1"/>
  <c r="G16" i="93" s="1"/>
  <c r="H16" i="93" s="1"/>
  <c r="I16" i="93" s="1"/>
  <c r="J16" i="93" s="1"/>
  <c r="K16" i="93" s="1"/>
  <c r="L16" i="93" s="1"/>
  <c r="M16" i="93" s="1"/>
  <c r="E10" i="93"/>
  <c r="F10" i="93" s="1"/>
  <c r="Q10" i="93" s="1"/>
  <c r="D13" i="99"/>
  <c r="D12" i="99"/>
  <c r="B12" i="99"/>
  <c r="B14" i="99"/>
  <c r="D14" i="99"/>
  <c r="E8" i="93"/>
  <c r="U8" i="93" s="1"/>
  <c r="D10" i="99"/>
  <c r="B10" i="99"/>
  <c r="B11" i="99"/>
  <c r="D11" i="99"/>
  <c r="E11" i="93"/>
  <c r="F11" i="93" s="1"/>
  <c r="G11" i="93" s="1"/>
  <c r="H11" i="93" s="1"/>
  <c r="B8" i="99"/>
  <c r="D8" i="99"/>
  <c r="U7" i="99"/>
  <c r="P7" i="99"/>
  <c r="N7" i="99"/>
  <c r="O7" i="99"/>
  <c r="R7" i="99"/>
  <c r="S7" i="99" s="1"/>
  <c r="R7" i="91"/>
  <c r="S7" i="91" s="1"/>
  <c r="E15" i="93"/>
  <c r="F15" i="93" s="1"/>
  <c r="B15" i="99"/>
  <c r="D15" i="99"/>
  <c r="E14" i="93"/>
  <c r="B16" i="99"/>
  <c r="D16" i="99"/>
  <c r="K2" i="80"/>
  <c r="Q7" i="80"/>
  <c r="S7" i="80" s="1"/>
  <c r="T7" i="80" s="1"/>
  <c r="B10" i="96"/>
  <c r="Q7" i="92"/>
  <c r="D9" i="96"/>
  <c r="B14" i="96"/>
  <c r="D16" i="96"/>
  <c r="B13" i="96"/>
  <c r="B11" i="96"/>
  <c r="Q8" i="93"/>
  <c r="D10" i="90"/>
  <c r="E10" i="90" s="1"/>
  <c r="B13" i="90"/>
  <c r="B15" i="90"/>
  <c r="B11" i="80"/>
  <c r="B8" i="80"/>
  <c r="D10" i="80"/>
  <c r="E10" i="80" s="1"/>
  <c r="F10" i="80" s="1"/>
  <c r="G10" i="80" s="1"/>
  <c r="B12" i="80"/>
  <c r="B14" i="80"/>
  <c r="D11" i="96"/>
  <c r="B5" i="87"/>
  <c r="D12" i="96"/>
  <c r="D14" i="96"/>
  <c r="D15" i="96"/>
  <c r="D15" i="90"/>
  <c r="D12" i="80"/>
  <c r="D13" i="96"/>
  <c r="D15" i="80"/>
  <c r="D13" i="90"/>
  <c r="B15" i="80"/>
  <c r="D8" i="80"/>
  <c r="D9" i="90"/>
  <c r="D16" i="80"/>
  <c r="D14" i="80"/>
  <c r="F43" i="93"/>
  <c r="E43" i="93"/>
  <c r="E31" i="93"/>
  <c r="E19" i="93"/>
  <c r="F31" i="93"/>
  <c r="F19" i="93"/>
  <c r="B9" i="90"/>
  <c r="B12" i="96"/>
  <c r="B16" i="80"/>
  <c r="B13" i="80"/>
  <c r="B10" i="80"/>
  <c r="D9" i="80"/>
  <c r="D14" i="94"/>
  <c r="B14" i="94"/>
  <c r="D8" i="94"/>
  <c r="B8" i="94"/>
  <c r="D8" i="96"/>
  <c r="B8" i="96"/>
  <c r="D12" i="94"/>
  <c r="B12" i="94"/>
  <c r="D11" i="94"/>
  <c r="B11" i="94"/>
  <c r="D9" i="94"/>
  <c r="D16" i="94"/>
  <c r="B16" i="94"/>
  <c r="N7" i="94"/>
  <c r="P7" i="94"/>
  <c r="I14" i="95" s="1"/>
  <c r="U8" i="97" s="1"/>
  <c r="O7" i="94"/>
  <c r="D13" i="80"/>
  <c r="D15" i="94"/>
  <c r="B15" i="94"/>
  <c r="D7" i="92"/>
  <c r="C13" i="92"/>
  <c r="C12" i="92"/>
  <c r="C5" i="92"/>
  <c r="D5" i="92" s="1"/>
  <c r="E5" i="92" s="1"/>
  <c r="F5" i="92" s="1"/>
  <c r="G5" i="92" s="1"/>
  <c r="H5" i="92" s="1"/>
  <c r="I5" i="92" s="1"/>
  <c r="J5" i="92" s="1"/>
  <c r="K5" i="92" s="1"/>
  <c r="C11" i="92"/>
  <c r="C16" i="92"/>
  <c r="C10" i="92"/>
  <c r="C14" i="92"/>
  <c r="C9" i="92"/>
  <c r="C15" i="92"/>
  <c r="C8" i="92"/>
  <c r="B13" i="94"/>
  <c r="D13" i="94"/>
  <c r="P7" i="96"/>
  <c r="J14" i="95" s="1"/>
  <c r="V8" i="97" s="1"/>
  <c r="O7" i="96"/>
  <c r="N7" i="96"/>
  <c r="S7" i="94"/>
  <c r="T7" i="94" s="1"/>
  <c r="B10" i="94"/>
  <c r="D10" i="94"/>
  <c r="P7" i="90"/>
  <c r="E14" i="95" s="1"/>
  <c r="Q8" i="97" s="1"/>
  <c r="S7" i="90"/>
  <c r="T7" i="90" s="1"/>
  <c r="O7" i="80"/>
  <c r="N7" i="80"/>
  <c r="D11" i="80"/>
  <c r="P7" i="80"/>
  <c r="B14" i="95" s="1"/>
  <c r="N8" i="97" s="1"/>
  <c r="D15" i="88"/>
  <c r="B11" i="88"/>
  <c r="D11" i="88"/>
  <c r="B15" i="91"/>
  <c r="O7" i="90"/>
  <c r="N7" i="90"/>
  <c r="B7" i="89"/>
  <c r="Q7" i="89" s="1"/>
  <c r="C4" i="89"/>
  <c r="D4" i="89" s="1"/>
  <c r="E4" i="89" s="1"/>
  <c r="F4" i="89" s="1"/>
  <c r="G4" i="89" s="1"/>
  <c r="H4" i="89" s="1"/>
  <c r="I4" i="89" s="1"/>
  <c r="J4" i="89" s="1"/>
  <c r="K4" i="89" s="1"/>
  <c r="C8" i="89"/>
  <c r="C11" i="89"/>
  <c r="C10" i="89"/>
  <c r="C12" i="89"/>
  <c r="C15" i="89"/>
  <c r="C16" i="89"/>
  <c r="C14" i="89"/>
  <c r="C13" i="89"/>
  <c r="C9" i="89"/>
  <c r="B14" i="88"/>
  <c r="O7" i="91"/>
  <c r="D8" i="90"/>
  <c r="B8" i="90"/>
  <c r="B13" i="88"/>
  <c r="B14" i="91"/>
  <c r="D14" i="90"/>
  <c r="B14" i="90"/>
  <c r="N7" i="91"/>
  <c r="D16" i="90"/>
  <c r="B16" i="90"/>
  <c r="B12" i="90"/>
  <c r="D12" i="90"/>
  <c r="B16" i="88"/>
  <c r="B10" i="88"/>
  <c r="B12" i="91"/>
  <c r="B10" i="91"/>
  <c r="D11" i="90"/>
  <c r="B11" i="90"/>
  <c r="D9" i="91" l="1"/>
  <c r="P7" i="91"/>
  <c r="F14" i="95" s="1"/>
  <c r="R8" i="97" s="1"/>
  <c r="D15" i="91"/>
  <c r="D12" i="91"/>
  <c r="E12" i="91" s="1"/>
  <c r="F12" i="91" s="1"/>
  <c r="G12" i="91" s="1"/>
  <c r="H12" i="91" s="1"/>
  <c r="I12" i="91" s="1"/>
  <c r="N7" i="106"/>
  <c r="D14" i="91"/>
  <c r="D13" i="91"/>
  <c r="P7" i="106"/>
  <c r="E43" i="106" s="1"/>
  <c r="D11" i="91"/>
  <c r="B11" i="91"/>
  <c r="B8" i="88"/>
  <c r="Q8" i="88" s="1"/>
  <c r="D16" i="88"/>
  <c r="E16" i="88" s="1"/>
  <c r="F16" i="88" s="1"/>
  <c r="D16" i="91"/>
  <c r="E16" i="91" s="1"/>
  <c r="F16" i="91" s="1"/>
  <c r="G16" i="91" s="1"/>
  <c r="H16" i="91" s="1"/>
  <c r="I16" i="91" s="1"/>
  <c r="J16" i="91" s="1"/>
  <c r="K16" i="91" s="1"/>
  <c r="L16" i="91" s="1"/>
  <c r="M16" i="91" s="1"/>
  <c r="B15" i="88"/>
  <c r="D9" i="88"/>
  <c r="Q8" i="108"/>
  <c r="Q8" i="100"/>
  <c r="Q8" i="110"/>
  <c r="D10" i="88"/>
  <c r="E10" i="88" s="1"/>
  <c r="F10" i="88" s="1"/>
  <c r="G10" i="88" s="1"/>
  <c r="Q8" i="112"/>
  <c r="D12" i="88"/>
  <c r="E12" i="88" s="1"/>
  <c r="F12" i="88" s="1"/>
  <c r="G12" i="88" s="1"/>
  <c r="H12" i="88" s="1"/>
  <c r="I12" i="88" s="1"/>
  <c r="T7" i="111"/>
  <c r="Q8" i="104"/>
  <c r="T7" i="112"/>
  <c r="D13" i="88"/>
  <c r="E13" i="88" s="1"/>
  <c r="F13" i="88" s="1"/>
  <c r="Q8" i="111"/>
  <c r="B12" i="88"/>
  <c r="Q8" i="109"/>
  <c r="T7" i="110"/>
  <c r="Q8" i="105"/>
  <c r="F31" i="111"/>
  <c r="H31" i="111" s="1"/>
  <c r="E19" i="111"/>
  <c r="G19" i="111" s="1"/>
  <c r="E43" i="111"/>
  <c r="G43" i="111" s="1"/>
  <c r="E31" i="111"/>
  <c r="G31" i="111" s="1"/>
  <c r="F43" i="111"/>
  <c r="H43" i="111" s="1"/>
  <c r="F19" i="111"/>
  <c r="H19" i="111" s="1"/>
  <c r="E9" i="109"/>
  <c r="E15" i="107"/>
  <c r="F15" i="107" s="1"/>
  <c r="G15" i="107" s="1"/>
  <c r="H15" i="107" s="1"/>
  <c r="I15" i="107" s="1"/>
  <c r="J15" i="107" s="1"/>
  <c r="K15" i="107" s="1"/>
  <c r="L15" i="107" s="1"/>
  <c r="P15" i="107" s="1"/>
  <c r="E9" i="110"/>
  <c r="F9" i="110" s="1"/>
  <c r="R9" i="110" s="1"/>
  <c r="E31" i="107"/>
  <c r="F19" i="107"/>
  <c r="F31" i="107"/>
  <c r="F43" i="107"/>
  <c r="E43" i="107"/>
  <c r="E19" i="107"/>
  <c r="E16" i="111"/>
  <c r="F16" i="111" s="1"/>
  <c r="G16" i="111" s="1"/>
  <c r="H16" i="111" s="1"/>
  <c r="I16" i="111" s="1"/>
  <c r="J16" i="111" s="1"/>
  <c r="K16" i="111" s="1"/>
  <c r="L16" i="111" s="1"/>
  <c r="M16" i="111" s="1"/>
  <c r="U16" i="111" s="1"/>
  <c r="E15" i="109"/>
  <c r="F15" i="109" s="1"/>
  <c r="G15" i="109" s="1"/>
  <c r="H15" i="109" s="1"/>
  <c r="I15" i="109" s="1"/>
  <c r="J15" i="109" s="1"/>
  <c r="K15" i="109" s="1"/>
  <c r="L15" i="109" s="1"/>
  <c r="R15" i="109" s="1"/>
  <c r="E16" i="112"/>
  <c r="F16" i="112" s="1"/>
  <c r="G16" i="112" s="1"/>
  <c r="H16" i="112" s="1"/>
  <c r="I16" i="112" s="1"/>
  <c r="J16" i="112" s="1"/>
  <c r="K16" i="112" s="1"/>
  <c r="L16" i="112" s="1"/>
  <c r="M16" i="112" s="1"/>
  <c r="N16" i="112" s="1"/>
  <c r="E8" i="111"/>
  <c r="R8" i="111" s="1"/>
  <c r="E14" i="110"/>
  <c r="E14" i="109"/>
  <c r="F14" i="109" s="1"/>
  <c r="G14" i="109" s="1"/>
  <c r="H14" i="109" s="1"/>
  <c r="I14" i="109" s="1"/>
  <c r="J14" i="109" s="1"/>
  <c r="K14" i="109" s="1"/>
  <c r="R14" i="109" s="1"/>
  <c r="E9" i="112"/>
  <c r="F9" i="112" s="1"/>
  <c r="R9" i="112" s="1"/>
  <c r="E11" i="110"/>
  <c r="F11" i="110" s="1"/>
  <c r="G11" i="110" s="1"/>
  <c r="H11" i="110" s="1"/>
  <c r="R11" i="110" s="1"/>
  <c r="E10" i="108"/>
  <c r="T7" i="108"/>
  <c r="E11" i="112"/>
  <c r="F11" i="112" s="1"/>
  <c r="G11" i="112" s="1"/>
  <c r="H11" i="112" s="1"/>
  <c r="R11" i="112" s="1"/>
  <c r="E16" i="108"/>
  <c r="F16" i="108" s="1"/>
  <c r="G16" i="108" s="1"/>
  <c r="H16" i="108" s="1"/>
  <c r="I16" i="108" s="1"/>
  <c r="J16" i="108" s="1"/>
  <c r="K16" i="108" s="1"/>
  <c r="L16" i="108" s="1"/>
  <c r="M16" i="108" s="1"/>
  <c r="R16" i="108" s="1"/>
  <c r="E9" i="111"/>
  <c r="F9" i="111" s="1"/>
  <c r="O9" i="111" s="1"/>
  <c r="E9" i="107"/>
  <c r="F9" i="107" s="1"/>
  <c r="R9" i="107" s="1"/>
  <c r="E11" i="111"/>
  <c r="E10" i="111"/>
  <c r="E11" i="109"/>
  <c r="E31" i="112"/>
  <c r="G31" i="112" s="1"/>
  <c r="F43" i="112"/>
  <c r="H43" i="112" s="1"/>
  <c r="F31" i="112"/>
  <c r="H31" i="112" s="1"/>
  <c r="E19" i="112"/>
  <c r="G19" i="112" s="1"/>
  <c r="F19" i="112"/>
  <c r="H19" i="112" s="1"/>
  <c r="E43" i="112"/>
  <c r="G43" i="112" s="1"/>
  <c r="E8" i="112"/>
  <c r="R8" i="112" s="1"/>
  <c r="E10" i="112"/>
  <c r="F43" i="108"/>
  <c r="H43" i="108" s="1"/>
  <c r="F19" i="108"/>
  <c r="H19" i="108" s="1"/>
  <c r="E43" i="108"/>
  <c r="G43" i="108" s="1"/>
  <c r="E19" i="108"/>
  <c r="G19" i="108" s="1"/>
  <c r="E31" i="108"/>
  <c r="G31" i="108" s="1"/>
  <c r="F31" i="108"/>
  <c r="H31" i="108" s="1"/>
  <c r="E15" i="110"/>
  <c r="F15" i="110" s="1"/>
  <c r="G15" i="110" s="1"/>
  <c r="H15" i="110" s="1"/>
  <c r="I15" i="110" s="1"/>
  <c r="J15" i="110" s="1"/>
  <c r="K15" i="110" s="1"/>
  <c r="L15" i="110" s="1"/>
  <c r="R15" i="110" s="1"/>
  <c r="E14" i="107"/>
  <c r="F14" i="107" s="1"/>
  <c r="G14" i="107" s="1"/>
  <c r="H14" i="107" s="1"/>
  <c r="I14" i="107" s="1"/>
  <c r="J14" i="107" s="1"/>
  <c r="K14" i="107" s="1"/>
  <c r="R14" i="107" s="1"/>
  <c r="E8" i="109"/>
  <c r="R8" i="109" s="1"/>
  <c r="E13" i="112"/>
  <c r="E9" i="108"/>
  <c r="E16" i="107"/>
  <c r="F16" i="107" s="1"/>
  <c r="G16" i="107" s="1"/>
  <c r="H16" i="107" s="1"/>
  <c r="I16" i="107" s="1"/>
  <c r="J16" i="107" s="1"/>
  <c r="K16" i="107" s="1"/>
  <c r="L16" i="107" s="1"/>
  <c r="M16" i="107" s="1"/>
  <c r="R16" i="107" s="1"/>
  <c r="E14" i="108"/>
  <c r="E10" i="110"/>
  <c r="E8" i="107"/>
  <c r="R8" i="107" s="1"/>
  <c r="T7" i="109"/>
  <c r="E12" i="112"/>
  <c r="F12" i="112" s="1"/>
  <c r="G12" i="112" s="1"/>
  <c r="H12" i="112" s="1"/>
  <c r="I12" i="112" s="1"/>
  <c r="R12" i="112" s="1"/>
  <c r="E13" i="108"/>
  <c r="F13" i="108" s="1"/>
  <c r="G13" i="108" s="1"/>
  <c r="H13" i="108" s="1"/>
  <c r="I13" i="108" s="1"/>
  <c r="J13" i="108" s="1"/>
  <c r="R13" i="108" s="1"/>
  <c r="E10" i="107"/>
  <c r="F10" i="107" s="1"/>
  <c r="G10" i="107" s="1"/>
  <c r="E15" i="108"/>
  <c r="E12" i="111"/>
  <c r="F12" i="111" s="1"/>
  <c r="G12" i="111" s="1"/>
  <c r="H12" i="111" s="1"/>
  <c r="I12" i="111" s="1"/>
  <c r="R12" i="111" s="1"/>
  <c r="E10" i="109"/>
  <c r="E12" i="109"/>
  <c r="E8" i="108"/>
  <c r="R8" i="108" s="1"/>
  <c r="E13" i="107"/>
  <c r="F13" i="107" s="1"/>
  <c r="G13" i="107" s="1"/>
  <c r="H13" i="107" s="1"/>
  <c r="I13" i="107" s="1"/>
  <c r="J13" i="107" s="1"/>
  <c r="R13" i="107" s="1"/>
  <c r="E12" i="107"/>
  <c r="F12" i="107" s="1"/>
  <c r="G12" i="107" s="1"/>
  <c r="H12" i="107" s="1"/>
  <c r="I12" i="107" s="1"/>
  <c r="O12" i="107" s="1"/>
  <c r="E13" i="111"/>
  <c r="F13" i="111" s="1"/>
  <c r="G13" i="111" s="1"/>
  <c r="H13" i="111" s="1"/>
  <c r="I13" i="111" s="1"/>
  <c r="J13" i="111" s="1"/>
  <c r="R13" i="111" s="1"/>
  <c r="E16" i="110"/>
  <c r="F16" i="110" s="1"/>
  <c r="G16" i="110" s="1"/>
  <c r="H16" i="110" s="1"/>
  <c r="I16" i="110" s="1"/>
  <c r="J16" i="110" s="1"/>
  <c r="K16" i="110" s="1"/>
  <c r="L16" i="110" s="1"/>
  <c r="M16" i="110" s="1"/>
  <c r="R16" i="110" s="1"/>
  <c r="E15" i="112"/>
  <c r="F15" i="112" s="1"/>
  <c r="G15" i="112" s="1"/>
  <c r="H15" i="112" s="1"/>
  <c r="I15" i="112" s="1"/>
  <c r="J15" i="112" s="1"/>
  <c r="K15" i="112" s="1"/>
  <c r="L15" i="112" s="1"/>
  <c r="R15" i="112" s="1"/>
  <c r="E15" i="111"/>
  <c r="F19" i="109"/>
  <c r="H19" i="109" s="1"/>
  <c r="F31" i="109"/>
  <c r="H31" i="109" s="1"/>
  <c r="E31" i="109"/>
  <c r="G31" i="109" s="1"/>
  <c r="E43" i="109"/>
  <c r="G43" i="109" s="1"/>
  <c r="F43" i="109"/>
  <c r="H43" i="109" s="1"/>
  <c r="E19" i="109"/>
  <c r="G19" i="109" s="1"/>
  <c r="E43" i="110"/>
  <c r="G43" i="110" s="1"/>
  <c r="E31" i="110"/>
  <c r="G31" i="110" s="1"/>
  <c r="F19" i="110"/>
  <c r="H19" i="110" s="1"/>
  <c r="E19" i="110"/>
  <c r="G19" i="110" s="1"/>
  <c r="F43" i="110"/>
  <c r="H43" i="110" s="1"/>
  <c r="F31" i="110"/>
  <c r="H31" i="110" s="1"/>
  <c r="E13" i="109"/>
  <c r="E11" i="108"/>
  <c r="E11" i="107"/>
  <c r="F11" i="107" s="1"/>
  <c r="G11" i="107" s="1"/>
  <c r="H11" i="107" s="1"/>
  <c r="R11" i="107" s="1"/>
  <c r="E13" i="110"/>
  <c r="E14" i="111"/>
  <c r="E16" i="109"/>
  <c r="F16" i="109" s="1"/>
  <c r="G16" i="109" s="1"/>
  <c r="H16" i="109" s="1"/>
  <c r="I16" i="109" s="1"/>
  <c r="J16" i="109" s="1"/>
  <c r="K16" i="109" s="1"/>
  <c r="L16" i="109" s="1"/>
  <c r="M16" i="109" s="1"/>
  <c r="R16" i="109" s="1"/>
  <c r="E14" i="112"/>
  <c r="F14" i="112" s="1"/>
  <c r="G14" i="112" s="1"/>
  <c r="H14" i="112" s="1"/>
  <c r="I14" i="112" s="1"/>
  <c r="J14" i="112" s="1"/>
  <c r="K14" i="112" s="1"/>
  <c r="R14" i="112" s="1"/>
  <c r="E8" i="110"/>
  <c r="R8" i="110" s="1"/>
  <c r="S8" i="110" s="1"/>
  <c r="E12" i="110"/>
  <c r="F12" i="110" s="1"/>
  <c r="G12" i="110" s="1"/>
  <c r="H12" i="110" s="1"/>
  <c r="I12" i="110" s="1"/>
  <c r="R12" i="110" s="1"/>
  <c r="E12" i="108"/>
  <c r="E9" i="103"/>
  <c r="F9" i="103" s="1"/>
  <c r="R9" i="103" s="1"/>
  <c r="E9" i="105"/>
  <c r="F9" i="105" s="1"/>
  <c r="R9" i="105" s="1"/>
  <c r="U7" i="104"/>
  <c r="R7" i="104"/>
  <c r="S7" i="104" s="1"/>
  <c r="E8" i="103"/>
  <c r="R8" i="103" s="1"/>
  <c r="E8" i="100"/>
  <c r="R8" i="100" s="1"/>
  <c r="O7" i="104"/>
  <c r="E8" i="102"/>
  <c r="R8" i="102" s="1"/>
  <c r="E15" i="101"/>
  <c r="F15" i="101" s="1"/>
  <c r="G15" i="101" s="1"/>
  <c r="H15" i="101" s="1"/>
  <c r="I15" i="101" s="1"/>
  <c r="J15" i="101" s="1"/>
  <c r="K15" i="101" s="1"/>
  <c r="L15" i="101" s="1"/>
  <c r="R15" i="101" s="1"/>
  <c r="E10" i="102"/>
  <c r="F10" i="102" s="1"/>
  <c r="G10" i="102" s="1"/>
  <c r="R10" i="102" s="1"/>
  <c r="E11" i="105"/>
  <c r="B13" i="106"/>
  <c r="D13" i="106"/>
  <c r="F19" i="100"/>
  <c r="F31" i="100"/>
  <c r="F43" i="100"/>
  <c r="E43" i="100"/>
  <c r="E19" i="100"/>
  <c r="E31" i="100"/>
  <c r="F19" i="103"/>
  <c r="H19" i="103" s="1"/>
  <c r="F43" i="103"/>
  <c r="H43" i="103" s="1"/>
  <c r="E19" i="103"/>
  <c r="G19" i="103" s="1"/>
  <c r="E43" i="103"/>
  <c r="G43" i="103" s="1"/>
  <c r="E31" i="103"/>
  <c r="G31" i="103" s="1"/>
  <c r="F31" i="103"/>
  <c r="H31" i="103" s="1"/>
  <c r="D15" i="104"/>
  <c r="B15" i="104"/>
  <c r="N7" i="104"/>
  <c r="E9" i="102"/>
  <c r="F9" i="102" s="1"/>
  <c r="E12" i="105"/>
  <c r="D11" i="104"/>
  <c r="B11" i="104"/>
  <c r="P7" i="104"/>
  <c r="E11" i="102"/>
  <c r="F11" i="102" s="1"/>
  <c r="G11" i="102" s="1"/>
  <c r="H11" i="102" s="1"/>
  <c r="U7" i="106"/>
  <c r="R7" i="106"/>
  <c r="S7" i="106" s="1"/>
  <c r="D16" i="106"/>
  <c r="E14" i="101"/>
  <c r="F14" i="101" s="1"/>
  <c r="G14" i="101" s="1"/>
  <c r="H14" i="101" s="1"/>
  <c r="I14" i="101" s="1"/>
  <c r="J14" i="101" s="1"/>
  <c r="K14" i="101" s="1"/>
  <c r="R14" i="101" s="1"/>
  <c r="E31" i="101"/>
  <c r="G31" i="101" s="1"/>
  <c r="F43" i="101"/>
  <c r="H43" i="101" s="1"/>
  <c r="F19" i="101"/>
  <c r="H19" i="101" s="1"/>
  <c r="F31" i="101"/>
  <c r="H31" i="101" s="1"/>
  <c r="E43" i="101"/>
  <c r="G43" i="101" s="1"/>
  <c r="E19" i="101"/>
  <c r="G19" i="101" s="1"/>
  <c r="E11" i="103"/>
  <c r="F11" i="103" s="1"/>
  <c r="G11" i="103" s="1"/>
  <c r="H11" i="103" s="1"/>
  <c r="R11" i="103" s="1"/>
  <c r="B14" i="104"/>
  <c r="D14" i="104"/>
  <c r="T7" i="105"/>
  <c r="E13" i="105"/>
  <c r="F13" i="105" s="1"/>
  <c r="G13" i="105" s="1"/>
  <c r="H13" i="105" s="1"/>
  <c r="I13" i="105" s="1"/>
  <c r="J13" i="105" s="1"/>
  <c r="R13" i="105" s="1"/>
  <c r="E14" i="102"/>
  <c r="F14" i="102" s="1"/>
  <c r="G14" i="102" s="1"/>
  <c r="H14" i="102" s="1"/>
  <c r="I14" i="102" s="1"/>
  <c r="J14" i="102" s="1"/>
  <c r="K14" i="102" s="1"/>
  <c r="R14" i="102" s="1"/>
  <c r="B10" i="106"/>
  <c r="D10" i="106"/>
  <c r="E15" i="100"/>
  <c r="E16" i="100"/>
  <c r="F16" i="100" s="1"/>
  <c r="G16" i="100" s="1"/>
  <c r="H16" i="100" s="1"/>
  <c r="I16" i="100" s="1"/>
  <c r="J16" i="100" s="1"/>
  <c r="K16" i="100" s="1"/>
  <c r="L16" i="100" s="1"/>
  <c r="M16" i="100" s="1"/>
  <c r="R16" i="100" s="1"/>
  <c r="E13" i="102"/>
  <c r="F13" i="102" s="1"/>
  <c r="G13" i="102" s="1"/>
  <c r="H13" i="102" s="1"/>
  <c r="I13" i="102" s="1"/>
  <c r="J13" i="102" s="1"/>
  <c r="R13" i="102" s="1"/>
  <c r="E12" i="102"/>
  <c r="F12" i="102" s="1"/>
  <c r="G12" i="102" s="1"/>
  <c r="H12" i="102" s="1"/>
  <c r="I12" i="102" s="1"/>
  <c r="E10" i="105"/>
  <c r="F10" i="105" s="1"/>
  <c r="G10" i="105" s="1"/>
  <c r="R10" i="105" s="1"/>
  <c r="E8" i="105"/>
  <c r="R8" i="105" s="1"/>
  <c r="E16" i="101"/>
  <c r="F16" i="101" s="1"/>
  <c r="G16" i="101" s="1"/>
  <c r="H16" i="101" s="1"/>
  <c r="I16" i="101" s="1"/>
  <c r="J16" i="101" s="1"/>
  <c r="K16" i="101" s="1"/>
  <c r="L16" i="101" s="1"/>
  <c r="M16" i="101" s="1"/>
  <c r="R16" i="101" s="1"/>
  <c r="E13" i="103"/>
  <c r="F13" i="103" s="1"/>
  <c r="G13" i="103" s="1"/>
  <c r="H13" i="103" s="1"/>
  <c r="I13" i="103" s="1"/>
  <c r="J13" i="103" s="1"/>
  <c r="R13" i="103" s="1"/>
  <c r="E43" i="105"/>
  <c r="G43" i="105" s="1"/>
  <c r="E19" i="105"/>
  <c r="G19" i="105" s="1"/>
  <c r="E31" i="105"/>
  <c r="G31" i="105" s="1"/>
  <c r="F19" i="105"/>
  <c r="H19" i="105" s="1"/>
  <c r="F31" i="105"/>
  <c r="H31" i="105" s="1"/>
  <c r="F43" i="105"/>
  <c r="H43" i="105" s="1"/>
  <c r="E15" i="102"/>
  <c r="F15" i="102" s="1"/>
  <c r="G15" i="102" s="1"/>
  <c r="H15" i="102" s="1"/>
  <c r="I15" i="102" s="1"/>
  <c r="J15" i="102" s="1"/>
  <c r="K15" i="102" s="1"/>
  <c r="L15" i="102" s="1"/>
  <c r="E16" i="103"/>
  <c r="F16" i="103" s="1"/>
  <c r="G16" i="103" s="1"/>
  <c r="H16" i="103" s="1"/>
  <c r="I16" i="103" s="1"/>
  <c r="J16" i="103" s="1"/>
  <c r="K16" i="103" s="1"/>
  <c r="L16" i="103" s="1"/>
  <c r="M16" i="103" s="1"/>
  <c r="R16" i="103" s="1"/>
  <c r="E14" i="100"/>
  <c r="B12" i="106"/>
  <c r="D12" i="106"/>
  <c r="E9" i="101"/>
  <c r="F9" i="101" s="1"/>
  <c r="R9" i="101" s="1"/>
  <c r="B8" i="106"/>
  <c r="D8" i="106"/>
  <c r="E12" i="100"/>
  <c r="E14" i="105"/>
  <c r="F14" i="105" s="1"/>
  <c r="G14" i="105" s="1"/>
  <c r="H14" i="105" s="1"/>
  <c r="I14" i="105" s="1"/>
  <c r="J14" i="105" s="1"/>
  <c r="K14" i="105" s="1"/>
  <c r="R14" i="105" s="1"/>
  <c r="D16" i="104"/>
  <c r="B16" i="104"/>
  <c r="E14" i="103"/>
  <c r="F14" i="103" s="1"/>
  <c r="G14" i="103" s="1"/>
  <c r="H14" i="103" s="1"/>
  <c r="I14" i="103" s="1"/>
  <c r="J14" i="103" s="1"/>
  <c r="K14" i="103" s="1"/>
  <c r="R14" i="103" s="1"/>
  <c r="E9" i="100"/>
  <c r="Q8" i="101"/>
  <c r="D11" i="106"/>
  <c r="B11" i="106"/>
  <c r="E8" i="104"/>
  <c r="R8" i="104" s="1"/>
  <c r="E10" i="101"/>
  <c r="F10" i="101" s="1"/>
  <c r="G10" i="101" s="1"/>
  <c r="R10" i="101" s="1"/>
  <c r="E13" i="100"/>
  <c r="E16" i="102"/>
  <c r="F16" i="102" s="1"/>
  <c r="G16" i="102" s="1"/>
  <c r="H16" i="102" s="1"/>
  <c r="I16" i="102" s="1"/>
  <c r="J16" i="102" s="1"/>
  <c r="K16" i="102" s="1"/>
  <c r="L16" i="102" s="1"/>
  <c r="M16" i="102" s="1"/>
  <c r="R16" i="102" s="1"/>
  <c r="B12" i="104"/>
  <c r="D12" i="104"/>
  <c r="D10" i="104"/>
  <c r="B10" i="104"/>
  <c r="E12" i="101"/>
  <c r="F12" i="101" s="1"/>
  <c r="G12" i="101" s="1"/>
  <c r="H12" i="101" s="1"/>
  <c r="I12" i="101" s="1"/>
  <c r="R12" i="101" s="1"/>
  <c r="E10" i="103"/>
  <c r="F10" i="103" s="1"/>
  <c r="G10" i="103" s="1"/>
  <c r="R10" i="103" s="1"/>
  <c r="E10" i="100"/>
  <c r="E15" i="105"/>
  <c r="E8" i="101"/>
  <c r="R8" i="101" s="1"/>
  <c r="D15" i="106"/>
  <c r="D14" i="106"/>
  <c r="B14" i="106"/>
  <c r="E12" i="103"/>
  <c r="F12" i="103" s="1"/>
  <c r="G12" i="103" s="1"/>
  <c r="H12" i="103" s="1"/>
  <c r="I12" i="103" s="1"/>
  <c r="R12" i="103" s="1"/>
  <c r="E11" i="101"/>
  <c r="F11" i="101" s="1"/>
  <c r="G11" i="101" s="1"/>
  <c r="H11" i="101" s="1"/>
  <c r="S7" i="100"/>
  <c r="T7" i="100" s="1"/>
  <c r="E13" i="101"/>
  <c r="F13" i="101" s="1"/>
  <c r="G13" i="101" s="1"/>
  <c r="H13" i="101" s="1"/>
  <c r="I13" i="101" s="1"/>
  <c r="J13" i="101" s="1"/>
  <c r="R13" i="101" s="1"/>
  <c r="B13" i="104"/>
  <c r="D13" i="104"/>
  <c r="E15" i="103"/>
  <c r="F15" i="103" s="1"/>
  <c r="G15" i="103" s="1"/>
  <c r="H15" i="103" s="1"/>
  <c r="I15" i="103" s="1"/>
  <c r="J15" i="103" s="1"/>
  <c r="K15" i="103" s="1"/>
  <c r="L15" i="103" s="1"/>
  <c r="R15" i="103" s="1"/>
  <c r="Q8" i="102"/>
  <c r="E11" i="100"/>
  <c r="E16" i="105"/>
  <c r="E43" i="102"/>
  <c r="G43" i="102" s="1"/>
  <c r="E19" i="102"/>
  <c r="G19" i="102" s="1"/>
  <c r="E31" i="102"/>
  <c r="G31" i="102" s="1"/>
  <c r="F31" i="102"/>
  <c r="H31" i="102" s="1"/>
  <c r="F19" i="102"/>
  <c r="H19" i="102" s="1"/>
  <c r="F43" i="102"/>
  <c r="H43" i="102" s="1"/>
  <c r="D9" i="106"/>
  <c r="B9" i="106"/>
  <c r="Q8" i="103"/>
  <c r="D9" i="104"/>
  <c r="N7" i="88"/>
  <c r="O7" i="88"/>
  <c r="H19" i="93"/>
  <c r="G19" i="93"/>
  <c r="G43" i="93"/>
  <c r="P7" i="88"/>
  <c r="D14" i="95" s="1"/>
  <c r="D22" i="32" s="1"/>
  <c r="U7" i="88"/>
  <c r="T7" i="88" s="1"/>
  <c r="F9" i="93"/>
  <c r="R9" i="93" s="1"/>
  <c r="S9" i="93" s="1"/>
  <c r="G31" i="93"/>
  <c r="T7" i="91"/>
  <c r="O8" i="93"/>
  <c r="H31" i="93"/>
  <c r="E19" i="91"/>
  <c r="G19" i="91" s="1"/>
  <c r="E31" i="91"/>
  <c r="G31" i="91" s="1"/>
  <c r="E43" i="91"/>
  <c r="G43" i="91" s="1"/>
  <c r="P8" i="93"/>
  <c r="H15" i="95" s="1"/>
  <c r="T9" i="97" s="1"/>
  <c r="R8" i="93"/>
  <c r="S8" i="93" s="1"/>
  <c r="N8" i="93"/>
  <c r="P8" i="91"/>
  <c r="F15" i="95" s="1"/>
  <c r="R9" i="97" s="1"/>
  <c r="U12" i="93"/>
  <c r="R8" i="91"/>
  <c r="S8" i="91" s="1"/>
  <c r="T8" i="91" s="1"/>
  <c r="N8" i="91"/>
  <c r="O8" i="91"/>
  <c r="E12" i="90"/>
  <c r="F12" i="90" s="1"/>
  <c r="E8" i="90"/>
  <c r="U8" i="90" s="1"/>
  <c r="E9" i="90"/>
  <c r="F9" i="90" s="1"/>
  <c r="N9" i="90" s="1"/>
  <c r="E11" i="96"/>
  <c r="F11" i="96" s="1"/>
  <c r="G11" i="96" s="1"/>
  <c r="E8" i="99"/>
  <c r="R8" i="99" s="1"/>
  <c r="E13" i="99"/>
  <c r="E16" i="80"/>
  <c r="F16" i="80" s="1"/>
  <c r="G16" i="80" s="1"/>
  <c r="H16" i="80" s="1"/>
  <c r="I16" i="80" s="1"/>
  <c r="J16" i="80" s="1"/>
  <c r="K16" i="80" s="1"/>
  <c r="L16" i="80" s="1"/>
  <c r="M16" i="80" s="1"/>
  <c r="R16" i="80" s="1"/>
  <c r="E14" i="91"/>
  <c r="F14" i="91" s="1"/>
  <c r="E15" i="91"/>
  <c r="F15" i="91" s="1"/>
  <c r="E8" i="80"/>
  <c r="U8" i="80" s="1"/>
  <c r="E14" i="96"/>
  <c r="F14" i="96" s="1"/>
  <c r="G14" i="96" s="1"/>
  <c r="H14" i="96" s="1"/>
  <c r="I14" i="96" s="1"/>
  <c r="J14" i="96" s="1"/>
  <c r="K14" i="96" s="1"/>
  <c r="P14" i="96" s="1"/>
  <c r="Q8" i="99"/>
  <c r="E10" i="99"/>
  <c r="F10" i="99" s="1"/>
  <c r="G10" i="99" s="1"/>
  <c r="R10" i="99" s="1"/>
  <c r="U9" i="99"/>
  <c r="R9" i="99"/>
  <c r="E11" i="88"/>
  <c r="F11" i="88" s="1"/>
  <c r="G11" i="88" s="1"/>
  <c r="H11" i="88" s="1"/>
  <c r="O11" i="88" s="1"/>
  <c r="R7" i="92"/>
  <c r="S7" i="92" s="1"/>
  <c r="U7" i="92"/>
  <c r="E13" i="91"/>
  <c r="F13" i="91" s="1"/>
  <c r="E15" i="88"/>
  <c r="F15" i="88" s="1"/>
  <c r="G15" i="88" s="1"/>
  <c r="H15" i="88" s="1"/>
  <c r="I15" i="88" s="1"/>
  <c r="J15" i="88" s="1"/>
  <c r="K15" i="88" s="1"/>
  <c r="L15" i="88" s="1"/>
  <c r="F14" i="93"/>
  <c r="G14" i="93" s="1"/>
  <c r="H14" i="93" s="1"/>
  <c r="I14" i="93" s="1"/>
  <c r="J14" i="93" s="1"/>
  <c r="K14" i="93" s="1"/>
  <c r="N14" i="93" s="1"/>
  <c r="E12" i="96"/>
  <c r="F12" i="96" s="1"/>
  <c r="G12" i="96" s="1"/>
  <c r="H12" i="96" s="1"/>
  <c r="I12" i="96" s="1"/>
  <c r="N12" i="96" s="1"/>
  <c r="Q8" i="80"/>
  <c r="U11" i="93"/>
  <c r="N9" i="99"/>
  <c r="P9" i="99"/>
  <c r="U15" i="95" s="1"/>
  <c r="O9" i="99"/>
  <c r="Q9" i="99"/>
  <c r="E12" i="99"/>
  <c r="F12" i="99" s="1"/>
  <c r="G12" i="99" s="1"/>
  <c r="H12" i="99" s="1"/>
  <c r="I12" i="99" s="1"/>
  <c r="R12" i="99" s="1"/>
  <c r="E14" i="88"/>
  <c r="E9" i="91"/>
  <c r="Q9" i="91" s="1"/>
  <c r="E13" i="80"/>
  <c r="F13" i="80" s="1"/>
  <c r="E13" i="90"/>
  <c r="F13" i="90" s="1"/>
  <c r="U10" i="80"/>
  <c r="T7" i="99"/>
  <c r="U16" i="93"/>
  <c r="E8" i="96"/>
  <c r="U8" i="96" s="1"/>
  <c r="E15" i="80"/>
  <c r="F15" i="80" s="1"/>
  <c r="G15" i="80" s="1"/>
  <c r="H15" i="80" s="1"/>
  <c r="I15" i="80" s="1"/>
  <c r="J15" i="80" s="1"/>
  <c r="K15" i="80" s="1"/>
  <c r="L15" i="80" s="1"/>
  <c r="R15" i="80" s="1"/>
  <c r="E16" i="99"/>
  <c r="F16" i="99" s="1"/>
  <c r="G16" i="99" s="1"/>
  <c r="H16" i="99" s="1"/>
  <c r="I16" i="99" s="1"/>
  <c r="J16" i="99" s="1"/>
  <c r="K16" i="99" s="1"/>
  <c r="L16" i="99" s="1"/>
  <c r="M16" i="99" s="1"/>
  <c r="R16" i="99" s="1"/>
  <c r="E11" i="99"/>
  <c r="F11" i="99" s="1"/>
  <c r="G11" i="99" s="1"/>
  <c r="H11" i="99" s="1"/>
  <c r="R11" i="99" s="1"/>
  <c r="E14" i="99"/>
  <c r="F14" i="99" s="1"/>
  <c r="G14" i="99" s="1"/>
  <c r="H14" i="99" s="1"/>
  <c r="I14" i="99" s="1"/>
  <c r="J14" i="99" s="1"/>
  <c r="K14" i="99" s="1"/>
  <c r="R14" i="99" s="1"/>
  <c r="E11" i="91"/>
  <c r="F11" i="91" s="1"/>
  <c r="G11" i="91" s="1"/>
  <c r="H11" i="91" s="1"/>
  <c r="E15" i="90"/>
  <c r="F15" i="90" s="1"/>
  <c r="G15" i="90" s="1"/>
  <c r="H15" i="90" s="1"/>
  <c r="I15" i="90" s="1"/>
  <c r="J15" i="90" s="1"/>
  <c r="K15" i="90" s="1"/>
  <c r="L15" i="90" s="1"/>
  <c r="N15" i="90" s="1"/>
  <c r="E9" i="96"/>
  <c r="E15" i="99"/>
  <c r="F15" i="99" s="1"/>
  <c r="G15" i="99" s="1"/>
  <c r="H15" i="99" s="1"/>
  <c r="I15" i="99" s="1"/>
  <c r="J15" i="99" s="1"/>
  <c r="K15" i="99" s="1"/>
  <c r="L15" i="99" s="1"/>
  <c r="R15" i="99" s="1"/>
  <c r="U13" i="93"/>
  <c r="E10" i="91"/>
  <c r="F10" i="91" s="1"/>
  <c r="G10" i="91" s="1"/>
  <c r="R10" i="91" s="1"/>
  <c r="E16" i="90"/>
  <c r="F16" i="90" s="1"/>
  <c r="E11" i="90"/>
  <c r="F11" i="90" s="1"/>
  <c r="G11" i="90" s="1"/>
  <c r="H11" i="90" s="1"/>
  <c r="E9" i="88"/>
  <c r="E14" i="90"/>
  <c r="F14" i="90" s="1"/>
  <c r="G14" i="90" s="1"/>
  <c r="H14" i="90" s="1"/>
  <c r="I14" i="90" s="1"/>
  <c r="J14" i="90" s="1"/>
  <c r="K14" i="90" s="1"/>
  <c r="E8" i="88"/>
  <c r="U8" i="88" s="1"/>
  <c r="E14" i="80"/>
  <c r="F14" i="80" s="1"/>
  <c r="G14" i="80" s="1"/>
  <c r="H14" i="80" s="1"/>
  <c r="I14" i="80" s="1"/>
  <c r="J14" i="80" s="1"/>
  <c r="K14" i="80" s="1"/>
  <c r="R14" i="80" s="1"/>
  <c r="E12" i="80"/>
  <c r="F12" i="80" s="1"/>
  <c r="G12" i="80" s="1"/>
  <c r="H12" i="80" s="1"/>
  <c r="I12" i="80" s="1"/>
  <c r="O12" i="80" s="1"/>
  <c r="F19" i="99"/>
  <c r="H19" i="99" s="1"/>
  <c r="F31" i="99"/>
  <c r="H31" i="99" s="1"/>
  <c r="F43" i="99"/>
  <c r="H43" i="99" s="1"/>
  <c r="E43" i="99"/>
  <c r="G43" i="99" s="1"/>
  <c r="E31" i="99"/>
  <c r="G31" i="99" s="1"/>
  <c r="E19" i="99"/>
  <c r="G19" i="99" s="1"/>
  <c r="H43" i="93"/>
  <c r="E16" i="94"/>
  <c r="E10" i="94"/>
  <c r="F10" i="94" s="1"/>
  <c r="G10" i="94" s="1"/>
  <c r="E12" i="94"/>
  <c r="F12" i="94" s="1"/>
  <c r="G12" i="94" s="1"/>
  <c r="H12" i="94" s="1"/>
  <c r="I12" i="94" s="1"/>
  <c r="E8" i="94"/>
  <c r="R8" i="94" s="1"/>
  <c r="Q8" i="94"/>
  <c r="E15" i="94"/>
  <c r="F15" i="94" s="1"/>
  <c r="G15" i="94" s="1"/>
  <c r="H15" i="94" s="1"/>
  <c r="I15" i="94" s="1"/>
  <c r="J15" i="94" s="1"/>
  <c r="K15" i="94" s="1"/>
  <c r="L15" i="94" s="1"/>
  <c r="E13" i="94"/>
  <c r="F13" i="94" s="1"/>
  <c r="G13" i="94" s="1"/>
  <c r="H13" i="94" s="1"/>
  <c r="I13" i="94" s="1"/>
  <c r="J13" i="94" s="1"/>
  <c r="E11" i="94"/>
  <c r="F11" i="94" s="1"/>
  <c r="G11" i="94" s="1"/>
  <c r="H11" i="94" s="1"/>
  <c r="E14" i="94"/>
  <c r="F14" i="94" s="1"/>
  <c r="G14" i="94" s="1"/>
  <c r="H14" i="94" s="1"/>
  <c r="I14" i="94" s="1"/>
  <c r="J14" i="94" s="1"/>
  <c r="K14" i="94" s="1"/>
  <c r="E16" i="96"/>
  <c r="F16" i="96" s="1"/>
  <c r="G16" i="96" s="1"/>
  <c r="H16" i="96" s="1"/>
  <c r="I16" i="96" s="1"/>
  <c r="J16" i="96" s="1"/>
  <c r="K16" i="96" s="1"/>
  <c r="L16" i="96" s="1"/>
  <c r="M16" i="96" s="1"/>
  <c r="O16" i="96" s="1"/>
  <c r="E15" i="96"/>
  <c r="F15" i="96" s="1"/>
  <c r="G15" i="96" s="1"/>
  <c r="Q8" i="96"/>
  <c r="R16" i="93"/>
  <c r="R13" i="93"/>
  <c r="Q13" i="93"/>
  <c r="R11" i="93"/>
  <c r="R12" i="93"/>
  <c r="G15" i="93"/>
  <c r="Q11" i="93"/>
  <c r="Q12" i="93"/>
  <c r="Q16" i="93"/>
  <c r="F19" i="91"/>
  <c r="H19" i="91" s="1"/>
  <c r="F43" i="91"/>
  <c r="Q8" i="90"/>
  <c r="E9" i="80"/>
  <c r="Q9" i="80" s="1"/>
  <c r="Q10" i="80"/>
  <c r="R10" i="80"/>
  <c r="C10" i="87"/>
  <c r="D7" i="87"/>
  <c r="C5" i="87"/>
  <c r="D5" i="87" s="1"/>
  <c r="E5" i="87" s="1"/>
  <c r="F5" i="87" s="1"/>
  <c r="G5" i="87" s="1"/>
  <c r="H5" i="87" s="1"/>
  <c r="I5" i="87" s="1"/>
  <c r="J5" i="87" s="1"/>
  <c r="K5" i="87" s="1"/>
  <c r="C16" i="87"/>
  <c r="C14" i="87"/>
  <c r="C8" i="87"/>
  <c r="C15" i="87"/>
  <c r="C13" i="87"/>
  <c r="C9" i="87"/>
  <c r="C11" i="87"/>
  <c r="C12" i="87"/>
  <c r="F31" i="91"/>
  <c r="H31" i="91" s="1"/>
  <c r="N12" i="93"/>
  <c r="E13" i="96"/>
  <c r="F13" i="96" s="1"/>
  <c r="G13" i="96" s="1"/>
  <c r="H13" i="96" s="1"/>
  <c r="I13" i="96" s="1"/>
  <c r="J13" i="96" s="1"/>
  <c r="N11" i="93"/>
  <c r="N16" i="93"/>
  <c r="P13" i="93"/>
  <c r="H20" i="95" s="1"/>
  <c r="O16" i="93"/>
  <c r="N10" i="80"/>
  <c r="O10" i="80"/>
  <c r="F43" i="94"/>
  <c r="E43" i="94"/>
  <c r="G43" i="94" s="1"/>
  <c r="E31" i="94"/>
  <c r="G31" i="94" s="1"/>
  <c r="E19" i="94"/>
  <c r="G19" i="94" s="1"/>
  <c r="F31" i="94"/>
  <c r="H31" i="94" s="1"/>
  <c r="F19" i="94"/>
  <c r="H19" i="94" s="1"/>
  <c r="E43" i="80"/>
  <c r="G43" i="80" s="1"/>
  <c r="E19" i="80"/>
  <c r="G19" i="80" s="1"/>
  <c r="F43" i="80"/>
  <c r="F19" i="80"/>
  <c r="H19" i="80" s="1"/>
  <c r="E31" i="80"/>
  <c r="G31" i="80" s="1"/>
  <c r="F31" i="80"/>
  <c r="H31" i="80" s="1"/>
  <c r="P16" i="93"/>
  <c r="O13" i="93"/>
  <c r="F43" i="90"/>
  <c r="E43" i="90"/>
  <c r="G43" i="90" s="1"/>
  <c r="E31" i="90"/>
  <c r="G31" i="90" s="1"/>
  <c r="E19" i="90"/>
  <c r="G19" i="90" s="1"/>
  <c r="F19" i="90"/>
  <c r="H19" i="90" s="1"/>
  <c r="F31" i="90"/>
  <c r="H31" i="90" s="1"/>
  <c r="F43" i="96"/>
  <c r="E43" i="96"/>
  <c r="G43" i="96" s="1"/>
  <c r="E31" i="96"/>
  <c r="G31" i="96" s="1"/>
  <c r="F31" i="96"/>
  <c r="H31" i="96" s="1"/>
  <c r="E19" i="96"/>
  <c r="G19" i="96" s="1"/>
  <c r="F19" i="96"/>
  <c r="H19" i="96" s="1"/>
  <c r="N13" i="93"/>
  <c r="O12" i="93"/>
  <c r="P12" i="93"/>
  <c r="H19" i="95" s="1"/>
  <c r="O11" i="93"/>
  <c r="P11" i="93"/>
  <c r="H18" i="95" s="1"/>
  <c r="F10" i="90"/>
  <c r="G10" i="90" s="1"/>
  <c r="G10" i="93"/>
  <c r="R10" i="93" s="1"/>
  <c r="B8" i="92"/>
  <c r="D8" i="92"/>
  <c r="B10" i="92"/>
  <c r="D10" i="92"/>
  <c r="D15" i="92"/>
  <c r="B15" i="92"/>
  <c r="P10" i="80"/>
  <c r="B17" i="95" s="1"/>
  <c r="D9" i="92"/>
  <c r="B9" i="92"/>
  <c r="B11" i="92"/>
  <c r="D11" i="92"/>
  <c r="O7" i="92"/>
  <c r="P7" i="92"/>
  <c r="G14" i="95" s="1"/>
  <c r="S8" i="97" s="1"/>
  <c r="N7" i="92"/>
  <c r="E9" i="94"/>
  <c r="Q9" i="94" s="1"/>
  <c r="B12" i="92"/>
  <c r="D12" i="92"/>
  <c r="B16" i="92"/>
  <c r="D16" i="92"/>
  <c r="D13" i="92"/>
  <c r="B13" i="92"/>
  <c r="D14" i="92"/>
  <c r="B14" i="92"/>
  <c r="F10" i="96"/>
  <c r="E11" i="80"/>
  <c r="P7" i="89"/>
  <c r="E19" i="89" s="1"/>
  <c r="S7" i="89"/>
  <c r="T7" i="89" s="1"/>
  <c r="D13" i="89"/>
  <c r="B13" i="89"/>
  <c r="B12" i="89"/>
  <c r="D12" i="89"/>
  <c r="D14" i="89"/>
  <c r="B14" i="89"/>
  <c r="D10" i="89"/>
  <c r="B10" i="89"/>
  <c r="O7" i="89"/>
  <c r="N7" i="89"/>
  <c r="D16" i="89"/>
  <c r="B16" i="89"/>
  <c r="D11" i="89"/>
  <c r="B11" i="89"/>
  <c r="D9" i="89"/>
  <c r="B9" i="89"/>
  <c r="D15" i="89"/>
  <c r="B15" i="89"/>
  <c r="B8" i="89"/>
  <c r="D8" i="89"/>
  <c r="F19" i="106" l="1"/>
  <c r="O8" i="102"/>
  <c r="P8" i="97"/>
  <c r="N8" i="102"/>
  <c r="E31" i="106"/>
  <c r="F31" i="88"/>
  <c r="H31" i="88" s="1"/>
  <c r="S8" i="102"/>
  <c r="F31" i="106"/>
  <c r="H31" i="106" s="1"/>
  <c r="E19" i="106"/>
  <c r="G19" i="106" s="1"/>
  <c r="P8" i="102"/>
  <c r="O14" i="95" s="1"/>
  <c r="F43" i="106"/>
  <c r="H43" i="106" s="1"/>
  <c r="N9" i="111"/>
  <c r="S8" i="108"/>
  <c r="R16" i="112"/>
  <c r="S8" i="100"/>
  <c r="M3" i="95" s="1"/>
  <c r="S8" i="112"/>
  <c r="AA3" i="95" s="1"/>
  <c r="N9" i="112"/>
  <c r="O14" i="109"/>
  <c r="P14" i="109"/>
  <c r="E26" i="109" s="1"/>
  <c r="N16" i="96"/>
  <c r="N14" i="109"/>
  <c r="Q14" i="109"/>
  <c r="S14" i="109" s="1"/>
  <c r="X9" i="95" s="1"/>
  <c r="P16" i="96"/>
  <c r="E52" i="96" s="1"/>
  <c r="Q11" i="110"/>
  <c r="S11" i="110" s="1"/>
  <c r="Y6" i="95" s="1"/>
  <c r="S8" i="103"/>
  <c r="P3" i="95" s="1"/>
  <c r="N8" i="103"/>
  <c r="O8" i="103"/>
  <c r="P8" i="103"/>
  <c r="P14" i="95" s="1"/>
  <c r="Q14" i="93"/>
  <c r="S8" i="105"/>
  <c r="R3" i="95" s="1"/>
  <c r="O14" i="93"/>
  <c r="P14" i="93"/>
  <c r="E38" i="93" s="1"/>
  <c r="N16" i="102"/>
  <c r="S8" i="104"/>
  <c r="Q3" i="95" s="1"/>
  <c r="O12" i="96"/>
  <c r="Q15" i="109"/>
  <c r="S15" i="109" s="1"/>
  <c r="X10" i="95" s="1"/>
  <c r="N9" i="110"/>
  <c r="E19" i="88"/>
  <c r="G19" i="88" s="1"/>
  <c r="E43" i="88"/>
  <c r="G43" i="88" s="1"/>
  <c r="F19" i="88"/>
  <c r="H19" i="88" s="1"/>
  <c r="F43" i="88"/>
  <c r="H43" i="88" s="1"/>
  <c r="O15" i="107"/>
  <c r="U8" i="103"/>
  <c r="E31" i="88"/>
  <c r="G31" i="88" s="1"/>
  <c r="P16" i="80"/>
  <c r="E28" i="80" s="1"/>
  <c r="O8" i="100"/>
  <c r="N11" i="110"/>
  <c r="S8" i="111"/>
  <c r="Z3" i="95" s="1"/>
  <c r="O15" i="101"/>
  <c r="P9" i="103"/>
  <c r="P15" i="95" s="1"/>
  <c r="P8" i="112"/>
  <c r="E44" i="112" s="1"/>
  <c r="O16" i="112"/>
  <c r="O16" i="100"/>
  <c r="P16" i="112"/>
  <c r="F40" i="112" s="1"/>
  <c r="P11" i="110"/>
  <c r="F47" i="110" s="1"/>
  <c r="O12" i="111"/>
  <c r="O13" i="108"/>
  <c r="O10" i="102"/>
  <c r="P13" i="108"/>
  <c r="E49" i="108" s="1"/>
  <c r="S8" i="109"/>
  <c r="X3" i="95" s="1"/>
  <c r="Q15" i="102"/>
  <c r="P16" i="100"/>
  <c r="M22" i="95" s="1"/>
  <c r="P8" i="100"/>
  <c r="M14" i="95" s="1"/>
  <c r="O9" i="103"/>
  <c r="O9" i="112"/>
  <c r="U8" i="101"/>
  <c r="P9" i="101"/>
  <c r="N15" i="95" s="1"/>
  <c r="U9" i="101"/>
  <c r="U13" i="105"/>
  <c r="O9" i="110"/>
  <c r="N14" i="107"/>
  <c r="N16" i="108"/>
  <c r="U9" i="110"/>
  <c r="P9" i="110"/>
  <c r="F33" i="110" s="1"/>
  <c r="N12" i="111"/>
  <c r="Q16" i="111"/>
  <c r="U15" i="110"/>
  <c r="S8" i="101"/>
  <c r="N3" i="95" s="1"/>
  <c r="N15" i="109"/>
  <c r="N16" i="101"/>
  <c r="U8" i="110"/>
  <c r="T8" i="110" s="1"/>
  <c r="N13" i="108"/>
  <c r="U13" i="108"/>
  <c r="O8" i="112"/>
  <c r="P9" i="111"/>
  <c r="Z15" i="95" s="1"/>
  <c r="U11" i="112"/>
  <c r="U11" i="110"/>
  <c r="O11" i="107"/>
  <c r="Q9" i="101"/>
  <c r="S9" i="101" s="1"/>
  <c r="N4" i="95" s="1"/>
  <c r="P8" i="109"/>
  <c r="F20" i="109" s="1"/>
  <c r="O16" i="108"/>
  <c r="N9" i="101"/>
  <c r="Q13" i="105"/>
  <c r="S13" i="105" s="1"/>
  <c r="R8" i="95" s="1"/>
  <c r="Q9" i="103"/>
  <c r="S9" i="103" s="1"/>
  <c r="P4" i="95" s="1"/>
  <c r="U11" i="107"/>
  <c r="Q12" i="111"/>
  <c r="S12" i="111" s="1"/>
  <c r="P16" i="108"/>
  <c r="E40" i="108" s="1"/>
  <c r="Q9" i="110"/>
  <c r="S9" i="110" s="1"/>
  <c r="O13" i="107"/>
  <c r="U15" i="109"/>
  <c r="Q11" i="101"/>
  <c r="N13" i="102"/>
  <c r="U12" i="110"/>
  <c r="N12" i="110"/>
  <c r="N8" i="107"/>
  <c r="O12" i="110"/>
  <c r="N8" i="108"/>
  <c r="P12" i="112"/>
  <c r="F36" i="112" s="1"/>
  <c r="O16" i="107"/>
  <c r="P8" i="104"/>
  <c r="Q14" i="95" s="1"/>
  <c r="N16" i="100"/>
  <c r="U16" i="100"/>
  <c r="N8" i="100"/>
  <c r="N9" i="103"/>
  <c r="Q12" i="110"/>
  <c r="S12" i="110" s="1"/>
  <c r="Y7" i="95" s="1"/>
  <c r="U12" i="111"/>
  <c r="O8" i="111"/>
  <c r="Q12" i="112"/>
  <c r="S12" i="112" s="1"/>
  <c r="AA7" i="95" s="1"/>
  <c r="O11" i="110"/>
  <c r="Q11" i="103"/>
  <c r="S11" i="103" s="1"/>
  <c r="P6" i="95" s="1"/>
  <c r="Q10" i="105"/>
  <c r="S10" i="105" s="1"/>
  <c r="R5" i="95" s="1"/>
  <c r="O9" i="105"/>
  <c r="U8" i="104"/>
  <c r="T8" i="104" s="1"/>
  <c r="O10" i="103"/>
  <c r="N10" i="101"/>
  <c r="Q9" i="102"/>
  <c r="Q11" i="102"/>
  <c r="N8" i="111"/>
  <c r="U14" i="112"/>
  <c r="N15" i="112"/>
  <c r="U8" i="108"/>
  <c r="T8" i="108" s="1"/>
  <c r="U8" i="107"/>
  <c r="U9" i="111"/>
  <c r="N15" i="107"/>
  <c r="U9" i="112"/>
  <c r="P15" i="109"/>
  <c r="F27" i="109" s="1"/>
  <c r="P9" i="105"/>
  <c r="R15" i="95" s="1"/>
  <c r="N14" i="102"/>
  <c r="P8" i="111"/>
  <c r="Z14" i="95" s="1"/>
  <c r="O15" i="112"/>
  <c r="Q15" i="112"/>
  <c r="S15" i="112" s="1"/>
  <c r="AA10" i="95" s="1"/>
  <c r="Q13" i="108"/>
  <c r="S13" i="108" s="1"/>
  <c r="W8" i="95" s="1"/>
  <c r="N9" i="105"/>
  <c r="Q16" i="100"/>
  <c r="S16" i="100" s="1"/>
  <c r="M11" i="95" s="1"/>
  <c r="U10" i="105"/>
  <c r="U9" i="102"/>
  <c r="U16" i="109"/>
  <c r="P15" i="112"/>
  <c r="E39" i="112" s="1"/>
  <c r="P12" i="111"/>
  <c r="Z18" i="95" s="1"/>
  <c r="U15" i="112"/>
  <c r="U10" i="107"/>
  <c r="P14" i="107"/>
  <c r="E50" i="107" s="1"/>
  <c r="P9" i="112"/>
  <c r="F33" i="112" s="1"/>
  <c r="P11" i="112"/>
  <c r="AA17" i="95" s="1"/>
  <c r="Y3" i="95"/>
  <c r="W3" i="95"/>
  <c r="V21" i="95"/>
  <c r="E27" i="107"/>
  <c r="F27" i="107"/>
  <c r="E51" i="107"/>
  <c r="F51" i="107"/>
  <c r="V54" i="95" s="1"/>
  <c r="E39" i="107"/>
  <c r="F39" i="107"/>
  <c r="F10" i="110"/>
  <c r="G10" i="110" s="1"/>
  <c r="O13" i="103"/>
  <c r="P13" i="102"/>
  <c r="O19" i="95" s="1"/>
  <c r="P13" i="105"/>
  <c r="R19" i="95" s="1"/>
  <c r="P10" i="102"/>
  <c r="O16" i="95" s="1"/>
  <c r="F13" i="110"/>
  <c r="G13" i="110" s="1"/>
  <c r="H13" i="110" s="1"/>
  <c r="I13" i="110" s="1"/>
  <c r="J13" i="110" s="1"/>
  <c r="N14" i="112"/>
  <c r="F15" i="111"/>
  <c r="G15" i="111" s="1"/>
  <c r="H15" i="111" s="1"/>
  <c r="I15" i="111" s="1"/>
  <c r="J15" i="111" s="1"/>
  <c r="K15" i="111" s="1"/>
  <c r="U16" i="110"/>
  <c r="P11" i="107"/>
  <c r="N8" i="109"/>
  <c r="P8" i="108"/>
  <c r="F9" i="108"/>
  <c r="U9" i="108" s="1"/>
  <c r="Q9" i="108"/>
  <c r="O12" i="112"/>
  <c r="F10" i="111"/>
  <c r="G10" i="111" s="1"/>
  <c r="P16" i="107"/>
  <c r="U9" i="107"/>
  <c r="Q9" i="112"/>
  <c r="S9" i="112" s="1"/>
  <c r="P13" i="107"/>
  <c r="O8" i="110"/>
  <c r="N16" i="109"/>
  <c r="Q9" i="105"/>
  <c r="S9" i="105" s="1"/>
  <c r="R4" i="95" s="1"/>
  <c r="Q14" i="112"/>
  <c r="S14" i="112" s="1"/>
  <c r="P12" i="110"/>
  <c r="F13" i="109"/>
  <c r="U13" i="111"/>
  <c r="N11" i="107"/>
  <c r="O8" i="109"/>
  <c r="O14" i="107"/>
  <c r="O8" i="108"/>
  <c r="U8" i="109"/>
  <c r="U14" i="107"/>
  <c r="N16" i="107"/>
  <c r="Q9" i="111"/>
  <c r="Q11" i="112"/>
  <c r="S11" i="112" s="1"/>
  <c r="O11" i="112"/>
  <c r="U14" i="109"/>
  <c r="Q16" i="112"/>
  <c r="S16" i="112" s="1"/>
  <c r="F9" i="109"/>
  <c r="Q9" i="109"/>
  <c r="O16" i="110"/>
  <c r="F13" i="112"/>
  <c r="P12" i="107"/>
  <c r="N11" i="112"/>
  <c r="F14" i="110"/>
  <c r="U16" i="112"/>
  <c r="P15" i="110"/>
  <c r="E45" i="111"/>
  <c r="Q12" i="101"/>
  <c r="S12" i="101" s="1"/>
  <c r="N7" i="95" s="1"/>
  <c r="Q16" i="110"/>
  <c r="S16" i="110" s="1"/>
  <c r="F12" i="108"/>
  <c r="X20" i="95"/>
  <c r="R12" i="107"/>
  <c r="F10" i="109"/>
  <c r="Q10" i="109" s="1"/>
  <c r="N16" i="110"/>
  <c r="F14" i="108"/>
  <c r="P9" i="107"/>
  <c r="F11" i="111"/>
  <c r="F10" i="108"/>
  <c r="Q10" i="108" s="1"/>
  <c r="N12" i="107"/>
  <c r="R16" i="111"/>
  <c r="P16" i="111"/>
  <c r="N16" i="111"/>
  <c r="O16" i="111"/>
  <c r="N15" i="110"/>
  <c r="Q16" i="109"/>
  <c r="S16" i="109" s="1"/>
  <c r="O8" i="104"/>
  <c r="P14" i="101"/>
  <c r="N20" i="95" s="1"/>
  <c r="U10" i="102"/>
  <c r="U9" i="105"/>
  <c r="O13" i="111"/>
  <c r="F11" i="108"/>
  <c r="U12" i="107"/>
  <c r="F15" i="108"/>
  <c r="R10" i="107"/>
  <c r="N10" i="107"/>
  <c r="P10" i="107"/>
  <c r="O10" i="107"/>
  <c r="P16" i="110"/>
  <c r="U16" i="107"/>
  <c r="O9" i="107"/>
  <c r="F10" i="112"/>
  <c r="Q10" i="112" s="1"/>
  <c r="O8" i="107"/>
  <c r="U16" i="108"/>
  <c r="U8" i="111"/>
  <c r="O15" i="110"/>
  <c r="Q16" i="108"/>
  <c r="S16" i="108" s="1"/>
  <c r="Q16" i="103"/>
  <c r="S16" i="103" s="1"/>
  <c r="P11" i="95" s="1"/>
  <c r="F14" i="111"/>
  <c r="G14" i="111" s="1"/>
  <c r="H14" i="111" s="1"/>
  <c r="I14" i="111" s="1"/>
  <c r="J14" i="111" s="1"/>
  <c r="K14" i="111" s="1"/>
  <c r="P13" i="111"/>
  <c r="Q13" i="111"/>
  <c r="S13" i="111" s="1"/>
  <c r="P14" i="112"/>
  <c r="N9" i="107"/>
  <c r="P8" i="107"/>
  <c r="F11" i="109"/>
  <c r="G11" i="109" s="1"/>
  <c r="H11" i="109" s="1"/>
  <c r="N8" i="110"/>
  <c r="P16" i="109"/>
  <c r="R15" i="107"/>
  <c r="Q15" i="110"/>
  <c r="S15" i="110" s="1"/>
  <c r="Q12" i="103"/>
  <c r="S12" i="103" s="1"/>
  <c r="P7" i="95" s="1"/>
  <c r="U13" i="102"/>
  <c r="Q10" i="102"/>
  <c r="S10" i="102" s="1"/>
  <c r="O5" i="95" s="1"/>
  <c r="U9" i="103"/>
  <c r="N13" i="111"/>
  <c r="O14" i="112"/>
  <c r="U13" i="107"/>
  <c r="F12" i="109"/>
  <c r="U12" i="112"/>
  <c r="N8" i="112"/>
  <c r="N12" i="112"/>
  <c r="U8" i="112"/>
  <c r="T8" i="112" s="1"/>
  <c r="N13" i="107"/>
  <c r="O15" i="109"/>
  <c r="P8" i="110"/>
  <c r="O16" i="109"/>
  <c r="U15" i="107"/>
  <c r="R9" i="111"/>
  <c r="E9" i="106"/>
  <c r="F9" i="106" s="1"/>
  <c r="R9" i="106" s="1"/>
  <c r="O15" i="103"/>
  <c r="N13" i="101"/>
  <c r="P8" i="101"/>
  <c r="N14" i="95" s="1"/>
  <c r="P10" i="103"/>
  <c r="P16" i="95" s="1"/>
  <c r="F9" i="100"/>
  <c r="U9" i="100" s="1"/>
  <c r="Q9" i="100"/>
  <c r="E16" i="104"/>
  <c r="F16" i="104" s="1"/>
  <c r="G16" i="104" s="1"/>
  <c r="H16" i="104" s="1"/>
  <c r="I16" i="104" s="1"/>
  <c r="J16" i="104" s="1"/>
  <c r="K16" i="104" s="1"/>
  <c r="L16" i="104" s="1"/>
  <c r="M16" i="104" s="1"/>
  <c r="R16" i="104" s="1"/>
  <c r="F12" i="100"/>
  <c r="G12" i="100" s="1"/>
  <c r="H12" i="100" s="1"/>
  <c r="I12" i="100" s="1"/>
  <c r="N14" i="103"/>
  <c r="U12" i="102"/>
  <c r="F15" i="100"/>
  <c r="G15" i="100" s="1"/>
  <c r="H15" i="100" s="1"/>
  <c r="I15" i="100" s="1"/>
  <c r="J15" i="100" s="1"/>
  <c r="K15" i="100" s="1"/>
  <c r="L15" i="100" s="1"/>
  <c r="P16" i="103"/>
  <c r="P22" i="95" s="1"/>
  <c r="P8" i="105"/>
  <c r="R14" i="95" s="1"/>
  <c r="O10" i="105"/>
  <c r="R11" i="102"/>
  <c r="N11" i="102"/>
  <c r="O11" i="102"/>
  <c r="P11" i="102"/>
  <c r="O17" i="95" s="1"/>
  <c r="N13" i="105"/>
  <c r="H31" i="100"/>
  <c r="F11" i="105"/>
  <c r="G11" i="105" s="1"/>
  <c r="H11" i="105" s="1"/>
  <c r="U8" i="100"/>
  <c r="H19" i="106"/>
  <c r="Q16" i="102"/>
  <c r="S16" i="102" s="1"/>
  <c r="U12" i="101"/>
  <c r="T12" i="101" s="1"/>
  <c r="U16" i="102"/>
  <c r="P12" i="103"/>
  <c r="P18" i="95" s="1"/>
  <c r="N8" i="101"/>
  <c r="N10" i="103"/>
  <c r="U14" i="103"/>
  <c r="U14" i="105"/>
  <c r="U15" i="102"/>
  <c r="U13" i="103"/>
  <c r="P14" i="103"/>
  <c r="P20" i="95" s="1"/>
  <c r="R12" i="102"/>
  <c r="P12" i="102"/>
  <c r="O18" i="95" s="1"/>
  <c r="O12" i="102"/>
  <c r="N12" i="102"/>
  <c r="E10" i="106"/>
  <c r="F10" i="106" s="1"/>
  <c r="G10" i="106" s="1"/>
  <c r="R10" i="106" s="1"/>
  <c r="U14" i="102"/>
  <c r="O8" i="105"/>
  <c r="N10" i="105"/>
  <c r="E16" i="106"/>
  <c r="F16" i="106" s="1"/>
  <c r="G16" i="106" s="1"/>
  <c r="H16" i="106" s="1"/>
  <c r="I16" i="106" s="1"/>
  <c r="J16" i="106" s="1"/>
  <c r="K16" i="106" s="1"/>
  <c r="L16" i="106" s="1"/>
  <c r="M16" i="106" s="1"/>
  <c r="T7" i="104"/>
  <c r="Q14" i="101"/>
  <c r="S14" i="101" s="1"/>
  <c r="H19" i="100"/>
  <c r="G31" i="106"/>
  <c r="Q10" i="103"/>
  <c r="S10" i="103" s="1"/>
  <c r="E10" i="104"/>
  <c r="F10" i="104" s="1"/>
  <c r="G10" i="104" s="1"/>
  <c r="R10" i="104" s="1"/>
  <c r="O12" i="103"/>
  <c r="E8" i="106"/>
  <c r="R8" i="106" s="1"/>
  <c r="R15" i="102"/>
  <c r="P15" i="102"/>
  <c r="O21" i="95" s="1"/>
  <c r="N15" i="102"/>
  <c r="O15" i="102"/>
  <c r="N8" i="105"/>
  <c r="P10" i="105"/>
  <c r="R16" i="95" s="1"/>
  <c r="Q14" i="102"/>
  <c r="S14" i="102" s="1"/>
  <c r="O14" i="101"/>
  <c r="Q15" i="101"/>
  <c r="S15" i="101" s="1"/>
  <c r="Q15" i="103"/>
  <c r="S15" i="103" s="1"/>
  <c r="F16" i="105"/>
  <c r="P12" i="101"/>
  <c r="N18" i="95" s="1"/>
  <c r="P16" i="102"/>
  <c r="O22" i="95" s="1"/>
  <c r="U12" i="103"/>
  <c r="E12" i="104"/>
  <c r="F12" i="104" s="1"/>
  <c r="G12" i="104" s="1"/>
  <c r="H12" i="104" s="1"/>
  <c r="I12" i="104" s="1"/>
  <c r="R12" i="104" s="1"/>
  <c r="N12" i="103"/>
  <c r="Q16" i="101"/>
  <c r="S16" i="101" s="1"/>
  <c r="N11" i="95" s="1"/>
  <c r="Q10" i="101"/>
  <c r="S10" i="101" s="1"/>
  <c r="Q8" i="106"/>
  <c r="E12" i="106"/>
  <c r="F12" i="106" s="1"/>
  <c r="G12" i="106" s="1"/>
  <c r="H12" i="106" s="1"/>
  <c r="I12" i="106" s="1"/>
  <c r="R12" i="106" s="1"/>
  <c r="U16" i="101"/>
  <c r="N13" i="103"/>
  <c r="U11" i="103"/>
  <c r="P14" i="102"/>
  <c r="O20" i="95" s="1"/>
  <c r="E11" i="104"/>
  <c r="F11" i="104" s="1"/>
  <c r="G11" i="104" s="1"/>
  <c r="H11" i="104" s="1"/>
  <c r="R11" i="104" s="1"/>
  <c r="N14" i="101"/>
  <c r="P15" i="101"/>
  <c r="N21" i="95" s="1"/>
  <c r="U15" i="101"/>
  <c r="G43" i="106"/>
  <c r="Q13" i="103"/>
  <c r="S13" i="103" s="1"/>
  <c r="F11" i="100"/>
  <c r="G11" i="100" s="1"/>
  <c r="H11" i="100" s="1"/>
  <c r="N12" i="101"/>
  <c r="O16" i="102"/>
  <c r="F15" i="105"/>
  <c r="G15" i="105" s="1"/>
  <c r="H15" i="105" s="1"/>
  <c r="I15" i="105" s="1"/>
  <c r="J15" i="105" s="1"/>
  <c r="K15" i="105" s="1"/>
  <c r="L15" i="105" s="1"/>
  <c r="F13" i="100"/>
  <c r="G13" i="100" s="1"/>
  <c r="H13" i="100" s="1"/>
  <c r="I13" i="100" s="1"/>
  <c r="J13" i="100" s="1"/>
  <c r="O14" i="105"/>
  <c r="T7" i="106"/>
  <c r="F12" i="105"/>
  <c r="G12" i="105" s="1"/>
  <c r="H12" i="105" s="1"/>
  <c r="I12" i="105" s="1"/>
  <c r="G31" i="100"/>
  <c r="Q14" i="103"/>
  <c r="S14" i="103" s="1"/>
  <c r="E9" i="104"/>
  <c r="O12" i="101"/>
  <c r="E13" i="104"/>
  <c r="F13" i="104" s="1"/>
  <c r="G13" i="104" s="1"/>
  <c r="H13" i="104" s="1"/>
  <c r="I13" i="104" s="1"/>
  <c r="J13" i="104" s="1"/>
  <c r="R13" i="104" s="1"/>
  <c r="U11" i="101"/>
  <c r="Q13" i="101"/>
  <c r="S13" i="101" s="1"/>
  <c r="U10" i="101"/>
  <c r="E11" i="106"/>
  <c r="F11" i="106" s="1"/>
  <c r="G11" i="106" s="1"/>
  <c r="H11" i="106" s="1"/>
  <c r="R11" i="106" s="1"/>
  <c r="P16" i="101"/>
  <c r="N22" i="95" s="1"/>
  <c r="O10" i="101"/>
  <c r="U8" i="105"/>
  <c r="N14" i="105"/>
  <c r="P13" i="103"/>
  <c r="P19" i="95" s="1"/>
  <c r="Q13" i="102"/>
  <c r="S13" i="102" s="1"/>
  <c r="O14" i="102"/>
  <c r="P11" i="103"/>
  <c r="P17" i="95" s="1"/>
  <c r="N15" i="101"/>
  <c r="E15" i="104"/>
  <c r="F15" i="104" s="1"/>
  <c r="G15" i="104" s="1"/>
  <c r="H15" i="104" s="1"/>
  <c r="I15" i="104" s="1"/>
  <c r="J15" i="104" s="1"/>
  <c r="K15" i="104" s="1"/>
  <c r="L15" i="104" s="1"/>
  <c r="R15" i="104" s="1"/>
  <c r="G19" i="100"/>
  <c r="E13" i="106"/>
  <c r="F13" i="106" s="1"/>
  <c r="G13" i="106" s="1"/>
  <c r="H13" i="106" s="1"/>
  <c r="I13" i="106" s="1"/>
  <c r="J13" i="106" s="1"/>
  <c r="R13" i="106" s="1"/>
  <c r="U8" i="102"/>
  <c r="Q14" i="105"/>
  <c r="S14" i="105" s="1"/>
  <c r="O3" i="95"/>
  <c r="R11" i="101"/>
  <c r="N11" i="101"/>
  <c r="O11" i="101"/>
  <c r="P11" i="101"/>
  <c r="N17" i="95" s="1"/>
  <c r="E14" i="106"/>
  <c r="F14" i="106" s="1"/>
  <c r="G14" i="106" s="1"/>
  <c r="H14" i="106" s="1"/>
  <c r="I14" i="106" s="1"/>
  <c r="J14" i="106" s="1"/>
  <c r="K14" i="106" s="1"/>
  <c r="R14" i="106" s="1"/>
  <c r="F10" i="100"/>
  <c r="G10" i="100" s="1"/>
  <c r="P15" i="103"/>
  <c r="P21" i="95" s="1"/>
  <c r="O13" i="101"/>
  <c r="O16" i="101"/>
  <c r="P10" i="101"/>
  <c r="N16" i="95" s="1"/>
  <c r="F14" i="100"/>
  <c r="G14" i="100" s="1"/>
  <c r="H14" i="100" s="1"/>
  <c r="I14" i="100" s="1"/>
  <c r="J14" i="100" s="1"/>
  <c r="K14" i="100" s="1"/>
  <c r="P14" i="105"/>
  <c r="R20" i="95" s="1"/>
  <c r="O16" i="103"/>
  <c r="E14" i="104"/>
  <c r="F14" i="104" s="1"/>
  <c r="G14" i="104" s="1"/>
  <c r="H14" i="104" s="1"/>
  <c r="I14" i="104" s="1"/>
  <c r="J14" i="104" s="1"/>
  <c r="K14" i="104" s="1"/>
  <c r="R14" i="104" s="1"/>
  <c r="F43" i="104"/>
  <c r="H43" i="104" s="1"/>
  <c r="E43" i="104"/>
  <c r="G43" i="104" s="1"/>
  <c r="E31" i="104"/>
  <c r="G31" i="104" s="1"/>
  <c r="E19" i="104"/>
  <c r="G19" i="104" s="1"/>
  <c r="F31" i="104"/>
  <c r="H31" i="104" s="1"/>
  <c r="F19" i="104"/>
  <c r="H19" i="104" s="1"/>
  <c r="N11" i="103"/>
  <c r="G43" i="100"/>
  <c r="F44" i="102"/>
  <c r="E32" i="102"/>
  <c r="G32" i="102" s="1"/>
  <c r="E44" i="102"/>
  <c r="F20" i="102"/>
  <c r="U15" i="103"/>
  <c r="U13" i="101"/>
  <c r="N8" i="104"/>
  <c r="E15" i="106"/>
  <c r="F15" i="106" s="1"/>
  <c r="G15" i="106" s="1"/>
  <c r="H15" i="106" s="1"/>
  <c r="I15" i="106" s="1"/>
  <c r="J15" i="106" s="1"/>
  <c r="K15" i="106" s="1"/>
  <c r="L15" i="106" s="1"/>
  <c r="U10" i="103"/>
  <c r="N15" i="103"/>
  <c r="P13" i="101"/>
  <c r="N19" i="95" s="1"/>
  <c r="O9" i="101"/>
  <c r="O8" i="101"/>
  <c r="U16" i="103"/>
  <c r="O14" i="103"/>
  <c r="Q12" i="102"/>
  <c r="N16" i="103"/>
  <c r="O13" i="102"/>
  <c r="U14" i="101"/>
  <c r="U11" i="102"/>
  <c r="O13" i="105"/>
  <c r="O11" i="103"/>
  <c r="N10" i="102"/>
  <c r="R9" i="102"/>
  <c r="N9" i="102"/>
  <c r="O9" i="102"/>
  <c r="P9" i="102"/>
  <c r="O15" i="95" s="1"/>
  <c r="H43" i="100"/>
  <c r="O9" i="93"/>
  <c r="N9" i="93"/>
  <c r="P8" i="80"/>
  <c r="B15" i="95" s="1"/>
  <c r="N9" i="97" s="1"/>
  <c r="P8" i="90"/>
  <c r="E15" i="95" s="1"/>
  <c r="Q9" i="97" s="1"/>
  <c r="P15" i="90"/>
  <c r="E22" i="95" s="1"/>
  <c r="Q14" i="99"/>
  <c r="S14" i="99" s="1"/>
  <c r="U9" i="95" s="1"/>
  <c r="O8" i="94"/>
  <c r="P14" i="99"/>
  <c r="E38" i="99" s="1"/>
  <c r="O15" i="90"/>
  <c r="O11" i="99"/>
  <c r="F32" i="93"/>
  <c r="H32" i="93" s="1"/>
  <c r="P12" i="96"/>
  <c r="J19" i="95" s="1"/>
  <c r="R8" i="80"/>
  <c r="S8" i="80" s="1"/>
  <c r="U9" i="93"/>
  <c r="T9" i="93" s="1"/>
  <c r="F9" i="80"/>
  <c r="R9" i="80" s="1"/>
  <c r="S9" i="80" s="1"/>
  <c r="O8" i="96"/>
  <c r="P9" i="93"/>
  <c r="F21" i="93" s="1"/>
  <c r="N8" i="90"/>
  <c r="F44" i="93"/>
  <c r="H47" i="95" s="1"/>
  <c r="N14" i="99"/>
  <c r="E20" i="93"/>
  <c r="G20" i="93" s="1"/>
  <c r="F20" i="93"/>
  <c r="H20" i="93" s="1"/>
  <c r="E32" i="93"/>
  <c r="G32" i="93" s="1"/>
  <c r="F9" i="91"/>
  <c r="R9" i="91" s="1"/>
  <c r="S9" i="91" s="1"/>
  <c r="E44" i="93"/>
  <c r="G44" i="93" s="1"/>
  <c r="R8" i="88"/>
  <c r="S8" i="88" s="1"/>
  <c r="T8" i="88" s="1"/>
  <c r="O14" i="99"/>
  <c r="U10" i="99"/>
  <c r="O8" i="88"/>
  <c r="N8" i="88"/>
  <c r="P8" i="88"/>
  <c r="D15" i="95" s="1"/>
  <c r="P9" i="97" s="1"/>
  <c r="O12" i="99"/>
  <c r="P12" i="80"/>
  <c r="B19" i="95" s="1"/>
  <c r="T7" i="92"/>
  <c r="F3" i="95"/>
  <c r="R3" i="97" s="1"/>
  <c r="N12" i="80"/>
  <c r="R12" i="80"/>
  <c r="P15" i="99"/>
  <c r="F51" i="99" s="1"/>
  <c r="U54" i="95" s="1"/>
  <c r="T8" i="93"/>
  <c r="H3" i="95"/>
  <c r="T3" i="97" s="1"/>
  <c r="O8" i="90"/>
  <c r="R8" i="90"/>
  <c r="S8" i="90" s="1"/>
  <c r="N8" i="80"/>
  <c r="O8" i="80"/>
  <c r="Q12" i="80"/>
  <c r="S12" i="80" s="1"/>
  <c r="P15" i="80"/>
  <c r="B22" i="95" s="1"/>
  <c r="N8" i="94"/>
  <c r="P8" i="94"/>
  <c r="I15" i="95" s="1"/>
  <c r="U9" i="97" s="1"/>
  <c r="R14" i="93"/>
  <c r="S14" i="93" s="1"/>
  <c r="N12" i="99"/>
  <c r="Q15" i="99"/>
  <c r="S15" i="99" s="1"/>
  <c r="U10" i="95" s="1"/>
  <c r="E20" i="91"/>
  <c r="G20" i="91" s="1"/>
  <c r="N14" i="80"/>
  <c r="F20" i="91"/>
  <c r="F36" i="95" s="1"/>
  <c r="E32" i="91"/>
  <c r="G32" i="91" s="1"/>
  <c r="P9" i="90"/>
  <c r="E16" i="95" s="1"/>
  <c r="Q10" i="97" s="1"/>
  <c r="E44" i="91"/>
  <c r="G44" i="91" s="1"/>
  <c r="R9" i="90"/>
  <c r="N15" i="80"/>
  <c r="F32" i="91"/>
  <c r="F25" i="95" s="1"/>
  <c r="R13" i="97" s="1"/>
  <c r="O15" i="80"/>
  <c r="F44" i="91"/>
  <c r="F47" i="95" s="1"/>
  <c r="P12" i="99"/>
  <c r="F37" i="93"/>
  <c r="H30" i="95" s="1"/>
  <c r="R12" i="96"/>
  <c r="O8" i="99"/>
  <c r="N15" i="99"/>
  <c r="U11" i="99"/>
  <c r="U8" i="99"/>
  <c r="O16" i="80"/>
  <c r="Q13" i="96"/>
  <c r="S8" i="94"/>
  <c r="I3" i="95" s="1"/>
  <c r="U3" i="97" s="1"/>
  <c r="U13" i="96"/>
  <c r="U16" i="91"/>
  <c r="U10" i="88"/>
  <c r="P10" i="99"/>
  <c r="U12" i="80"/>
  <c r="Q11" i="99"/>
  <c r="S11" i="99" s="1"/>
  <c r="U6" i="95" s="1"/>
  <c r="O10" i="99"/>
  <c r="U14" i="96"/>
  <c r="N16" i="80"/>
  <c r="U10" i="91"/>
  <c r="P11" i="99"/>
  <c r="U11" i="91"/>
  <c r="U15" i="99"/>
  <c r="U14" i="99"/>
  <c r="E12" i="89"/>
  <c r="F12" i="89" s="1"/>
  <c r="G12" i="89" s="1"/>
  <c r="H12" i="89" s="1"/>
  <c r="I12" i="89" s="1"/>
  <c r="P12" i="89" s="1"/>
  <c r="E12" i="92"/>
  <c r="P8" i="96"/>
  <c r="J15" i="95" s="1"/>
  <c r="V9" i="97" s="1"/>
  <c r="O9" i="90"/>
  <c r="F25" i="93"/>
  <c r="H41" i="95" s="1"/>
  <c r="R15" i="90"/>
  <c r="R16" i="96"/>
  <c r="U8" i="94"/>
  <c r="Q9" i="96"/>
  <c r="F9" i="96"/>
  <c r="U15" i="80"/>
  <c r="U12" i="99"/>
  <c r="U12" i="96"/>
  <c r="U10" i="90"/>
  <c r="E25" i="93"/>
  <c r="Q15" i="90"/>
  <c r="U10" i="93"/>
  <c r="U16" i="80"/>
  <c r="E16" i="89"/>
  <c r="F16" i="89" s="1"/>
  <c r="G16" i="89" s="1"/>
  <c r="H16" i="89" s="1"/>
  <c r="I16" i="89" s="1"/>
  <c r="J16" i="89" s="1"/>
  <c r="K16" i="89" s="1"/>
  <c r="L16" i="89" s="1"/>
  <c r="M16" i="89" s="1"/>
  <c r="O16" i="89" s="1"/>
  <c r="E11" i="92"/>
  <c r="F11" i="92" s="1"/>
  <c r="G11" i="92" s="1"/>
  <c r="H11" i="92" s="1"/>
  <c r="E37" i="93"/>
  <c r="U12" i="88"/>
  <c r="U11" i="90"/>
  <c r="S9" i="99"/>
  <c r="U4" i="95" s="1"/>
  <c r="Q15" i="80"/>
  <c r="S15" i="80" s="1"/>
  <c r="E14" i="89"/>
  <c r="F14" i="89" s="1"/>
  <c r="G14" i="89" s="1"/>
  <c r="H14" i="89" s="1"/>
  <c r="I14" i="89" s="1"/>
  <c r="J14" i="89" s="1"/>
  <c r="K14" i="89" s="1"/>
  <c r="N14" i="89" s="1"/>
  <c r="E9" i="89"/>
  <c r="F9" i="89" s="1"/>
  <c r="P9" i="89" s="1"/>
  <c r="E13" i="89"/>
  <c r="F13" i="89" s="1"/>
  <c r="G13" i="89" s="1"/>
  <c r="H13" i="89" s="1"/>
  <c r="I13" i="89" s="1"/>
  <c r="J13" i="89" s="1"/>
  <c r="R13" i="89" s="1"/>
  <c r="E14" i="92"/>
  <c r="F14" i="92" s="1"/>
  <c r="E15" i="92"/>
  <c r="F15" i="92" s="1"/>
  <c r="G15" i="92" s="1"/>
  <c r="H15" i="92" s="1"/>
  <c r="I15" i="92" s="1"/>
  <c r="J15" i="92" s="1"/>
  <c r="K15" i="92" s="1"/>
  <c r="L15" i="92" s="1"/>
  <c r="F9" i="88"/>
  <c r="R9" i="88" s="1"/>
  <c r="E49" i="93"/>
  <c r="O15" i="99"/>
  <c r="Q16" i="99"/>
  <c r="S16" i="99" s="1"/>
  <c r="U11" i="95" s="1"/>
  <c r="Q16" i="80"/>
  <c r="S16" i="80" s="1"/>
  <c r="F49" i="93"/>
  <c r="H52" i="95" s="1"/>
  <c r="O14" i="80"/>
  <c r="P14" i="80"/>
  <c r="B21" i="95" s="1"/>
  <c r="Q14" i="80"/>
  <c r="S14" i="80" s="1"/>
  <c r="Q9" i="88"/>
  <c r="H15" i="93"/>
  <c r="I15" i="93" s="1"/>
  <c r="J15" i="93" s="1"/>
  <c r="K15" i="93" s="1"/>
  <c r="U14" i="90"/>
  <c r="O16" i="99"/>
  <c r="U12" i="91"/>
  <c r="E33" i="99"/>
  <c r="F21" i="99"/>
  <c r="U26" i="95" s="1"/>
  <c r="F45" i="99"/>
  <c r="U48" i="95" s="1"/>
  <c r="F33" i="99"/>
  <c r="U37" i="95" s="1"/>
  <c r="E45" i="99"/>
  <c r="E21" i="99"/>
  <c r="S8" i="99"/>
  <c r="U3" i="95" s="1"/>
  <c r="F13" i="99"/>
  <c r="G13" i="99" s="1"/>
  <c r="H13" i="99" s="1"/>
  <c r="I13" i="99" s="1"/>
  <c r="J13" i="99" s="1"/>
  <c r="E11" i="89"/>
  <c r="F11" i="89" s="1"/>
  <c r="G11" i="89" s="1"/>
  <c r="H11" i="89" s="1"/>
  <c r="P11" i="89" s="1"/>
  <c r="N8" i="96"/>
  <c r="F14" i="88"/>
  <c r="G14" i="88" s="1"/>
  <c r="H14" i="88" s="1"/>
  <c r="I14" i="88" s="1"/>
  <c r="J14" i="88" s="1"/>
  <c r="K14" i="88" s="1"/>
  <c r="O14" i="88" s="1"/>
  <c r="E10" i="89"/>
  <c r="F10" i="89" s="1"/>
  <c r="G10" i="89" s="1"/>
  <c r="P10" i="89" s="1"/>
  <c r="E9" i="92"/>
  <c r="Q9" i="92" s="1"/>
  <c r="R7" i="87"/>
  <c r="S7" i="87" s="1"/>
  <c r="U7" i="87"/>
  <c r="R8" i="96"/>
  <c r="S8" i="96" s="1"/>
  <c r="J3" i="95" s="1"/>
  <c r="V3" i="97" s="1"/>
  <c r="P16" i="99"/>
  <c r="U22" i="95" s="1"/>
  <c r="U15" i="88"/>
  <c r="U11" i="88"/>
  <c r="P8" i="99"/>
  <c r="U14" i="95" s="1"/>
  <c r="Q10" i="99"/>
  <c r="S10" i="99" s="1"/>
  <c r="U5" i="95" s="1"/>
  <c r="E15" i="89"/>
  <c r="F15" i="89" s="1"/>
  <c r="G15" i="89" s="1"/>
  <c r="H15" i="89" s="1"/>
  <c r="I15" i="89" s="1"/>
  <c r="J15" i="89" s="1"/>
  <c r="K15" i="89" s="1"/>
  <c r="L15" i="89" s="1"/>
  <c r="N15" i="89" s="1"/>
  <c r="E10" i="92"/>
  <c r="F10" i="92" s="1"/>
  <c r="Q10" i="92" s="1"/>
  <c r="E13" i="92"/>
  <c r="F13" i="92" s="1"/>
  <c r="E8" i="89"/>
  <c r="U8" i="89" s="1"/>
  <c r="E16" i="92"/>
  <c r="F16" i="92" s="1"/>
  <c r="G16" i="92" s="1"/>
  <c r="H16" i="92" s="1"/>
  <c r="I16" i="92" s="1"/>
  <c r="J16" i="92" s="1"/>
  <c r="K16" i="92" s="1"/>
  <c r="L16" i="92" s="1"/>
  <c r="M16" i="92" s="1"/>
  <c r="E8" i="92"/>
  <c r="U8" i="92" s="1"/>
  <c r="Q9" i="90"/>
  <c r="Q12" i="96"/>
  <c r="Q12" i="99"/>
  <c r="S12" i="99" s="1"/>
  <c r="U7" i="95" s="1"/>
  <c r="U14" i="80"/>
  <c r="N11" i="99"/>
  <c r="N16" i="99"/>
  <c r="U15" i="90"/>
  <c r="U16" i="99"/>
  <c r="U16" i="96"/>
  <c r="N8" i="99"/>
  <c r="N10" i="99"/>
  <c r="U9" i="90"/>
  <c r="U14" i="93"/>
  <c r="H43" i="96"/>
  <c r="H43" i="94"/>
  <c r="H43" i="91"/>
  <c r="H43" i="90"/>
  <c r="H43" i="80"/>
  <c r="R13" i="94"/>
  <c r="Q12" i="94"/>
  <c r="Q15" i="94"/>
  <c r="R15" i="94"/>
  <c r="U10" i="94"/>
  <c r="U12" i="94"/>
  <c r="R14" i="94"/>
  <c r="U15" i="94"/>
  <c r="Q13" i="94"/>
  <c r="U14" i="94"/>
  <c r="U13" i="94"/>
  <c r="R10" i="94"/>
  <c r="R12" i="94"/>
  <c r="Q14" i="94"/>
  <c r="Q10" i="94"/>
  <c r="R11" i="94"/>
  <c r="F16" i="94"/>
  <c r="G16" i="94" s="1"/>
  <c r="H16" i="94" s="1"/>
  <c r="I16" i="94" s="1"/>
  <c r="J16" i="94" s="1"/>
  <c r="K16" i="94" s="1"/>
  <c r="L16" i="94" s="1"/>
  <c r="M16" i="94" s="1"/>
  <c r="O16" i="94" s="1"/>
  <c r="U11" i="94"/>
  <c r="Q11" i="94"/>
  <c r="S12" i="93"/>
  <c r="P10" i="94"/>
  <c r="I17" i="95" s="1"/>
  <c r="Q8" i="89"/>
  <c r="Q16" i="96"/>
  <c r="R14" i="96"/>
  <c r="Q11" i="96"/>
  <c r="Q14" i="96"/>
  <c r="G10" i="96"/>
  <c r="P10" i="96" s="1"/>
  <c r="J17" i="95" s="1"/>
  <c r="Q10" i="96"/>
  <c r="R13" i="96"/>
  <c r="Q8" i="92"/>
  <c r="Q10" i="91"/>
  <c r="G13" i="91"/>
  <c r="R11" i="91"/>
  <c r="R12" i="91"/>
  <c r="Q11" i="91"/>
  <c r="G15" i="91"/>
  <c r="H15" i="91" s="1"/>
  <c r="I15" i="91" s="1"/>
  <c r="J15" i="91" s="1"/>
  <c r="K15" i="91" s="1"/>
  <c r="L15" i="91" s="1"/>
  <c r="N15" i="91" s="1"/>
  <c r="Q16" i="91"/>
  <c r="Q12" i="91"/>
  <c r="R16" i="91"/>
  <c r="G14" i="91"/>
  <c r="R11" i="90"/>
  <c r="G12" i="90"/>
  <c r="H12" i="90" s="1"/>
  <c r="I12" i="90" s="1"/>
  <c r="N12" i="90" s="1"/>
  <c r="Q10" i="90"/>
  <c r="Q11" i="90"/>
  <c r="G16" i="90"/>
  <c r="H16" i="90" s="1"/>
  <c r="I16" i="90" s="1"/>
  <c r="J16" i="90" s="1"/>
  <c r="K16" i="90" s="1"/>
  <c r="L16" i="90" s="1"/>
  <c r="M16" i="90" s="1"/>
  <c r="O16" i="90" s="1"/>
  <c r="Q14" i="90"/>
  <c r="R14" i="90"/>
  <c r="R10" i="90"/>
  <c r="Q10" i="88"/>
  <c r="R11" i="88"/>
  <c r="R12" i="88"/>
  <c r="R15" i="88"/>
  <c r="G13" i="88"/>
  <c r="H13" i="88" s="1"/>
  <c r="I13" i="88" s="1"/>
  <c r="J13" i="88" s="1"/>
  <c r="O13" i="88" s="1"/>
  <c r="R10" i="88"/>
  <c r="Q12" i="88"/>
  <c r="Q11" i="88"/>
  <c r="Q15" i="88"/>
  <c r="G16" i="88"/>
  <c r="H16" i="88" s="1"/>
  <c r="I16" i="88" s="1"/>
  <c r="J16" i="88" s="1"/>
  <c r="K16" i="88" s="1"/>
  <c r="L16" i="88" s="1"/>
  <c r="M16" i="88" s="1"/>
  <c r="P16" i="88" s="1"/>
  <c r="F52" i="88" s="1"/>
  <c r="D55" i="95" s="1"/>
  <c r="B16" i="87"/>
  <c r="N13" i="96"/>
  <c r="P13" i="96"/>
  <c r="J20" i="95" s="1"/>
  <c r="O13" i="96"/>
  <c r="B11" i="87"/>
  <c r="D11" i="87"/>
  <c r="O7" i="87"/>
  <c r="P7" i="87"/>
  <c r="N7" i="87"/>
  <c r="B12" i="87"/>
  <c r="D12" i="87"/>
  <c r="B9" i="87"/>
  <c r="D9" i="87"/>
  <c r="B10" i="87"/>
  <c r="D10" i="87"/>
  <c r="B13" i="87"/>
  <c r="D13" i="87"/>
  <c r="D16" i="87"/>
  <c r="B15" i="87"/>
  <c r="D15" i="87"/>
  <c r="B8" i="87"/>
  <c r="D8" i="87"/>
  <c r="B14" i="87"/>
  <c r="D14" i="87"/>
  <c r="O15" i="94"/>
  <c r="P11" i="94"/>
  <c r="I18" i="95" s="1"/>
  <c r="P16" i="91"/>
  <c r="F28" i="91" s="1"/>
  <c r="F44" i="95" s="1"/>
  <c r="P10" i="88"/>
  <c r="D17" i="95" s="1"/>
  <c r="E38" i="96"/>
  <c r="J21" i="95"/>
  <c r="P13" i="94"/>
  <c r="I20" i="95" s="1"/>
  <c r="P15" i="88"/>
  <c r="D22" i="95" s="1"/>
  <c r="P10" i="90"/>
  <c r="E17" i="95" s="1"/>
  <c r="P11" i="88"/>
  <c r="D18" i="95" s="1"/>
  <c r="N10" i="94"/>
  <c r="N11" i="91"/>
  <c r="P12" i="88"/>
  <c r="D19" i="95" s="1"/>
  <c r="P14" i="94"/>
  <c r="I21" i="95" s="1"/>
  <c r="O12" i="91"/>
  <c r="N14" i="90"/>
  <c r="N12" i="94"/>
  <c r="O11" i="90"/>
  <c r="P10" i="91"/>
  <c r="F17" i="95" s="1"/>
  <c r="S13" i="93"/>
  <c r="S10" i="80"/>
  <c r="T10" i="80" s="1"/>
  <c r="N11" i="88"/>
  <c r="O10" i="94"/>
  <c r="P14" i="90"/>
  <c r="E50" i="90" s="1"/>
  <c r="N11" i="94"/>
  <c r="N15" i="88"/>
  <c r="O10" i="91"/>
  <c r="S16" i="93"/>
  <c r="N14" i="96"/>
  <c r="O14" i="96"/>
  <c r="O14" i="94"/>
  <c r="F28" i="80"/>
  <c r="B33" i="95" s="1"/>
  <c r="N15" i="94"/>
  <c r="O10" i="88"/>
  <c r="F38" i="96"/>
  <c r="J31" i="95" s="1"/>
  <c r="F52" i="80"/>
  <c r="B55" i="95" s="1"/>
  <c r="F26" i="96"/>
  <c r="J42" i="95" s="1"/>
  <c r="E50" i="96"/>
  <c r="E40" i="80"/>
  <c r="N14" i="94"/>
  <c r="P15" i="94"/>
  <c r="N12" i="91"/>
  <c r="P12" i="91"/>
  <c r="F50" i="96"/>
  <c r="J53" i="95" s="1"/>
  <c r="F40" i="80"/>
  <c r="B44" i="95" s="1"/>
  <c r="E52" i="80"/>
  <c r="N10" i="88"/>
  <c r="O13" i="94"/>
  <c r="E26" i="96"/>
  <c r="O14" i="90"/>
  <c r="N10" i="90"/>
  <c r="O11" i="94"/>
  <c r="N12" i="88"/>
  <c r="F47" i="93"/>
  <c r="H50" i="95" s="1"/>
  <c r="E47" i="93"/>
  <c r="E35" i="93"/>
  <c r="E23" i="93"/>
  <c r="F35" i="93"/>
  <c r="H28" i="95" s="1"/>
  <c r="F23" i="93"/>
  <c r="H39" i="95" s="1"/>
  <c r="F48" i="93"/>
  <c r="H51" i="95" s="1"/>
  <c r="F36" i="93"/>
  <c r="E48" i="93"/>
  <c r="E36" i="93"/>
  <c r="F24" i="93"/>
  <c r="E24" i="93"/>
  <c r="O15" i="88"/>
  <c r="O10" i="90"/>
  <c r="N10" i="91"/>
  <c r="H4" i="95"/>
  <c r="T4" i="97" s="1"/>
  <c r="F43" i="92"/>
  <c r="E43" i="92"/>
  <c r="G43" i="92" s="1"/>
  <c r="E31" i="92"/>
  <c r="G31" i="92" s="1"/>
  <c r="E19" i="92"/>
  <c r="G19" i="92" s="1"/>
  <c r="F19" i="92"/>
  <c r="H19" i="92" s="1"/>
  <c r="F31" i="92"/>
  <c r="H31" i="92" s="1"/>
  <c r="O12" i="94"/>
  <c r="S11" i="93"/>
  <c r="F43" i="89"/>
  <c r="H43" i="89" s="1"/>
  <c r="F31" i="89"/>
  <c r="H31" i="89" s="1"/>
  <c r="E43" i="89"/>
  <c r="G43" i="89" s="1"/>
  <c r="E31" i="89"/>
  <c r="G31" i="89" s="1"/>
  <c r="G19" i="89"/>
  <c r="F19" i="89"/>
  <c r="H19" i="89" s="1"/>
  <c r="F46" i="80"/>
  <c r="B49" i="95" s="1"/>
  <c r="E22" i="80"/>
  <c r="F22" i="80"/>
  <c r="F34" i="80"/>
  <c r="E46" i="80"/>
  <c r="E34" i="80"/>
  <c r="F52" i="93"/>
  <c r="H55" i="95" s="1"/>
  <c r="F40" i="93"/>
  <c r="H33" i="95" s="1"/>
  <c r="E52" i="93"/>
  <c r="E40" i="93"/>
  <c r="F28" i="93"/>
  <c r="H44" i="95" s="1"/>
  <c r="E28" i="93"/>
  <c r="O12" i="88"/>
  <c r="F40" i="96"/>
  <c r="J33" i="95" s="1"/>
  <c r="P11" i="90"/>
  <c r="E18" i="95" s="1"/>
  <c r="O11" i="91"/>
  <c r="N16" i="91"/>
  <c r="P11" i="91"/>
  <c r="F18" i="95" s="1"/>
  <c r="N13" i="94"/>
  <c r="N11" i="90"/>
  <c r="P12" i="94"/>
  <c r="I19" i="95" s="1"/>
  <c r="O16" i="91"/>
  <c r="G13" i="80"/>
  <c r="H13" i="80" s="1"/>
  <c r="I13" i="80" s="1"/>
  <c r="J13" i="80" s="1"/>
  <c r="H15" i="96"/>
  <c r="G13" i="90"/>
  <c r="H13" i="90" s="1"/>
  <c r="I13" i="90" s="1"/>
  <c r="J13" i="90" s="1"/>
  <c r="F11" i="80"/>
  <c r="G11" i="80" s="1"/>
  <c r="H11" i="80" s="1"/>
  <c r="F9" i="94"/>
  <c r="U9" i="94" s="1"/>
  <c r="H11" i="96"/>
  <c r="R11" i="96" s="1"/>
  <c r="O10" i="93"/>
  <c r="P10" i="93"/>
  <c r="H17" i="95" s="1"/>
  <c r="N10" i="93"/>
  <c r="S10" i="93"/>
  <c r="T16" i="100" l="1"/>
  <c r="F26" i="107"/>
  <c r="F26" i="93"/>
  <c r="H42" i="95" s="1"/>
  <c r="E26" i="107"/>
  <c r="T8" i="111"/>
  <c r="G44" i="112"/>
  <c r="E50" i="93"/>
  <c r="E24" i="111"/>
  <c r="G24" i="111" s="1"/>
  <c r="G44" i="102"/>
  <c r="E20" i="102"/>
  <c r="G20" i="102" s="1"/>
  <c r="T8" i="102"/>
  <c r="F32" i="102"/>
  <c r="O36" i="95" s="1"/>
  <c r="T8" i="100"/>
  <c r="F32" i="109"/>
  <c r="F38" i="109"/>
  <c r="H38" i="109" s="1"/>
  <c r="E38" i="109"/>
  <c r="G38" i="109" s="1"/>
  <c r="F50" i="109"/>
  <c r="H50" i="109" s="1"/>
  <c r="F26" i="109"/>
  <c r="E50" i="109"/>
  <c r="G50" i="109" s="1"/>
  <c r="E20" i="103"/>
  <c r="G20" i="103" s="1"/>
  <c r="F44" i="103"/>
  <c r="E32" i="103"/>
  <c r="G32" i="103" s="1"/>
  <c r="F20" i="103"/>
  <c r="H20" i="103" s="1"/>
  <c r="E44" i="103"/>
  <c r="G44" i="103" s="1"/>
  <c r="F32" i="103"/>
  <c r="P36" i="95" s="1"/>
  <c r="P14" i="88"/>
  <c r="D21" i="95" s="1"/>
  <c r="G26" i="109"/>
  <c r="T14" i="109"/>
  <c r="F27" i="90"/>
  <c r="E43" i="95" s="1"/>
  <c r="F52" i="96"/>
  <c r="J55" i="95" s="1"/>
  <c r="E28" i="96"/>
  <c r="F28" i="96"/>
  <c r="J44" i="95" s="1"/>
  <c r="E40" i="96"/>
  <c r="V20" i="95"/>
  <c r="F39" i="109"/>
  <c r="H39" i="109" s="1"/>
  <c r="T11" i="110"/>
  <c r="F50" i="93"/>
  <c r="H53" i="95" s="1"/>
  <c r="H21" i="95"/>
  <c r="E39" i="109"/>
  <c r="G39" i="109" s="1"/>
  <c r="T11" i="103"/>
  <c r="F38" i="107"/>
  <c r="F21" i="112"/>
  <c r="H21" i="112" s="1"/>
  <c r="F51" i="109"/>
  <c r="E26" i="93"/>
  <c r="G26" i="93" s="1"/>
  <c r="F38" i="93"/>
  <c r="H31" i="95" s="1"/>
  <c r="E52" i="108"/>
  <c r="G52" i="108" s="1"/>
  <c r="E38" i="107"/>
  <c r="E51" i="109"/>
  <c r="G51" i="109" s="1"/>
  <c r="F33" i="105"/>
  <c r="H33" i="105" s="1"/>
  <c r="F50" i="107"/>
  <c r="V53" i="95" s="1"/>
  <c r="E27" i="109"/>
  <c r="G27" i="109" s="1"/>
  <c r="T8" i="103"/>
  <c r="X21" i="95"/>
  <c r="F48" i="96"/>
  <c r="J51" i="95" s="1"/>
  <c r="E26" i="101"/>
  <c r="F50" i="101"/>
  <c r="H50" i="101" s="1"/>
  <c r="E50" i="101"/>
  <c r="G50" i="101" s="1"/>
  <c r="S9" i="102"/>
  <c r="T9" i="102" s="1"/>
  <c r="F38" i="101"/>
  <c r="H38" i="101" s="1"/>
  <c r="E38" i="101"/>
  <c r="G38" i="101" s="1"/>
  <c r="F26" i="101"/>
  <c r="N31" i="95" s="1"/>
  <c r="U12" i="100"/>
  <c r="Q9" i="106"/>
  <c r="S9" i="106" s="1"/>
  <c r="S4" i="95" s="1"/>
  <c r="N9" i="106"/>
  <c r="P9" i="106"/>
  <c r="S15" i="95" s="1"/>
  <c r="O9" i="106"/>
  <c r="E47" i="110"/>
  <c r="G47" i="110" s="1"/>
  <c r="E32" i="104"/>
  <c r="G32" i="104" s="1"/>
  <c r="T8" i="105"/>
  <c r="E40" i="112"/>
  <c r="G40" i="112" s="1"/>
  <c r="U10" i="110"/>
  <c r="T15" i="109"/>
  <c r="E25" i="108"/>
  <c r="G25" i="108" s="1"/>
  <c r="F27" i="112"/>
  <c r="H27" i="112" s="1"/>
  <c r="E45" i="101"/>
  <c r="G45" i="101" s="1"/>
  <c r="F24" i="112"/>
  <c r="H24" i="112" s="1"/>
  <c r="U13" i="110"/>
  <c r="H32" i="109"/>
  <c r="E32" i="112"/>
  <c r="G32" i="112" s="1"/>
  <c r="F23" i="110"/>
  <c r="H23" i="110" s="1"/>
  <c r="E20" i="100"/>
  <c r="G20" i="100" s="1"/>
  <c r="Y17" i="95"/>
  <c r="E44" i="100"/>
  <c r="G44" i="100" s="1"/>
  <c r="S11" i="102"/>
  <c r="E23" i="110"/>
  <c r="G23" i="110" s="1"/>
  <c r="T12" i="103"/>
  <c r="F44" i="100"/>
  <c r="H44" i="100" s="1"/>
  <c r="F20" i="100"/>
  <c r="H20" i="100" s="1"/>
  <c r="F35" i="110"/>
  <c r="H35" i="110" s="1"/>
  <c r="E32" i="100"/>
  <c r="G32" i="100" s="1"/>
  <c r="E35" i="110"/>
  <c r="G35" i="110" s="1"/>
  <c r="T16" i="103"/>
  <c r="F32" i="100"/>
  <c r="E25" i="102"/>
  <c r="G25" i="102" s="1"/>
  <c r="E21" i="105"/>
  <c r="G21" i="105" s="1"/>
  <c r="F52" i="108"/>
  <c r="W55" i="95" s="1"/>
  <c r="F45" i="112"/>
  <c r="H45" i="112" s="1"/>
  <c r="T9" i="110"/>
  <c r="F39" i="90"/>
  <c r="E32" i="95" s="1"/>
  <c r="F45" i="105"/>
  <c r="H45" i="105" s="1"/>
  <c r="F28" i="108"/>
  <c r="E21" i="112"/>
  <c r="G21" i="112" s="1"/>
  <c r="E27" i="90"/>
  <c r="F37" i="102"/>
  <c r="O41" i="95" s="1"/>
  <c r="E33" i="105"/>
  <c r="G33" i="105" s="1"/>
  <c r="E28" i="108"/>
  <c r="G28" i="108" s="1"/>
  <c r="AA15" i="95"/>
  <c r="E39" i="90"/>
  <c r="E37" i="102"/>
  <c r="T10" i="105"/>
  <c r="F21" i="105"/>
  <c r="R26" i="95" s="1"/>
  <c r="R59" i="95" s="1"/>
  <c r="W22" i="95"/>
  <c r="E51" i="90"/>
  <c r="F49" i="102"/>
  <c r="H49" i="102" s="1"/>
  <c r="O12" i="106"/>
  <c r="E33" i="112"/>
  <c r="G33" i="112" s="1"/>
  <c r="F51" i="90"/>
  <c r="E54" i="95" s="1"/>
  <c r="E49" i="102"/>
  <c r="G49" i="102" s="1"/>
  <c r="F40" i="108"/>
  <c r="H40" i="108" s="1"/>
  <c r="E45" i="112"/>
  <c r="G45" i="112" s="1"/>
  <c r="F25" i="102"/>
  <c r="O30" i="95" s="1"/>
  <c r="E45" i="105"/>
  <c r="G45" i="105" s="1"/>
  <c r="T16" i="101"/>
  <c r="U11" i="105"/>
  <c r="E33" i="110"/>
  <c r="G33" i="110" s="1"/>
  <c r="E20" i="80"/>
  <c r="E45" i="103"/>
  <c r="G45" i="103" s="1"/>
  <c r="AA14" i="95"/>
  <c r="T9" i="105"/>
  <c r="W19" i="95"/>
  <c r="H33" i="110"/>
  <c r="F32" i="112"/>
  <c r="AA47" i="95" s="1"/>
  <c r="E33" i="101"/>
  <c r="G33" i="101" s="1"/>
  <c r="F37" i="108"/>
  <c r="H37" i="108" s="1"/>
  <c r="F21" i="101"/>
  <c r="H21" i="101" s="1"/>
  <c r="F20" i="112"/>
  <c r="AA25" i="95" s="1"/>
  <c r="AA58" i="95" s="1"/>
  <c r="E37" i="108"/>
  <c r="G37" i="108" s="1"/>
  <c r="F45" i="101"/>
  <c r="H45" i="101" s="1"/>
  <c r="F44" i="112"/>
  <c r="H44" i="112" s="1"/>
  <c r="F49" i="108"/>
  <c r="H49" i="108" s="1"/>
  <c r="F33" i="101"/>
  <c r="H33" i="101" s="1"/>
  <c r="O10" i="106"/>
  <c r="E20" i="112"/>
  <c r="G20" i="112" s="1"/>
  <c r="F25" i="108"/>
  <c r="H25" i="108" s="1"/>
  <c r="E21" i="101"/>
  <c r="G21" i="101" s="1"/>
  <c r="F20" i="111"/>
  <c r="H20" i="111" s="1"/>
  <c r="F32" i="80"/>
  <c r="B36" i="95" s="1"/>
  <c r="F45" i="103"/>
  <c r="H45" i="103" s="1"/>
  <c r="E32" i="109"/>
  <c r="G32" i="109" s="1"/>
  <c r="E21" i="110"/>
  <c r="G21" i="110" s="1"/>
  <c r="F20" i="80"/>
  <c r="B25" i="95" s="1"/>
  <c r="N13" i="97" s="1"/>
  <c r="E33" i="103"/>
  <c r="G33" i="103" s="1"/>
  <c r="E20" i="109"/>
  <c r="G20" i="109" s="1"/>
  <c r="F45" i="110"/>
  <c r="Y48" i="95" s="1"/>
  <c r="Y4" i="95"/>
  <c r="F44" i="80"/>
  <c r="B47" i="95" s="1"/>
  <c r="E21" i="103"/>
  <c r="G21" i="103" s="1"/>
  <c r="E44" i="109"/>
  <c r="G44" i="109" s="1"/>
  <c r="E45" i="110"/>
  <c r="G45" i="110" s="1"/>
  <c r="E44" i="80"/>
  <c r="G44" i="80" s="1"/>
  <c r="F21" i="103"/>
  <c r="H21" i="103" s="1"/>
  <c r="X14" i="95"/>
  <c r="Y15" i="95"/>
  <c r="F21" i="110"/>
  <c r="Y37" i="95" s="1"/>
  <c r="F44" i="109"/>
  <c r="H44" i="109" s="1"/>
  <c r="E32" i="80"/>
  <c r="G32" i="80" s="1"/>
  <c r="F33" i="103"/>
  <c r="P37" i="95" s="1"/>
  <c r="T9" i="101"/>
  <c r="E36" i="112"/>
  <c r="G36" i="112" s="1"/>
  <c r="F32" i="111"/>
  <c r="H32" i="111" s="1"/>
  <c r="F48" i="112"/>
  <c r="H48" i="112" s="1"/>
  <c r="E32" i="111"/>
  <c r="G32" i="111" s="1"/>
  <c r="P12" i="104"/>
  <c r="Q18" i="95" s="1"/>
  <c r="E48" i="112"/>
  <c r="G48" i="112" s="1"/>
  <c r="S16" i="111"/>
  <c r="Z11" i="95" s="1"/>
  <c r="E44" i="111"/>
  <c r="G44" i="111" s="1"/>
  <c r="AA18" i="95"/>
  <c r="T12" i="110"/>
  <c r="E20" i="111"/>
  <c r="G20" i="111" s="1"/>
  <c r="F25" i="105"/>
  <c r="H25" i="105" s="1"/>
  <c r="E24" i="112"/>
  <c r="G24" i="112" s="1"/>
  <c r="F44" i="111"/>
  <c r="H44" i="111" s="1"/>
  <c r="T8" i="109"/>
  <c r="Q16" i="104"/>
  <c r="S16" i="104" s="1"/>
  <c r="Q11" i="95" s="1"/>
  <c r="F40" i="100"/>
  <c r="H40" i="100" s="1"/>
  <c r="T8" i="101"/>
  <c r="N10" i="106"/>
  <c r="F52" i="112"/>
  <c r="H52" i="112" s="1"/>
  <c r="G39" i="112"/>
  <c r="S15" i="102"/>
  <c r="O10" i="95" s="1"/>
  <c r="O16" i="104"/>
  <c r="E40" i="100"/>
  <c r="G40" i="100" s="1"/>
  <c r="F36" i="111"/>
  <c r="H36" i="111" s="1"/>
  <c r="F28" i="112"/>
  <c r="N9" i="80"/>
  <c r="P16" i="104"/>
  <c r="Q22" i="95" s="1"/>
  <c r="F52" i="100"/>
  <c r="H52" i="100" s="1"/>
  <c r="E36" i="111"/>
  <c r="G36" i="111" s="1"/>
  <c r="T9" i="103"/>
  <c r="E52" i="112"/>
  <c r="G52" i="112" s="1"/>
  <c r="N16" i="104"/>
  <c r="F28" i="100"/>
  <c r="F48" i="111"/>
  <c r="H48" i="111" s="1"/>
  <c r="E28" i="112"/>
  <c r="G28" i="112" s="1"/>
  <c r="O9" i="80"/>
  <c r="F20" i="88"/>
  <c r="D36" i="95" s="1"/>
  <c r="E32" i="88"/>
  <c r="G32" i="88" s="1"/>
  <c r="S12" i="102"/>
  <c r="O7" i="95" s="1"/>
  <c r="E52" i="100"/>
  <c r="G52" i="100" s="1"/>
  <c r="F24" i="111"/>
  <c r="Z40" i="95" s="1"/>
  <c r="AA22" i="95"/>
  <c r="N8" i="106"/>
  <c r="F22" i="102"/>
  <c r="O27" i="95" s="1"/>
  <c r="O60" i="95" s="1"/>
  <c r="E28" i="100"/>
  <c r="G28" i="100" s="1"/>
  <c r="E48" i="111"/>
  <c r="G48" i="111" s="1"/>
  <c r="G37" i="102"/>
  <c r="P8" i="106"/>
  <c r="S14" i="95" s="1"/>
  <c r="Q10" i="106"/>
  <c r="S10" i="106" s="1"/>
  <c r="S5" i="95" s="1"/>
  <c r="E44" i="90"/>
  <c r="G44" i="90" s="1"/>
  <c r="F36" i="96"/>
  <c r="J29" i="95" s="1"/>
  <c r="Q12" i="106"/>
  <c r="S12" i="106" s="1"/>
  <c r="S7" i="95" s="1"/>
  <c r="O8" i="106"/>
  <c r="F51" i="112"/>
  <c r="H51" i="112" s="1"/>
  <c r="E33" i="111"/>
  <c r="N14" i="104"/>
  <c r="Q15" i="106"/>
  <c r="S11" i="101"/>
  <c r="N6" i="95" s="1"/>
  <c r="P12" i="106"/>
  <c r="S18" i="95" s="1"/>
  <c r="T13" i="105"/>
  <c r="P10" i="106"/>
  <c r="S16" i="95" s="1"/>
  <c r="E51" i="112"/>
  <c r="G51" i="112" s="1"/>
  <c r="E21" i="111"/>
  <c r="N12" i="106"/>
  <c r="E27" i="112"/>
  <c r="G27" i="112" s="1"/>
  <c r="F21" i="111"/>
  <c r="Z26" i="95" s="1"/>
  <c r="AA21" i="95"/>
  <c r="F33" i="111"/>
  <c r="E24" i="96"/>
  <c r="F24" i="96"/>
  <c r="J40" i="95" s="1"/>
  <c r="O13" i="106"/>
  <c r="F45" i="111"/>
  <c r="Z48" i="95" s="1"/>
  <c r="E20" i="90"/>
  <c r="G20" i="90" s="1"/>
  <c r="E36" i="96"/>
  <c r="N13" i="106"/>
  <c r="F39" i="112"/>
  <c r="AA54" i="95" s="1"/>
  <c r="F20" i="90"/>
  <c r="E36" i="95" s="1"/>
  <c r="E48" i="96"/>
  <c r="T15" i="112"/>
  <c r="Z7" i="95"/>
  <c r="T12" i="111"/>
  <c r="F46" i="102"/>
  <c r="O49" i="95" s="1"/>
  <c r="E44" i="104"/>
  <c r="G44" i="104" s="1"/>
  <c r="U15" i="100"/>
  <c r="E34" i="102"/>
  <c r="G34" i="102" s="1"/>
  <c r="G49" i="108"/>
  <c r="E22" i="102"/>
  <c r="G22" i="102" s="1"/>
  <c r="E46" i="102"/>
  <c r="G46" i="102" s="1"/>
  <c r="F20" i="104"/>
  <c r="H20" i="104" s="1"/>
  <c r="T12" i="112"/>
  <c r="F32" i="104"/>
  <c r="H32" i="104" s="1"/>
  <c r="Q10" i="110"/>
  <c r="N13" i="89"/>
  <c r="F44" i="104"/>
  <c r="H44" i="104" s="1"/>
  <c r="T13" i="108"/>
  <c r="F34" i="102"/>
  <c r="O38" i="95" s="1"/>
  <c r="E20" i="104"/>
  <c r="G20" i="104" s="1"/>
  <c r="Q13" i="110"/>
  <c r="F35" i="112"/>
  <c r="H35" i="112" s="1"/>
  <c r="Q14" i="100"/>
  <c r="E35" i="112"/>
  <c r="G35" i="112" s="1"/>
  <c r="Q12" i="104"/>
  <c r="S12" i="104" s="1"/>
  <c r="R14" i="111"/>
  <c r="F23" i="112"/>
  <c r="AA39" i="95" s="1"/>
  <c r="G38" i="99"/>
  <c r="O12" i="104"/>
  <c r="U12" i="104"/>
  <c r="U10" i="104"/>
  <c r="U10" i="111"/>
  <c r="Q14" i="111"/>
  <c r="F47" i="112"/>
  <c r="H47" i="112" s="1"/>
  <c r="G26" i="101"/>
  <c r="E23" i="112"/>
  <c r="G23" i="112" s="1"/>
  <c r="O8" i="89"/>
  <c r="Q10" i="100"/>
  <c r="E47" i="112"/>
  <c r="G47" i="112" s="1"/>
  <c r="Q11" i="89"/>
  <c r="F27" i="99"/>
  <c r="U32" i="95" s="1"/>
  <c r="U65" i="95" s="1"/>
  <c r="N10" i="104"/>
  <c r="Q10" i="111"/>
  <c r="E21" i="89"/>
  <c r="L15" i="95"/>
  <c r="E23" i="99"/>
  <c r="G23" i="99" s="1"/>
  <c r="U17" i="95"/>
  <c r="N42" i="95"/>
  <c r="P11" i="106"/>
  <c r="S17" i="95" s="1"/>
  <c r="Q11" i="100"/>
  <c r="E37" i="105"/>
  <c r="G37" i="105" s="1"/>
  <c r="R11" i="109"/>
  <c r="N11" i="109"/>
  <c r="O11" i="109"/>
  <c r="P11" i="109"/>
  <c r="H28" i="108"/>
  <c r="W33" i="95"/>
  <c r="W44" i="95"/>
  <c r="Z22" i="95"/>
  <c r="E28" i="111"/>
  <c r="E52" i="111"/>
  <c r="F28" i="111"/>
  <c r="F52" i="111"/>
  <c r="E40" i="111"/>
  <c r="F40" i="111"/>
  <c r="G14" i="110"/>
  <c r="H14" i="110" s="1"/>
  <c r="I14" i="110" s="1"/>
  <c r="J14" i="110" s="1"/>
  <c r="K14" i="110" s="1"/>
  <c r="AA37" i="95"/>
  <c r="H27" i="109"/>
  <c r="X32" i="95"/>
  <c r="X65" i="95" s="1"/>
  <c r="X43" i="95"/>
  <c r="H47" i="110"/>
  <c r="Y50" i="95"/>
  <c r="O14" i="89"/>
  <c r="R14" i="89"/>
  <c r="E22" i="89"/>
  <c r="L16" i="95"/>
  <c r="U15" i="106"/>
  <c r="Q13" i="104"/>
  <c r="S13" i="104" s="1"/>
  <c r="Q8" i="95" s="1"/>
  <c r="U11" i="106"/>
  <c r="H44" i="103"/>
  <c r="P47" i="95"/>
  <c r="F49" i="105"/>
  <c r="P10" i="104"/>
  <c r="Q16" i="95" s="1"/>
  <c r="Q15" i="100"/>
  <c r="O14" i="111"/>
  <c r="N14" i="111"/>
  <c r="P14" i="111"/>
  <c r="G14" i="108"/>
  <c r="E24" i="107"/>
  <c r="V18" i="95"/>
  <c r="F48" i="107"/>
  <c r="V51" i="95" s="1"/>
  <c r="E48" i="107"/>
  <c r="F24" i="107"/>
  <c r="E36" i="107"/>
  <c r="F36" i="107"/>
  <c r="S9" i="111"/>
  <c r="V32" i="95"/>
  <c r="V43" i="95"/>
  <c r="V14" i="95"/>
  <c r="E20" i="107"/>
  <c r="F20" i="107"/>
  <c r="E44" i="107"/>
  <c r="E32" i="107"/>
  <c r="F44" i="107"/>
  <c r="V47" i="95" s="1"/>
  <c r="F32" i="107"/>
  <c r="H26" i="109"/>
  <c r="X31" i="95"/>
  <c r="X64" i="95" s="1"/>
  <c r="X42" i="95"/>
  <c r="V31" i="95"/>
  <c r="V42" i="95"/>
  <c r="V22" i="95"/>
  <c r="E28" i="107"/>
  <c r="F28" i="107"/>
  <c r="E52" i="107"/>
  <c r="F52" i="107"/>
  <c r="V55" i="95" s="1"/>
  <c r="E40" i="107"/>
  <c r="F40" i="107"/>
  <c r="U59" i="95"/>
  <c r="F26" i="99"/>
  <c r="U31" i="95" s="1"/>
  <c r="U64" i="95" s="1"/>
  <c r="U20" i="95"/>
  <c r="N13" i="104"/>
  <c r="U11" i="100"/>
  <c r="E49" i="105"/>
  <c r="G49" i="105" s="1"/>
  <c r="Z51" i="95"/>
  <c r="Y10" i="95"/>
  <c r="T15" i="110"/>
  <c r="G10" i="112"/>
  <c r="G15" i="108"/>
  <c r="H15" i="108" s="1"/>
  <c r="I15" i="108" s="1"/>
  <c r="J15" i="108" s="1"/>
  <c r="K15" i="108" s="1"/>
  <c r="L15" i="108" s="1"/>
  <c r="X11" i="95"/>
  <c r="T16" i="109"/>
  <c r="V19" i="95"/>
  <c r="E25" i="107"/>
  <c r="E49" i="107"/>
  <c r="F25" i="107"/>
  <c r="F49" i="107"/>
  <c r="V52" i="95" s="1"/>
  <c r="E37" i="107"/>
  <c r="F37" i="107"/>
  <c r="R10" i="111"/>
  <c r="P10" i="111"/>
  <c r="N10" i="111"/>
  <c r="O10" i="111"/>
  <c r="E24" i="89"/>
  <c r="L18" i="95"/>
  <c r="E36" i="99"/>
  <c r="G36" i="99" s="1"/>
  <c r="U18" i="95"/>
  <c r="H44" i="102"/>
  <c r="O47" i="95"/>
  <c r="H28" i="100"/>
  <c r="M33" i="95"/>
  <c r="M66" i="95" s="1"/>
  <c r="P25" i="95"/>
  <c r="P58" i="95" s="1"/>
  <c r="E25" i="105"/>
  <c r="G25" i="105" s="1"/>
  <c r="Z29" i="95"/>
  <c r="W11" i="95"/>
  <c r="T16" i="108"/>
  <c r="G11" i="108"/>
  <c r="G10" i="108"/>
  <c r="U10" i="108" s="1"/>
  <c r="G13" i="112"/>
  <c r="G13" i="109"/>
  <c r="T9" i="112"/>
  <c r="AA4" i="95"/>
  <c r="L15" i="111"/>
  <c r="Q15" i="111"/>
  <c r="H28" i="112"/>
  <c r="AA33" i="95"/>
  <c r="AA44" i="95"/>
  <c r="E23" i="89"/>
  <c r="L17" i="95"/>
  <c r="E51" i="99"/>
  <c r="G51" i="99" s="1"/>
  <c r="U21" i="95"/>
  <c r="H32" i="100"/>
  <c r="M36" i="95"/>
  <c r="G12" i="109"/>
  <c r="H36" i="112"/>
  <c r="AA51" i="95"/>
  <c r="H20" i="109"/>
  <c r="X25" i="95"/>
  <c r="X58" i="95" s="1"/>
  <c r="X36" i="95"/>
  <c r="X22" i="95"/>
  <c r="E28" i="109"/>
  <c r="G28" i="109" s="1"/>
  <c r="F28" i="109"/>
  <c r="E52" i="109"/>
  <c r="G52" i="109" s="1"/>
  <c r="F52" i="109"/>
  <c r="E40" i="109"/>
  <c r="G40" i="109" s="1"/>
  <c r="F40" i="109"/>
  <c r="H40" i="109" s="1"/>
  <c r="AA20" i="95"/>
  <c r="E26" i="112"/>
  <c r="G26" i="112" s="1"/>
  <c r="E50" i="112"/>
  <c r="G50" i="112" s="1"/>
  <c r="F50" i="112"/>
  <c r="H50" i="112" s="1"/>
  <c r="F26" i="112"/>
  <c r="E38" i="112"/>
  <c r="G38" i="112" s="1"/>
  <c r="F38" i="112"/>
  <c r="G40" i="108"/>
  <c r="Y22" i="95"/>
  <c r="E28" i="110"/>
  <c r="G28" i="110" s="1"/>
  <c r="F28" i="110"/>
  <c r="E52" i="110"/>
  <c r="G52" i="110" s="1"/>
  <c r="F52" i="110"/>
  <c r="E40" i="110"/>
  <c r="G40" i="110" s="1"/>
  <c r="F40" i="110"/>
  <c r="H40" i="110" s="1"/>
  <c r="G10" i="109"/>
  <c r="U10" i="109" s="1"/>
  <c r="G12" i="108"/>
  <c r="Y21" i="95"/>
  <c r="E27" i="110"/>
  <c r="G27" i="110" s="1"/>
  <c r="F27" i="110"/>
  <c r="E51" i="110"/>
  <c r="G51" i="110" s="1"/>
  <c r="F51" i="110"/>
  <c r="E39" i="110"/>
  <c r="G39" i="110" s="1"/>
  <c r="F39" i="110"/>
  <c r="H39" i="110" s="1"/>
  <c r="R9" i="109"/>
  <c r="S9" i="109" s="1"/>
  <c r="U9" i="109"/>
  <c r="P9" i="109"/>
  <c r="O9" i="109"/>
  <c r="N9" i="109"/>
  <c r="Y18" i="95"/>
  <c r="E24" i="110"/>
  <c r="G24" i="110" s="1"/>
  <c r="F24" i="110"/>
  <c r="E48" i="110"/>
  <c r="G48" i="110" s="1"/>
  <c r="F48" i="110"/>
  <c r="E36" i="110"/>
  <c r="G36" i="110" s="1"/>
  <c r="F36" i="110"/>
  <c r="H36" i="110" s="1"/>
  <c r="H45" i="110"/>
  <c r="R10" i="110"/>
  <c r="P10" i="110"/>
  <c r="N10" i="110"/>
  <c r="O10" i="110"/>
  <c r="F32" i="110"/>
  <c r="H32" i="110" s="1"/>
  <c r="Y14" i="95"/>
  <c r="E20" i="110"/>
  <c r="G20" i="110" s="1"/>
  <c r="E44" i="110"/>
  <c r="G44" i="110" s="1"/>
  <c r="E32" i="110"/>
  <c r="G32" i="110" s="1"/>
  <c r="F20" i="110"/>
  <c r="F44" i="110"/>
  <c r="AA6" i="95"/>
  <c r="T11" i="112"/>
  <c r="U15" i="104"/>
  <c r="Q14" i="106"/>
  <c r="S14" i="106" s="1"/>
  <c r="S9" i="95" s="1"/>
  <c r="Q12" i="105"/>
  <c r="Q11" i="106"/>
  <c r="S11" i="106" s="1"/>
  <c r="S6" i="95" s="1"/>
  <c r="H40" i="112"/>
  <c r="AA55" i="95"/>
  <c r="Z8" i="95"/>
  <c r="T13" i="111"/>
  <c r="G11" i="111"/>
  <c r="H11" i="111" s="1"/>
  <c r="Y11" i="95"/>
  <c r="T16" i="110"/>
  <c r="AA11" i="95"/>
  <c r="T16" i="112"/>
  <c r="H33" i="112"/>
  <c r="AA48" i="95"/>
  <c r="AA9" i="95"/>
  <c r="T14" i="112"/>
  <c r="H51" i="109"/>
  <c r="X54" i="95"/>
  <c r="R9" i="108"/>
  <c r="S9" i="108" s="1"/>
  <c r="N9" i="108"/>
  <c r="O9" i="108"/>
  <c r="P9" i="108"/>
  <c r="U11" i="109"/>
  <c r="V17" i="95"/>
  <c r="E23" i="107"/>
  <c r="E47" i="107"/>
  <c r="F23" i="107"/>
  <c r="F47" i="107"/>
  <c r="V50" i="95" s="1"/>
  <c r="E35" i="107"/>
  <c r="F35" i="107"/>
  <c r="E46" i="99"/>
  <c r="G46" i="99" s="1"/>
  <c r="U16" i="95"/>
  <c r="H20" i="102"/>
  <c r="O25" i="95"/>
  <c r="O58" i="95" s="1"/>
  <c r="P14" i="106"/>
  <c r="S20" i="95" s="1"/>
  <c r="N11" i="106"/>
  <c r="F37" i="105"/>
  <c r="U16" i="104"/>
  <c r="Q11" i="109"/>
  <c r="E25" i="111"/>
  <c r="G25" i="111" s="1"/>
  <c r="Z19" i="95"/>
  <c r="E49" i="111"/>
  <c r="G49" i="111" s="1"/>
  <c r="F49" i="111"/>
  <c r="F25" i="111"/>
  <c r="E37" i="111"/>
  <c r="G37" i="111" s="1"/>
  <c r="F37" i="111"/>
  <c r="H37" i="111" s="1"/>
  <c r="E22" i="107"/>
  <c r="V16" i="95"/>
  <c r="E46" i="107"/>
  <c r="F22" i="107"/>
  <c r="F46" i="107"/>
  <c r="V49" i="95" s="1"/>
  <c r="E34" i="107"/>
  <c r="F34" i="107"/>
  <c r="V15" i="95"/>
  <c r="F21" i="107"/>
  <c r="E21" i="107"/>
  <c r="F45" i="107"/>
  <c r="V48" i="95" s="1"/>
  <c r="E33" i="107"/>
  <c r="F33" i="107"/>
  <c r="E45" i="107"/>
  <c r="F32" i="108"/>
  <c r="H32" i="108" s="1"/>
  <c r="W14" i="95"/>
  <c r="E44" i="108"/>
  <c r="G44" i="108" s="1"/>
  <c r="E20" i="108"/>
  <c r="G20" i="108" s="1"/>
  <c r="F44" i="108"/>
  <c r="F20" i="108"/>
  <c r="E32" i="108"/>
  <c r="G32" i="108" s="1"/>
  <c r="R13" i="110"/>
  <c r="N13" i="110"/>
  <c r="O13" i="110"/>
  <c r="P13" i="110"/>
  <c r="U14" i="111"/>
  <c r="F46" i="99"/>
  <c r="U49" i="95" s="1"/>
  <c r="O4" i="95"/>
  <c r="Q14" i="104"/>
  <c r="S14" i="104" s="1"/>
  <c r="O13" i="104"/>
  <c r="E23" i="103"/>
  <c r="G23" i="103" s="1"/>
  <c r="F23" i="103"/>
  <c r="E47" i="103"/>
  <c r="G47" i="103" s="1"/>
  <c r="F47" i="103"/>
  <c r="E35" i="103"/>
  <c r="G35" i="103" s="1"/>
  <c r="F35" i="103"/>
  <c r="N10" i="95"/>
  <c r="T15" i="101"/>
  <c r="Q15" i="104"/>
  <c r="S15" i="104" s="1"/>
  <c r="E24" i="101"/>
  <c r="G24" i="101" s="1"/>
  <c r="E48" i="101"/>
  <c r="G48" i="101" s="1"/>
  <c r="F48" i="101"/>
  <c r="F24" i="101"/>
  <c r="E36" i="101"/>
  <c r="G36" i="101" s="1"/>
  <c r="F36" i="101"/>
  <c r="O11" i="104"/>
  <c r="E26" i="103"/>
  <c r="G26" i="103" s="1"/>
  <c r="F26" i="103"/>
  <c r="E50" i="103"/>
  <c r="G50" i="103" s="1"/>
  <c r="F50" i="103"/>
  <c r="E38" i="103"/>
  <c r="G38" i="103" s="1"/>
  <c r="F38" i="103"/>
  <c r="F22" i="103"/>
  <c r="P27" i="95" s="1"/>
  <c r="E22" i="103"/>
  <c r="G22" i="103" s="1"/>
  <c r="F46" i="103"/>
  <c r="P49" i="95" s="1"/>
  <c r="E46" i="103"/>
  <c r="G46" i="103" s="1"/>
  <c r="E34" i="103"/>
  <c r="G34" i="103" s="1"/>
  <c r="F34" i="103"/>
  <c r="U12" i="105"/>
  <c r="P14" i="104"/>
  <c r="Q20" i="95" s="1"/>
  <c r="Q13" i="106"/>
  <c r="S13" i="106" s="1"/>
  <c r="U14" i="104"/>
  <c r="E23" i="101"/>
  <c r="F23" i="101"/>
  <c r="E47" i="101"/>
  <c r="F47" i="101"/>
  <c r="E35" i="101"/>
  <c r="F35" i="101"/>
  <c r="U13" i="106"/>
  <c r="U13" i="104"/>
  <c r="N15" i="104"/>
  <c r="Q15" i="105"/>
  <c r="E27" i="101"/>
  <c r="G27" i="101" s="1"/>
  <c r="F27" i="101"/>
  <c r="E51" i="101"/>
  <c r="G51" i="101" s="1"/>
  <c r="F51" i="101"/>
  <c r="E39" i="101"/>
  <c r="G39" i="101" s="1"/>
  <c r="F39" i="101"/>
  <c r="U12" i="106"/>
  <c r="P11" i="104"/>
  <c r="Q17" i="95" s="1"/>
  <c r="T10" i="102"/>
  <c r="N9" i="95"/>
  <c r="T14" i="101"/>
  <c r="E24" i="103"/>
  <c r="G24" i="103" s="1"/>
  <c r="F24" i="103"/>
  <c r="E48" i="103"/>
  <c r="G48" i="103" s="1"/>
  <c r="F48" i="103"/>
  <c r="E36" i="103"/>
  <c r="G36" i="103" s="1"/>
  <c r="F36" i="103"/>
  <c r="Q11" i="105"/>
  <c r="F44" i="101"/>
  <c r="E32" i="101"/>
  <c r="G32" i="101" s="1"/>
  <c r="F20" i="101"/>
  <c r="F32" i="101"/>
  <c r="E44" i="101"/>
  <c r="G44" i="101" s="1"/>
  <c r="E20" i="101"/>
  <c r="G20" i="101" s="1"/>
  <c r="U15" i="105"/>
  <c r="E49" i="101"/>
  <c r="G49" i="101" s="1"/>
  <c r="F49" i="101"/>
  <c r="E25" i="101"/>
  <c r="G25" i="101" s="1"/>
  <c r="F25" i="101"/>
  <c r="E37" i="101"/>
  <c r="G37" i="101" s="1"/>
  <c r="F37" i="101"/>
  <c r="O8" i="95"/>
  <c r="T13" i="102"/>
  <c r="P15" i="104"/>
  <c r="Q21" i="95" s="1"/>
  <c r="R15" i="105"/>
  <c r="N15" i="105"/>
  <c r="P15" i="105"/>
  <c r="R21" i="95" s="1"/>
  <c r="O15" i="105"/>
  <c r="G16" i="105"/>
  <c r="H16" i="105" s="1"/>
  <c r="I16" i="105" s="1"/>
  <c r="J16" i="105" s="1"/>
  <c r="K16" i="105" s="1"/>
  <c r="L16" i="105" s="1"/>
  <c r="M16" i="105" s="1"/>
  <c r="O9" i="95"/>
  <c r="T14" i="102"/>
  <c r="U10" i="106"/>
  <c r="R11" i="105"/>
  <c r="P11" i="105"/>
  <c r="R17" i="95" s="1"/>
  <c r="N11" i="105"/>
  <c r="O11" i="105"/>
  <c r="Q12" i="100"/>
  <c r="E27" i="99"/>
  <c r="G27" i="99" s="1"/>
  <c r="O14" i="104"/>
  <c r="E45" i="106"/>
  <c r="P13" i="106"/>
  <c r="S19" i="95" s="1"/>
  <c r="E25" i="103"/>
  <c r="G25" i="103" s="1"/>
  <c r="E49" i="103"/>
  <c r="G49" i="103" s="1"/>
  <c r="F25" i="103"/>
  <c r="F49" i="103"/>
  <c r="E37" i="103"/>
  <c r="G37" i="103" s="1"/>
  <c r="F37" i="103"/>
  <c r="N8" i="95"/>
  <c r="T13" i="101"/>
  <c r="O15" i="104"/>
  <c r="Q13" i="100"/>
  <c r="U11" i="104"/>
  <c r="S8" i="106"/>
  <c r="P10" i="95"/>
  <c r="T15" i="103"/>
  <c r="F22" i="105"/>
  <c r="F46" i="105"/>
  <c r="E46" i="105"/>
  <c r="G46" i="105" s="1"/>
  <c r="E22" i="105"/>
  <c r="G22" i="105" s="1"/>
  <c r="E34" i="105"/>
  <c r="G34" i="105" s="1"/>
  <c r="F34" i="105"/>
  <c r="U8" i="106"/>
  <c r="Q10" i="104"/>
  <c r="S10" i="104" s="1"/>
  <c r="R12" i="100"/>
  <c r="P12" i="100"/>
  <c r="M18" i="95" s="1"/>
  <c r="O12" i="100"/>
  <c r="N12" i="100"/>
  <c r="O6" i="95"/>
  <c r="T11" i="102"/>
  <c r="E27" i="103"/>
  <c r="G27" i="103" s="1"/>
  <c r="F27" i="103"/>
  <c r="E51" i="103"/>
  <c r="G51" i="103" s="1"/>
  <c r="F51" i="103"/>
  <c r="E39" i="103"/>
  <c r="G39" i="103" s="1"/>
  <c r="F39" i="103"/>
  <c r="R13" i="100"/>
  <c r="P13" i="100"/>
  <c r="M19" i="95" s="1"/>
  <c r="N13" i="100"/>
  <c r="O13" i="100"/>
  <c r="E27" i="102"/>
  <c r="F27" i="102"/>
  <c r="E51" i="102"/>
  <c r="F51" i="102"/>
  <c r="E39" i="102"/>
  <c r="F39" i="102"/>
  <c r="Q16" i="106"/>
  <c r="E46" i="104"/>
  <c r="O11" i="95"/>
  <c r="T16" i="102"/>
  <c r="F32" i="105"/>
  <c r="E44" i="105"/>
  <c r="G44" i="105" s="1"/>
  <c r="F20" i="105"/>
  <c r="F44" i="105"/>
  <c r="E20" i="105"/>
  <c r="G20" i="105" s="1"/>
  <c r="E32" i="105"/>
  <c r="G32" i="105" s="1"/>
  <c r="E26" i="105"/>
  <c r="G26" i="105" s="1"/>
  <c r="F26" i="105"/>
  <c r="E50" i="105"/>
  <c r="G50" i="105" s="1"/>
  <c r="F50" i="105"/>
  <c r="E38" i="105"/>
  <c r="G38" i="105" s="1"/>
  <c r="F38" i="105"/>
  <c r="O14" i="106"/>
  <c r="R12" i="105"/>
  <c r="O12" i="105"/>
  <c r="P12" i="105"/>
  <c r="R18" i="95" s="1"/>
  <c r="N12" i="105"/>
  <c r="R11" i="100"/>
  <c r="N11" i="100"/>
  <c r="P11" i="100"/>
  <c r="M17" i="95" s="1"/>
  <c r="O11" i="100"/>
  <c r="E26" i="102"/>
  <c r="G26" i="102" s="1"/>
  <c r="F26" i="102"/>
  <c r="E50" i="102"/>
  <c r="G50" i="102" s="1"/>
  <c r="F50" i="102"/>
  <c r="E38" i="102"/>
  <c r="G38" i="102" s="1"/>
  <c r="F38" i="102"/>
  <c r="U16" i="106"/>
  <c r="O10" i="104"/>
  <c r="E28" i="103"/>
  <c r="G28" i="103" s="1"/>
  <c r="E52" i="103"/>
  <c r="G52" i="103" s="1"/>
  <c r="F28" i="103"/>
  <c r="F52" i="103"/>
  <c r="E40" i="103"/>
  <c r="G40" i="103" s="1"/>
  <c r="F40" i="103"/>
  <c r="U14" i="100"/>
  <c r="E33" i="102"/>
  <c r="G33" i="102" s="1"/>
  <c r="F45" i="102"/>
  <c r="E21" i="102"/>
  <c r="E45" i="102"/>
  <c r="F21" i="102"/>
  <c r="F33" i="102"/>
  <c r="F22" i="101"/>
  <c r="E46" i="101"/>
  <c r="G46" i="101" s="1"/>
  <c r="F46" i="101"/>
  <c r="E22" i="101"/>
  <c r="G22" i="101" s="1"/>
  <c r="E34" i="101"/>
  <c r="G34" i="101" s="1"/>
  <c r="F34" i="101"/>
  <c r="R10" i="100"/>
  <c r="N10" i="100"/>
  <c r="P10" i="100"/>
  <c r="M16" i="95" s="1"/>
  <c r="O10" i="100"/>
  <c r="F9" i="104"/>
  <c r="Q9" i="104"/>
  <c r="E23" i="106"/>
  <c r="F47" i="106"/>
  <c r="F23" i="106"/>
  <c r="E47" i="106"/>
  <c r="G47" i="106" s="1"/>
  <c r="E35" i="106"/>
  <c r="F35" i="106"/>
  <c r="P8" i="95"/>
  <c r="T13" i="103"/>
  <c r="Q11" i="104"/>
  <c r="S11" i="104" s="1"/>
  <c r="R16" i="106"/>
  <c r="N16" i="106"/>
  <c r="O16" i="106"/>
  <c r="P16" i="106"/>
  <c r="S22" i="95" s="1"/>
  <c r="E48" i="102"/>
  <c r="E24" i="102"/>
  <c r="F24" i="102"/>
  <c r="F48" i="102"/>
  <c r="E36" i="102"/>
  <c r="F36" i="102"/>
  <c r="U13" i="100"/>
  <c r="R15" i="106"/>
  <c r="P15" i="106"/>
  <c r="S21" i="95" s="1"/>
  <c r="N15" i="106"/>
  <c r="O15" i="106"/>
  <c r="R14" i="100"/>
  <c r="N14" i="100"/>
  <c r="O14" i="100"/>
  <c r="P14" i="100"/>
  <c r="M20" i="95" s="1"/>
  <c r="U14" i="106"/>
  <c r="P13" i="104"/>
  <c r="Q19" i="95" s="1"/>
  <c r="T14" i="105"/>
  <c r="R9" i="95"/>
  <c r="E52" i="101"/>
  <c r="G52" i="101" s="1"/>
  <c r="F52" i="101"/>
  <c r="E28" i="101"/>
  <c r="G28" i="101" s="1"/>
  <c r="F28" i="101"/>
  <c r="E40" i="101"/>
  <c r="G40" i="101" s="1"/>
  <c r="F40" i="101"/>
  <c r="N14" i="106"/>
  <c r="P9" i="95"/>
  <c r="T14" i="103"/>
  <c r="O11" i="106"/>
  <c r="N12" i="104"/>
  <c r="N5" i="95"/>
  <c r="T10" i="101"/>
  <c r="E28" i="102"/>
  <c r="G28" i="102" s="1"/>
  <c r="F28" i="102"/>
  <c r="E52" i="102"/>
  <c r="G52" i="102" s="1"/>
  <c r="F52" i="102"/>
  <c r="E40" i="102"/>
  <c r="G40" i="102" s="1"/>
  <c r="F40" i="102"/>
  <c r="N11" i="104"/>
  <c r="P5" i="95"/>
  <c r="T10" i="103"/>
  <c r="E23" i="102"/>
  <c r="G23" i="102" s="1"/>
  <c r="E47" i="102"/>
  <c r="G47" i="102" s="1"/>
  <c r="F23" i="102"/>
  <c r="F47" i="102"/>
  <c r="E35" i="102"/>
  <c r="G35" i="102" s="1"/>
  <c r="F35" i="102"/>
  <c r="R15" i="100"/>
  <c r="P15" i="100"/>
  <c r="M21" i="95" s="1"/>
  <c r="N15" i="100"/>
  <c r="O15" i="100"/>
  <c r="R9" i="100"/>
  <c r="S9" i="100" s="1"/>
  <c r="P9" i="100"/>
  <c r="M15" i="95" s="1"/>
  <c r="O9" i="100"/>
  <c r="N9" i="100"/>
  <c r="U9" i="106"/>
  <c r="U10" i="100"/>
  <c r="E26" i="99"/>
  <c r="F50" i="99"/>
  <c r="U53" i="95" s="1"/>
  <c r="E50" i="99"/>
  <c r="G50" i="99" s="1"/>
  <c r="T12" i="80"/>
  <c r="N9" i="91"/>
  <c r="F38" i="99"/>
  <c r="F32" i="90"/>
  <c r="H32" i="90" s="1"/>
  <c r="F45" i="93"/>
  <c r="H48" i="95" s="1"/>
  <c r="G26" i="99"/>
  <c r="T14" i="99"/>
  <c r="N8" i="89"/>
  <c r="E38" i="80"/>
  <c r="G38" i="80" s="1"/>
  <c r="F44" i="90"/>
  <c r="E47" i="95" s="1"/>
  <c r="R11" i="89"/>
  <c r="P8" i="89"/>
  <c r="F20" i="89" s="1"/>
  <c r="L25" i="95" s="1"/>
  <c r="E32" i="90"/>
  <c r="G32" i="90" s="1"/>
  <c r="E45" i="93"/>
  <c r="G45" i="93" s="1"/>
  <c r="E50" i="80"/>
  <c r="G50" i="80" s="1"/>
  <c r="F32" i="96"/>
  <c r="H32" i="96" s="1"/>
  <c r="H25" i="95"/>
  <c r="T13" i="97" s="1"/>
  <c r="R8" i="89"/>
  <c r="S8" i="89" s="1"/>
  <c r="T8" i="99"/>
  <c r="N14" i="88"/>
  <c r="F50" i="80"/>
  <c r="B53" i="95" s="1"/>
  <c r="H44" i="93"/>
  <c r="O11" i="89"/>
  <c r="E26" i="80"/>
  <c r="G26" i="80" s="1"/>
  <c r="U9" i="91"/>
  <c r="T9" i="91" s="1"/>
  <c r="N11" i="89"/>
  <c r="P9" i="80"/>
  <c r="B16" i="95" s="1"/>
  <c r="N10" i="97" s="1"/>
  <c r="E20" i="88"/>
  <c r="G20" i="88" s="1"/>
  <c r="E33" i="93"/>
  <c r="G33" i="93" s="1"/>
  <c r="O9" i="91"/>
  <c r="E44" i="88"/>
  <c r="G44" i="88" s="1"/>
  <c r="S9" i="88"/>
  <c r="D4" i="95" s="1"/>
  <c r="P4" i="97" s="1"/>
  <c r="P14" i="89"/>
  <c r="F50" i="89" s="1"/>
  <c r="L53" i="95" s="1"/>
  <c r="F20" i="96"/>
  <c r="H20" i="96" s="1"/>
  <c r="H16" i="95"/>
  <c r="T10" i="97" s="1"/>
  <c r="U9" i="80"/>
  <c r="T9" i="80" s="1"/>
  <c r="F44" i="88"/>
  <c r="D47" i="95" s="1"/>
  <c r="E32" i="96"/>
  <c r="G32" i="96" s="1"/>
  <c r="H36" i="95"/>
  <c r="E21" i="93"/>
  <c r="G21" i="93" s="1"/>
  <c r="F38" i="80"/>
  <c r="B42" i="95" s="1"/>
  <c r="F26" i="80"/>
  <c r="B31" i="95" s="1"/>
  <c r="E39" i="99"/>
  <c r="G39" i="99" s="1"/>
  <c r="F44" i="96"/>
  <c r="J47" i="95" s="1"/>
  <c r="F33" i="93"/>
  <c r="H26" i="95" s="1"/>
  <c r="T14" i="97" s="1"/>
  <c r="O15" i="89"/>
  <c r="P9" i="91"/>
  <c r="F16" i="95" s="1"/>
  <c r="R10" i="97" s="1"/>
  <c r="S12" i="96"/>
  <c r="T12" i="96" s="1"/>
  <c r="E20" i="96"/>
  <c r="G20" i="96" s="1"/>
  <c r="Q14" i="89"/>
  <c r="F32" i="88"/>
  <c r="H32" i="88" s="1"/>
  <c r="E20" i="94"/>
  <c r="G20" i="94" s="1"/>
  <c r="F39" i="99"/>
  <c r="P8" i="92"/>
  <c r="G15" i="95" s="1"/>
  <c r="S9" i="97" s="1"/>
  <c r="F33" i="90"/>
  <c r="E26" i="95" s="1"/>
  <c r="Q14" i="97" s="1"/>
  <c r="E44" i="96"/>
  <c r="G44" i="96" s="1"/>
  <c r="O12" i="90"/>
  <c r="H32" i="91"/>
  <c r="T8" i="90"/>
  <c r="E3" i="95"/>
  <c r="Q3" i="97" s="1"/>
  <c r="E21" i="90"/>
  <c r="F20" i="94"/>
  <c r="I36" i="95" s="1"/>
  <c r="E22" i="94"/>
  <c r="F44" i="94"/>
  <c r="I47" i="95" s="1"/>
  <c r="R15" i="89"/>
  <c r="E33" i="90"/>
  <c r="P15" i="89"/>
  <c r="E45" i="90"/>
  <c r="F22" i="94"/>
  <c r="I38" i="95" s="1"/>
  <c r="E32" i="94"/>
  <c r="G32" i="94" s="1"/>
  <c r="F45" i="90"/>
  <c r="E48" i="95" s="1"/>
  <c r="E34" i="94"/>
  <c r="F32" i="94"/>
  <c r="H32" i="94" s="1"/>
  <c r="Q15" i="89"/>
  <c r="E46" i="94"/>
  <c r="E44" i="94"/>
  <c r="G44" i="94" s="1"/>
  <c r="F34" i="94"/>
  <c r="I27" i="95" s="1"/>
  <c r="U15" i="97" s="1"/>
  <c r="E22" i="90"/>
  <c r="F21" i="90"/>
  <c r="E37" i="95" s="1"/>
  <c r="F46" i="94"/>
  <c r="I49" i="95" s="1"/>
  <c r="F34" i="99"/>
  <c r="E48" i="80"/>
  <c r="G48" i="80" s="1"/>
  <c r="P16" i="89"/>
  <c r="E52" i="89" s="1"/>
  <c r="Q14" i="88"/>
  <c r="R14" i="88"/>
  <c r="N12" i="89"/>
  <c r="F36" i="80"/>
  <c r="B40" i="95" s="1"/>
  <c r="E36" i="80"/>
  <c r="G36" i="80" s="1"/>
  <c r="P9" i="88"/>
  <c r="E33" i="88" s="1"/>
  <c r="Q12" i="89"/>
  <c r="N16" i="89"/>
  <c r="N9" i="88"/>
  <c r="O9" i="88"/>
  <c r="F24" i="80"/>
  <c r="B29" i="95" s="1"/>
  <c r="R16" i="89"/>
  <c r="E24" i="80"/>
  <c r="G24" i="80" s="1"/>
  <c r="F48" i="80"/>
  <c r="B51" i="95" s="1"/>
  <c r="H20" i="91"/>
  <c r="E39" i="80"/>
  <c r="G39" i="80" s="1"/>
  <c r="F27" i="80"/>
  <c r="B32" i="95" s="1"/>
  <c r="E51" i="80"/>
  <c r="G51" i="80" s="1"/>
  <c r="H44" i="91"/>
  <c r="F39" i="80"/>
  <c r="B43" i="95" s="1"/>
  <c r="E27" i="80"/>
  <c r="G27" i="80" s="1"/>
  <c r="S15" i="90"/>
  <c r="H51" i="90" s="1"/>
  <c r="F24" i="99"/>
  <c r="U29" i="95" s="1"/>
  <c r="U62" i="95" s="1"/>
  <c r="T12" i="99"/>
  <c r="E48" i="99"/>
  <c r="G48" i="99" s="1"/>
  <c r="O9" i="89"/>
  <c r="F48" i="99"/>
  <c r="N9" i="89"/>
  <c r="E24" i="99"/>
  <c r="G24" i="99" s="1"/>
  <c r="S13" i="96"/>
  <c r="J8" i="95" s="1"/>
  <c r="Q9" i="89"/>
  <c r="S9" i="90"/>
  <c r="E4" i="95" s="1"/>
  <c r="Q4" i="97" s="1"/>
  <c r="F36" i="99"/>
  <c r="F51" i="80"/>
  <c r="B54" i="95" s="1"/>
  <c r="H51" i="99"/>
  <c r="O12" i="89"/>
  <c r="T10" i="93"/>
  <c r="F9" i="92"/>
  <c r="R9" i="92" s="1"/>
  <c r="S9" i="92" s="1"/>
  <c r="S11" i="88"/>
  <c r="T11" i="88" s="1"/>
  <c r="E34" i="99"/>
  <c r="G34" i="99" s="1"/>
  <c r="U12" i="89"/>
  <c r="R12" i="89"/>
  <c r="F22" i="99"/>
  <c r="F22" i="88"/>
  <c r="D38" i="95" s="1"/>
  <c r="E22" i="99"/>
  <c r="G22" i="99" s="1"/>
  <c r="T7" i="87"/>
  <c r="G45" i="99"/>
  <c r="T11" i="99"/>
  <c r="D3" i="95"/>
  <c r="Q16" i="89"/>
  <c r="T15" i="80"/>
  <c r="F22" i="90"/>
  <c r="E38" i="95" s="1"/>
  <c r="F35" i="99"/>
  <c r="F25" i="96"/>
  <c r="J41" i="95" s="1"/>
  <c r="E34" i="90"/>
  <c r="P12" i="90"/>
  <c r="R9" i="89"/>
  <c r="G21" i="99"/>
  <c r="E35" i="99"/>
  <c r="G35" i="99" s="1"/>
  <c r="E46" i="90"/>
  <c r="F47" i="99"/>
  <c r="F34" i="90"/>
  <c r="E27" i="95" s="1"/>
  <c r="Q15" i="97" s="1"/>
  <c r="S16" i="96"/>
  <c r="H33" i="99"/>
  <c r="F46" i="90"/>
  <c r="E49" i="95" s="1"/>
  <c r="N8" i="92"/>
  <c r="R12" i="90"/>
  <c r="Q10" i="89"/>
  <c r="U11" i="89"/>
  <c r="T8" i="94"/>
  <c r="R16" i="88"/>
  <c r="R8" i="92"/>
  <c r="S8" i="92" s="1"/>
  <c r="U15" i="89"/>
  <c r="U9" i="89"/>
  <c r="U14" i="89"/>
  <c r="O8" i="92"/>
  <c r="Q12" i="90"/>
  <c r="N10" i="89"/>
  <c r="O10" i="89"/>
  <c r="B5" i="95"/>
  <c r="H45" i="99"/>
  <c r="F23" i="99"/>
  <c r="T14" i="80"/>
  <c r="H21" i="99"/>
  <c r="E47" i="99"/>
  <c r="G47" i="99" s="1"/>
  <c r="U16" i="92"/>
  <c r="R10" i="89"/>
  <c r="U10" i="89"/>
  <c r="T15" i="99"/>
  <c r="E14" i="87"/>
  <c r="F14" i="87" s="1"/>
  <c r="G14" i="87" s="1"/>
  <c r="H14" i="87" s="1"/>
  <c r="I14" i="87" s="1"/>
  <c r="J14" i="87" s="1"/>
  <c r="K14" i="87" s="1"/>
  <c r="N14" i="87" s="1"/>
  <c r="L15" i="93"/>
  <c r="U15" i="93" s="1"/>
  <c r="E25" i="96"/>
  <c r="U11" i="92"/>
  <c r="U10" i="96"/>
  <c r="H14" i="91"/>
  <c r="I14" i="91" s="1"/>
  <c r="J14" i="91" s="1"/>
  <c r="K14" i="91" s="1"/>
  <c r="N14" i="91" s="1"/>
  <c r="F50" i="94"/>
  <c r="I53" i="95" s="1"/>
  <c r="E37" i="96"/>
  <c r="F23" i="94"/>
  <c r="I39" i="95" s="1"/>
  <c r="E10" i="87"/>
  <c r="F10" i="87" s="1"/>
  <c r="G10" i="87" s="1"/>
  <c r="P10" i="87" s="1"/>
  <c r="C17" i="95" s="1"/>
  <c r="H13" i="91"/>
  <c r="I13" i="91" s="1"/>
  <c r="J13" i="91" s="1"/>
  <c r="U15" i="91"/>
  <c r="U13" i="88"/>
  <c r="E49" i="96"/>
  <c r="P16" i="94"/>
  <c r="F40" i="94" s="1"/>
  <c r="I33" i="95" s="1"/>
  <c r="F58" i="95"/>
  <c r="R18" i="97" s="1"/>
  <c r="Q13" i="89"/>
  <c r="S13" i="89" s="1"/>
  <c r="L8" i="95" s="1"/>
  <c r="Q15" i="93"/>
  <c r="T10" i="99"/>
  <c r="U15" i="92"/>
  <c r="U16" i="88"/>
  <c r="U13" i="80"/>
  <c r="O13" i="89"/>
  <c r="F37" i="96"/>
  <c r="J30" i="95" s="1"/>
  <c r="O16" i="88"/>
  <c r="N13" i="88"/>
  <c r="E9" i="87"/>
  <c r="F9" i="87" s="1"/>
  <c r="N9" i="87" s="1"/>
  <c r="F44" i="99"/>
  <c r="F20" i="99"/>
  <c r="E32" i="99"/>
  <c r="G32" i="99" s="1"/>
  <c r="F32" i="99"/>
  <c r="E20" i="99"/>
  <c r="G20" i="99" s="1"/>
  <c r="E44" i="99"/>
  <c r="G44" i="99" s="1"/>
  <c r="Q13" i="99"/>
  <c r="T9" i="99"/>
  <c r="G33" i="99"/>
  <c r="U11" i="80"/>
  <c r="U12" i="90"/>
  <c r="P13" i="89"/>
  <c r="F49" i="96"/>
  <c r="J52" i="95" s="1"/>
  <c r="E15" i="87"/>
  <c r="F15" i="87" s="1"/>
  <c r="G15" i="87" s="1"/>
  <c r="H15" i="87" s="1"/>
  <c r="I15" i="87" s="1"/>
  <c r="J15" i="87" s="1"/>
  <c r="K15" i="87" s="1"/>
  <c r="L15" i="87" s="1"/>
  <c r="N15" i="87" s="1"/>
  <c r="E11" i="87"/>
  <c r="F11" i="87" s="1"/>
  <c r="G11" i="87" s="1"/>
  <c r="H11" i="87" s="1"/>
  <c r="N11" i="87" s="1"/>
  <c r="R13" i="99"/>
  <c r="O13" i="99"/>
  <c r="P13" i="99"/>
  <c r="U19" i="95" s="1"/>
  <c r="N13" i="99"/>
  <c r="R9" i="96"/>
  <c r="S9" i="96" s="1"/>
  <c r="P9" i="96"/>
  <c r="U9" i="96"/>
  <c r="N9" i="96"/>
  <c r="O9" i="96"/>
  <c r="U13" i="99"/>
  <c r="U11" i="96"/>
  <c r="E13" i="87"/>
  <c r="F13" i="87" s="1"/>
  <c r="G13" i="87" s="1"/>
  <c r="H13" i="87" s="1"/>
  <c r="I13" i="87" s="1"/>
  <c r="J13" i="87" s="1"/>
  <c r="P13" i="87" s="1"/>
  <c r="F25" i="87" s="1"/>
  <c r="C41" i="95" s="1"/>
  <c r="P13" i="88"/>
  <c r="D20" i="95" s="1"/>
  <c r="N16" i="94"/>
  <c r="Q13" i="88"/>
  <c r="U16" i="89"/>
  <c r="U9" i="88"/>
  <c r="U14" i="88"/>
  <c r="F12" i="92"/>
  <c r="G12" i="92" s="1"/>
  <c r="H12" i="92" s="1"/>
  <c r="I12" i="92" s="1"/>
  <c r="P12" i="92" s="1"/>
  <c r="F24" i="92" s="1"/>
  <c r="G40" i="95" s="1"/>
  <c r="N16" i="88"/>
  <c r="E12" i="87"/>
  <c r="F12" i="87" s="1"/>
  <c r="G12" i="87" s="1"/>
  <c r="H12" i="87" s="1"/>
  <c r="I12" i="87" s="1"/>
  <c r="P12" i="87" s="1"/>
  <c r="Q16" i="88"/>
  <c r="R13" i="88"/>
  <c r="E28" i="99"/>
  <c r="G28" i="99" s="1"/>
  <c r="F28" i="99"/>
  <c r="F52" i="99"/>
  <c r="E52" i="99"/>
  <c r="G52" i="99" s="1"/>
  <c r="E40" i="99"/>
  <c r="G40" i="99" s="1"/>
  <c r="F40" i="99"/>
  <c r="T16" i="99"/>
  <c r="U13" i="89"/>
  <c r="U16" i="90"/>
  <c r="U13" i="90"/>
  <c r="H43" i="92"/>
  <c r="R16" i="94"/>
  <c r="R9" i="94"/>
  <c r="S9" i="94" s="1"/>
  <c r="T9" i="94" s="1"/>
  <c r="Q16" i="94"/>
  <c r="U16" i="94"/>
  <c r="T8" i="96"/>
  <c r="G48" i="93"/>
  <c r="G24" i="93"/>
  <c r="H48" i="93"/>
  <c r="H9" i="95"/>
  <c r="T14" i="93"/>
  <c r="H7" i="95"/>
  <c r="T12" i="93"/>
  <c r="H6" i="95"/>
  <c r="T11" i="93"/>
  <c r="H11" i="95"/>
  <c r="T16" i="93"/>
  <c r="H25" i="93"/>
  <c r="T13" i="93"/>
  <c r="F4" i="95"/>
  <c r="R4" i="97" s="1"/>
  <c r="B11" i="95"/>
  <c r="T16" i="80"/>
  <c r="B4" i="95"/>
  <c r="N4" i="97" s="1"/>
  <c r="B3" i="95"/>
  <c r="N3" i="97" s="1"/>
  <c r="T8" i="80"/>
  <c r="E23" i="94"/>
  <c r="Q13" i="90"/>
  <c r="O10" i="96"/>
  <c r="E50" i="94"/>
  <c r="R10" i="96"/>
  <c r="S10" i="96" s="1"/>
  <c r="N10" i="96"/>
  <c r="R15" i="92"/>
  <c r="R11" i="92"/>
  <c r="Q15" i="92"/>
  <c r="Q16" i="92"/>
  <c r="G14" i="92"/>
  <c r="H14" i="92" s="1"/>
  <c r="I14" i="92" s="1"/>
  <c r="J14" i="92" s="1"/>
  <c r="K14" i="92" s="1"/>
  <c r="P14" i="92" s="1"/>
  <c r="E50" i="92" s="1"/>
  <c r="R16" i="92"/>
  <c r="G10" i="92"/>
  <c r="R10" i="92" s="1"/>
  <c r="G13" i="92"/>
  <c r="H13" i="92" s="1"/>
  <c r="I13" i="92" s="1"/>
  <c r="J13" i="92" s="1"/>
  <c r="R13" i="92" s="1"/>
  <c r="Q11" i="92"/>
  <c r="E40" i="91"/>
  <c r="P15" i="91"/>
  <c r="E39" i="91" s="1"/>
  <c r="O15" i="91"/>
  <c r="Q15" i="91"/>
  <c r="R15" i="91"/>
  <c r="N16" i="90"/>
  <c r="P16" i="90"/>
  <c r="Q16" i="90"/>
  <c r="R13" i="90"/>
  <c r="R16" i="90"/>
  <c r="F27" i="88"/>
  <c r="D43" i="95" s="1"/>
  <c r="E22" i="88"/>
  <c r="E51" i="88"/>
  <c r="E35" i="88"/>
  <c r="Q8" i="87"/>
  <c r="E34" i="91"/>
  <c r="E46" i="91"/>
  <c r="E24" i="88"/>
  <c r="F36" i="88"/>
  <c r="D29" i="95" s="1"/>
  <c r="Q11" i="80"/>
  <c r="R13" i="80"/>
  <c r="Q13" i="80"/>
  <c r="R11" i="80"/>
  <c r="E34" i="88"/>
  <c r="E52" i="91"/>
  <c r="E47" i="88"/>
  <c r="F35" i="94"/>
  <c r="I28" i="95" s="1"/>
  <c r="E8" i="87"/>
  <c r="R8" i="87" s="1"/>
  <c r="F25" i="94"/>
  <c r="I41" i="95" s="1"/>
  <c r="G49" i="93"/>
  <c r="E26" i="94"/>
  <c r="F46" i="88"/>
  <c r="D49" i="95" s="1"/>
  <c r="F52" i="91"/>
  <c r="F55" i="95" s="1"/>
  <c r="F37" i="94"/>
  <c r="I30" i="95" s="1"/>
  <c r="F24" i="88"/>
  <c r="D40" i="95" s="1"/>
  <c r="F39" i="88"/>
  <c r="D32" i="95" s="1"/>
  <c r="E35" i="94"/>
  <c r="C14" i="95"/>
  <c r="O8" i="97" s="1"/>
  <c r="E31" i="87"/>
  <c r="G31" i="87" s="1"/>
  <c r="E19" i="87"/>
  <c r="G19" i="87" s="1"/>
  <c r="F31" i="87"/>
  <c r="H31" i="87" s="1"/>
  <c r="F19" i="87"/>
  <c r="H19" i="87" s="1"/>
  <c r="E43" i="87"/>
  <c r="G43" i="87" s="1"/>
  <c r="F43" i="87"/>
  <c r="F47" i="88"/>
  <c r="D50" i="95" s="1"/>
  <c r="F26" i="94"/>
  <c r="I42" i="95" s="1"/>
  <c r="F34" i="88"/>
  <c r="D27" i="95" s="1"/>
  <c r="P15" i="97" s="1"/>
  <c r="E25" i="94"/>
  <c r="E36" i="88"/>
  <c r="E27" i="88"/>
  <c r="E47" i="94"/>
  <c r="F40" i="91"/>
  <c r="F33" i="95" s="1"/>
  <c r="E38" i="94"/>
  <c r="E46" i="88"/>
  <c r="E37" i="94"/>
  <c r="F23" i="88"/>
  <c r="D39" i="95" s="1"/>
  <c r="E48" i="88"/>
  <c r="E39" i="88"/>
  <c r="F47" i="94"/>
  <c r="I50" i="95" s="1"/>
  <c r="E28" i="91"/>
  <c r="E49" i="94"/>
  <c r="F35" i="88"/>
  <c r="D28" i="95" s="1"/>
  <c r="E16" i="87"/>
  <c r="F16" i="87" s="1"/>
  <c r="G16" i="87" s="1"/>
  <c r="H16" i="87" s="1"/>
  <c r="I16" i="87" s="1"/>
  <c r="J16" i="87" s="1"/>
  <c r="K16" i="87" s="1"/>
  <c r="L16" i="87" s="1"/>
  <c r="M16" i="87" s="1"/>
  <c r="F38" i="94"/>
  <c r="I31" i="95" s="1"/>
  <c r="F49" i="94"/>
  <c r="I52" i="95" s="1"/>
  <c r="E23" i="88"/>
  <c r="F48" i="88"/>
  <c r="D51" i="95" s="1"/>
  <c r="F51" i="88"/>
  <c r="D54" i="95" s="1"/>
  <c r="E40" i="88"/>
  <c r="F46" i="91"/>
  <c r="F49" i="95" s="1"/>
  <c r="F34" i="91"/>
  <c r="F27" i="95" s="1"/>
  <c r="R15" i="97" s="1"/>
  <c r="F22" i="91"/>
  <c r="F38" i="95" s="1"/>
  <c r="E22" i="91"/>
  <c r="H34" i="80"/>
  <c r="B38" i="95"/>
  <c r="H24" i="93"/>
  <c r="H40" i="95"/>
  <c r="P16" i="92"/>
  <c r="F40" i="92" s="1"/>
  <c r="G33" i="95" s="1"/>
  <c r="H22" i="80"/>
  <c r="B27" i="95"/>
  <c r="N15" i="97" s="1"/>
  <c r="O11" i="80"/>
  <c r="F36" i="91"/>
  <c r="F29" i="95" s="1"/>
  <c r="F19" i="95"/>
  <c r="H21" i="93"/>
  <c r="H37" i="95"/>
  <c r="S11" i="96"/>
  <c r="H36" i="93"/>
  <c r="H29" i="95"/>
  <c r="F50" i="90"/>
  <c r="E53" i="95" s="1"/>
  <c r="E21" i="95"/>
  <c r="N15" i="92"/>
  <c r="F51" i="94"/>
  <c r="I54" i="95" s="1"/>
  <c r="I22" i="95"/>
  <c r="G37" i="93"/>
  <c r="G25" i="93"/>
  <c r="H37" i="93"/>
  <c r="H8" i="95"/>
  <c r="H49" i="93"/>
  <c r="E39" i="94"/>
  <c r="E38" i="90"/>
  <c r="G34" i="80"/>
  <c r="E26" i="90"/>
  <c r="F38" i="90"/>
  <c r="E31" i="95" s="1"/>
  <c r="S15" i="88"/>
  <c r="T15" i="88" s="1"/>
  <c r="G46" i="80"/>
  <c r="H46" i="80"/>
  <c r="F26" i="90"/>
  <c r="E42" i="95" s="1"/>
  <c r="S10" i="91"/>
  <c r="T10" i="91" s="1"/>
  <c r="E52" i="88"/>
  <c r="E28" i="88"/>
  <c r="F40" i="88"/>
  <c r="D33" i="95" s="1"/>
  <c r="F28" i="88"/>
  <c r="D44" i="95" s="1"/>
  <c r="S14" i="96"/>
  <c r="H40" i="93"/>
  <c r="S12" i="88"/>
  <c r="S10" i="94"/>
  <c r="B9" i="95"/>
  <c r="H28" i="93"/>
  <c r="H52" i="93"/>
  <c r="G28" i="93"/>
  <c r="H40" i="80"/>
  <c r="E27" i="94"/>
  <c r="S10" i="88"/>
  <c r="T10" i="88" s="1"/>
  <c r="G28" i="80"/>
  <c r="G40" i="80"/>
  <c r="G52" i="80"/>
  <c r="S14" i="94"/>
  <c r="T14" i="94" s="1"/>
  <c r="H52" i="80"/>
  <c r="P11" i="92"/>
  <c r="P9" i="94"/>
  <c r="S10" i="90"/>
  <c r="B10" i="95"/>
  <c r="G52" i="93"/>
  <c r="F24" i="91"/>
  <c r="F40" i="95" s="1"/>
  <c r="S11" i="90"/>
  <c r="T11" i="90" s="1"/>
  <c r="S12" i="91"/>
  <c r="T12" i="91" s="1"/>
  <c r="H28" i="80"/>
  <c r="N11" i="92"/>
  <c r="F48" i="91"/>
  <c r="F51" i="95" s="1"/>
  <c r="O11" i="92"/>
  <c r="S11" i="94"/>
  <c r="N11" i="80"/>
  <c r="S14" i="90"/>
  <c r="T14" i="90" s="1"/>
  <c r="S15" i="94"/>
  <c r="T15" i="94" s="1"/>
  <c r="F27" i="94"/>
  <c r="I43" i="95" s="1"/>
  <c r="E51" i="94"/>
  <c r="E48" i="91"/>
  <c r="B7" i="95"/>
  <c r="E36" i="91"/>
  <c r="F39" i="94"/>
  <c r="I32" i="95" s="1"/>
  <c r="G47" i="93"/>
  <c r="E24" i="91"/>
  <c r="O9" i="94"/>
  <c r="N9" i="94"/>
  <c r="S12" i="94"/>
  <c r="T12" i="94" s="1"/>
  <c r="F47" i="91"/>
  <c r="F50" i="95" s="1"/>
  <c r="E47" i="91"/>
  <c r="E35" i="91"/>
  <c r="F23" i="91"/>
  <c r="F39" i="95" s="1"/>
  <c r="F35" i="91"/>
  <c r="F28" i="95" s="1"/>
  <c r="E23" i="91"/>
  <c r="F47" i="90"/>
  <c r="E50" i="95" s="1"/>
  <c r="E47" i="90"/>
  <c r="E35" i="90"/>
  <c r="E23" i="90"/>
  <c r="F23" i="90"/>
  <c r="E39" i="95" s="1"/>
  <c r="F35" i="90"/>
  <c r="E28" i="95" s="1"/>
  <c r="P15" i="92"/>
  <c r="G22" i="95" s="1"/>
  <c r="E46" i="93"/>
  <c r="G46" i="93" s="1"/>
  <c r="F34" i="93"/>
  <c r="F22" i="93"/>
  <c r="E34" i="93"/>
  <c r="E22" i="93"/>
  <c r="G22" i="93" s="1"/>
  <c r="F46" i="93"/>
  <c r="H49" i="95" s="1"/>
  <c r="E48" i="94"/>
  <c r="F36" i="94"/>
  <c r="I29" i="95" s="1"/>
  <c r="E36" i="94"/>
  <c r="F48" i="94"/>
  <c r="I51" i="95" s="1"/>
  <c r="F24" i="94"/>
  <c r="I40" i="95" s="1"/>
  <c r="E24" i="94"/>
  <c r="G23" i="93"/>
  <c r="H47" i="93"/>
  <c r="H23" i="93"/>
  <c r="H35" i="93"/>
  <c r="F46" i="89"/>
  <c r="L49" i="95" s="1"/>
  <c r="F34" i="89"/>
  <c r="L38" i="95" s="1"/>
  <c r="E46" i="89"/>
  <c r="E34" i="89"/>
  <c r="F22" i="89"/>
  <c r="L27" i="95" s="1"/>
  <c r="F45" i="89"/>
  <c r="L48" i="95" s="1"/>
  <c r="F33" i="89"/>
  <c r="L37" i="95" s="1"/>
  <c r="E45" i="89"/>
  <c r="E33" i="89"/>
  <c r="F21" i="89"/>
  <c r="L26" i="95" s="1"/>
  <c r="H26" i="93"/>
  <c r="G50" i="93"/>
  <c r="G40" i="93"/>
  <c r="G22" i="80"/>
  <c r="G36" i="93"/>
  <c r="F26" i="89"/>
  <c r="L31" i="95" s="1"/>
  <c r="F47" i="89"/>
  <c r="L50" i="95" s="1"/>
  <c r="F35" i="89"/>
  <c r="L39" i="95" s="1"/>
  <c r="E47" i="89"/>
  <c r="E35" i="89"/>
  <c r="F23" i="89"/>
  <c r="L28" i="95" s="1"/>
  <c r="E48" i="89"/>
  <c r="E36" i="89"/>
  <c r="F24" i="89"/>
  <c r="L29" i="95" s="1"/>
  <c r="F36" i="89"/>
  <c r="L40" i="95" s="1"/>
  <c r="F48" i="89"/>
  <c r="L51" i="95" s="1"/>
  <c r="E46" i="96"/>
  <c r="E34" i="96"/>
  <c r="F22" i="96"/>
  <c r="J38" i="95" s="1"/>
  <c r="F46" i="96"/>
  <c r="J49" i="95" s="1"/>
  <c r="E22" i="96"/>
  <c r="F34" i="96"/>
  <c r="J27" i="95" s="1"/>
  <c r="V15" i="97" s="1"/>
  <c r="S16" i="91"/>
  <c r="G38" i="93"/>
  <c r="G20" i="80"/>
  <c r="G35" i="93"/>
  <c r="P11" i="80"/>
  <c r="B18" i="95" s="1"/>
  <c r="S13" i="94"/>
  <c r="T13" i="94" s="1"/>
  <c r="S11" i="91"/>
  <c r="O16" i="92"/>
  <c r="N16" i="92"/>
  <c r="O15" i="92"/>
  <c r="H5" i="95"/>
  <c r="T5" i="97" s="1"/>
  <c r="P11" i="96"/>
  <c r="J18" i="95" s="1"/>
  <c r="O11" i="96"/>
  <c r="N11" i="96"/>
  <c r="O13" i="90"/>
  <c r="N13" i="90"/>
  <c r="P13" i="90"/>
  <c r="E20" i="95" s="1"/>
  <c r="I15" i="96"/>
  <c r="J15" i="96" s="1"/>
  <c r="K15" i="96" s="1"/>
  <c r="L15" i="96" s="1"/>
  <c r="U15" i="96" s="1"/>
  <c r="N13" i="80"/>
  <c r="P13" i="80"/>
  <c r="B20" i="95" s="1"/>
  <c r="O13" i="80"/>
  <c r="P3" i="97" l="1"/>
  <c r="C22" i="32"/>
  <c r="H32" i="102"/>
  <c r="H32" i="80"/>
  <c r="E21" i="106"/>
  <c r="F21" i="106"/>
  <c r="F45" i="106"/>
  <c r="X53" i="95"/>
  <c r="E33" i="106"/>
  <c r="H32" i="103"/>
  <c r="F33" i="106"/>
  <c r="N5" i="97"/>
  <c r="X47" i="95"/>
  <c r="M47" i="95"/>
  <c r="F32" i="106"/>
  <c r="S36" i="95" s="1"/>
  <c r="H21" i="105"/>
  <c r="G33" i="106"/>
  <c r="AA26" i="95"/>
  <c r="E40" i="104"/>
  <c r="G40" i="104" s="1"/>
  <c r="R37" i="95"/>
  <c r="H44" i="80"/>
  <c r="N53" i="95"/>
  <c r="E50" i="88"/>
  <c r="H28" i="96"/>
  <c r="E32" i="106"/>
  <c r="G32" i="106" s="1"/>
  <c r="F20" i="106"/>
  <c r="S25" i="95" s="1"/>
  <c r="E20" i="106"/>
  <c r="G20" i="106" s="1"/>
  <c r="E44" i="106"/>
  <c r="G44" i="106" s="1"/>
  <c r="F44" i="106"/>
  <c r="S47" i="95" s="1"/>
  <c r="E26" i="88"/>
  <c r="S10" i="100"/>
  <c r="M5" i="95" s="1"/>
  <c r="F26" i="88"/>
  <c r="D42" i="95" s="1"/>
  <c r="H26" i="101"/>
  <c r="F50" i="88"/>
  <c r="D53" i="95" s="1"/>
  <c r="E38" i="88"/>
  <c r="F38" i="88"/>
  <c r="D31" i="95" s="1"/>
  <c r="H52" i="108"/>
  <c r="H38" i="93"/>
  <c r="H20" i="90"/>
  <c r="T14" i="106"/>
  <c r="H50" i="93"/>
  <c r="F52" i="104"/>
  <c r="H52" i="104" s="1"/>
  <c r="F38" i="106"/>
  <c r="S42" i="95" s="1"/>
  <c r="E52" i="104"/>
  <c r="G52" i="104" s="1"/>
  <c r="E38" i="106"/>
  <c r="G38" i="106" s="1"/>
  <c r="F28" i="104"/>
  <c r="H28" i="104" s="1"/>
  <c r="F50" i="106"/>
  <c r="H50" i="106" s="1"/>
  <c r="E28" i="104"/>
  <c r="G28" i="104" s="1"/>
  <c r="F26" i="106"/>
  <c r="H26" i="106" s="1"/>
  <c r="G45" i="102"/>
  <c r="E26" i="106"/>
  <c r="G26" i="106" s="1"/>
  <c r="G21" i="102"/>
  <c r="Y26" i="95"/>
  <c r="Y59" i="95" s="1"/>
  <c r="E50" i="106"/>
  <c r="G50" i="106" s="1"/>
  <c r="F40" i="104"/>
  <c r="H40" i="104" s="1"/>
  <c r="F48" i="106"/>
  <c r="H48" i="106" s="1"/>
  <c r="H37" i="102"/>
  <c r="H20" i="80"/>
  <c r="Y28" i="95"/>
  <c r="Y61" i="95" s="1"/>
  <c r="Y39" i="95"/>
  <c r="M25" i="95"/>
  <c r="M58" i="95" s="1"/>
  <c r="S14" i="89"/>
  <c r="L9" i="95" s="1"/>
  <c r="H20" i="112"/>
  <c r="F38" i="89"/>
  <c r="L42" i="95" s="1"/>
  <c r="Q36" i="95"/>
  <c r="O52" i="95"/>
  <c r="T9" i="106"/>
  <c r="G21" i="106"/>
  <c r="G45" i="106"/>
  <c r="H34" i="102"/>
  <c r="H25" i="102"/>
  <c r="AA36" i="95"/>
  <c r="H24" i="111"/>
  <c r="H45" i="93"/>
  <c r="G23" i="106"/>
  <c r="T11" i="106"/>
  <c r="N37" i="95"/>
  <c r="T10" i="106"/>
  <c r="AA43" i="95"/>
  <c r="P48" i="95"/>
  <c r="AA32" i="95"/>
  <c r="AA65" i="95" s="1"/>
  <c r="S15" i="106"/>
  <c r="T15" i="106" s="1"/>
  <c r="G35" i="106"/>
  <c r="E22" i="104"/>
  <c r="G22" i="104" s="1"/>
  <c r="F34" i="104"/>
  <c r="Q38" i="95" s="1"/>
  <c r="E34" i="104"/>
  <c r="G34" i="104" s="1"/>
  <c r="N48" i="95"/>
  <c r="F46" i="104"/>
  <c r="Q49" i="95" s="1"/>
  <c r="F22" i="104"/>
  <c r="H22" i="104" s="1"/>
  <c r="AA40" i="95"/>
  <c r="F44" i="89"/>
  <c r="L47" i="95" s="1"/>
  <c r="AA29" i="95"/>
  <c r="AA62" i="95" s="1"/>
  <c r="H38" i="80"/>
  <c r="T12" i="106"/>
  <c r="AA28" i="95"/>
  <c r="AA61" i="95" s="1"/>
  <c r="H20" i="88"/>
  <c r="H33" i="103"/>
  <c r="G40" i="111"/>
  <c r="H39" i="112"/>
  <c r="AA50" i="95"/>
  <c r="F24" i="106"/>
  <c r="H24" i="106" s="1"/>
  <c r="H46" i="102"/>
  <c r="H22" i="102"/>
  <c r="E24" i="106"/>
  <c r="G24" i="106" s="1"/>
  <c r="P26" i="95"/>
  <c r="P59" i="95" s="1"/>
  <c r="E48" i="106"/>
  <c r="G48" i="106" s="1"/>
  <c r="H32" i="112"/>
  <c r="T16" i="104"/>
  <c r="Z25" i="95"/>
  <c r="Z58" i="95" s="1"/>
  <c r="F36" i="106"/>
  <c r="S40" i="95" s="1"/>
  <c r="Z36" i="95"/>
  <c r="E36" i="106"/>
  <c r="G36" i="106" s="1"/>
  <c r="F32" i="89"/>
  <c r="L36" i="95" s="1"/>
  <c r="T13" i="104"/>
  <c r="E32" i="89"/>
  <c r="G32" i="89" s="1"/>
  <c r="E44" i="89"/>
  <c r="G44" i="89" s="1"/>
  <c r="F33" i="80"/>
  <c r="H33" i="80" s="1"/>
  <c r="R48" i="95"/>
  <c r="Z47" i="95"/>
  <c r="W41" i="95"/>
  <c r="E33" i="80"/>
  <c r="G33" i="80" s="1"/>
  <c r="E25" i="95"/>
  <c r="S14" i="100"/>
  <c r="T14" i="100" s="1"/>
  <c r="W30" i="95"/>
  <c r="W63" i="95" s="1"/>
  <c r="S10" i="111"/>
  <c r="T10" i="111" s="1"/>
  <c r="M55" i="95"/>
  <c r="E34" i="106"/>
  <c r="G34" i="106" s="1"/>
  <c r="H21" i="110"/>
  <c r="G36" i="102"/>
  <c r="F34" i="106"/>
  <c r="H34" i="106" s="1"/>
  <c r="N26" i="95"/>
  <c r="N59" i="95" s="1"/>
  <c r="F22" i="106"/>
  <c r="H22" i="106" s="1"/>
  <c r="M44" i="95"/>
  <c r="G24" i="102"/>
  <c r="F46" i="106"/>
  <c r="H46" i="106" s="1"/>
  <c r="G48" i="102"/>
  <c r="E22" i="106"/>
  <c r="G22" i="106" s="1"/>
  <c r="T12" i="102"/>
  <c r="G35" i="88"/>
  <c r="E46" i="106"/>
  <c r="G46" i="106" s="1"/>
  <c r="H40" i="111"/>
  <c r="H50" i="99"/>
  <c r="D6" i="95"/>
  <c r="H24" i="99"/>
  <c r="S15" i="100"/>
  <c r="M10" i="95" s="1"/>
  <c r="G27" i="102"/>
  <c r="G52" i="111"/>
  <c r="W52" i="95"/>
  <c r="G23" i="88"/>
  <c r="G47" i="88"/>
  <c r="G28" i="111"/>
  <c r="H33" i="93"/>
  <c r="H46" i="99"/>
  <c r="T16" i="111"/>
  <c r="S14" i="111"/>
  <c r="Z9" i="95" s="1"/>
  <c r="F24" i="104"/>
  <c r="Q29" i="95" s="1"/>
  <c r="Q25" i="95"/>
  <c r="Q58" i="95" s="1"/>
  <c r="F48" i="104"/>
  <c r="H48" i="104" s="1"/>
  <c r="G21" i="111"/>
  <c r="E48" i="104"/>
  <c r="G48" i="104" s="1"/>
  <c r="R30" i="95"/>
  <c r="R63" i="95" s="1"/>
  <c r="H27" i="99"/>
  <c r="E24" i="104"/>
  <c r="G24" i="104" s="1"/>
  <c r="F36" i="104"/>
  <c r="H36" i="104" s="1"/>
  <c r="E36" i="104"/>
  <c r="G36" i="104" s="1"/>
  <c r="G35" i="101"/>
  <c r="G47" i="101"/>
  <c r="T11" i="101"/>
  <c r="G39" i="102"/>
  <c r="G23" i="101"/>
  <c r="S13" i="110"/>
  <c r="Y8" i="95" s="1"/>
  <c r="H23" i="112"/>
  <c r="Z37" i="95"/>
  <c r="G51" i="102"/>
  <c r="T15" i="102"/>
  <c r="S12" i="105"/>
  <c r="R7" i="95" s="1"/>
  <c r="S11" i="89"/>
  <c r="L6" i="95" s="1"/>
  <c r="L61" i="95" s="1"/>
  <c r="T12" i="104"/>
  <c r="N10" i="92"/>
  <c r="Q47" i="95"/>
  <c r="H22" i="103"/>
  <c r="E27" i="91"/>
  <c r="Z62" i="95"/>
  <c r="F32" i="92"/>
  <c r="H32" i="92" s="1"/>
  <c r="E21" i="91"/>
  <c r="G21" i="91" s="1"/>
  <c r="S10" i="110"/>
  <c r="Y5" i="95" s="1"/>
  <c r="H45" i="111"/>
  <c r="H33" i="111"/>
  <c r="F33" i="91"/>
  <c r="H33" i="91" s="1"/>
  <c r="H20" i="94"/>
  <c r="S11" i="100"/>
  <c r="M6" i="95" s="1"/>
  <c r="H21" i="111"/>
  <c r="P9" i="87"/>
  <c r="C16" i="95" s="1"/>
  <c r="O10" i="97" s="1"/>
  <c r="E20" i="92"/>
  <c r="G20" i="92" s="1"/>
  <c r="E33" i="91"/>
  <c r="G33" i="91" s="1"/>
  <c r="J25" i="95"/>
  <c r="F21" i="91"/>
  <c r="F37" i="95" s="1"/>
  <c r="E32" i="92"/>
  <c r="G32" i="92" s="1"/>
  <c r="F45" i="91"/>
  <c r="F48" i="95" s="1"/>
  <c r="H24" i="80"/>
  <c r="Q7" i="95"/>
  <c r="Q62" i="95" s="1"/>
  <c r="Q14" i="110"/>
  <c r="F44" i="92"/>
  <c r="G47" i="95" s="1"/>
  <c r="G33" i="111"/>
  <c r="O14" i="92"/>
  <c r="H46" i="103"/>
  <c r="U16" i="105"/>
  <c r="S11" i="109"/>
  <c r="X6" i="95" s="1"/>
  <c r="Z5" i="95"/>
  <c r="T9" i="109"/>
  <c r="X4" i="95"/>
  <c r="H20" i="101"/>
  <c r="N25" i="95"/>
  <c r="N58" i="95" s="1"/>
  <c r="H47" i="101"/>
  <c r="N50" i="95"/>
  <c r="H47" i="103"/>
  <c r="P50" i="95"/>
  <c r="R11" i="111"/>
  <c r="N11" i="111"/>
  <c r="P11" i="111"/>
  <c r="O11" i="111"/>
  <c r="H20" i="99"/>
  <c r="U25" i="95"/>
  <c r="U58" i="95" s="1"/>
  <c r="H48" i="99"/>
  <c r="U51" i="95"/>
  <c r="E26" i="89"/>
  <c r="L20" i="95"/>
  <c r="H45" i="102"/>
  <c r="O48" i="95"/>
  <c r="H38" i="102"/>
  <c r="O42" i="95"/>
  <c r="H51" i="102"/>
  <c r="O54" i="95"/>
  <c r="H45" i="106"/>
  <c r="S48" i="95"/>
  <c r="S51" i="95"/>
  <c r="H32" i="101"/>
  <c r="N36" i="95"/>
  <c r="H38" i="103"/>
  <c r="P42" i="95"/>
  <c r="W15" i="95"/>
  <c r="F21" i="108"/>
  <c r="H21" i="108" s="1"/>
  <c r="E45" i="108"/>
  <c r="G45" i="108" s="1"/>
  <c r="F45" i="108"/>
  <c r="F33" i="108"/>
  <c r="H33" i="108" s="1"/>
  <c r="E33" i="108"/>
  <c r="G33" i="108" s="1"/>
  <c r="E21" i="108"/>
  <c r="G21" i="108" s="1"/>
  <c r="U11" i="111"/>
  <c r="H12" i="108"/>
  <c r="Q12" i="108" s="1"/>
  <c r="H52" i="110"/>
  <c r="Y55" i="95"/>
  <c r="H26" i="112"/>
  <c r="AA42" i="95"/>
  <c r="AA31" i="95"/>
  <c r="AA64" i="95" s="1"/>
  <c r="O10" i="112"/>
  <c r="P10" i="112"/>
  <c r="N10" i="112"/>
  <c r="V44" i="95"/>
  <c r="V33" i="95"/>
  <c r="H14" i="108"/>
  <c r="I14" i="108" s="1"/>
  <c r="J14" i="108" s="1"/>
  <c r="K14" i="108" s="1"/>
  <c r="H22" i="101"/>
  <c r="N27" i="95"/>
  <c r="N60" i="95" s="1"/>
  <c r="H26" i="105"/>
  <c r="R31" i="95"/>
  <c r="R64" i="95" s="1"/>
  <c r="H37" i="103"/>
  <c r="P41" i="95"/>
  <c r="H51" i="110"/>
  <c r="Y54" i="95"/>
  <c r="H36" i="99"/>
  <c r="U40" i="95"/>
  <c r="H23" i="106"/>
  <c r="S28" i="95"/>
  <c r="S61" i="95" s="1"/>
  <c r="H50" i="102"/>
  <c r="O53" i="95"/>
  <c r="H27" i="102"/>
  <c r="O32" i="95"/>
  <c r="O65" i="95" s="1"/>
  <c r="H34" i="105"/>
  <c r="R38" i="95"/>
  <c r="H34" i="103"/>
  <c r="P38" i="95"/>
  <c r="H50" i="103"/>
  <c r="P53" i="95"/>
  <c r="H48" i="101"/>
  <c r="N51" i="95"/>
  <c r="H25" i="111"/>
  <c r="Z41" i="95"/>
  <c r="Z30" i="95"/>
  <c r="Z63" i="95" s="1"/>
  <c r="H28" i="110"/>
  <c r="Y33" i="95"/>
  <c r="Y66" i="95" s="1"/>
  <c r="Y44" i="95"/>
  <c r="H12" i="109"/>
  <c r="Q12" i="109" s="1"/>
  <c r="V30" i="95"/>
  <c r="V41" i="95"/>
  <c r="V29" i="95"/>
  <c r="V40" i="95"/>
  <c r="H28" i="111"/>
  <c r="Z33" i="95"/>
  <c r="Z66" i="95" s="1"/>
  <c r="Z44" i="95"/>
  <c r="E23" i="109"/>
  <c r="X17" i="95"/>
  <c r="E47" i="109"/>
  <c r="F23" i="109"/>
  <c r="F47" i="109"/>
  <c r="E35" i="109"/>
  <c r="F35" i="109"/>
  <c r="H35" i="102"/>
  <c r="O39" i="95"/>
  <c r="H25" i="101"/>
  <c r="N30" i="95"/>
  <c r="N63" i="95" s="1"/>
  <c r="H40" i="99"/>
  <c r="U44" i="95"/>
  <c r="H23" i="99"/>
  <c r="U28" i="95"/>
  <c r="U61" i="95" s="1"/>
  <c r="H47" i="99"/>
  <c r="U50" i="95"/>
  <c r="H35" i="99"/>
  <c r="U39" i="95"/>
  <c r="H39" i="99"/>
  <c r="U43" i="95"/>
  <c r="H26" i="99"/>
  <c r="H47" i="102"/>
  <c r="O50" i="95"/>
  <c r="H28" i="102"/>
  <c r="O33" i="95"/>
  <c r="O66" i="95" s="1"/>
  <c r="H48" i="102"/>
  <c r="O51" i="95"/>
  <c r="H47" i="106"/>
  <c r="S50" i="95"/>
  <c r="H40" i="103"/>
  <c r="P44" i="95"/>
  <c r="H51" i="103"/>
  <c r="P54" i="95"/>
  <c r="H49" i="103"/>
  <c r="P52" i="95"/>
  <c r="H49" i="101"/>
  <c r="N52" i="95"/>
  <c r="H44" i="101"/>
  <c r="N47" i="95"/>
  <c r="H39" i="101"/>
  <c r="N43" i="95"/>
  <c r="H23" i="101"/>
  <c r="N28" i="95"/>
  <c r="N61" i="95" s="1"/>
  <c r="H23" i="103"/>
  <c r="P28" i="95"/>
  <c r="P61" i="95" s="1"/>
  <c r="V27" i="95"/>
  <c r="V38" i="95"/>
  <c r="H49" i="111"/>
  <c r="Z52" i="95"/>
  <c r="Y47" i="95"/>
  <c r="H44" i="110"/>
  <c r="H27" i="110"/>
  <c r="Y32" i="95"/>
  <c r="Y65" i="95" s="1"/>
  <c r="Y43" i="95"/>
  <c r="P15" i="111"/>
  <c r="O15" i="111"/>
  <c r="N15" i="111"/>
  <c r="U15" i="111"/>
  <c r="R15" i="111"/>
  <c r="S15" i="111" s="1"/>
  <c r="R10" i="112"/>
  <c r="S10" i="112" s="1"/>
  <c r="H36" i="102"/>
  <c r="O40" i="95"/>
  <c r="H32" i="105"/>
  <c r="R36" i="95"/>
  <c r="H24" i="101"/>
  <c r="N29" i="95"/>
  <c r="N62" i="95" s="1"/>
  <c r="H13" i="109"/>
  <c r="I13" i="109" s="1"/>
  <c r="J13" i="109" s="1"/>
  <c r="H23" i="102"/>
  <c r="O28" i="95"/>
  <c r="O61" i="95" s="1"/>
  <c r="H24" i="102"/>
  <c r="O29" i="95"/>
  <c r="O62" i="95" s="1"/>
  <c r="H34" i="101"/>
  <c r="N38" i="95"/>
  <c r="H33" i="102"/>
  <c r="O37" i="95"/>
  <c r="H26" i="102"/>
  <c r="O31" i="95"/>
  <c r="O64" i="95" s="1"/>
  <c r="H25" i="103"/>
  <c r="P30" i="95"/>
  <c r="P63" i="95" s="1"/>
  <c r="H33" i="106"/>
  <c r="S37" i="95"/>
  <c r="H26" i="103"/>
  <c r="P31" i="95"/>
  <c r="V37" i="95"/>
  <c r="V26" i="95"/>
  <c r="Y36" i="95"/>
  <c r="Y25" i="95"/>
  <c r="Y58" i="95" s="1"/>
  <c r="H20" i="110"/>
  <c r="X15" i="95"/>
  <c r="E33" i="109"/>
  <c r="G33" i="109" s="1"/>
  <c r="E21" i="109"/>
  <c r="G21" i="109" s="1"/>
  <c r="E45" i="109"/>
  <c r="G45" i="109" s="1"/>
  <c r="F45" i="109"/>
  <c r="F21" i="109"/>
  <c r="F33" i="109"/>
  <c r="H33" i="109" s="1"/>
  <c r="R10" i="109"/>
  <c r="S10" i="109" s="1"/>
  <c r="O10" i="109"/>
  <c r="N10" i="109"/>
  <c r="P10" i="109"/>
  <c r="AA59" i="95"/>
  <c r="H13" i="112"/>
  <c r="R10" i="108"/>
  <c r="S10" i="108" s="1"/>
  <c r="N10" i="108"/>
  <c r="P10" i="108"/>
  <c r="O10" i="108"/>
  <c r="V25" i="95"/>
  <c r="V36" i="95"/>
  <c r="H38" i="99"/>
  <c r="U42" i="95"/>
  <c r="H52" i="101"/>
  <c r="N55" i="95"/>
  <c r="H39" i="103"/>
  <c r="P43" i="95"/>
  <c r="H52" i="111"/>
  <c r="Z55" i="95"/>
  <c r="E25" i="89"/>
  <c r="G25" i="89" s="1"/>
  <c r="L19" i="95"/>
  <c r="E28" i="89"/>
  <c r="L22" i="95"/>
  <c r="E27" i="89"/>
  <c r="L21" i="95"/>
  <c r="H40" i="101"/>
  <c r="N44" i="95"/>
  <c r="H21" i="102"/>
  <c r="O26" i="95"/>
  <c r="O59" i="95" s="1"/>
  <c r="H52" i="103"/>
  <c r="P55" i="95"/>
  <c r="H38" i="105"/>
  <c r="R42" i="95"/>
  <c r="Q55" i="95"/>
  <c r="H27" i="103"/>
  <c r="P32" i="95"/>
  <c r="P65" i="95" s="1"/>
  <c r="H36" i="103"/>
  <c r="P40" i="95"/>
  <c r="H51" i="101"/>
  <c r="N54" i="95"/>
  <c r="AA66" i="95"/>
  <c r="H48" i="110"/>
  <c r="Y51" i="95"/>
  <c r="E22" i="111"/>
  <c r="Z16" i="95"/>
  <c r="F22" i="111"/>
  <c r="E46" i="111"/>
  <c r="F46" i="111"/>
  <c r="Z49" i="95" s="1"/>
  <c r="E34" i="111"/>
  <c r="F34" i="111"/>
  <c r="U15" i="108"/>
  <c r="U14" i="110"/>
  <c r="H52" i="102"/>
  <c r="O55" i="95"/>
  <c r="H24" i="103"/>
  <c r="P29" i="95"/>
  <c r="P62" i="95" s="1"/>
  <c r="W4" i="95"/>
  <c r="T9" i="108"/>
  <c r="W66" i="95"/>
  <c r="H52" i="99"/>
  <c r="U55" i="95"/>
  <c r="H32" i="99"/>
  <c r="U36" i="95"/>
  <c r="E20" i="89"/>
  <c r="G20" i="89" s="1"/>
  <c r="L14" i="95"/>
  <c r="H28" i="103"/>
  <c r="P33" i="95"/>
  <c r="P66" i="95" s="1"/>
  <c r="H44" i="105"/>
  <c r="R47" i="95"/>
  <c r="H39" i="102"/>
  <c r="O43" i="95"/>
  <c r="H46" i="105"/>
  <c r="R49" i="95"/>
  <c r="H20" i="108"/>
  <c r="W25" i="95"/>
  <c r="W58" i="95" s="1"/>
  <c r="W36" i="95"/>
  <c r="H37" i="105"/>
  <c r="R41" i="95"/>
  <c r="H38" i="112"/>
  <c r="AA53" i="95"/>
  <c r="H11" i="108"/>
  <c r="Q11" i="108"/>
  <c r="R15" i="108"/>
  <c r="O15" i="108"/>
  <c r="P15" i="108"/>
  <c r="N15" i="108"/>
  <c r="R14" i="110"/>
  <c r="P14" i="110"/>
  <c r="N14" i="110"/>
  <c r="O14" i="110"/>
  <c r="Q15" i="108"/>
  <c r="H44" i="99"/>
  <c r="U47" i="95"/>
  <c r="E25" i="110"/>
  <c r="Y19" i="95"/>
  <c r="F25" i="110"/>
  <c r="E49" i="110"/>
  <c r="F49" i="110"/>
  <c r="E37" i="110"/>
  <c r="F37" i="110"/>
  <c r="H28" i="109"/>
  <c r="X33" i="95"/>
  <c r="X66" i="95" s="1"/>
  <c r="X44" i="95"/>
  <c r="H28" i="99"/>
  <c r="U33" i="95"/>
  <c r="U66" i="95" s="1"/>
  <c r="H22" i="99"/>
  <c r="U27" i="95"/>
  <c r="U60" i="95" s="1"/>
  <c r="H34" i="99"/>
  <c r="U38" i="95"/>
  <c r="H40" i="102"/>
  <c r="O44" i="95"/>
  <c r="H28" i="101"/>
  <c r="N33" i="95"/>
  <c r="N66" i="95" s="1"/>
  <c r="H35" i="106"/>
  <c r="S39" i="95"/>
  <c r="H46" i="101"/>
  <c r="N49" i="95"/>
  <c r="H50" i="105"/>
  <c r="R53" i="95"/>
  <c r="H20" i="105"/>
  <c r="R25" i="95"/>
  <c r="R58" i="95" s="1"/>
  <c r="H22" i="105"/>
  <c r="R27" i="95"/>
  <c r="R60" i="95" s="1"/>
  <c r="H21" i="106"/>
  <c r="S26" i="95"/>
  <c r="S59" i="95" s="1"/>
  <c r="H37" i="101"/>
  <c r="N41" i="95"/>
  <c r="H48" i="103"/>
  <c r="P51" i="95"/>
  <c r="H27" i="101"/>
  <c r="N32" i="95"/>
  <c r="N65" i="95" s="1"/>
  <c r="H35" i="101"/>
  <c r="N39" i="95"/>
  <c r="H36" i="101"/>
  <c r="N40" i="95"/>
  <c r="H35" i="103"/>
  <c r="P39" i="95"/>
  <c r="H44" i="108"/>
  <c r="W47" i="95"/>
  <c r="V28" i="95"/>
  <c r="V39" i="95"/>
  <c r="Y16" i="95"/>
  <c r="F46" i="110"/>
  <c r="E22" i="110"/>
  <c r="E46" i="110"/>
  <c r="F22" i="110"/>
  <c r="E34" i="110"/>
  <c r="F34" i="110"/>
  <c r="Y40" i="95"/>
  <c r="Y29" i="95"/>
  <c r="Y62" i="95" s="1"/>
  <c r="H24" i="110"/>
  <c r="H52" i="109"/>
  <c r="X55" i="95"/>
  <c r="U10" i="112"/>
  <c r="Z4" i="95"/>
  <c r="T9" i="111"/>
  <c r="E26" i="111"/>
  <c r="Z20" i="95"/>
  <c r="E50" i="111"/>
  <c r="F26" i="111"/>
  <c r="F50" i="111"/>
  <c r="E38" i="111"/>
  <c r="F38" i="111"/>
  <c r="H49" i="105"/>
  <c r="R52" i="95"/>
  <c r="G45" i="111"/>
  <c r="Q11" i="111"/>
  <c r="M4" i="95"/>
  <c r="T9" i="100"/>
  <c r="T8" i="89"/>
  <c r="L3" i="95"/>
  <c r="E26" i="100"/>
  <c r="F26" i="100"/>
  <c r="E50" i="100"/>
  <c r="F50" i="100"/>
  <c r="E38" i="100"/>
  <c r="F38" i="100"/>
  <c r="S13" i="100"/>
  <c r="E27" i="104"/>
  <c r="G27" i="104" s="1"/>
  <c r="F27" i="104"/>
  <c r="E51" i="104"/>
  <c r="G51" i="104" s="1"/>
  <c r="F51" i="104"/>
  <c r="E39" i="104"/>
  <c r="G39" i="104" s="1"/>
  <c r="F39" i="104"/>
  <c r="E26" i="104"/>
  <c r="G26" i="104" s="1"/>
  <c r="E50" i="104"/>
  <c r="G50" i="104" s="1"/>
  <c r="F26" i="104"/>
  <c r="F50" i="104"/>
  <c r="E38" i="104"/>
  <c r="G38" i="104" s="1"/>
  <c r="F38" i="104"/>
  <c r="Q10" i="95"/>
  <c r="T15" i="104"/>
  <c r="Q16" i="105"/>
  <c r="F21" i="100"/>
  <c r="E45" i="100"/>
  <c r="G45" i="100" s="1"/>
  <c r="E33" i="100"/>
  <c r="G33" i="100" s="1"/>
  <c r="F45" i="100"/>
  <c r="F33" i="100"/>
  <c r="E21" i="100"/>
  <c r="G21" i="100" s="1"/>
  <c r="P64" i="95"/>
  <c r="F46" i="100"/>
  <c r="E46" i="100"/>
  <c r="F22" i="100"/>
  <c r="E22" i="100"/>
  <c r="E34" i="100"/>
  <c r="F34" i="100"/>
  <c r="E23" i="100"/>
  <c r="E47" i="100"/>
  <c r="F23" i="100"/>
  <c r="F47" i="100"/>
  <c r="E35" i="100"/>
  <c r="F35" i="100"/>
  <c r="E24" i="105"/>
  <c r="E48" i="105"/>
  <c r="F24" i="105"/>
  <c r="F48" i="105"/>
  <c r="E36" i="105"/>
  <c r="F36" i="105"/>
  <c r="S16" i="106"/>
  <c r="S11" i="95" s="1"/>
  <c r="E25" i="100"/>
  <c r="E49" i="100"/>
  <c r="F49" i="100"/>
  <c r="F25" i="100"/>
  <c r="E37" i="100"/>
  <c r="F37" i="100"/>
  <c r="E24" i="100"/>
  <c r="E48" i="100"/>
  <c r="F48" i="100"/>
  <c r="M51" i="95" s="1"/>
  <c r="F24" i="100"/>
  <c r="M29" i="95" s="1"/>
  <c r="E36" i="100"/>
  <c r="F36" i="100"/>
  <c r="S12" i="100"/>
  <c r="S11" i="105"/>
  <c r="N64" i="95"/>
  <c r="P60" i="95"/>
  <c r="O63" i="95"/>
  <c r="Q6" i="95"/>
  <c r="Q5" i="95"/>
  <c r="T10" i="104"/>
  <c r="E27" i="105"/>
  <c r="F27" i="105"/>
  <c r="R32" i="95" s="1"/>
  <c r="E51" i="105"/>
  <c r="F51" i="105"/>
  <c r="R54" i="95" s="1"/>
  <c r="E39" i="105"/>
  <c r="F39" i="105"/>
  <c r="R43" i="95" s="1"/>
  <c r="E23" i="104"/>
  <c r="G23" i="104" s="1"/>
  <c r="E47" i="104"/>
  <c r="G47" i="104" s="1"/>
  <c r="F23" i="104"/>
  <c r="E35" i="104"/>
  <c r="G35" i="104" s="1"/>
  <c r="F47" i="104"/>
  <c r="F35" i="104"/>
  <c r="S8" i="95"/>
  <c r="T13" i="106"/>
  <c r="E27" i="100"/>
  <c r="F27" i="100"/>
  <c r="E51" i="100"/>
  <c r="F51" i="100"/>
  <c r="E39" i="100"/>
  <c r="F39" i="100"/>
  <c r="G46" i="104"/>
  <c r="F23" i="105"/>
  <c r="R28" i="95" s="1"/>
  <c r="F47" i="105"/>
  <c r="R50" i="95" s="1"/>
  <c r="E23" i="105"/>
  <c r="E47" i="105"/>
  <c r="E35" i="105"/>
  <c r="F35" i="105"/>
  <c r="E25" i="104"/>
  <c r="G25" i="104" s="1"/>
  <c r="E49" i="104"/>
  <c r="G49" i="104" s="1"/>
  <c r="F49" i="104"/>
  <c r="F25" i="104"/>
  <c r="E37" i="104"/>
  <c r="G37" i="104" s="1"/>
  <c r="F37" i="104"/>
  <c r="E51" i="106"/>
  <c r="F51" i="106"/>
  <c r="E27" i="106"/>
  <c r="F27" i="106"/>
  <c r="E39" i="106"/>
  <c r="F39" i="106"/>
  <c r="R9" i="104"/>
  <c r="S9" i="104" s="1"/>
  <c r="O9" i="104"/>
  <c r="P9" i="104"/>
  <c r="Q15" i="95" s="1"/>
  <c r="N9" i="104"/>
  <c r="H44" i="106"/>
  <c r="S3" i="95"/>
  <c r="H20" i="106"/>
  <c r="T8" i="106"/>
  <c r="E52" i="106"/>
  <c r="F52" i="106"/>
  <c r="E28" i="106"/>
  <c r="F28" i="106"/>
  <c r="E40" i="106"/>
  <c r="F40" i="106"/>
  <c r="T11" i="104"/>
  <c r="E49" i="106"/>
  <c r="G49" i="106" s="1"/>
  <c r="E25" i="106"/>
  <c r="G25" i="106" s="1"/>
  <c r="F49" i="106"/>
  <c r="F25" i="106"/>
  <c r="E37" i="106"/>
  <c r="G37" i="106" s="1"/>
  <c r="F37" i="106"/>
  <c r="R16" i="105"/>
  <c r="O16" i="105"/>
  <c r="P16" i="105"/>
  <c r="R22" i="95" s="1"/>
  <c r="N16" i="105"/>
  <c r="S15" i="105"/>
  <c r="Q9" i="95"/>
  <c r="T14" i="104"/>
  <c r="U9" i="104"/>
  <c r="J7" i="95"/>
  <c r="G36" i="96"/>
  <c r="S10" i="89"/>
  <c r="L5" i="95" s="1"/>
  <c r="H44" i="90"/>
  <c r="H24" i="96"/>
  <c r="G24" i="96"/>
  <c r="H36" i="96"/>
  <c r="H48" i="96"/>
  <c r="P14" i="87"/>
  <c r="C21" i="95" s="1"/>
  <c r="H58" i="95"/>
  <c r="T18" i="97" s="1"/>
  <c r="G48" i="96"/>
  <c r="H27" i="80"/>
  <c r="S9" i="89"/>
  <c r="L4" i="95" s="1"/>
  <c r="S15" i="89"/>
  <c r="L10" i="95" s="1"/>
  <c r="S12" i="90"/>
  <c r="E7" i="95" s="1"/>
  <c r="H27" i="90"/>
  <c r="F21" i="80"/>
  <c r="B26" i="95" s="1"/>
  <c r="H44" i="88"/>
  <c r="F40" i="89"/>
  <c r="L44" i="95" s="1"/>
  <c r="F45" i="80"/>
  <c r="B48" i="95" s="1"/>
  <c r="N14" i="92"/>
  <c r="H39" i="90"/>
  <c r="F20" i="92"/>
  <c r="H20" i="92" s="1"/>
  <c r="E45" i="91"/>
  <c r="G45" i="91" s="1"/>
  <c r="F52" i="89"/>
  <c r="L55" i="95" s="1"/>
  <c r="E21" i="80"/>
  <c r="G21" i="80" s="1"/>
  <c r="H36" i="80"/>
  <c r="H44" i="94"/>
  <c r="F51" i="91"/>
  <c r="F54" i="95" s="1"/>
  <c r="H26" i="80"/>
  <c r="E10" i="95"/>
  <c r="U9" i="92"/>
  <c r="T9" i="92" s="1"/>
  <c r="F28" i="89"/>
  <c r="L33" i="95" s="1"/>
  <c r="E45" i="80"/>
  <c r="G45" i="80" s="1"/>
  <c r="H50" i="80"/>
  <c r="O9" i="92"/>
  <c r="E44" i="92"/>
  <c r="G44" i="92" s="1"/>
  <c r="E50" i="89"/>
  <c r="E40" i="89"/>
  <c r="E51" i="91"/>
  <c r="O10" i="92"/>
  <c r="S14" i="88"/>
  <c r="D9" i="95" s="1"/>
  <c r="F27" i="89"/>
  <c r="L32" i="95" s="1"/>
  <c r="E39" i="89"/>
  <c r="G40" i="96"/>
  <c r="H40" i="96"/>
  <c r="T16" i="96"/>
  <c r="E51" i="89"/>
  <c r="J36" i="95"/>
  <c r="D25" i="95"/>
  <c r="J11" i="95"/>
  <c r="J66" i="95" s="1"/>
  <c r="F39" i="89"/>
  <c r="E45" i="88"/>
  <c r="G45" i="88" s="1"/>
  <c r="F27" i="91"/>
  <c r="F43" i="95" s="1"/>
  <c r="F22" i="95"/>
  <c r="F51" i="89"/>
  <c r="L54" i="95" s="1"/>
  <c r="H51" i="80"/>
  <c r="G52" i="96"/>
  <c r="I25" i="95"/>
  <c r="O10" i="87"/>
  <c r="R14" i="91"/>
  <c r="T9" i="88"/>
  <c r="U14" i="91"/>
  <c r="F21" i="88"/>
  <c r="H21" i="88" s="1"/>
  <c r="G28" i="96"/>
  <c r="P10" i="92"/>
  <c r="F46" i="92" s="1"/>
  <c r="G49" i="95" s="1"/>
  <c r="H52" i="96"/>
  <c r="H39" i="80"/>
  <c r="H44" i="96"/>
  <c r="E38" i="89"/>
  <c r="F39" i="91"/>
  <c r="F32" i="95" s="1"/>
  <c r="H48" i="80"/>
  <c r="Q9" i="87"/>
  <c r="Q14" i="91"/>
  <c r="G51" i="90"/>
  <c r="T15" i="90"/>
  <c r="F45" i="88"/>
  <c r="D48" i="95" s="1"/>
  <c r="D16" i="95"/>
  <c r="P10" i="97" s="1"/>
  <c r="S16" i="94"/>
  <c r="F33" i="88"/>
  <c r="D26" i="95" s="1"/>
  <c r="B60" i="95"/>
  <c r="N20" i="97" s="1"/>
  <c r="G27" i="90"/>
  <c r="E21" i="88"/>
  <c r="G21" i="88" s="1"/>
  <c r="F49" i="87"/>
  <c r="C52" i="95" s="1"/>
  <c r="E49" i="87"/>
  <c r="S16" i="89"/>
  <c r="L11" i="95" s="1"/>
  <c r="G39" i="90"/>
  <c r="F25" i="89"/>
  <c r="E37" i="89"/>
  <c r="G37" i="89" s="1"/>
  <c r="E49" i="89"/>
  <c r="G49" i="89" s="1"/>
  <c r="F37" i="89"/>
  <c r="F49" i="89"/>
  <c r="S12" i="89"/>
  <c r="H48" i="89" s="1"/>
  <c r="O9" i="87"/>
  <c r="E37" i="87"/>
  <c r="Q13" i="87"/>
  <c r="R14" i="92"/>
  <c r="G45" i="90"/>
  <c r="H21" i="90"/>
  <c r="R13" i="87"/>
  <c r="S16" i="88"/>
  <c r="T16" i="88" s="1"/>
  <c r="F37" i="87"/>
  <c r="C30" i="95" s="1"/>
  <c r="N13" i="87"/>
  <c r="C20" i="95"/>
  <c r="R9" i="87"/>
  <c r="H33" i="90"/>
  <c r="O13" i="87"/>
  <c r="E25" i="87"/>
  <c r="G22" i="32"/>
  <c r="G33" i="90"/>
  <c r="T9" i="90"/>
  <c r="S13" i="88"/>
  <c r="D8" i="95" s="1"/>
  <c r="P9" i="92"/>
  <c r="G16" i="95" s="1"/>
  <c r="S10" i="97" s="1"/>
  <c r="H25" i="96"/>
  <c r="G21" i="90"/>
  <c r="G25" i="96"/>
  <c r="F25" i="88"/>
  <c r="D41" i="95" s="1"/>
  <c r="G37" i="96"/>
  <c r="E40" i="94"/>
  <c r="F28" i="94"/>
  <c r="I44" i="95" s="1"/>
  <c r="P15" i="87"/>
  <c r="C22" i="95" s="1"/>
  <c r="Q12" i="87"/>
  <c r="T13" i="96"/>
  <c r="H45" i="90"/>
  <c r="N9" i="92"/>
  <c r="O15" i="87"/>
  <c r="Q15" i="87"/>
  <c r="R15" i="87"/>
  <c r="G49" i="96"/>
  <c r="F52" i="94"/>
  <c r="I55" i="95" s="1"/>
  <c r="E28" i="94"/>
  <c r="E52" i="94"/>
  <c r="H37" i="96"/>
  <c r="E19" i="95"/>
  <c r="E36" i="90"/>
  <c r="E24" i="90"/>
  <c r="E48" i="90"/>
  <c r="F36" i="90"/>
  <c r="E29" i="95" s="1"/>
  <c r="F48" i="90"/>
  <c r="E51" i="95" s="1"/>
  <c r="F24" i="90"/>
  <c r="E40" i="95" s="1"/>
  <c r="C19" i="95"/>
  <c r="F48" i="87"/>
  <c r="C51" i="95" s="1"/>
  <c r="T8" i="92"/>
  <c r="G3" i="95"/>
  <c r="S3" i="97" s="1"/>
  <c r="N10" i="87"/>
  <c r="R10" i="87"/>
  <c r="O12" i="87"/>
  <c r="N12" i="87"/>
  <c r="Q10" i="87"/>
  <c r="R12" i="87"/>
  <c r="U10" i="87"/>
  <c r="Q14" i="87"/>
  <c r="U13" i="92"/>
  <c r="P11" i="87"/>
  <c r="Q11" i="87"/>
  <c r="O11" i="87"/>
  <c r="O14" i="87"/>
  <c r="U12" i="87"/>
  <c r="U9" i="87"/>
  <c r="T13" i="89"/>
  <c r="R14" i="87"/>
  <c r="U12" i="92"/>
  <c r="R11" i="87"/>
  <c r="Q14" i="92"/>
  <c r="Q13" i="91"/>
  <c r="E49" i="99"/>
  <c r="F25" i="99"/>
  <c r="U30" i="95" s="1"/>
  <c r="E25" i="99"/>
  <c r="F49" i="99"/>
  <c r="U52" i="95" s="1"/>
  <c r="E37" i="99"/>
  <c r="F37" i="99"/>
  <c r="U41" i="95" s="1"/>
  <c r="F37" i="88"/>
  <c r="D30" i="95" s="1"/>
  <c r="S15" i="91"/>
  <c r="T15" i="91" s="1"/>
  <c r="O14" i="91"/>
  <c r="P14" i="91"/>
  <c r="H61" i="95"/>
  <c r="H63" i="95"/>
  <c r="T9" i="96"/>
  <c r="J4" i="95"/>
  <c r="V4" i="97" s="1"/>
  <c r="S13" i="99"/>
  <c r="U8" i="87"/>
  <c r="E37" i="88"/>
  <c r="U14" i="92"/>
  <c r="E49" i="88"/>
  <c r="S8" i="87"/>
  <c r="C3" i="95" s="1"/>
  <c r="O3" i="97" s="1"/>
  <c r="H64" i="95"/>
  <c r="U13" i="87"/>
  <c r="F21" i="96"/>
  <c r="J16" i="95"/>
  <c r="V10" i="97" s="1"/>
  <c r="E45" i="96"/>
  <c r="G45" i="96" s="1"/>
  <c r="F33" i="96"/>
  <c r="E21" i="96"/>
  <c r="G21" i="96" s="1"/>
  <c r="F45" i="96"/>
  <c r="J48" i="95" s="1"/>
  <c r="E33" i="96"/>
  <c r="G33" i="96" s="1"/>
  <c r="U11" i="87"/>
  <c r="N15" i="93"/>
  <c r="R15" i="93"/>
  <c r="S15" i="93" s="1"/>
  <c r="O15" i="93"/>
  <c r="U10" i="92"/>
  <c r="E25" i="88"/>
  <c r="F49" i="88"/>
  <c r="D52" i="95" s="1"/>
  <c r="U16" i="87"/>
  <c r="P15" i="93"/>
  <c r="H66" i="95"/>
  <c r="U15" i="87"/>
  <c r="U13" i="91"/>
  <c r="U14" i="87"/>
  <c r="H49" i="96"/>
  <c r="J63" i="95"/>
  <c r="O13" i="91"/>
  <c r="P13" i="91"/>
  <c r="N13" i="91"/>
  <c r="R13" i="91"/>
  <c r="B64" i="95"/>
  <c r="B62" i="95"/>
  <c r="B65" i="95"/>
  <c r="B66" i="95"/>
  <c r="H46" i="93"/>
  <c r="H47" i="88"/>
  <c r="H43" i="87"/>
  <c r="H59" i="95"/>
  <c r="T19" i="97" s="1"/>
  <c r="E59" i="95"/>
  <c r="Q19" i="97" s="1"/>
  <c r="H20" i="89"/>
  <c r="J5" i="95"/>
  <c r="V5" i="97" s="1"/>
  <c r="T10" i="96"/>
  <c r="J6" i="95"/>
  <c r="T11" i="96"/>
  <c r="G38" i="96"/>
  <c r="T14" i="96"/>
  <c r="G23" i="94"/>
  <c r="T11" i="94"/>
  <c r="G22" i="94"/>
  <c r="T10" i="94"/>
  <c r="H62" i="95"/>
  <c r="G4" i="95"/>
  <c r="S4" i="97" s="1"/>
  <c r="G40" i="91"/>
  <c r="T16" i="91"/>
  <c r="F6" i="95"/>
  <c r="T11" i="91"/>
  <c r="H34" i="90"/>
  <c r="T10" i="90"/>
  <c r="H36" i="88"/>
  <c r="T12" i="88"/>
  <c r="G38" i="94"/>
  <c r="S16" i="90"/>
  <c r="T16" i="90" s="1"/>
  <c r="S11" i="92"/>
  <c r="T11" i="92" s="1"/>
  <c r="P13" i="92"/>
  <c r="G20" i="95" s="1"/>
  <c r="N13" i="92"/>
  <c r="O13" i="92"/>
  <c r="Q15" i="96"/>
  <c r="R15" i="96"/>
  <c r="O12" i="92"/>
  <c r="N12" i="92"/>
  <c r="Q12" i="92"/>
  <c r="E40" i="92"/>
  <c r="F52" i="92"/>
  <c r="G55" i="95" s="1"/>
  <c r="R12" i="92"/>
  <c r="E52" i="92"/>
  <c r="Q13" i="92"/>
  <c r="S13" i="92" s="1"/>
  <c r="E52" i="90"/>
  <c r="F28" i="90"/>
  <c r="E44" i="95" s="1"/>
  <c r="F40" i="90"/>
  <c r="E33" i="95" s="1"/>
  <c r="F52" i="90"/>
  <c r="E40" i="90"/>
  <c r="E28" i="90"/>
  <c r="G46" i="88"/>
  <c r="H27" i="88"/>
  <c r="D10" i="95"/>
  <c r="E46" i="87"/>
  <c r="F34" i="87"/>
  <c r="C27" i="95" s="1"/>
  <c r="O15" i="97" s="1"/>
  <c r="E24" i="87"/>
  <c r="E36" i="87"/>
  <c r="F46" i="87"/>
  <c r="C49" i="95" s="1"/>
  <c r="Q16" i="87"/>
  <c r="F24" i="87"/>
  <c r="C40" i="95" s="1"/>
  <c r="F36" i="87"/>
  <c r="C29" i="95" s="1"/>
  <c r="R16" i="87"/>
  <c r="E48" i="87"/>
  <c r="E22" i="87"/>
  <c r="F22" i="87"/>
  <c r="C38" i="95" s="1"/>
  <c r="E34" i="87"/>
  <c r="G22" i="91"/>
  <c r="H35" i="88"/>
  <c r="H34" i="88"/>
  <c r="P8" i="87"/>
  <c r="E20" i="87" s="1"/>
  <c r="O8" i="87"/>
  <c r="N8" i="87"/>
  <c r="D5" i="95"/>
  <c r="P5" i="97" s="1"/>
  <c r="H46" i="88"/>
  <c r="H39" i="88"/>
  <c r="O16" i="87"/>
  <c r="N16" i="87"/>
  <c r="P16" i="87"/>
  <c r="H36" i="91"/>
  <c r="H23" i="88"/>
  <c r="E28" i="92"/>
  <c r="G26" i="90"/>
  <c r="F28" i="92"/>
  <c r="G44" i="95" s="1"/>
  <c r="H51" i="94"/>
  <c r="E48" i="92"/>
  <c r="G19" i="95"/>
  <c r="F33" i="94"/>
  <c r="I26" i="95" s="1"/>
  <c r="U14" i="97" s="1"/>
  <c r="I16" i="95"/>
  <c r="U10" i="97" s="1"/>
  <c r="H22" i="93"/>
  <c r="H38" i="95"/>
  <c r="F47" i="92"/>
  <c r="G50" i="95" s="1"/>
  <c r="G18" i="95"/>
  <c r="B58" i="95"/>
  <c r="N18" i="97" s="1"/>
  <c r="H34" i="93"/>
  <c r="H27" i="95"/>
  <c r="E38" i="92"/>
  <c r="G21" i="95"/>
  <c r="G46" i="94"/>
  <c r="H46" i="94"/>
  <c r="F48" i="92"/>
  <c r="G51" i="95" s="1"/>
  <c r="G39" i="88"/>
  <c r="H34" i="94"/>
  <c r="E24" i="92"/>
  <c r="F36" i="92"/>
  <c r="G29" i="95" s="1"/>
  <c r="H51" i="88"/>
  <c r="G51" i="88"/>
  <c r="G27" i="88"/>
  <c r="H22" i="94"/>
  <c r="E36" i="92"/>
  <c r="G39" i="94"/>
  <c r="G48" i="88"/>
  <c r="H38" i="96"/>
  <c r="H50" i="96"/>
  <c r="H48" i="88"/>
  <c r="J9" i="95"/>
  <c r="G50" i="96"/>
  <c r="G26" i="96"/>
  <c r="H26" i="96"/>
  <c r="F5" i="95"/>
  <c r="R5" i="97" s="1"/>
  <c r="G46" i="91"/>
  <c r="G22" i="90"/>
  <c r="F11" i="95"/>
  <c r="H34" i="91"/>
  <c r="H22" i="91"/>
  <c r="G34" i="91"/>
  <c r="H46" i="91"/>
  <c r="G34" i="90"/>
  <c r="G27" i="94"/>
  <c r="E23" i="92"/>
  <c r="G36" i="88"/>
  <c r="G24" i="88"/>
  <c r="D7" i="95"/>
  <c r="H23" i="94"/>
  <c r="E35" i="92"/>
  <c r="H24" i="88"/>
  <c r="G24" i="91"/>
  <c r="E26" i="92"/>
  <c r="F38" i="92"/>
  <c r="G31" i="95" s="1"/>
  <c r="H22" i="88"/>
  <c r="H24" i="91"/>
  <c r="G36" i="91"/>
  <c r="F7" i="95"/>
  <c r="F26" i="92"/>
  <c r="G42" i="95" s="1"/>
  <c r="F50" i="92"/>
  <c r="G53" i="95" s="1"/>
  <c r="H22" i="96"/>
  <c r="G22" i="88"/>
  <c r="E33" i="94"/>
  <c r="G34" i="94"/>
  <c r="G48" i="91"/>
  <c r="G34" i="88"/>
  <c r="I5" i="95"/>
  <c r="U5" i="97" s="1"/>
  <c r="G50" i="94"/>
  <c r="H48" i="91"/>
  <c r="I9" i="95"/>
  <c r="F21" i="94"/>
  <c r="E45" i="94"/>
  <c r="G45" i="94" s="1"/>
  <c r="H38" i="94"/>
  <c r="G26" i="94"/>
  <c r="G22" i="96"/>
  <c r="G46" i="96"/>
  <c r="E21" i="94"/>
  <c r="G21" i="94" s="1"/>
  <c r="F45" i="94"/>
  <c r="I48" i="95" s="1"/>
  <c r="H23" i="90"/>
  <c r="H47" i="90"/>
  <c r="H26" i="94"/>
  <c r="H50" i="94"/>
  <c r="H46" i="96"/>
  <c r="E5" i="95"/>
  <c r="Q5" i="97" s="1"/>
  <c r="H22" i="90"/>
  <c r="H46" i="90"/>
  <c r="F35" i="92"/>
  <c r="E47" i="92"/>
  <c r="H24" i="94"/>
  <c r="H35" i="94"/>
  <c r="G46" i="90"/>
  <c r="F23" i="92"/>
  <c r="H38" i="90"/>
  <c r="I6" i="95"/>
  <c r="H47" i="94"/>
  <c r="G47" i="94"/>
  <c r="H36" i="94"/>
  <c r="G47" i="90"/>
  <c r="G35" i="94"/>
  <c r="E6" i="95"/>
  <c r="G23" i="90"/>
  <c r="G51" i="94"/>
  <c r="H35" i="90"/>
  <c r="H48" i="94"/>
  <c r="E9" i="95"/>
  <c r="I7" i="95"/>
  <c r="G35" i="90"/>
  <c r="G50" i="90"/>
  <c r="H47" i="91"/>
  <c r="H50" i="90"/>
  <c r="H26" i="90"/>
  <c r="S11" i="80"/>
  <c r="T11" i="80" s="1"/>
  <c r="G38" i="90"/>
  <c r="S13" i="90"/>
  <c r="H39" i="94"/>
  <c r="G24" i="94"/>
  <c r="H27" i="94"/>
  <c r="I10" i="95"/>
  <c r="G36" i="94"/>
  <c r="G48" i="94"/>
  <c r="E49" i="80"/>
  <c r="F49" i="80"/>
  <c r="B52" i="95" s="1"/>
  <c r="E25" i="80"/>
  <c r="E37" i="80"/>
  <c r="F25" i="80"/>
  <c r="B30" i="95" s="1"/>
  <c r="F37" i="80"/>
  <c r="B41" i="95" s="1"/>
  <c r="F49" i="90"/>
  <c r="E52" i="95" s="1"/>
  <c r="E49" i="90"/>
  <c r="E37" i="90"/>
  <c r="E25" i="90"/>
  <c r="F37" i="90"/>
  <c r="E30" i="95" s="1"/>
  <c r="F25" i="90"/>
  <c r="E41" i="95" s="1"/>
  <c r="H37" i="94"/>
  <c r="G37" i="94"/>
  <c r="H49" i="94"/>
  <c r="G49" i="94"/>
  <c r="F47" i="80"/>
  <c r="B50" i="95" s="1"/>
  <c r="E47" i="80"/>
  <c r="F23" i="80"/>
  <c r="B28" i="95" s="1"/>
  <c r="E35" i="80"/>
  <c r="E23" i="80"/>
  <c r="F35" i="80"/>
  <c r="B39" i="95" s="1"/>
  <c r="S13" i="80"/>
  <c r="G34" i="93"/>
  <c r="G35" i="91"/>
  <c r="S16" i="92"/>
  <c r="T16" i="92" s="1"/>
  <c r="F47" i="96"/>
  <c r="J50" i="95" s="1"/>
  <c r="F35" i="96"/>
  <c r="J28" i="95" s="1"/>
  <c r="E47" i="96"/>
  <c r="G47" i="96" s="1"/>
  <c r="E35" i="96"/>
  <c r="E23" i="96"/>
  <c r="G23" i="96" s="1"/>
  <c r="F23" i="96"/>
  <c r="H25" i="94"/>
  <c r="H34" i="96"/>
  <c r="F51" i="92"/>
  <c r="G54" i="95" s="1"/>
  <c r="E51" i="92"/>
  <c r="E39" i="92"/>
  <c r="E27" i="92"/>
  <c r="F39" i="92"/>
  <c r="G32" i="95" s="1"/>
  <c r="F27" i="92"/>
  <c r="G43" i="95" s="1"/>
  <c r="G23" i="91"/>
  <c r="G47" i="91"/>
  <c r="S10" i="92"/>
  <c r="S15" i="92"/>
  <c r="I8" i="95"/>
  <c r="G28" i="91"/>
  <c r="H40" i="91"/>
  <c r="H52" i="91"/>
  <c r="G52" i="91"/>
  <c r="H28" i="91"/>
  <c r="G34" i="96"/>
  <c r="H35" i="91"/>
  <c r="G33" i="88"/>
  <c r="G25" i="94"/>
  <c r="H23" i="91"/>
  <c r="P15" i="96"/>
  <c r="J22" i="95" s="1"/>
  <c r="N15" i="96"/>
  <c r="O15" i="96"/>
  <c r="I4" i="95"/>
  <c r="U4" i="97" s="1"/>
  <c r="G22" i="100" l="1"/>
  <c r="Q44" i="95"/>
  <c r="T10" i="100"/>
  <c r="H38" i="106"/>
  <c r="G39" i="89"/>
  <c r="G39" i="100"/>
  <c r="J58" i="95"/>
  <c r="V18" i="97" s="1"/>
  <c r="V13" i="97"/>
  <c r="H60" i="95"/>
  <c r="T20" i="97" s="1"/>
  <c r="T15" i="97"/>
  <c r="I58" i="95"/>
  <c r="U18" i="97" s="1"/>
  <c r="U13" i="97"/>
  <c r="D59" i="95"/>
  <c r="P19" i="97" s="1"/>
  <c r="P14" i="97"/>
  <c r="D58" i="95"/>
  <c r="P18" i="97" s="1"/>
  <c r="P13" i="97"/>
  <c r="E58" i="95"/>
  <c r="Q18" i="97" s="1"/>
  <c r="Q13" i="97"/>
  <c r="B59" i="95"/>
  <c r="N19" i="97" s="1"/>
  <c r="N14" i="97"/>
  <c r="S53" i="95"/>
  <c r="H32" i="106"/>
  <c r="G46" i="100"/>
  <c r="G34" i="100"/>
  <c r="S27" i="95"/>
  <c r="S60" i="95" s="1"/>
  <c r="Q27" i="95"/>
  <c r="Q60" i="95" s="1"/>
  <c r="S10" i="95"/>
  <c r="H26" i="89"/>
  <c r="G50" i="89"/>
  <c r="Q33" i="95"/>
  <c r="Q66" i="95" s="1"/>
  <c r="H50" i="89"/>
  <c r="T14" i="89"/>
  <c r="G26" i="89"/>
  <c r="G38" i="89"/>
  <c r="H45" i="89"/>
  <c r="H44" i="89"/>
  <c r="H46" i="104"/>
  <c r="S31" i="95"/>
  <c r="S64" i="95" s="1"/>
  <c r="M9" i="95"/>
  <c r="H23" i="89"/>
  <c r="G38" i="100"/>
  <c r="H38" i="89"/>
  <c r="G50" i="100"/>
  <c r="T14" i="111"/>
  <c r="G38" i="111"/>
  <c r="G26" i="100"/>
  <c r="H21" i="91"/>
  <c r="G35" i="100"/>
  <c r="G39" i="106"/>
  <c r="B37" i="95"/>
  <c r="G27" i="106"/>
  <c r="G51" i="106"/>
  <c r="G50" i="88"/>
  <c r="G26" i="88"/>
  <c r="H50" i="88"/>
  <c r="G51" i="100"/>
  <c r="T15" i="100"/>
  <c r="G27" i="100"/>
  <c r="H34" i="104"/>
  <c r="H32" i="89"/>
  <c r="H26" i="88"/>
  <c r="G48" i="89"/>
  <c r="T12" i="105"/>
  <c r="S38" i="95"/>
  <c r="G24" i="89"/>
  <c r="G36" i="105"/>
  <c r="T11" i="100"/>
  <c r="S29" i="95"/>
  <c r="S62" i="95" s="1"/>
  <c r="G48" i="105"/>
  <c r="G24" i="105"/>
  <c r="G34" i="111"/>
  <c r="H36" i="106"/>
  <c r="G46" i="111"/>
  <c r="H22" i="111"/>
  <c r="H23" i="109"/>
  <c r="G22" i="111"/>
  <c r="T10" i="110"/>
  <c r="H34" i="111"/>
  <c r="S14" i="91"/>
  <c r="T14" i="91" s="1"/>
  <c r="S49" i="95"/>
  <c r="D61" i="95"/>
  <c r="Q51" i="95"/>
  <c r="H21" i="89"/>
  <c r="G47" i="109"/>
  <c r="H33" i="89"/>
  <c r="H34" i="110"/>
  <c r="G34" i="110"/>
  <c r="G23" i="109"/>
  <c r="G21" i="89"/>
  <c r="T9" i="89"/>
  <c r="T11" i="109"/>
  <c r="G33" i="89"/>
  <c r="G46" i="110"/>
  <c r="H35" i="109"/>
  <c r="G45" i="89"/>
  <c r="G22" i="110"/>
  <c r="S14" i="110"/>
  <c r="Y9" i="95" s="1"/>
  <c r="G35" i="109"/>
  <c r="F50" i="87"/>
  <c r="C53" i="95" s="1"/>
  <c r="G47" i="89"/>
  <c r="G23" i="89"/>
  <c r="H38" i="111"/>
  <c r="G35" i="89"/>
  <c r="H35" i="89"/>
  <c r="G50" i="111"/>
  <c r="T12" i="90"/>
  <c r="E50" i="87"/>
  <c r="G25" i="95"/>
  <c r="G26" i="111"/>
  <c r="F38" i="87"/>
  <c r="C31" i="95" s="1"/>
  <c r="H47" i="89"/>
  <c r="T11" i="89"/>
  <c r="H24" i="104"/>
  <c r="E33" i="87"/>
  <c r="E38" i="87"/>
  <c r="G34" i="89"/>
  <c r="G36" i="90"/>
  <c r="F51" i="87"/>
  <c r="C54" i="95" s="1"/>
  <c r="Q40" i="95"/>
  <c r="H21" i="80"/>
  <c r="G22" i="89"/>
  <c r="H34" i="89"/>
  <c r="G46" i="89"/>
  <c r="H46" i="89"/>
  <c r="G47" i="100"/>
  <c r="E21" i="92"/>
  <c r="G21" i="92" s="1"/>
  <c r="E26" i="87"/>
  <c r="H22" i="89"/>
  <c r="G28" i="106"/>
  <c r="G23" i="100"/>
  <c r="G49" i="110"/>
  <c r="F26" i="87"/>
  <c r="C42" i="95" s="1"/>
  <c r="G36" i="95"/>
  <c r="T10" i="89"/>
  <c r="E21" i="87"/>
  <c r="F45" i="87"/>
  <c r="C48" i="95" s="1"/>
  <c r="G52" i="106"/>
  <c r="S11" i="111"/>
  <c r="T11" i="111" s="1"/>
  <c r="G25" i="110"/>
  <c r="T13" i="110"/>
  <c r="E45" i="87"/>
  <c r="F21" i="87"/>
  <c r="G37" i="88"/>
  <c r="H37" i="110"/>
  <c r="H45" i="91"/>
  <c r="F33" i="87"/>
  <c r="G40" i="106"/>
  <c r="G35" i="105"/>
  <c r="G37" i="110"/>
  <c r="G24" i="90"/>
  <c r="G40" i="89"/>
  <c r="G23" i="105"/>
  <c r="H45" i="88"/>
  <c r="G48" i="90"/>
  <c r="S15" i="108"/>
  <c r="W10" i="95" s="1"/>
  <c r="F26" i="95"/>
  <c r="R14" i="97" s="1"/>
  <c r="H44" i="92"/>
  <c r="H48" i="90"/>
  <c r="G47" i="105"/>
  <c r="T15" i="89"/>
  <c r="G51" i="89"/>
  <c r="F34" i="92"/>
  <c r="G27" i="95" s="1"/>
  <c r="S15" i="97" s="1"/>
  <c r="H27" i="89"/>
  <c r="G27" i="89"/>
  <c r="E51" i="87"/>
  <c r="Z10" i="95"/>
  <c r="T15" i="111"/>
  <c r="H26" i="100"/>
  <c r="M31" i="95"/>
  <c r="R11" i="108"/>
  <c r="S11" i="108" s="1"/>
  <c r="O11" i="108"/>
  <c r="P11" i="108"/>
  <c r="N11" i="108"/>
  <c r="H51" i="89"/>
  <c r="H49" i="89"/>
  <c r="L52" i="95"/>
  <c r="H47" i="104"/>
  <c r="Q50" i="95"/>
  <c r="H34" i="100"/>
  <c r="M38" i="95"/>
  <c r="H26" i="104"/>
  <c r="Q31" i="95"/>
  <c r="Q64" i="95" s="1"/>
  <c r="H49" i="110"/>
  <c r="Y52" i="95"/>
  <c r="Q13" i="109"/>
  <c r="AA5" i="95"/>
  <c r="T10" i="112"/>
  <c r="Q14" i="108"/>
  <c r="Z17" i="95"/>
  <c r="E23" i="111"/>
  <c r="E47" i="111"/>
  <c r="F23" i="111"/>
  <c r="F47" i="111"/>
  <c r="E35" i="111"/>
  <c r="F35" i="111"/>
  <c r="H39" i="100"/>
  <c r="M43" i="95"/>
  <c r="H47" i="100"/>
  <c r="M50" i="95"/>
  <c r="H49" i="106"/>
  <c r="S52" i="95"/>
  <c r="H23" i="104"/>
  <c r="Q28" i="95"/>
  <c r="Q61" i="95" s="1"/>
  <c r="H37" i="100"/>
  <c r="M41" i="95"/>
  <c r="H23" i="100"/>
  <c r="M28" i="95"/>
  <c r="M61" i="95" s="1"/>
  <c r="H33" i="100"/>
  <c r="M37" i="95"/>
  <c r="H50" i="111"/>
  <c r="Z53" i="95"/>
  <c r="Y30" i="95"/>
  <c r="Y63" i="95" s="1"/>
  <c r="Y41" i="95"/>
  <c r="Y20" i="95"/>
  <c r="E26" i="110"/>
  <c r="E50" i="110"/>
  <c r="F50" i="110"/>
  <c r="F26" i="110"/>
  <c r="E38" i="110"/>
  <c r="F38" i="110"/>
  <c r="X5" i="95"/>
  <c r="T10" i="109"/>
  <c r="W5" i="95"/>
  <c r="T10" i="108"/>
  <c r="N14" i="108"/>
  <c r="O14" i="108"/>
  <c r="P14" i="108"/>
  <c r="H28" i="89"/>
  <c r="H52" i="106"/>
  <c r="S55" i="95"/>
  <c r="H37" i="104"/>
  <c r="Q41" i="95"/>
  <c r="H51" i="100"/>
  <c r="M54" i="95"/>
  <c r="G37" i="100"/>
  <c r="H48" i="105"/>
  <c r="R51" i="95"/>
  <c r="H22" i="100"/>
  <c r="M27" i="95"/>
  <c r="M60" i="95" s="1"/>
  <c r="H45" i="100"/>
  <c r="M48" i="95"/>
  <c r="H39" i="104"/>
  <c r="Q43" i="95"/>
  <c r="H26" i="111"/>
  <c r="Z31" i="95"/>
  <c r="Z64" i="95" s="1"/>
  <c r="Z42" i="95"/>
  <c r="H22" i="110"/>
  <c r="Y27" i="95"/>
  <c r="Y60" i="95" s="1"/>
  <c r="Y38" i="95"/>
  <c r="I13" i="112"/>
  <c r="J13" i="112" s="1"/>
  <c r="I12" i="109"/>
  <c r="U12" i="109" s="1"/>
  <c r="H28" i="106"/>
  <c r="S33" i="95"/>
  <c r="S66" i="95" s="1"/>
  <c r="H51" i="106"/>
  <c r="S54" i="95"/>
  <c r="H25" i="89"/>
  <c r="L30" i="95"/>
  <c r="L63" i="95" s="1"/>
  <c r="H35" i="105"/>
  <c r="R39" i="95"/>
  <c r="H25" i="100"/>
  <c r="M30" i="95"/>
  <c r="H24" i="105"/>
  <c r="R29" i="95"/>
  <c r="R62" i="95" s="1"/>
  <c r="H21" i="109"/>
  <c r="X26" i="95"/>
  <c r="X59" i="95" s="1"/>
  <c r="X37" i="95"/>
  <c r="H45" i="108"/>
  <c r="W48" i="95"/>
  <c r="H37" i="89"/>
  <c r="L41" i="95"/>
  <c r="H25" i="106"/>
  <c r="S30" i="95"/>
  <c r="S63" i="95" s="1"/>
  <c r="H36" i="100"/>
  <c r="M40" i="95"/>
  <c r="T13" i="99"/>
  <c r="U8" i="95"/>
  <c r="H39" i="89"/>
  <c r="L43" i="95"/>
  <c r="H39" i="106"/>
  <c r="S43" i="95"/>
  <c r="H25" i="104"/>
  <c r="Q30" i="95"/>
  <c r="Q63" i="95" s="1"/>
  <c r="H27" i="100"/>
  <c r="M32" i="95"/>
  <c r="M65" i="95" s="1"/>
  <c r="G48" i="100"/>
  <c r="H49" i="100"/>
  <c r="M52" i="95"/>
  <c r="H46" i="100"/>
  <c r="M49" i="95"/>
  <c r="H38" i="104"/>
  <c r="Q42" i="95"/>
  <c r="H51" i="104"/>
  <c r="Q54" i="95"/>
  <c r="H38" i="100"/>
  <c r="M42" i="95"/>
  <c r="W21" i="95"/>
  <c r="E27" i="108"/>
  <c r="F27" i="108"/>
  <c r="E51" i="108"/>
  <c r="F51" i="108"/>
  <c r="E39" i="108"/>
  <c r="F39" i="108"/>
  <c r="Z27" i="95"/>
  <c r="Z60" i="95" s="1"/>
  <c r="Z38" i="95"/>
  <c r="H45" i="109"/>
  <c r="X48" i="95"/>
  <c r="Z21" i="95"/>
  <c r="E27" i="111"/>
  <c r="G27" i="111" s="1"/>
  <c r="E51" i="111"/>
  <c r="G51" i="111" s="1"/>
  <c r="F27" i="111"/>
  <c r="F51" i="111"/>
  <c r="E39" i="111"/>
  <c r="G39" i="111" s="1"/>
  <c r="F39" i="111"/>
  <c r="H39" i="111" s="1"/>
  <c r="H47" i="109"/>
  <c r="X50" i="95"/>
  <c r="AA16" i="95"/>
  <c r="F46" i="112"/>
  <c r="H46" i="112" s="1"/>
  <c r="F22" i="112"/>
  <c r="E34" i="112"/>
  <c r="G34" i="112" s="1"/>
  <c r="E22" i="112"/>
  <c r="G22" i="112" s="1"/>
  <c r="E46" i="112"/>
  <c r="G46" i="112" s="1"/>
  <c r="F34" i="112"/>
  <c r="I12" i="108"/>
  <c r="U12" i="108" s="1"/>
  <c r="U13" i="109"/>
  <c r="H49" i="104"/>
  <c r="Q52" i="95"/>
  <c r="G49" i="100"/>
  <c r="H21" i="100"/>
  <c r="M26" i="95"/>
  <c r="M59" i="95" s="1"/>
  <c r="H46" i="110"/>
  <c r="Y49" i="95"/>
  <c r="X39" i="95"/>
  <c r="X28" i="95"/>
  <c r="X61" i="95" s="1"/>
  <c r="W37" i="95"/>
  <c r="W26" i="95"/>
  <c r="W59" i="95" s="1"/>
  <c r="H25" i="110"/>
  <c r="H36" i="105"/>
  <c r="R40" i="95"/>
  <c r="Z59" i="95"/>
  <c r="R13" i="109"/>
  <c r="O13" i="109"/>
  <c r="N13" i="109"/>
  <c r="P13" i="109"/>
  <c r="U11" i="108"/>
  <c r="H37" i="106"/>
  <c r="S41" i="95"/>
  <c r="H40" i="106"/>
  <c r="S44" i="95"/>
  <c r="H27" i="106"/>
  <c r="S32" i="95"/>
  <c r="S65" i="95" s="1"/>
  <c r="H35" i="104"/>
  <c r="Q39" i="95"/>
  <c r="G25" i="100"/>
  <c r="H35" i="100"/>
  <c r="M39" i="95"/>
  <c r="H50" i="104"/>
  <c r="Q53" i="95"/>
  <c r="H27" i="104"/>
  <c r="Q32" i="95"/>
  <c r="Q65" i="95" s="1"/>
  <c r="H50" i="100"/>
  <c r="M53" i="95"/>
  <c r="U14" i="108"/>
  <c r="W16" i="95"/>
  <c r="F46" i="108"/>
  <c r="E34" i="108"/>
  <c r="G34" i="108" s="1"/>
  <c r="E46" i="108"/>
  <c r="G46" i="108" s="1"/>
  <c r="E22" i="108"/>
  <c r="G22" i="108" s="1"/>
  <c r="F22" i="108"/>
  <c r="F34" i="108"/>
  <c r="H34" i="108" s="1"/>
  <c r="X16" i="95"/>
  <c r="F22" i="109"/>
  <c r="H22" i="109" s="1"/>
  <c r="F46" i="109"/>
  <c r="X49" i="95" s="1"/>
  <c r="E22" i="109"/>
  <c r="G22" i="109" s="1"/>
  <c r="E46" i="109"/>
  <c r="G46" i="109" s="1"/>
  <c r="E34" i="109"/>
  <c r="G34" i="109" s="1"/>
  <c r="F34" i="109"/>
  <c r="H34" i="109" s="1"/>
  <c r="R14" i="108"/>
  <c r="H46" i="111"/>
  <c r="J62" i="95"/>
  <c r="T9" i="104"/>
  <c r="Q4" i="95"/>
  <c r="H51" i="105"/>
  <c r="T16" i="106"/>
  <c r="G51" i="105"/>
  <c r="L65" i="95"/>
  <c r="H27" i="105"/>
  <c r="L64" i="95"/>
  <c r="R6" i="95"/>
  <c r="T11" i="105"/>
  <c r="H47" i="105"/>
  <c r="H23" i="105"/>
  <c r="L59" i="95"/>
  <c r="S58" i="95"/>
  <c r="G27" i="105"/>
  <c r="M7" i="95"/>
  <c r="G24" i="100"/>
  <c r="T12" i="100"/>
  <c r="T12" i="89"/>
  <c r="L7" i="95"/>
  <c r="L66" i="95"/>
  <c r="R10" i="95"/>
  <c r="T15" i="105"/>
  <c r="E21" i="104"/>
  <c r="G21" i="104" s="1"/>
  <c r="F45" i="104"/>
  <c r="E33" i="104"/>
  <c r="G33" i="104" s="1"/>
  <c r="E45" i="104"/>
  <c r="G45" i="104" s="1"/>
  <c r="F21" i="104"/>
  <c r="F33" i="104"/>
  <c r="M8" i="95"/>
  <c r="T13" i="100"/>
  <c r="H40" i="89"/>
  <c r="G36" i="100"/>
  <c r="S16" i="105"/>
  <c r="E28" i="105"/>
  <c r="E52" i="105"/>
  <c r="F28" i="105"/>
  <c r="F52" i="105"/>
  <c r="E40" i="105"/>
  <c r="F40" i="105"/>
  <c r="H39" i="105"/>
  <c r="H24" i="100"/>
  <c r="H36" i="89"/>
  <c r="L60" i="95"/>
  <c r="G39" i="105"/>
  <c r="H48" i="100"/>
  <c r="L58" i="95"/>
  <c r="S13" i="87"/>
  <c r="C8" i="95" s="1"/>
  <c r="C63" i="95" s="1"/>
  <c r="S9" i="87"/>
  <c r="C4" i="95" s="1"/>
  <c r="H52" i="89"/>
  <c r="H49" i="88"/>
  <c r="E22" i="92"/>
  <c r="G22" i="92" s="1"/>
  <c r="H38" i="88"/>
  <c r="H24" i="89"/>
  <c r="F33" i="92"/>
  <c r="H33" i="92" s="1"/>
  <c r="T14" i="88"/>
  <c r="G52" i="89"/>
  <c r="E65" i="95"/>
  <c r="T16" i="89"/>
  <c r="G38" i="88"/>
  <c r="D11" i="95"/>
  <c r="D66" i="95" s="1"/>
  <c r="G28" i="89"/>
  <c r="H33" i="88"/>
  <c r="J61" i="95"/>
  <c r="E33" i="92"/>
  <c r="G33" i="92" s="1"/>
  <c r="E34" i="92"/>
  <c r="G34" i="92" s="1"/>
  <c r="F22" i="92"/>
  <c r="G38" i="95" s="1"/>
  <c r="G36" i="89"/>
  <c r="H45" i="80"/>
  <c r="S15" i="87"/>
  <c r="E45" i="92"/>
  <c r="G45" i="92" s="1"/>
  <c r="E39" i="87"/>
  <c r="F45" i="92"/>
  <c r="G48" i="95" s="1"/>
  <c r="D37" i="95"/>
  <c r="F39" i="87"/>
  <c r="C32" i="95" s="1"/>
  <c r="E46" i="92"/>
  <c r="G46" i="92" s="1"/>
  <c r="G23" i="92"/>
  <c r="T13" i="88"/>
  <c r="G49" i="88"/>
  <c r="S14" i="92"/>
  <c r="T14" i="92" s="1"/>
  <c r="G20" i="87"/>
  <c r="G28" i="94"/>
  <c r="F21" i="92"/>
  <c r="H21" i="92" s="1"/>
  <c r="G35" i="92"/>
  <c r="G17" i="95"/>
  <c r="T16" i="94"/>
  <c r="G25" i="88"/>
  <c r="E27" i="87"/>
  <c r="F27" i="87"/>
  <c r="C43" i="95" s="1"/>
  <c r="G52" i="94"/>
  <c r="I11" i="95"/>
  <c r="I66" i="95" s="1"/>
  <c r="H25" i="88"/>
  <c r="H40" i="94"/>
  <c r="G40" i="94"/>
  <c r="F37" i="92"/>
  <c r="G30" i="95" s="1"/>
  <c r="S12" i="87"/>
  <c r="H36" i="87" s="1"/>
  <c r="H40" i="88"/>
  <c r="H52" i="88"/>
  <c r="H52" i="94"/>
  <c r="G52" i="88"/>
  <c r="G40" i="88"/>
  <c r="G28" i="88"/>
  <c r="H28" i="88"/>
  <c r="S10" i="87"/>
  <c r="C5" i="95" s="1"/>
  <c r="O5" i="97" s="1"/>
  <c r="H36" i="90"/>
  <c r="H28" i="94"/>
  <c r="H24" i="90"/>
  <c r="F25" i="92"/>
  <c r="G41" i="95" s="1"/>
  <c r="E25" i="92"/>
  <c r="G25" i="92" s="1"/>
  <c r="S13" i="91"/>
  <c r="F8" i="95" s="1"/>
  <c r="S14" i="87"/>
  <c r="E49" i="92"/>
  <c r="G49" i="92" s="1"/>
  <c r="E37" i="92"/>
  <c r="G37" i="92" s="1"/>
  <c r="F49" i="92"/>
  <c r="G52" i="95" s="1"/>
  <c r="E11" i="95"/>
  <c r="G28" i="90"/>
  <c r="D63" i="95"/>
  <c r="G27" i="91"/>
  <c r="G39" i="91"/>
  <c r="C18" i="95"/>
  <c r="F35" i="87"/>
  <c r="C28" i="95" s="1"/>
  <c r="F23" i="87"/>
  <c r="C39" i="95" s="1"/>
  <c r="E23" i="87"/>
  <c r="F47" i="87"/>
  <c r="C50" i="95" s="1"/>
  <c r="E47" i="87"/>
  <c r="E35" i="87"/>
  <c r="G6" i="95"/>
  <c r="H27" i="91"/>
  <c r="G25" i="99"/>
  <c r="H37" i="88"/>
  <c r="G51" i="91"/>
  <c r="H25" i="99"/>
  <c r="S11" i="87"/>
  <c r="G47" i="92"/>
  <c r="H51" i="91"/>
  <c r="G49" i="99"/>
  <c r="H39" i="91"/>
  <c r="F10" i="95"/>
  <c r="F65" i="95" s="1"/>
  <c r="F60" i="95"/>
  <c r="R20" i="97" s="1"/>
  <c r="F61" i="95"/>
  <c r="D60" i="95"/>
  <c r="P20" i="97" s="1"/>
  <c r="D65" i="95"/>
  <c r="I65" i="95"/>
  <c r="I64" i="95"/>
  <c r="F21" i="95"/>
  <c r="E38" i="91"/>
  <c r="E50" i="91"/>
  <c r="F38" i="91"/>
  <c r="F26" i="91"/>
  <c r="F50" i="91"/>
  <c r="E26" i="91"/>
  <c r="I61" i="95"/>
  <c r="E62" i="95"/>
  <c r="F37" i="91"/>
  <c r="E49" i="91"/>
  <c r="E37" i="91"/>
  <c r="F49" i="91"/>
  <c r="F20" i="95"/>
  <c r="F25" i="91"/>
  <c r="E25" i="91"/>
  <c r="H45" i="96"/>
  <c r="E60" i="95"/>
  <c r="Q20" i="97" s="1"/>
  <c r="I62" i="95"/>
  <c r="D62" i="95"/>
  <c r="J64" i="95"/>
  <c r="H33" i="96"/>
  <c r="J26" i="95"/>
  <c r="V14" i="97" s="1"/>
  <c r="T8" i="87"/>
  <c r="H37" i="99"/>
  <c r="I60" i="95"/>
  <c r="U20" i="97" s="1"/>
  <c r="I63" i="95"/>
  <c r="E61" i="95"/>
  <c r="E64" i="95"/>
  <c r="F62" i="95"/>
  <c r="F66" i="95"/>
  <c r="J60" i="95"/>
  <c r="V20" i="97" s="1"/>
  <c r="S12" i="92"/>
  <c r="T12" i="92" s="1"/>
  <c r="G37" i="99"/>
  <c r="H21" i="96"/>
  <c r="J37" i="95"/>
  <c r="H52" i="90"/>
  <c r="E55" i="95"/>
  <c r="H22" i="95"/>
  <c r="F27" i="93"/>
  <c r="H43" i="95" s="1"/>
  <c r="E39" i="93"/>
  <c r="G39" i="93" s="1"/>
  <c r="F51" i="93"/>
  <c r="H54" i="95" s="1"/>
  <c r="E51" i="93"/>
  <c r="G51" i="93" s="1"/>
  <c r="F39" i="93"/>
  <c r="H32" i="95" s="1"/>
  <c r="E27" i="93"/>
  <c r="G27" i="93" s="1"/>
  <c r="T15" i="93"/>
  <c r="H10" i="95"/>
  <c r="H49" i="99"/>
  <c r="H47" i="96"/>
  <c r="H45" i="94"/>
  <c r="H47" i="92"/>
  <c r="D64" i="95"/>
  <c r="I59" i="95"/>
  <c r="U19" i="97" s="1"/>
  <c r="T10" i="92"/>
  <c r="G8" i="95"/>
  <c r="T13" i="92"/>
  <c r="G10" i="95"/>
  <c r="T15" i="92"/>
  <c r="G40" i="90"/>
  <c r="G52" i="90"/>
  <c r="E8" i="95"/>
  <c r="E63" i="95" s="1"/>
  <c r="T13" i="90"/>
  <c r="B8" i="95"/>
  <c r="T13" i="80"/>
  <c r="H28" i="90"/>
  <c r="H40" i="90"/>
  <c r="C15" i="95"/>
  <c r="D23" i="32" s="1"/>
  <c r="E32" i="87"/>
  <c r="G32" i="87" s="1"/>
  <c r="F20" i="87"/>
  <c r="C36" i="95" s="1"/>
  <c r="F32" i="87"/>
  <c r="C25" i="95" s="1"/>
  <c r="O13" i="97" s="1"/>
  <c r="F44" i="87"/>
  <c r="C47" i="95" s="1"/>
  <c r="E44" i="87"/>
  <c r="G44" i="87" s="1"/>
  <c r="H33" i="94"/>
  <c r="S16" i="87"/>
  <c r="T16" i="87" s="1"/>
  <c r="E52" i="87"/>
  <c r="F40" i="87"/>
  <c r="C33" i="95" s="1"/>
  <c r="F28" i="87"/>
  <c r="C44" i="95" s="1"/>
  <c r="F52" i="87"/>
  <c r="C55" i="95" s="1"/>
  <c r="E40" i="87"/>
  <c r="E28" i="87"/>
  <c r="H23" i="96"/>
  <c r="J39" i="95"/>
  <c r="H23" i="92"/>
  <c r="G39" i="95"/>
  <c r="H21" i="94"/>
  <c r="I37" i="95"/>
  <c r="H35" i="92"/>
  <c r="G28" i="95"/>
  <c r="H25" i="90"/>
  <c r="G49" i="90"/>
  <c r="G33" i="94"/>
  <c r="G35" i="80"/>
  <c r="G37" i="90"/>
  <c r="H23" i="80"/>
  <c r="H47" i="80"/>
  <c r="B6" i="95"/>
  <c r="H35" i="80"/>
  <c r="G47" i="80"/>
  <c r="G5" i="95"/>
  <c r="S5" i="97" s="1"/>
  <c r="H37" i="90"/>
  <c r="H49" i="90"/>
  <c r="G25" i="90"/>
  <c r="S15" i="96"/>
  <c r="G51" i="92"/>
  <c r="H51" i="92"/>
  <c r="G40" i="92"/>
  <c r="G52" i="92"/>
  <c r="H40" i="92"/>
  <c r="G28" i="92"/>
  <c r="H52" i="92"/>
  <c r="F51" i="96"/>
  <c r="J54" i="95" s="1"/>
  <c r="F39" i="96"/>
  <c r="J32" i="95" s="1"/>
  <c r="E51" i="96"/>
  <c r="E39" i="96"/>
  <c r="E27" i="96"/>
  <c r="F27" i="96"/>
  <c r="J43" i="95" s="1"/>
  <c r="H46" i="92"/>
  <c r="H35" i="96"/>
  <c r="H28" i="92"/>
  <c r="G39" i="92"/>
  <c r="G35" i="96"/>
  <c r="G25" i="80"/>
  <c r="H25" i="80"/>
  <c r="G49" i="80"/>
  <c r="H49" i="80"/>
  <c r="H37" i="80"/>
  <c r="G11" i="95"/>
  <c r="G27" i="92"/>
  <c r="H39" i="92"/>
  <c r="H27" i="92"/>
  <c r="G23" i="80"/>
  <c r="G37" i="80"/>
  <c r="M64" i="95" l="1"/>
  <c r="O4" i="97"/>
  <c r="C23" i="32"/>
  <c r="G58" i="95"/>
  <c r="S18" i="97" s="1"/>
  <c r="S13" i="97"/>
  <c r="O9" i="97"/>
  <c r="H39" i="108"/>
  <c r="G26" i="95"/>
  <c r="S14" i="97" s="1"/>
  <c r="G33" i="87"/>
  <c r="G50" i="110"/>
  <c r="H21" i="87"/>
  <c r="C37" i="95"/>
  <c r="H34" i="87"/>
  <c r="H33" i="87"/>
  <c r="C26" i="95"/>
  <c r="O14" i="97" s="1"/>
  <c r="G47" i="111"/>
  <c r="G50" i="91"/>
  <c r="G23" i="111"/>
  <c r="G38" i="91"/>
  <c r="F9" i="95"/>
  <c r="G25" i="87"/>
  <c r="H35" i="111"/>
  <c r="G26" i="91"/>
  <c r="Z6" i="95"/>
  <c r="H51" i="87"/>
  <c r="G51" i="108"/>
  <c r="G27" i="108"/>
  <c r="T13" i="87"/>
  <c r="T15" i="108"/>
  <c r="G39" i="108"/>
  <c r="G37" i="87"/>
  <c r="G50" i="87"/>
  <c r="C10" i="95"/>
  <c r="H45" i="87"/>
  <c r="G26" i="110"/>
  <c r="T14" i="110"/>
  <c r="H38" i="110"/>
  <c r="G38" i="110"/>
  <c r="T15" i="87"/>
  <c r="G51" i="87"/>
  <c r="G37" i="95"/>
  <c r="H39" i="87"/>
  <c r="H37" i="87"/>
  <c r="G45" i="87"/>
  <c r="H25" i="87"/>
  <c r="T9" i="87"/>
  <c r="G35" i="111"/>
  <c r="H24" i="87"/>
  <c r="H34" i="92"/>
  <c r="G49" i="87"/>
  <c r="F59" i="95"/>
  <c r="R19" i="97" s="1"/>
  <c r="G40" i="105"/>
  <c r="U13" i="112"/>
  <c r="Q13" i="112"/>
  <c r="H38" i="87"/>
  <c r="W6" i="95"/>
  <c r="H22" i="108"/>
  <c r="W38" i="95"/>
  <c r="W27" i="95"/>
  <c r="W60" i="95" s="1"/>
  <c r="H51" i="108"/>
  <c r="W54" i="95"/>
  <c r="U63" i="95"/>
  <c r="S14" i="108"/>
  <c r="W20" i="95"/>
  <c r="E26" i="108"/>
  <c r="F26" i="108"/>
  <c r="E50" i="108"/>
  <c r="F50" i="108"/>
  <c r="E38" i="108"/>
  <c r="F38" i="108"/>
  <c r="G26" i="87"/>
  <c r="T14" i="87"/>
  <c r="H40" i="105"/>
  <c r="R44" i="95"/>
  <c r="H21" i="104"/>
  <c r="Q26" i="95"/>
  <c r="Q59" i="95" s="1"/>
  <c r="T11" i="108"/>
  <c r="H34" i="112"/>
  <c r="AA49" i="95"/>
  <c r="H27" i="108"/>
  <c r="W32" i="95"/>
  <c r="W65" i="95" s="1"/>
  <c r="W43" i="95"/>
  <c r="R12" i="109"/>
  <c r="S12" i="109" s="1"/>
  <c r="O12" i="109"/>
  <c r="N12" i="109"/>
  <c r="P12" i="109"/>
  <c r="H26" i="110"/>
  <c r="Y31" i="95"/>
  <c r="Y64" i="95" s="1"/>
  <c r="Y42" i="95"/>
  <c r="R13" i="112"/>
  <c r="C9" i="95"/>
  <c r="X19" i="95"/>
  <c r="E25" i="109"/>
  <c r="F25" i="109"/>
  <c r="E49" i="109"/>
  <c r="F49" i="109"/>
  <c r="E37" i="109"/>
  <c r="F37" i="109"/>
  <c r="H46" i="109"/>
  <c r="H50" i="110"/>
  <c r="Y53" i="95"/>
  <c r="H47" i="111"/>
  <c r="Z50" i="95"/>
  <c r="H50" i="87"/>
  <c r="G38" i="87"/>
  <c r="T10" i="87"/>
  <c r="H52" i="105"/>
  <c r="R55" i="95"/>
  <c r="H46" i="108"/>
  <c r="W49" i="95"/>
  <c r="H23" i="111"/>
  <c r="Z28" i="95"/>
  <c r="Z39" i="95"/>
  <c r="E23" i="108"/>
  <c r="G23" i="108" s="1"/>
  <c r="W17" i="95"/>
  <c r="F23" i="108"/>
  <c r="E47" i="108"/>
  <c r="G47" i="108" s="1"/>
  <c r="F47" i="108"/>
  <c r="E35" i="108"/>
  <c r="G35" i="108" s="1"/>
  <c r="F35" i="108"/>
  <c r="H35" i="108" s="1"/>
  <c r="H28" i="105"/>
  <c r="R33" i="95"/>
  <c r="H45" i="104"/>
  <c r="Q48" i="95"/>
  <c r="X38" i="95"/>
  <c r="X27" i="95"/>
  <c r="X60" i="95" s="1"/>
  <c r="H51" i="111"/>
  <c r="Z54" i="95"/>
  <c r="P13" i="112"/>
  <c r="O13" i="112"/>
  <c r="N13" i="112"/>
  <c r="H33" i="104"/>
  <c r="Q37" i="95"/>
  <c r="R12" i="108"/>
  <c r="S12" i="108" s="1"/>
  <c r="N12" i="108"/>
  <c r="O12" i="108"/>
  <c r="P12" i="108"/>
  <c r="H26" i="87"/>
  <c r="G52" i="105"/>
  <c r="H22" i="112"/>
  <c r="AA27" i="95"/>
  <c r="AA60" i="95" s="1"/>
  <c r="AA38" i="95"/>
  <c r="H27" i="111"/>
  <c r="Z32" i="95"/>
  <c r="Z65" i="95" s="1"/>
  <c r="Z43" i="95"/>
  <c r="S13" i="109"/>
  <c r="G21" i="87"/>
  <c r="M63" i="95"/>
  <c r="R11" i="95"/>
  <c r="T16" i="105"/>
  <c r="L62" i="95"/>
  <c r="M62" i="95"/>
  <c r="G28" i="105"/>
  <c r="R65" i="95"/>
  <c r="R61" i="95"/>
  <c r="G23" i="32"/>
  <c r="G27" i="87"/>
  <c r="G39" i="87"/>
  <c r="T12" i="87"/>
  <c r="H49" i="87"/>
  <c r="G38" i="92"/>
  <c r="H50" i="92"/>
  <c r="G61" i="95"/>
  <c r="G50" i="92"/>
  <c r="H37" i="92"/>
  <c r="H45" i="92"/>
  <c r="H22" i="92"/>
  <c r="H27" i="87"/>
  <c r="G48" i="87"/>
  <c r="G24" i="87"/>
  <c r="G9" i="95"/>
  <c r="G64" i="95" s="1"/>
  <c r="H48" i="87"/>
  <c r="G37" i="91"/>
  <c r="C7" i="95"/>
  <c r="G36" i="87"/>
  <c r="H38" i="92"/>
  <c r="G63" i="95"/>
  <c r="G26" i="92"/>
  <c r="H26" i="92"/>
  <c r="C60" i="95"/>
  <c r="O20" i="97" s="1"/>
  <c r="H46" i="87"/>
  <c r="G22" i="87"/>
  <c r="E66" i="95"/>
  <c r="G34" i="87"/>
  <c r="H22" i="87"/>
  <c r="G46" i="87"/>
  <c r="G49" i="91"/>
  <c r="G25" i="91"/>
  <c r="T13" i="91"/>
  <c r="H25" i="92"/>
  <c r="H49" i="92"/>
  <c r="G48" i="92"/>
  <c r="H27" i="93"/>
  <c r="G36" i="92"/>
  <c r="H48" i="92"/>
  <c r="G24" i="92"/>
  <c r="H36" i="92"/>
  <c r="H24" i="92"/>
  <c r="H51" i="93"/>
  <c r="G35" i="87"/>
  <c r="G23" i="87"/>
  <c r="G47" i="87"/>
  <c r="C6" i="95"/>
  <c r="H47" i="87"/>
  <c r="H35" i="87"/>
  <c r="H23" i="87"/>
  <c r="T11" i="87"/>
  <c r="G7" i="95"/>
  <c r="H39" i="93"/>
  <c r="F30" i="95"/>
  <c r="F63" i="95" s="1"/>
  <c r="H37" i="91"/>
  <c r="F31" i="95"/>
  <c r="H38" i="91"/>
  <c r="G60" i="95"/>
  <c r="S20" i="97" s="1"/>
  <c r="C65" i="95"/>
  <c r="G65" i="95"/>
  <c r="F41" i="95"/>
  <c r="H25" i="91"/>
  <c r="H65" i="95"/>
  <c r="J59" i="95"/>
  <c r="V19" i="97" s="1"/>
  <c r="F52" i="95"/>
  <c r="H49" i="91"/>
  <c r="F53" i="95"/>
  <c r="H50" i="91"/>
  <c r="G66" i="95"/>
  <c r="F42" i="95"/>
  <c r="H26" i="91"/>
  <c r="B61" i="95"/>
  <c r="B63" i="95"/>
  <c r="H44" i="87"/>
  <c r="J10" i="95"/>
  <c r="T15" i="96"/>
  <c r="H20" i="87"/>
  <c r="H32" i="87"/>
  <c r="C58" i="95"/>
  <c r="O18" i="97" s="1"/>
  <c r="G28" i="87"/>
  <c r="G40" i="87"/>
  <c r="H40" i="87"/>
  <c r="H52" i="87"/>
  <c r="H28" i="87"/>
  <c r="G52" i="87"/>
  <c r="C11" i="95"/>
  <c r="H51" i="96"/>
  <c r="G27" i="96"/>
  <c r="G51" i="96"/>
  <c r="H27" i="96"/>
  <c r="H39" i="96"/>
  <c r="G39" i="96"/>
  <c r="C59" i="95" l="1"/>
  <c r="O19" i="97" s="1"/>
  <c r="G59" i="95"/>
  <c r="S19" i="97" s="1"/>
  <c r="Z61" i="95"/>
  <c r="F64" i="95"/>
  <c r="G26" i="32"/>
  <c r="G29" i="32"/>
  <c r="G28" i="32"/>
  <c r="G27" i="32"/>
  <c r="G26" i="108"/>
  <c r="S13" i="112"/>
  <c r="AA8" i="95" s="1"/>
  <c r="G50" i="108"/>
  <c r="C64" i="95"/>
  <c r="H37" i="109"/>
  <c r="X7" i="95"/>
  <c r="T12" i="109"/>
  <c r="G37" i="109"/>
  <c r="H26" i="108"/>
  <c r="W31" i="95"/>
  <c r="W42" i="95"/>
  <c r="T13" i="109"/>
  <c r="X8" i="95"/>
  <c r="G25" i="109"/>
  <c r="H49" i="109"/>
  <c r="X52" i="95"/>
  <c r="E24" i="108"/>
  <c r="G24" i="108" s="1"/>
  <c r="W18" i="95"/>
  <c r="E48" i="108"/>
  <c r="G48" i="108" s="1"/>
  <c r="F24" i="108"/>
  <c r="H24" i="108" s="1"/>
  <c r="F48" i="108"/>
  <c r="E36" i="108"/>
  <c r="G36" i="108" s="1"/>
  <c r="F36" i="108"/>
  <c r="H36" i="108" s="1"/>
  <c r="H47" i="108"/>
  <c r="W50" i="95"/>
  <c r="G49" i="109"/>
  <c r="T14" i="108"/>
  <c r="W9" i="95"/>
  <c r="H25" i="109"/>
  <c r="X30" i="95"/>
  <c r="X41" i="95"/>
  <c r="E24" i="109"/>
  <c r="G24" i="109" s="1"/>
  <c r="X18" i="95"/>
  <c r="F24" i="109"/>
  <c r="E48" i="109"/>
  <c r="G48" i="109" s="1"/>
  <c r="F48" i="109"/>
  <c r="E36" i="109"/>
  <c r="G36" i="109" s="1"/>
  <c r="F36" i="109"/>
  <c r="H36" i="109" s="1"/>
  <c r="H38" i="108"/>
  <c r="AA19" i="95"/>
  <c r="E25" i="112"/>
  <c r="G25" i="112" s="1"/>
  <c r="F25" i="112"/>
  <c r="E49" i="112"/>
  <c r="F49" i="112"/>
  <c r="E37" i="112"/>
  <c r="F37" i="112"/>
  <c r="W28" i="95"/>
  <c r="W61" i="95" s="1"/>
  <c r="W39" i="95"/>
  <c r="G38" i="108"/>
  <c r="H23" i="108"/>
  <c r="W7" i="95"/>
  <c r="T12" i="108"/>
  <c r="H50" i="108"/>
  <c r="W53" i="95"/>
  <c r="R66" i="95"/>
  <c r="C62" i="95"/>
  <c r="G62" i="95"/>
  <c r="C61" i="95"/>
  <c r="C66" i="95"/>
  <c r="J65" i="95"/>
  <c r="G37" i="112" l="1"/>
  <c r="T13" i="112"/>
  <c r="H49" i="112"/>
  <c r="G49" i="112"/>
  <c r="H37" i="112"/>
  <c r="AA52" i="95"/>
  <c r="H48" i="108"/>
  <c r="W51" i="95"/>
  <c r="X63" i="95"/>
  <c r="H48" i="109"/>
  <c r="X51" i="95"/>
  <c r="W29" i="95"/>
  <c r="W62" i="95" s="1"/>
  <c r="W40" i="95"/>
  <c r="AA41" i="95"/>
  <c r="AA30" i="95"/>
  <c r="AA63" i="95" s="1"/>
  <c r="H24" i="109"/>
  <c r="X29" i="95"/>
  <c r="X62" i="95" s="1"/>
  <c r="X40" i="95"/>
  <c r="W64" i="95"/>
  <c r="H25" i="112"/>
  <c r="K2" i="107" l="1"/>
  <c r="Q7" i="107"/>
  <c r="S7" i="107" s="1"/>
  <c r="Q10" i="107"/>
  <c r="S10" i="107" s="1"/>
  <c r="Q16" i="107"/>
  <c r="S16" i="107" s="1"/>
  <c r="V11" i="95" s="1"/>
  <c r="Q14" i="107"/>
  <c r="S14" i="107" s="1"/>
  <c r="V9" i="95" s="1"/>
  <c r="Q8" i="107"/>
  <c r="S8" i="107" s="1"/>
  <c r="V3" i="95" s="1"/>
  <c r="Q15" i="107"/>
  <c r="S15" i="107" s="1"/>
  <c r="V10" i="95" s="1"/>
  <c r="Q13" i="107"/>
  <c r="S13" i="107" s="1"/>
  <c r="V8" i="95" s="1"/>
  <c r="Q9" i="107"/>
  <c r="S9" i="107" s="1"/>
  <c r="V4" i="95" s="1"/>
  <c r="Q11" i="107"/>
  <c r="S11" i="107" s="1"/>
  <c r="Q12" i="107"/>
  <c r="S12" i="107" s="1"/>
  <c r="G23" i="107" l="1"/>
  <c r="V6" i="95"/>
  <c r="G22" i="107"/>
  <c r="V5" i="95"/>
  <c r="V66" i="95"/>
  <c r="G48" i="107"/>
  <c r="V7" i="95"/>
  <c r="V59" i="95"/>
  <c r="V65" i="95"/>
  <c r="V58" i="95"/>
  <c r="V63" i="95"/>
  <c r="V64" i="95"/>
  <c r="H25" i="107"/>
  <c r="T13" i="107"/>
  <c r="H49" i="107"/>
  <c r="G37" i="107"/>
  <c r="G25" i="107"/>
  <c r="H37" i="107"/>
  <c r="G49" i="107"/>
  <c r="H28" i="107"/>
  <c r="G52" i="107"/>
  <c r="G40" i="107"/>
  <c r="T16" i="107"/>
  <c r="H40" i="107"/>
  <c r="H52" i="107"/>
  <c r="G28" i="107"/>
  <c r="G39" i="107"/>
  <c r="G51" i="107"/>
  <c r="H39" i="107"/>
  <c r="T15" i="107"/>
  <c r="H27" i="107"/>
  <c r="G27" i="107"/>
  <c r="H51" i="107"/>
  <c r="H50" i="107"/>
  <c r="G50" i="107"/>
  <c r="G38" i="107"/>
  <c r="T14" i="107"/>
  <c r="H38" i="107"/>
  <c r="H26" i="107"/>
  <c r="G26" i="107"/>
  <c r="H45" i="107"/>
  <c r="H21" i="107"/>
  <c r="G21" i="107"/>
  <c r="G33" i="107"/>
  <c r="T9" i="107"/>
  <c r="H33" i="107"/>
  <c r="G45" i="107"/>
  <c r="G43" i="107"/>
  <c r="G19" i="107"/>
  <c r="T7" i="107"/>
  <c r="H43" i="107"/>
  <c r="H31" i="107"/>
  <c r="H19" i="107"/>
  <c r="G31" i="107"/>
  <c r="H32" i="107"/>
  <c r="G44" i="107"/>
  <c r="G32" i="107"/>
  <c r="G20" i="107"/>
  <c r="H20" i="107"/>
  <c r="T8" i="107"/>
  <c r="H44" i="107"/>
  <c r="H48" i="107"/>
  <c r="G46" i="107"/>
  <c r="T12" i="107"/>
  <c r="G47" i="107"/>
  <c r="H34" i="107"/>
  <c r="H36" i="107"/>
  <c r="H47" i="107"/>
  <c r="G34" i="107"/>
  <c r="H46" i="107"/>
  <c r="G24" i="107"/>
  <c r="T11" i="107"/>
  <c r="H35" i="107"/>
  <c r="G36" i="107"/>
  <c r="G35" i="107"/>
  <c r="T10" i="107"/>
  <c r="H24" i="107"/>
  <c r="H23" i="107"/>
  <c r="H22" i="107"/>
  <c r="V60" i="95" l="1"/>
  <c r="V61" i="95"/>
  <c r="V62" i="9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4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4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14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4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14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4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D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D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1D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D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1D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D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E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E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1E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E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1E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E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F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F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1F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F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1F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F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0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0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20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0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20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0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1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1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21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1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21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1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2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2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22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2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22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2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3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3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23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3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23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3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4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4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24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4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24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4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5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5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25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5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25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5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6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6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26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6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26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6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5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5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15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5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15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5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7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7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27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7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27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7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8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8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28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8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28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8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9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9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29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9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29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9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A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A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2A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A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2A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A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2B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2B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2B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2B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2B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2B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6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6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16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6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16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6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7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7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17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7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17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7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8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8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18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8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18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8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9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9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19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9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19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9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A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1A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A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1A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A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B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B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1B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B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1B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B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18" authorId="0" shapeId="0" xr:uid="{00000000-0006-0000-1C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18" authorId="0" shapeId="0" xr:uid="{00000000-0006-0000-1C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0" authorId="0" shapeId="0" xr:uid="{00000000-0006-0000-1C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30" authorId="0" shapeId="0" xr:uid="{00000000-0006-0000-1C00-000004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2" authorId="0" shapeId="0" xr:uid="{00000000-0006-0000-1C00-000005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Bet Medium Egge
</t>
        </r>
      </text>
    </comment>
    <comment ref="F42" authorId="0" shapeId="0" xr:uid="{00000000-0006-0000-1C00-000006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sharedStrings.xml><?xml version="1.0" encoding="utf-8"?>
<sst xmlns="http://schemas.openxmlformats.org/spreadsheetml/2006/main" count="1623" uniqueCount="198">
  <si>
    <t>Bust</t>
  </si>
  <si>
    <t>Ace</t>
  </si>
  <si>
    <t>Total</t>
  </si>
  <si>
    <t>OutCome</t>
  </si>
  <si>
    <t>Soft</t>
  </si>
  <si>
    <t>Start Card</t>
  </si>
  <si>
    <t>Stand</t>
  </si>
  <si>
    <t>Outcome</t>
  </si>
  <si>
    <t>Prob</t>
  </si>
  <si>
    <t>Hard</t>
  </si>
  <si>
    <t>Pair</t>
  </si>
  <si>
    <t>Dealer BJ</t>
  </si>
  <si>
    <t>Cards 2</t>
  </si>
  <si>
    <t>Cards1</t>
  </si>
  <si>
    <t>Probability</t>
  </si>
  <si>
    <t>%</t>
  </si>
  <si>
    <t>Hard Value EV</t>
  </si>
  <si>
    <t>Soft Value EV</t>
  </si>
  <si>
    <t>Pair Value EV</t>
  </si>
  <si>
    <t>Total EV</t>
  </si>
  <si>
    <t>5-8</t>
  </si>
  <si>
    <t>17-21</t>
  </si>
  <si>
    <t>A</t>
  </si>
  <si>
    <t>My Basic Strategy</t>
  </si>
  <si>
    <t>H = Hit</t>
  </si>
  <si>
    <t>D = Double</t>
  </si>
  <si>
    <t>S = Stand</t>
  </si>
  <si>
    <t>P = Split</t>
  </si>
  <si>
    <t>R = Surrender</t>
  </si>
  <si>
    <t>Dealer BlakJack EV</t>
  </si>
  <si>
    <t>Blackjack</t>
  </si>
  <si>
    <t>Dealer Blackjack</t>
  </si>
  <si>
    <t>Player Not Blackjack</t>
  </si>
  <si>
    <t>Value</t>
  </si>
  <si>
    <t>Total Win Prob</t>
  </si>
  <si>
    <t>Total Lost Prob</t>
  </si>
  <si>
    <t>Simplified</t>
  </si>
  <si>
    <t>Percentage</t>
  </si>
  <si>
    <t>Count</t>
  </si>
  <si>
    <t>Different</t>
  </si>
  <si>
    <t>Summary</t>
  </si>
  <si>
    <t>Win Prob</t>
  </si>
  <si>
    <t>Lose Prob</t>
  </si>
  <si>
    <t>Lose %</t>
  </si>
  <si>
    <t>Win %</t>
  </si>
  <si>
    <t>Differ</t>
  </si>
  <si>
    <t>Win ER</t>
  </si>
  <si>
    <t>Lose ER</t>
  </si>
  <si>
    <t>Total ER</t>
  </si>
  <si>
    <t>Return</t>
  </si>
  <si>
    <t>EV</t>
  </si>
  <si>
    <t>Edge</t>
  </si>
  <si>
    <t>Rules</t>
  </si>
  <si>
    <t>Hit</t>
  </si>
  <si>
    <t>Options</t>
  </si>
  <si>
    <t>Rules!$B$4*</t>
  </si>
  <si>
    <t>Double</t>
  </si>
  <si>
    <t>9,10,11</t>
  </si>
  <si>
    <t>Yes</t>
  </si>
  <si>
    <t>No</t>
  </si>
  <si>
    <t>Surrender Ace</t>
  </si>
  <si>
    <t>Min :2</t>
  </si>
  <si>
    <t>Surrend Allow</t>
  </si>
  <si>
    <t>Pay 3 to 2</t>
  </si>
  <si>
    <t>Pay 6 to 5</t>
  </si>
  <si>
    <t>On Blackjack</t>
  </si>
  <si>
    <t>European</t>
  </si>
  <si>
    <t>American</t>
  </si>
  <si>
    <t>American Rule</t>
  </si>
  <si>
    <t>European Rule</t>
  </si>
  <si>
    <t>Expected Value</t>
  </si>
  <si>
    <t>Possitive</t>
  </si>
  <si>
    <t>Negatives</t>
  </si>
  <si>
    <t>Total Lost ER</t>
  </si>
  <si>
    <t>Total Win ER</t>
  </si>
  <si>
    <t>Split up to</t>
  </si>
  <si>
    <t>Hands</t>
  </si>
  <si>
    <t>Double After Split</t>
  </si>
  <si>
    <t>Any 2 Cards</t>
  </si>
  <si>
    <t>SPLIT TO 5 HANDS</t>
  </si>
  <si>
    <t>SPLIT TO 4 HANDS</t>
  </si>
  <si>
    <t>SPLIT TO 3 HANDS</t>
  </si>
  <si>
    <t>SPLIT TO 2 HANDS</t>
  </si>
  <si>
    <t>Hit After Split Ace</t>
  </si>
  <si>
    <t>Max :5</t>
  </si>
  <si>
    <t>Max :100</t>
  </si>
  <si>
    <t>Min :0</t>
  </si>
  <si>
    <t>Pay Instantly</t>
  </si>
  <si>
    <t>Normal</t>
  </si>
  <si>
    <t>Pay Even Money</t>
  </si>
  <si>
    <t>Split Ace to</t>
  </si>
  <si>
    <t>On Player 21</t>
  </si>
  <si>
    <t>On Dealer 22</t>
  </si>
  <si>
    <t>Busted</t>
  </si>
  <si>
    <t>Pushes</t>
  </si>
  <si>
    <t>Total Point</t>
  </si>
  <si>
    <t>Soft Point</t>
  </si>
  <si>
    <t>3RD Total</t>
  </si>
  <si>
    <t>4RD Total</t>
  </si>
  <si>
    <t>Check Sum</t>
  </si>
  <si>
    <t>Soft Value</t>
  </si>
  <si>
    <t>Softvalue</t>
  </si>
  <si>
    <t>Total Stop</t>
  </si>
  <si>
    <t>Hard Total</t>
  </si>
  <si>
    <t>Soft Total</t>
  </si>
  <si>
    <t>3Card Stop</t>
  </si>
  <si>
    <t>4Card Stop</t>
  </si>
  <si>
    <t>5RD Total</t>
  </si>
  <si>
    <t>2 Card</t>
  </si>
  <si>
    <t>3 Card</t>
  </si>
  <si>
    <t>4 Card</t>
  </si>
  <si>
    <t>5 Card</t>
  </si>
  <si>
    <t>ฺBust</t>
  </si>
  <si>
    <t>Stop</t>
  </si>
  <si>
    <t>Success</t>
  </si>
  <si>
    <t>2Card Stop</t>
  </si>
  <si>
    <t>5 Cards</t>
  </si>
  <si>
    <t>Three 7 Cards</t>
  </si>
  <si>
    <t>Pay Double</t>
  </si>
  <si>
    <t>Three 7 Cards EV</t>
  </si>
  <si>
    <t>2 Cards</t>
  </si>
  <si>
    <t>3 Cards</t>
  </si>
  <si>
    <t>7 Cards</t>
  </si>
  <si>
    <t>Cards</t>
  </si>
  <si>
    <t>Blackjack Rules Expected Value</t>
  </si>
  <si>
    <t>Dealer on Soft 17</t>
  </si>
  <si>
    <t>No of 10 in Deck</t>
  </si>
  <si>
    <t>Wining</t>
  </si>
  <si>
    <t>Losing</t>
  </si>
  <si>
    <t>Win:</t>
  </si>
  <si>
    <t>Lose:</t>
  </si>
  <si>
    <t>EV:</t>
  </si>
  <si>
    <t>Strategy 1</t>
  </si>
  <si>
    <t>Sequence</t>
  </si>
  <si>
    <t>Strategy 2</t>
  </si>
  <si>
    <t>ER</t>
  </si>
  <si>
    <t>Blackjack Final EV</t>
  </si>
  <si>
    <t>Blackjack Hand Probabilities</t>
  </si>
  <si>
    <t>Blackjack Hand Expected Return</t>
  </si>
  <si>
    <t>Bankroll</t>
  </si>
  <si>
    <t>Level</t>
  </si>
  <si>
    <t>Check</t>
  </si>
  <si>
    <t>EL</t>
  </si>
  <si>
    <t>Total Requirement</t>
  </si>
  <si>
    <t>Level Requirement</t>
  </si>
  <si>
    <t>Level Bet</t>
  </si>
  <si>
    <t>Strategy 3</t>
  </si>
  <si>
    <t>1x2</t>
  </si>
  <si>
    <t>1x3</t>
  </si>
  <si>
    <t>1x4</t>
  </si>
  <si>
    <t>1x5</t>
  </si>
  <si>
    <t>1x6</t>
  </si>
  <si>
    <t>1x7</t>
  </si>
  <si>
    <t>1x8</t>
  </si>
  <si>
    <t>1x9</t>
  </si>
  <si>
    <t>1x10</t>
  </si>
  <si>
    <t>BYE</t>
  </si>
  <si>
    <t>BME</t>
  </si>
  <si>
    <t>ROI/BME</t>
  </si>
  <si>
    <t>ROI/BYE</t>
  </si>
  <si>
    <t>Expected Return on Each Situations</t>
  </si>
  <si>
    <t>Bet Your Edge Bankroll</t>
  </si>
  <si>
    <t>Bet Your Edge +1 Bankroll</t>
  </si>
  <si>
    <t>Risk</t>
  </si>
  <si>
    <t>Bet Your Edge x2 Bankroll</t>
  </si>
  <si>
    <t>Bet Your Edge ROI</t>
  </si>
  <si>
    <t>1x4 2 Level</t>
  </si>
  <si>
    <t>H.Edge Bankroll</t>
  </si>
  <si>
    <t>1x3 3 Level</t>
  </si>
  <si>
    <t>Suggest Strategy</t>
  </si>
  <si>
    <t>Bankroll Steps</t>
  </si>
  <si>
    <t>ROI</t>
  </si>
  <si>
    <t>2x3</t>
  </si>
  <si>
    <t>2x4</t>
  </si>
  <si>
    <t>2x5</t>
  </si>
  <si>
    <t>2x6</t>
  </si>
  <si>
    <t>2x7</t>
  </si>
  <si>
    <t>2x8</t>
  </si>
  <si>
    <t>2x9</t>
  </si>
  <si>
    <t>2x10</t>
  </si>
  <si>
    <t>Bet Your Edge + 1 Bankroll</t>
  </si>
  <si>
    <t>Bet Your Edge x 2 Bankroll</t>
  </si>
  <si>
    <t>Bet your Edge Bankroll</t>
  </si>
  <si>
    <t>3x4</t>
  </si>
  <si>
    <t>3x5</t>
  </si>
  <si>
    <t>3x6</t>
  </si>
  <si>
    <t>3x7</t>
  </si>
  <si>
    <t>3x8</t>
  </si>
  <si>
    <t>3x9</t>
  </si>
  <si>
    <t>3x10</t>
  </si>
  <si>
    <t>Bet your Edge ROI</t>
  </si>
  <si>
    <t>Lose</t>
  </si>
  <si>
    <t>1 HR</t>
  </si>
  <si>
    <t>Earning/Hour</t>
  </si>
  <si>
    <t>Strategy Evs</t>
  </si>
  <si>
    <t>Strategy Edges</t>
  </si>
  <si>
    <t>Strategy Bet Your Edge ROI</t>
  </si>
  <si>
    <t>Bet Your Half Edge Bankroll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</si>
</sst>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0.0000%"/>
    <numFmt numFmtId="166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5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9">
    <xf numFmtId="0" fontId="0" fillId="0" borderId="0" xfId="0"/>
    <xf numFmtId="0" fontId="0" fillId="0" borderId="1" xfId="0" applyBorder="1"/>
    <xf numFmtId="0" fontId="0" fillId="0" borderId="3" xfId="0" applyBorder="1"/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8" fillId="3" borderId="5" xfId="0" applyFont="1" applyFill="1" applyBorder="1" applyAlignment="1">
      <alignment horizontal="center"/>
    </xf>
    <xf numFmtId="164" fontId="6" fillId="3" borderId="3" xfId="1" applyNumberFormat="1" applyFont="1" applyFill="1" applyBorder="1"/>
    <xf numFmtId="164" fontId="6" fillId="3" borderId="1" xfId="1" applyNumberFormat="1" applyFont="1" applyFill="1" applyBorder="1"/>
    <xf numFmtId="164" fontId="6" fillId="3" borderId="16" xfId="1" applyNumberFormat="1" applyFont="1" applyFill="1" applyBorder="1"/>
    <xf numFmtId="0" fontId="8" fillId="2" borderId="7" xfId="0" applyFont="1" applyFill="1" applyBorder="1" applyAlignment="1">
      <alignment horizontal="center"/>
    </xf>
    <xf numFmtId="164" fontId="6" fillId="2" borderId="8" xfId="1" applyNumberFormat="1" applyFont="1" applyFill="1" applyBorder="1"/>
    <xf numFmtId="164" fontId="6" fillId="2" borderId="9" xfId="1" applyNumberFormat="1" applyFont="1" applyFill="1" applyBorder="1"/>
    <xf numFmtId="164" fontId="6" fillId="2" borderId="15" xfId="1" applyNumberFormat="1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4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9" fillId="4" borderId="1" xfId="18" applyFont="1" applyFill="1" applyBorder="1" applyAlignment="1">
      <alignment horizontal="center" vertical="center"/>
    </xf>
    <xf numFmtId="0" fontId="2" fillId="0" borderId="0" xfId="18"/>
    <xf numFmtId="0" fontId="2" fillId="0" borderId="1" xfId="18" applyBorder="1" applyAlignment="1">
      <alignment horizontal="center" vertical="center"/>
    </xf>
    <xf numFmtId="0" fontId="11" fillId="4" borderId="1" xfId="18" applyFont="1" applyFill="1" applyBorder="1" applyAlignment="1">
      <alignment horizontal="center" vertical="center"/>
    </xf>
    <xf numFmtId="0" fontId="2" fillId="0" borderId="0" xfId="18" applyBorder="1" applyAlignment="1">
      <alignment horizontal="center" vertical="center"/>
    </xf>
    <xf numFmtId="0" fontId="9" fillId="4" borderId="24" xfId="18" applyFont="1" applyFill="1" applyBorder="1"/>
    <xf numFmtId="0" fontId="9" fillId="4" borderId="25" xfId="18" applyFont="1" applyFill="1" applyBorder="1"/>
    <xf numFmtId="0" fontId="2" fillId="0" borderId="9" xfId="18" applyBorder="1"/>
    <xf numFmtId="0" fontId="2" fillId="0" borderId="0" xfId="18" applyFill="1" applyBorder="1" applyAlignment="1">
      <alignment horizontal="center" vertical="center"/>
    </xf>
    <xf numFmtId="0" fontId="10" fillId="0" borderId="0" xfId="18" applyFont="1"/>
    <xf numFmtId="165" fontId="0" fillId="0" borderId="0" xfId="19" applyNumberFormat="1" applyFont="1"/>
    <xf numFmtId="0" fontId="9" fillId="4" borderId="26" xfId="18" applyFont="1" applyFill="1" applyBorder="1" applyAlignment="1">
      <alignment horizontal="center" vertical="center"/>
    </xf>
    <xf numFmtId="0" fontId="9" fillId="4" borderId="27" xfId="18" applyFont="1" applyFill="1" applyBorder="1" applyAlignment="1">
      <alignment horizontal="center" vertical="center"/>
    </xf>
    <xf numFmtId="0" fontId="9" fillId="4" borderId="28" xfId="18" applyFont="1" applyFill="1" applyBorder="1" applyAlignment="1">
      <alignment horizontal="center" vertical="center"/>
    </xf>
    <xf numFmtId="0" fontId="9" fillId="4" borderId="19" xfId="18" applyFont="1" applyFill="1" applyBorder="1" applyAlignment="1">
      <alignment horizontal="center" vertical="center"/>
    </xf>
    <xf numFmtId="0" fontId="2" fillId="0" borderId="14" xfId="18" applyBorder="1" applyAlignment="1">
      <alignment horizontal="center" vertical="center"/>
    </xf>
    <xf numFmtId="0" fontId="11" fillId="4" borderId="14" xfId="18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23" xfId="18" applyFont="1" applyBorder="1"/>
    <xf numFmtId="0" fontId="13" fillId="7" borderId="17" xfId="18" applyFont="1" applyFill="1" applyBorder="1"/>
    <xf numFmtId="0" fontId="7" fillId="0" borderId="1" xfId="0" applyFont="1" applyBorder="1"/>
    <xf numFmtId="164" fontId="6" fillId="2" borderId="1" xfId="1" applyNumberFormat="1" applyFont="1" applyFill="1" applyBorder="1"/>
    <xf numFmtId="0" fontId="0" fillId="0" borderId="26" xfId="0" applyBorder="1" applyAlignment="1">
      <alignment horizontal="center"/>
    </xf>
    <xf numFmtId="164" fontId="6" fillId="2" borderId="27" xfId="1" applyNumberFormat="1" applyFont="1" applyFill="1" applyBorder="1"/>
    <xf numFmtId="164" fontId="6" fillId="3" borderId="27" xfId="1" applyNumberFormat="1" applyFont="1" applyFill="1" applyBorder="1"/>
    <xf numFmtId="0" fontId="0" fillId="0" borderId="28" xfId="0" applyBorder="1"/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164" fontId="8" fillId="3" borderId="27" xfId="1" applyNumberFormat="1" applyFont="1" applyFill="1" applyBorder="1" applyAlignment="1">
      <alignment horizontal="center"/>
    </xf>
    <xf numFmtId="164" fontId="8" fillId="2" borderId="27" xfId="1" applyNumberFormat="1" applyFont="1" applyFill="1" applyBorder="1" applyAlignment="1">
      <alignment horizontal="center"/>
    </xf>
    <xf numFmtId="164" fontId="6" fillId="2" borderId="16" xfId="1" applyNumberFormat="1" applyFont="1" applyFill="1" applyBorder="1"/>
    <xf numFmtId="164" fontId="6" fillId="3" borderId="5" xfId="1" applyNumberFormat="1" applyFont="1" applyFill="1" applyBorder="1"/>
    <xf numFmtId="10" fontId="0" fillId="0" borderId="0" xfId="0" applyNumberFormat="1"/>
    <xf numFmtId="0" fontId="9" fillId="4" borderId="36" xfId="18" applyFont="1" applyFill="1" applyBorder="1" applyAlignment="1">
      <alignment horizontal="center" vertical="center"/>
    </xf>
    <xf numFmtId="0" fontId="2" fillId="0" borderId="22" xfId="18" applyBorder="1" applyAlignment="1">
      <alignment horizontal="center" vertical="center"/>
    </xf>
    <xf numFmtId="0" fontId="2" fillId="0" borderId="5" xfId="18" applyBorder="1" applyAlignment="1">
      <alignment horizontal="center" vertical="center"/>
    </xf>
    <xf numFmtId="0" fontId="2" fillId="0" borderId="6" xfId="18" applyBorder="1" applyAlignment="1">
      <alignment horizontal="center" vertical="center"/>
    </xf>
    <xf numFmtId="0" fontId="2" fillId="0" borderId="26" xfId="18" applyBorder="1"/>
    <xf numFmtId="0" fontId="2" fillId="0" borderId="28" xfId="18" applyBorder="1"/>
    <xf numFmtId="10" fontId="2" fillId="0" borderId="27" xfId="1" applyNumberFormat="1" applyFont="1" applyBorder="1"/>
    <xf numFmtId="2" fontId="2" fillId="0" borderId="27" xfId="18" applyNumberFormat="1" applyBorder="1"/>
    <xf numFmtId="0" fontId="10" fillId="0" borderId="39" xfId="18" applyFont="1" applyBorder="1"/>
    <xf numFmtId="0" fontId="10" fillId="0" borderId="40" xfId="18" applyFont="1" applyBorder="1"/>
    <xf numFmtId="0" fontId="10" fillId="0" borderId="41" xfId="18" applyFont="1" applyBorder="1"/>
    <xf numFmtId="0" fontId="2" fillId="0" borderId="36" xfId="18" applyBorder="1"/>
    <xf numFmtId="10" fontId="2" fillId="0" borderId="22" xfId="1" applyNumberFormat="1" applyFont="1" applyBorder="1"/>
    <xf numFmtId="2" fontId="2" fillId="0" borderId="22" xfId="18" applyNumberFormat="1" applyBorder="1"/>
    <xf numFmtId="0" fontId="2" fillId="0" borderId="23" xfId="18" applyBorder="1"/>
    <xf numFmtId="0" fontId="2" fillId="0" borderId="43" xfId="18" applyBorder="1"/>
    <xf numFmtId="10" fontId="2" fillId="0" borderId="45" xfId="1" applyNumberFormat="1" applyFont="1" applyBorder="1"/>
    <xf numFmtId="0" fontId="2" fillId="0" borderId="45" xfId="18" applyBorder="1"/>
    <xf numFmtId="0" fontId="2" fillId="0" borderId="46" xfId="18" applyBorder="1"/>
    <xf numFmtId="0" fontId="2" fillId="0" borderId="4" xfId="18" applyBorder="1"/>
    <xf numFmtId="10" fontId="2" fillId="0" borderId="5" xfId="1" applyNumberFormat="1" applyFont="1" applyBorder="1"/>
    <xf numFmtId="2" fontId="2" fillId="0" borderId="5" xfId="18" applyNumberFormat="1" applyBorder="1"/>
    <xf numFmtId="0" fontId="2" fillId="0" borderId="6" xfId="18" applyBorder="1"/>
    <xf numFmtId="0" fontId="2" fillId="0" borderId="1" xfId="18" applyBorder="1"/>
    <xf numFmtId="0" fontId="9" fillId="4" borderId="48" xfId="18" applyFont="1" applyFill="1" applyBorder="1" applyAlignment="1">
      <alignment horizontal="center" vertical="center"/>
    </xf>
    <xf numFmtId="10" fontId="2" fillId="0" borderId="49" xfId="1" applyNumberFormat="1" applyFont="1" applyBorder="1" applyAlignment="1">
      <alignment horizontal="center" vertical="center"/>
    </xf>
    <xf numFmtId="10" fontId="2" fillId="0" borderId="0" xfId="18" applyNumberFormat="1"/>
    <xf numFmtId="0" fontId="2" fillId="0" borderId="35" xfId="18" applyBorder="1"/>
    <xf numFmtId="0" fontId="9" fillId="4" borderId="50" xfId="18" applyFont="1" applyFill="1" applyBorder="1" applyAlignment="1">
      <alignment horizontal="center" vertical="center"/>
    </xf>
    <xf numFmtId="0" fontId="9" fillId="4" borderId="22" xfId="18" applyFont="1" applyFill="1" applyBorder="1" applyAlignment="1">
      <alignment horizontal="center" vertical="center"/>
    </xf>
    <xf numFmtId="0" fontId="11" fillId="4" borderId="22" xfId="18" applyFont="1" applyFill="1" applyBorder="1" applyAlignment="1">
      <alignment horizontal="center" vertical="center"/>
    </xf>
    <xf numFmtId="0" fontId="11" fillId="4" borderId="23" xfId="18" applyFont="1" applyFill="1" applyBorder="1" applyAlignment="1">
      <alignment horizontal="center" vertical="center"/>
    </xf>
    <xf numFmtId="0" fontId="2" fillId="0" borderId="26" xfId="18" applyBorder="1" applyAlignment="1">
      <alignment horizontal="center" vertical="center"/>
    </xf>
    <xf numFmtId="0" fontId="2" fillId="0" borderId="27" xfId="18" applyBorder="1" applyAlignment="1">
      <alignment horizontal="center" vertical="center"/>
    </xf>
    <xf numFmtId="0" fontId="2" fillId="0" borderId="28" xfId="18" applyBorder="1" applyAlignment="1">
      <alignment horizontal="center" vertical="center"/>
    </xf>
    <xf numFmtId="10" fontId="2" fillId="0" borderId="29" xfId="1" applyNumberFormat="1" applyFont="1" applyBorder="1" applyAlignment="1">
      <alignment horizontal="center" vertical="center"/>
    </xf>
    <xf numFmtId="10" fontId="2" fillId="0" borderId="16" xfId="1" applyNumberFormat="1" applyFont="1" applyBorder="1" applyAlignment="1">
      <alignment horizontal="center" vertical="center"/>
    </xf>
    <xf numFmtId="10" fontId="2" fillId="0" borderId="17" xfId="1" applyNumberFormat="1" applyFont="1" applyBorder="1" applyAlignment="1">
      <alignment horizontal="center" vertical="center"/>
    </xf>
    <xf numFmtId="0" fontId="9" fillId="4" borderId="34" xfId="18" applyFont="1" applyFill="1" applyBorder="1" applyAlignment="1">
      <alignment horizontal="center" vertical="center"/>
    </xf>
    <xf numFmtId="10" fontId="2" fillId="0" borderId="48" xfId="1" applyNumberFormat="1" applyFont="1" applyBorder="1" applyAlignment="1">
      <alignment horizontal="center" vertical="center"/>
    </xf>
    <xf numFmtId="10" fontId="2" fillId="0" borderId="51" xfId="1" applyNumberFormat="1" applyFont="1" applyBorder="1" applyAlignment="1">
      <alignment horizontal="center" vertical="center"/>
    </xf>
    <xf numFmtId="0" fontId="2" fillId="0" borderId="4" xfId="18" applyBorder="1" applyAlignment="1">
      <alignment horizontal="center" vertical="center"/>
    </xf>
    <xf numFmtId="10" fontId="13" fillId="7" borderId="2" xfId="1" applyNumberFormat="1" applyFont="1" applyFill="1" applyBorder="1"/>
    <xf numFmtId="0" fontId="0" fillId="0" borderId="19" xfId="0" applyBorder="1"/>
    <xf numFmtId="0" fontId="0" fillId="0" borderId="29" xfId="0" applyBorder="1"/>
    <xf numFmtId="0" fontId="0" fillId="0" borderId="33" xfId="0" applyBorder="1"/>
    <xf numFmtId="0" fontId="0" fillId="0" borderId="10" xfId="0" applyBorder="1"/>
    <xf numFmtId="0" fontId="0" fillId="0" borderId="11" xfId="0" applyBorder="1"/>
    <xf numFmtId="0" fontId="0" fillId="0" borderId="25" xfId="0" applyBorder="1"/>
    <xf numFmtId="0" fontId="0" fillId="0" borderId="31" xfId="0" applyBorder="1"/>
    <xf numFmtId="0" fontId="0" fillId="0" borderId="54" xfId="0" applyBorder="1"/>
    <xf numFmtId="0" fontId="0" fillId="0" borderId="52" xfId="0" applyBorder="1"/>
    <xf numFmtId="0" fontId="0" fillId="0" borderId="51" xfId="0" applyBorder="1"/>
    <xf numFmtId="0" fontId="0" fillId="0" borderId="37" xfId="0" applyBorder="1"/>
    <xf numFmtId="0" fontId="0" fillId="0" borderId="2" xfId="0" applyBorder="1"/>
    <xf numFmtId="0" fontId="0" fillId="0" borderId="41" xfId="0" applyBorder="1"/>
    <xf numFmtId="0" fontId="0" fillId="0" borderId="0" xfId="0" applyBorder="1"/>
    <xf numFmtId="0" fontId="0" fillId="0" borderId="50" xfId="0" applyBorder="1"/>
    <xf numFmtId="0" fontId="0" fillId="0" borderId="43" xfId="0" applyBorder="1"/>
    <xf numFmtId="0" fontId="0" fillId="0" borderId="45" xfId="0" applyBorder="1"/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9" fillId="4" borderId="26" xfId="18" applyFont="1" applyFill="1" applyBorder="1" applyAlignment="1">
      <alignment horizontal="left" vertical="center"/>
    </xf>
    <xf numFmtId="0" fontId="9" fillId="4" borderId="19" xfId="18" applyFont="1" applyFill="1" applyBorder="1" applyAlignment="1">
      <alignment horizontal="left" vertical="center"/>
    </xf>
    <xf numFmtId="0" fontId="0" fillId="0" borderId="38" xfId="0" applyBorder="1"/>
    <xf numFmtId="0" fontId="9" fillId="4" borderId="26" xfId="18" applyFont="1" applyFill="1" applyBorder="1" applyAlignment="1">
      <alignment horizontal="left" vertical="center"/>
    </xf>
    <xf numFmtId="0" fontId="10" fillId="0" borderId="28" xfId="18" applyFont="1" applyBorder="1"/>
    <xf numFmtId="0" fontId="10" fillId="0" borderId="17" xfId="18" applyFont="1" applyBorder="1"/>
    <xf numFmtId="0" fontId="0" fillId="0" borderId="39" xfId="0" applyBorder="1"/>
    <xf numFmtId="0" fontId="0" fillId="0" borderId="40" xfId="0" applyBorder="1"/>
    <xf numFmtId="0" fontId="0" fillId="0" borderId="1" xfId="0" applyFont="1" applyBorder="1"/>
    <xf numFmtId="0" fontId="0" fillId="0" borderId="19" xfId="0" applyFont="1" applyBorder="1"/>
    <xf numFmtId="0" fontId="0" fillId="0" borderId="14" xfId="0" applyFont="1" applyBorder="1"/>
    <xf numFmtId="0" fontId="0" fillId="0" borderId="29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52" xfId="0" applyFont="1" applyBorder="1"/>
    <xf numFmtId="0" fontId="0" fillId="0" borderId="31" xfId="0" applyFont="1" applyBorder="1"/>
    <xf numFmtId="0" fontId="0" fillId="0" borderId="54" xfId="0" applyFont="1" applyBorder="1"/>
    <xf numFmtId="0" fontId="0" fillId="0" borderId="27" xfId="0" applyFont="1" applyBorder="1"/>
    <xf numFmtId="0" fontId="0" fillId="0" borderId="28" xfId="0" applyFont="1" applyBorder="1"/>
    <xf numFmtId="0" fontId="0" fillId="0" borderId="50" xfId="0" applyFont="1" applyBorder="1"/>
    <xf numFmtId="0" fontId="0" fillId="0" borderId="48" xfId="0" applyFont="1" applyBorder="1"/>
    <xf numFmtId="0" fontId="0" fillId="0" borderId="49" xfId="0" applyFont="1" applyBorder="1"/>
    <xf numFmtId="0" fontId="0" fillId="0" borderId="51" xfId="0" applyFont="1" applyBorder="1"/>
    <xf numFmtId="0" fontId="0" fillId="0" borderId="61" xfId="0" applyBorder="1"/>
    <xf numFmtId="0" fontId="0" fillId="0" borderId="25" xfId="0" applyFill="1" applyBorder="1"/>
    <xf numFmtId="0" fontId="0" fillId="0" borderId="62" xfId="0" applyFill="1" applyBorder="1"/>
    <xf numFmtId="0" fontId="0" fillId="8" borderId="1" xfId="0" applyFill="1" applyBorder="1"/>
    <xf numFmtId="0" fontId="0" fillId="8" borderId="26" xfId="0" applyFill="1" applyBorder="1"/>
    <xf numFmtId="16" fontId="0" fillId="8" borderId="27" xfId="0" applyNumberFormat="1" applyFill="1" applyBorder="1"/>
    <xf numFmtId="0" fontId="0" fillId="8" borderId="28" xfId="0" applyFill="1" applyBorder="1"/>
    <xf numFmtId="0" fontId="0" fillId="8" borderId="19" xfId="0" applyFill="1" applyBorder="1"/>
    <xf numFmtId="0" fontId="0" fillId="8" borderId="14" xfId="0" applyFill="1" applyBorder="1"/>
    <xf numFmtId="0" fontId="0" fillId="8" borderId="29" xfId="0" applyFill="1" applyBorder="1"/>
    <xf numFmtId="0" fontId="0" fillId="8" borderId="16" xfId="0" applyFill="1" applyBorder="1"/>
    <xf numFmtId="0" fontId="0" fillId="8" borderId="17" xfId="0" applyFill="1" applyBorder="1"/>
    <xf numFmtId="0" fontId="9" fillId="4" borderId="26" xfId="18" applyFont="1" applyFill="1" applyBorder="1" applyAlignment="1">
      <alignment horizontal="left" vertical="center"/>
    </xf>
    <xf numFmtId="0" fontId="0" fillId="0" borderId="59" xfId="0" applyFill="1" applyBorder="1"/>
    <xf numFmtId="0" fontId="0" fillId="8" borderId="36" xfId="0" applyFill="1" applyBorder="1"/>
    <xf numFmtId="0" fontId="0" fillId="8" borderId="22" xfId="0" applyFill="1" applyBorder="1"/>
    <xf numFmtId="0" fontId="0" fillId="8" borderId="23" xfId="0" applyFill="1" applyBorder="1"/>
    <xf numFmtId="0" fontId="0" fillId="7" borderId="10" xfId="0" applyFill="1" applyBorder="1" applyAlignment="1" applyProtection="1">
      <alignment horizontal="left"/>
      <protection locked="0"/>
    </xf>
    <xf numFmtId="0" fontId="0" fillId="7" borderId="21" xfId="0" applyFill="1" applyBorder="1" applyAlignment="1" applyProtection="1">
      <alignment horizontal="left"/>
      <protection locked="0"/>
    </xf>
    <xf numFmtId="0" fontId="0" fillId="7" borderId="56" xfId="0" applyFill="1" applyBorder="1" applyAlignment="1" applyProtection="1">
      <alignment horizontal="left"/>
      <protection locked="0"/>
    </xf>
    <xf numFmtId="0" fontId="0" fillId="7" borderId="33" xfId="0" applyFill="1" applyBorder="1" applyAlignment="1" applyProtection="1">
      <alignment horizontal="left"/>
      <protection locked="0"/>
    </xf>
    <xf numFmtId="0" fontId="0" fillId="7" borderId="11" xfId="0" applyFill="1" applyBorder="1" applyAlignment="1" applyProtection="1">
      <alignment horizontal="left"/>
      <protection locked="0"/>
    </xf>
    <xf numFmtId="0" fontId="0" fillId="7" borderId="12" xfId="0" applyFill="1" applyBorder="1" applyAlignment="1" applyProtection="1">
      <alignment horizontal="left"/>
      <protection locked="0"/>
    </xf>
    <xf numFmtId="10" fontId="2" fillId="0" borderId="0" xfId="1" applyNumberFormat="1" applyFont="1"/>
    <xf numFmtId="0" fontId="9" fillId="4" borderId="26" xfId="18" applyFont="1" applyFill="1" applyBorder="1" applyAlignment="1">
      <alignment horizontal="left" vertical="center"/>
    </xf>
    <xf numFmtId="0" fontId="15" fillId="5" borderId="0" xfId="0" applyFont="1" applyFill="1" applyBorder="1" applyAlignment="1">
      <alignment horizontal="center"/>
    </xf>
    <xf numFmtId="0" fontId="0" fillId="8" borderId="27" xfId="0" applyFill="1" applyBorder="1"/>
    <xf numFmtId="0" fontId="7" fillId="0" borderId="57" xfId="0" applyFont="1" applyBorder="1" applyAlignment="1">
      <alignment horizontal="center"/>
    </xf>
    <xf numFmtId="0" fontId="0" fillId="0" borderId="49" xfId="0" applyBorder="1"/>
    <xf numFmtId="0" fontId="7" fillId="0" borderId="50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0" fillId="0" borderId="65" xfId="0" applyBorder="1"/>
    <xf numFmtId="0" fontId="2" fillId="0" borderId="0" xfId="18" applyFont="1" applyFill="1"/>
    <xf numFmtId="0" fontId="0" fillId="0" borderId="0" xfId="0" applyFont="1"/>
    <xf numFmtId="0" fontId="10" fillId="0" borderId="0" xfId="18" applyFont="1" applyFill="1"/>
    <xf numFmtId="0" fontId="9" fillId="4" borderId="26" xfId="18" applyFont="1" applyFill="1" applyBorder="1" applyAlignment="1">
      <alignment horizontal="left" vertical="center"/>
    </xf>
    <xf numFmtId="0" fontId="9" fillId="4" borderId="26" xfId="18" applyFont="1" applyFill="1" applyBorder="1" applyAlignment="1">
      <alignment horizontal="left" vertical="center"/>
    </xf>
    <xf numFmtId="0" fontId="0" fillId="0" borderId="9" xfId="0" applyBorder="1"/>
    <xf numFmtId="0" fontId="0" fillId="0" borderId="12" xfId="0" applyBorder="1"/>
    <xf numFmtId="0" fontId="0" fillId="0" borderId="58" xfId="0" applyBorder="1"/>
    <xf numFmtId="0" fontId="9" fillId="4" borderId="60" xfId="18" applyFont="1" applyFill="1" applyBorder="1" applyAlignment="1">
      <alignment horizontal="left" vertical="center"/>
    </xf>
    <xf numFmtId="0" fontId="9" fillId="4" borderId="63" xfId="18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NumberFormat="1"/>
    <xf numFmtId="0" fontId="0" fillId="0" borderId="26" xfId="0" applyNumberFormat="1" applyBorder="1"/>
    <xf numFmtId="0" fontId="0" fillId="0" borderId="19" xfId="0" applyNumberFormat="1" applyBorder="1"/>
    <xf numFmtId="0" fontId="0" fillId="0" borderId="29" xfId="0" applyNumberFormat="1" applyBorder="1"/>
    <xf numFmtId="0" fontId="0" fillId="0" borderId="39" xfId="0" applyNumberFormat="1" applyBorder="1"/>
    <xf numFmtId="0" fontId="0" fillId="0" borderId="37" xfId="0" applyNumberFormat="1" applyBorder="1"/>
    <xf numFmtId="0" fontId="0" fillId="0" borderId="52" xfId="0" applyNumberFormat="1" applyBorder="1"/>
    <xf numFmtId="0" fontId="0" fillId="0" borderId="31" xfId="0" applyNumberFormat="1" applyBorder="1"/>
    <xf numFmtId="0" fontId="0" fillId="0" borderId="54" xfId="0" applyNumberFormat="1" applyBorder="1"/>
    <xf numFmtId="0" fontId="0" fillId="0" borderId="67" xfId="0" applyBorder="1"/>
    <xf numFmtId="0" fontId="0" fillId="0" borderId="68" xfId="0" applyBorder="1"/>
    <xf numFmtId="0" fontId="0" fillId="0" borderId="15" xfId="0" applyBorder="1"/>
    <xf numFmtId="0" fontId="0" fillId="0" borderId="56" xfId="0" applyBorder="1"/>
    <xf numFmtId="0" fontId="0" fillId="0" borderId="31" xfId="0" applyNumberFormat="1" applyFill="1" applyBorder="1"/>
    <xf numFmtId="0" fontId="0" fillId="0" borderId="11" xfId="0" applyFill="1" applyBorder="1"/>
    <xf numFmtId="0" fontId="0" fillId="0" borderId="9" xfId="0" applyFill="1" applyBorder="1"/>
    <xf numFmtId="0" fontId="0" fillId="0" borderId="1" xfId="0" applyFill="1" applyBorder="1"/>
    <xf numFmtId="0" fontId="0" fillId="0" borderId="14" xfId="0" applyFill="1" applyBorder="1"/>
    <xf numFmtId="0" fontId="0" fillId="0" borderId="0" xfId="0" applyFill="1"/>
    <xf numFmtId="0" fontId="0" fillId="0" borderId="19" xfId="0" applyFill="1" applyBorder="1"/>
    <xf numFmtId="0" fontId="0" fillId="7" borderId="0" xfId="0" applyFill="1" applyAlignment="1" applyProtection="1">
      <alignment horizontal="left"/>
      <protection locked="0"/>
    </xf>
    <xf numFmtId="0" fontId="9" fillId="4" borderId="29" xfId="18" applyFont="1" applyFill="1" applyBorder="1" applyAlignment="1">
      <alignment horizontal="left" vertical="center"/>
    </xf>
    <xf numFmtId="0" fontId="9" fillId="4" borderId="16" xfId="18" applyFont="1" applyFill="1" applyBorder="1" applyAlignment="1">
      <alignment horizontal="left" vertical="center"/>
    </xf>
    <xf numFmtId="0" fontId="9" fillId="4" borderId="31" xfId="18" applyFont="1" applyFill="1" applyBorder="1" applyAlignment="1">
      <alignment horizontal="left" vertical="center"/>
    </xf>
    <xf numFmtId="0" fontId="9" fillId="4" borderId="9" xfId="18" applyFont="1" applyFill="1" applyBorder="1" applyAlignment="1">
      <alignment horizontal="left" vertical="center"/>
    </xf>
    <xf numFmtId="0" fontId="10" fillId="0" borderId="14" xfId="18" applyFont="1" applyBorder="1"/>
    <xf numFmtId="0" fontId="2" fillId="0" borderId="23" xfId="18" applyBorder="1" applyAlignment="1">
      <alignment horizontal="center" vertical="center"/>
    </xf>
    <xf numFmtId="0" fontId="9" fillId="4" borderId="4" xfId="18" applyFont="1" applyFill="1" applyBorder="1" applyAlignment="1">
      <alignment horizontal="center" vertical="center"/>
    </xf>
    <xf numFmtId="0" fontId="9" fillId="4" borderId="3" xfId="18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0" xfId="0" applyFill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5" xfId="0" applyBorder="1"/>
    <xf numFmtId="0" fontId="0" fillId="0" borderId="31" xfId="0" applyFill="1" applyBorder="1"/>
    <xf numFmtId="0" fontId="0" fillId="0" borderId="53" xfId="0" applyBorder="1"/>
    <xf numFmtId="0" fontId="0" fillId="0" borderId="70" xfId="0" applyBorder="1"/>
    <xf numFmtId="0" fontId="0" fillId="0" borderId="70" xfId="0" applyFill="1" applyBorder="1"/>
    <xf numFmtId="0" fontId="0" fillId="0" borderId="71" xfId="0" applyBorder="1"/>
    <xf numFmtId="0" fontId="0" fillId="0" borderId="56" xfId="0" applyNumberFormat="1" applyBorder="1"/>
    <xf numFmtId="0" fontId="0" fillId="0" borderId="33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0" xfId="0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4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32" xfId="0" applyBorder="1"/>
    <xf numFmtId="0" fontId="0" fillId="0" borderId="24" xfId="0" applyBorder="1"/>
    <xf numFmtId="0" fontId="0" fillId="0" borderId="69" xfId="0" applyBorder="1"/>
    <xf numFmtId="0" fontId="0" fillId="0" borderId="33" xfId="0" applyFont="1" applyBorder="1"/>
    <xf numFmtId="0" fontId="0" fillId="0" borderId="11" xfId="0" applyFont="1" applyBorder="1"/>
    <xf numFmtId="0" fontId="0" fillId="0" borderId="12" xfId="0" applyFont="1" applyBorder="1"/>
    <xf numFmtId="0" fontId="0" fillId="7" borderId="0" xfId="0" applyFill="1" applyProtection="1">
      <protection locked="0"/>
    </xf>
    <xf numFmtId="0" fontId="0" fillId="0" borderId="1" xfId="0" applyFont="1" applyBorder="1" applyAlignment="1"/>
    <xf numFmtId="166" fontId="0" fillId="0" borderId="1" xfId="20" applyNumberFormat="1" applyFont="1" applyBorder="1"/>
    <xf numFmtId="0" fontId="0" fillId="0" borderId="1" xfId="0" applyBorder="1" applyAlignment="1">
      <alignment horizontal="center"/>
    </xf>
    <xf numFmtId="0" fontId="8" fillId="5" borderId="22" xfId="0" applyFont="1" applyFill="1" applyBorder="1" applyAlignment="1">
      <alignment horizontal="center"/>
    </xf>
    <xf numFmtId="10" fontId="7" fillId="0" borderId="2" xfId="1" applyNumberFormat="1" applyFont="1" applyBorder="1" applyAlignment="1">
      <alignment horizontal="center"/>
    </xf>
    <xf numFmtId="166" fontId="0" fillId="0" borderId="1" xfId="20" applyNumberFormat="1" applyFont="1" applyFill="1" applyBorder="1"/>
    <xf numFmtId="43" fontId="0" fillId="0" borderId="1" xfId="0" applyNumberFormat="1" applyBorder="1"/>
    <xf numFmtId="0" fontId="8" fillId="5" borderId="30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center"/>
    </xf>
    <xf numFmtId="0" fontId="8" fillId="5" borderId="25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16" fillId="7" borderId="34" xfId="0" applyFont="1" applyFill="1" applyBorder="1" applyAlignment="1" applyProtection="1">
      <alignment horizontal="center"/>
      <protection locked="0"/>
    </xf>
    <xf numFmtId="0" fontId="16" fillId="7" borderId="18" xfId="0" applyFont="1" applyFill="1" applyBorder="1" applyAlignment="1" applyProtection="1">
      <alignment horizontal="center"/>
      <protection locked="0"/>
    </xf>
    <xf numFmtId="0" fontId="16" fillId="7" borderId="35" xfId="0" applyFont="1" applyFill="1" applyBorder="1" applyAlignment="1" applyProtection="1">
      <alignment horizontal="center"/>
      <protection locked="0"/>
    </xf>
    <xf numFmtId="0" fontId="7" fillId="0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5" fillId="5" borderId="30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15" fillId="5" borderId="66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9" fontId="7" fillId="0" borderId="34" xfId="1" applyFont="1" applyBorder="1" applyAlignment="1">
      <alignment horizontal="center"/>
    </xf>
    <xf numFmtId="9" fontId="7" fillId="0" borderId="18" xfId="1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6" fillId="0" borderId="34" xfId="18" applyFont="1" applyBorder="1" applyAlignment="1">
      <alignment horizontal="center"/>
    </xf>
    <xf numFmtId="0" fontId="16" fillId="0" borderId="18" xfId="18" applyFont="1" applyBorder="1" applyAlignment="1">
      <alignment horizontal="center"/>
    </xf>
    <xf numFmtId="0" fontId="16" fillId="0" borderId="35" xfId="18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4" xfId="18" applyFont="1" applyBorder="1" applyAlignment="1">
      <alignment horizontal="center"/>
    </xf>
    <xf numFmtId="0" fontId="12" fillId="0" borderId="18" xfId="18" applyFont="1" applyBorder="1" applyAlignment="1">
      <alignment horizontal="center"/>
    </xf>
    <xf numFmtId="0" fontId="12" fillId="0" borderId="35" xfId="18" applyFont="1" applyBorder="1" applyAlignment="1">
      <alignment horizontal="center"/>
    </xf>
    <xf numFmtId="0" fontId="9" fillId="4" borderId="24" xfId="18" applyFont="1" applyFill="1" applyBorder="1" applyAlignment="1">
      <alignment horizontal="left" vertical="center"/>
    </xf>
    <xf numFmtId="0" fontId="9" fillId="4" borderId="25" xfId="18" applyFont="1" applyFill="1" applyBorder="1" applyAlignment="1">
      <alignment horizontal="left" vertical="center"/>
    </xf>
    <xf numFmtId="0" fontId="10" fillId="0" borderId="33" xfId="18" applyFont="1" applyBorder="1" applyAlignment="1">
      <alignment horizontal="center" vertical="center"/>
    </xf>
    <xf numFmtId="0" fontId="10" fillId="0" borderId="11" xfId="18" applyFont="1" applyBorder="1" applyAlignment="1">
      <alignment horizontal="center" vertical="center"/>
    </xf>
    <xf numFmtId="0" fontId="10" fillId="0" borderId="12" xfId="18" applyFont="1" applyBorder="1" applyAlignment="1">
      <alignment horizontal="center" vertical="center"/>
    </xf>
    <xf numFmtId="0" fontId="9" fillId="4" borderId="26" xfId="18" applyFont="1" applyFill="1" applyBorder="1" applyAlignment="1">
      <alignment horizontal="left" vertical="center"/>
    </xf>
    <xf numFmtId="0" fontId="9" fillId="4" borderId="27" xfId="18" applyFont="1" applyFill="1" applyBorder="1" applyAlignment="1">
      <alignment horizontal="left" vertical="center"/>
    </xf>
    <xf numFmtId="0" fontId="9" fillId="4" borderId="19" xfId="18" applyFont="1" applyFill="1" applyBorder="1" applyAlignment="1">
      <alignment horizontal="left" vertical="center"/>
    </xf>
    <xf numFmtId="0" fontId="9" fillId="4" borderId="1" xfId="18" applyFont="1" applyFill="1" applyBorder="1" applyAlignment="1">
      <alignment horizontal="left" vertical="center"/>
    </xf>
    <xf numFmtId="0" fontId="9" fillId="4" borderId="29" xfId="18" applyFont="1" applyFill="1" applyBorder="1" applyAlignment="1">
      <alignment horizontal="left" vertical="center"/>
    </xf>
    <xf numFmtId="0" fontId="9" fillId="4" borderId="16" xfId="18" applyFont="1" applyFill="1" applyBorder="1" applyAlignment="1">
      <alignment horizontal="left" vertical="center"/>
    </xf>
    <xf numFmtId="0" fontId="2" fillId="0" borderId="37" xfId="18" applyBorder="1" applyAlignment="1">
      <alignment horizontal="center"/>
    </xf>
    <xf numFmtId="0" fontId="2" fillId="0" borderId="38" xfId="18" applyBorder="1" applyAlignment="1">
      <alignment horizontal="center"/>
    </xf>
    <xf numFmtId="0" fontId="2" fillId="0" borderId="26" xfId="18" applyBorder="1" applyAlignment="1">
      <alignment horizontal="left"/>
    </xf>
    <xf numFmtId="0" fontId="2" fillId="0" borderId="32" xfId="18" applyBorder="1" applyAlignment="1">
      <alignment horizontal="left"/>
    </xf>
    <xf numFmtId="0" fontId="2" fillId="0" borderId="36" xfId="18" applyBorder="1" applyAlignment="1">
      <alignment horizontal="left"/>
    </xf>
    <xf numFmtId="0" fontId="2" fillId="0" borderId="42" xfId="18" applyBorder="1" applyAlignment="1">
      <alignment horizontal="left"/>
    </xf>
    <xf numFmtId="0" fontId="2" fillId="0" borderId="4" xfId="18" applyBorder="1" applyAlignment="1">
      <alignment horizontal="center"/>
    </xf>
    <xf numFmtId="0" fontId="2" fillId="0" borderId="47" xfId="18" applyBorder="1" applyAlignment="1">
      <alignment horizontal="center"/>
    </xf>
    <xf numFmtId="0" fontId="2" fillId="0" borderId="43" xfId="18" applyBorder="1" applyAlignment="1">
      <alignment horizontal="center"/>
    </xf>
    <xf numFmtId="0" fontId="2" fillId="0" borderId="44" xfId="18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8" fillId="5" borderId="24" xfId="0" applyFont="1" applyFill="1" applyBorder="1" applyAlignment="1">
      <alignment horizontal="center"/>
    </xf>
    <xf numFmtId="0" fontId="8" fillId="5" borderId="25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9" fillId="4" borderId="24" xfId="18" applyFont="1" applyFill="1" applyBorder="1" applyAlignment="1">
      <alignment horizontal="center" vertical="center"/>
    </xf>
    <xf numFmtId="0" fontId="9" fillId="4" borderId="25" xfId="18" applyFont="1" applyFill="1" applyBorder="1" applyAlignment="1">
      <alignment horizontal="center" vertical="center"/>
    </xf>
    <xf numFmtId="0" fontId="9" fillId="4" borderId="9" xfId="18" applyFont="1" applyFill="1" applyBorder="1" applyAlignment="1">
      <alignment horizontal="center" vertical="center"/>
    </xf>
  </cellXfs>
  <cellStyles count="25">
    <cellStyle name="Comma" xfId="2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2" builtinId="9" hidden="1"/>
    <cellStyle name="Followed Hyperlink" xfId="2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21" builtinId="8" hidden="1"/>
    <cellStyle name="Hyperlink" xfId="23" builtinId="8" hidden="1"/>
    <cellStyle name="Normal" xfId="0" builtinId="0"/>
    <cellStyle name="Normal 2" xfId="18" xr:uid="{00000000-0005-0000-0000-000016000000}"/>
    <cellStyle name="Percent" xfId="1" builtinId="5"/>
    <cellStyle name="Percent 2" xfId="19" xr:uid="{00000000-0005-0000-0000-000018000000}"/>
  </cellStyles>
  <dxfs count="86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Analysis!$R$8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Analysis!$R$9:$R$18</c:f>
              <c:numCache>
                <c:formatCode>General</c:formatCode>
                <c:ptCount val="10"/>
                <c:pt idx="0">
                  <c:v>-0.20436959490213863</c:v>
                </c:pt>
                <c:pt idx="1">
                  <c:v>4.6273988852222281E-2</c:v>
                </c:pt>
                <c:pt idx="2">
                  <c:v>0.16154687916241373</c:v>
                </c:pt>
                <c:pt idx="3">
                  <c:v>0.22354406249726549</c:v>
                </c:pt>
                <c:pt idx="4">
                  <c:v>0.2597057856612251</c:v>
                </c:pt>
                <c:pt idx="5">
                  <c:v>0.28180250385164324</c:v>
                </c:pt>
                <c:pt idx="6">
                  <c:v>0.29569046767278684</c:v>
                </c:pt>
                <c:pt idx="7">
                  <c:v>0.30457423256867439</c:v>
                </c:pt>
                <c:pt idx="8">
                  <c:v>0.31032111101394261</c:v>
                </c:pt>
                <c:pt idx="9">
                  <c:v>0.31406579592507639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6-754B-84BC-7D0C1DEB8F92}"/>
            </c:ext>
          </c:extLst>
        </c:ser>
        <c:ser>
          <c:idx val="1"/>
          <c:order val="1"/>
          <c:tx>
            <c:strRef>
              <c:f>Analysis!$S$8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Analysis!$S$9:$S$18</c:f>
              <c:numCache>
                <c:formatCode>General</c:formatCode>
                <c:ptCount val="10"/>
                <c:pt idx="0">
                  <c:v>0.59754847204081885</c:v>
                </c:pt>
                <c:pt idx="1">
                  <c:v>1.6555940661491353</c:v>
                </c:pt>
                <c:pt idx="2">
                  <c:v>2.889420473612045</c:v>
                </c:pt>
                <c:pt idx="3">
                  <c:v>4.2317427474881759</c:v>
                </c:pt>
                <c:pt idx="4">
                  <c:v>5.6518226858295559</c:v>
                </c:pt>
                <c:pt idx="5">
                  <c:v>7.1302358747979655</c:v>
                </c:pt>
                <c:pt idx="6">
                  <c:v>8.6528383231447954</c:v>
                </c:pt>
                <c:pt idx="7">
                  <c:v>10.208802087630954</c:v>
                </c:pt>
                <c:pt idx="8">
                  <c:v>11.789750334911494</c:v>
                </c:pt>
                <c:pt idx="9">
                  <c:v>13.389235679541978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6-754B-84BC-7D0C1DEB8F92}"/>
            </c:ext>
          </c:extLst>
        </c:ser>
        <c:ser>
          <c:idx val="2"/>
          <c:order val="2"/>
          <c:tx>
            <c:strRef>
              <c:f>Analysis!$T$8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Analysis!$T$9:$T$18</c:f>
              <c:numCache>
                <c:formatCode>General</c:formatCode>
                <c:ptCount val="10"/>
                <c:pt idx="0">
                  <c:v>0.60218479745106923</c:v>
                </c:pt>
                <c:pt idx="1">
                  <c:v>2.0094180132746415</c:v>
                </c:pt>
                <c:pt idx="2">
                  <c:v>4.1656452207489059</c:v>
                </c:pt>
                <c:pt idx="3">
                  <c:v>7.1512948886091223</c:v>
                </c:pt>
                <c:pt idx="4">
                  <c:v>11.056101048744571</c:v>
                </c:pt>
                <c:pt idx="5">
                  <c:v>15.95828268677244</c:v>
                </c:pt>
                <c:pt idx="6">
                  <c:v>21.919324553035803</c:v>
                </c:pt>
                <c:pt idx="7">
                  <c:v>28.983777637006799</c:v>
                </c:pt>
                <c:pt idx="8">
                  <c:v>37.181298060725624</c:v>
                </c:pt>
                <c:pt idx="9">
                  <c:v>46.529605458072247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6-754B-84BC-7D0C1DEB8F92}"/>
            </c:ext>
          </c:extLst>
        </c:ser>
        <c:ser>
          <c:idx val="3"/>
          <c:order val="3"/>
          <c:tx>
            <c:strRef>
              <c:f>Analysis!$U$8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Analysis!$U$9:$U$18</c:f>
              <c:numCache>
                <c:formatCode>General</c:formatCode>
                <c:ptCount val="10"/>
                <c:pt idx="0">
                  <c:v>-4.6363254102503859E-3</c:v>
                </c:pt>
                <c:pt idx="1">
                  <c:v>-0.35382394712550624</c:v>
                </c:pt>
                <c:pt idx="2">
                  <c:v>-1.2762247471368608</c:v>
                </c:pt>
                <c:pt idx="3">
                  <c:v>-2.9195521411209464</c:v>
                </c:pt>
                <c:pt idx="4">
                  <c:v>-5.4042783629150151</c:v>
                </c:pt>
                <c:pt idx="5">
                  <c:v>-8.8280468119744739</c:v>
                </c:pt>
                <c:pt idx="6">
                  <c:v>-13.266486229891008</c:v>
                </c:pt>
                <c:pt idx="7">
                  <c:v>-18.774975549375846</c:v>
                </c:pt>
                <c:pt idx="8">
                  <c:v>-25.391547725814128</c:v>
                </c:pt>
                <c:pt idx="9">
                  <c:v>-33.140369778530271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F-FC44-ACD8-F3249BA2F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348016"/>
        <c:axId val="785349104"/>
      </c:lineChart>
      <c:catAx>
        <c:axId val="78534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49104"/>
        <c:crosses val="autoZero"/>
        <c:auto val="1"/>
        <c:lblAlgn val="ctr"/>
        <c:lblOffset val="100"/>
        <c:noMultiLvlLbl val="0"/>
      </c:catAx>
      <c:valAx>
        <c:axId val="7853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4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'1x8'!$S$6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'1x8'!$S$7:$S$16</c:f>
              <c:numCache>
                <c:formatCode>General</c:formatCode>
                <c:ptCount val="10"/>
                <c:pt idx="0">
                  <c:v>-3.4189628286788398</c:v>
                </c:pt>
                <c:pt idx="1">
                  <c:v>-0.78779463940218619</c:v>
                </c:pt>
                <c:pt idx="2">
                  <c:v>6.211679841287717</c:v>
                </c:pt>
                <c:pt idx="3">
                  <c:v>13.811974207856474</c:v>
                </c:pt>
                <c:pt idx="4">
                  <c:v>20.197349486742784</c:v>
                </c:pt>
                <c:pt idx="5">
                  <c:v>24.91458740643435</c:v>
                </c:pt>
                <c:pt idx="6">
                  <c:v>28.139684153406304</c:v>
                </c:pt>
                <c:pt idx="7">
                  <c:v>30.23521894089636</c:v>
                </c:pt>
                <c:pt idx="8">
                  <c:v>31.54980197462271</c:v>
                </c:pt>
                <c:pt idx="9">
                  <c:v>32.354016529680734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64016"/>
        <c:axId val="901371632"/>
      </c:lineChart>
      <c:catAx>
        <c:axId val="90136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1632"/>
        <c:crosses val="autoZero"/>
        <c:auto val="1"/>
        <c:lblAlgn val="ctr"/>
        <c:lblOffset val="100"/>
        <c:noMultiLvlLbl val="0"/>
      </c:catAx>
      <c:valAx>
        <c:axId val="9013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'1x9'!$S$6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'1x9'!$S$7:$S$16</c:f>
              <c:numCache>
                <c:formatCode>General</c:formatCode>
                <c:ptCount val="10"/>
                <c:pt idx="0">
                  <c:v>-5.097398790081205</c:v>
                </c:pt>
                <c:pt idx="1">
                  <c:v>-2.5105937868179602</c:v>
                </c:pt>
                <c:pt idx="2">
                  <c:v>5.7884961242692938</c:v>
                </c:pt>
                <c:pt idx="3">
                  <c:v>14.912103692966207</c:v>
                </c:pt>
                <c:pt idx="4">
                  <c:v>22.541957512760739</c:v>
                </c:pt>
                <c:pt idx="5">
                  <c:v>28.124060716771062</c:v>
                </c:pt>
                <c:pt idx="6">
                  <c:v>31.896016299637498</c:v>
                </c:pt>
                <c:pt idx="7">
                  <c:v>34.316362587000107</c:v>
                </c:pt>
                <c:pt idx="8">
                  <c:v>35.815350645705671</c:v>
                </c:pt>
                <c:pt idx="9">
                  <c:v>36.720619399002835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62928"/>
        <c:axId val="901369456"/>
      </c:lineChart>
      <c:catAx>
        <c:axId val="90136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69456"/>
        <c:crosses val="autoZero"/>
        <c:auto val="1"/>
        <c:lblAlgn val="ctr"/>
        <c:lblOffset val="100"/>
        <c:noMultiLvlLbl val="0"/>
      </c:catAx>
      <c:valAx>
        <c:axId val="9013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'1x10'!$S$6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'1x10'!$S$7:$S$16</c:f>
              <c:numCache>
                <c:formatCode>General</c:formatCode>
                <c:ptCount val="10"/>
                <c:pt idx="0">
                  <c:v>-7.1609556228685829</c:v>
                </c:pt>
                <c:pt idx="1">
                  <c:v>-4.809404839133478</c:v>
                </c:pt>
                <c:pt idx="2">
                  <c:v>4.8448645350245521</c:v>
                </c:pt>
                <c:pt idx="3">
                  <c:v>15.638461321131572</c:v>
                </c:pt>
                <c:pt idx="4">
                  <c:v>24.663818613046999</c:v>
                </c:pt>
                <c:pt idx="5">
                  <c:v>31.234058561077401</c:v>
                </c:pt>
                <c:pt idx="6">
                  <c:v>35.643219033113787</c:v>
                </c:pt>
                <c:pt idx="7">
                  <c:v>38.450687068758995</c:v>
                </c:pt>
                <c:pt idx="8">
                  <c:v>40.175450578212804</c:v>
                </c:pt>
                <c:pt idx="9">
                  <c:v>41.208549470349041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63472"/>
        <c:axId val="901364560"/>
      </c:lineChart>
      <c:catAx>
        <c:axId val="9013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64560"/>
        <c:crosses val="autoZero"/>
        <c:auto val="1"/>
        <c:lblAlgn val="ctr"/>
        <c:lblOffset val="100"/>
        <c:noMultiLvlLbl val="0"/>
      </c:catAx>
      <c:valAx>
        <c:axId val="9013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'2x3'!$S$6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'2x3'!$S$7:$S$16</c:f>
              <c:numCache>
                <c:formatCode>General</c:formatCode>
                <c:ptCount val="10"/>
                <c:pt idx="0">
                  <c:v>-0.28939810634429936</c:v>
                </c:pt>
                <c:pt idx="1">
                  <c:v>-1.1336925535008144</c:v>
                </c:pt>
                <c:pt idx="2">
                  <c:v>-2.6252701439162331</c:v>
                </c:pt>
                <c:pt idx="3">
                  <c:v>-4.8679534824663309</c:v>
                </c:pt>
                <c:pt idx="4">
                  <c:v>-7.9399643328159781</c:v>
                </c:pt>
                <c:pt idx="5">
                  <c:v>-11.891366919873184</c:v>
                </c:pt>
                <c:pt idx="6">
                  <c:v>-16.749411187435761</c:v>
                </c:pt>
                <c:pt idx="7">
                  <c:v>-22.525746912532906</c:v>
                </c:pt>
                <c:pt idx="8">
                  <c:v>-29.222811739398747</c:v>
                </c:pt>
                <c:pt idx="9">
                  <c:v>-36.838446425941292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65104"/>
        <c:axId val="901372720"/>
      </c:lineChart>
      <c:catAx>
        <c:axId val="9013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2720"/>
        <c:crosses val="autoZero"/>
        <c:auto val="1"/>
        <c:lblAlgn val="ctr"/>
        <c:lblOffset val="100"/>
        <c:noMultiLvlLbl val="0"/>
      </c:catAx>
      <c:valAx>
        <c:axId val="9013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'3x4'!$S$6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'3x4'!$S$7:$S$16</c:f>
              <c:numCache>
                <c:formatCode>General</c:formatCode>
                <c:ptCount val="10"/>
                <c:pt idx="0">
                  <c:v>-22.154952518936238</c:v>
                </c:pt>
                <c:pt idx="1">
                  <c:v>-92.363087256908017</c:v>
                </c:pt>
                <c:pt idx="2">
                  <c:v>-218.57687673881927</c:v>
                </c:pt>
                <c:pt idx="3">
                  <c:v>-404.71565823270134</c:v>
                </c:pt>
                <c:pt idx="4">
                  <c:v>-651.6878307500275</c:v>
                </c:pt>
                <c:pt idx="5">
                  <c:v>-959.30694556068147</c:v>
                </c:pt>
                <c:pt idx="6">
                  <c:v>-1327.2174312843906</c:v>
                </c:pt>
                <c:pt idx="7">
                  <c:v>-1755.1600191195685</c:v>
                </c:pt>
                <c:pt idx="8">
                  <c:v>-2242.9877775899513</c:v>
                </c:pt>
                <c:pt idx="9">
                  <c:v>-2790.6272989855597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6-E343-B621-93D8E8709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75440"/>
        <c:axId val="901375984"/>
      </c:lineChart>
      <c:catAx>
        <c:axId val="9013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984"/>
        <c:crosses val="autoZero"/>
        <c:auto val="1"/>
        <c:lblAlgn val="ctr"/>
        <c:lblOffset val="100"/>
        <c:noMultiLvlLbl val="0"/>
      </c:catAx>
      <c:valAx>
        <c:axId val="9013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'2x4'!$S$6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'2x4'!$S$7:$S$16</c:f>
              <c:numCache>
                <c:formatCode>General</c:formatCode>
                <c:ptCount val="10"/>
                <c:pt idx="0">
                  <c:v>-8.79869030557653</c:v>
                </c:pt>
                <c:pt idx="1">
                  <c:v>-32.331324016628308</c:v>
                </c:pt>
                <c:pt idx="2">
                  <c:v>-71.859483595007134</c:v>
                </c:pt>
                <c:pt idx="3">
                  <c:v>-129.84454784840435</c:v>
                </c:pt>
                <c:pt idx="4">
                  <c:v>-208.52698266183273</c:v>
                </c:pt>
                <c:pt idx="5">
                  <c:v>-309.67668055129064</c:v>
                </c:pt>
                <c:pt idx="6">
                  <c:v>-434.56345175335184</c:v>
                </c:pt>
                <c:pt idx="7">
                  <c:v>-584.01531837290122</c:v>
                </c:pt>
                <c:pt idx="8">
                  <c:v>-758.51235862274791</c:v>
                </c:pt>
                <c:pt idx="9">
                  <c:v>-958.28531462262163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806400"/>
        <c:axId val="785357264"/>
      </c:lineChart>
      <c:catAx>
        <c:axId val="5338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57264"/>
        <c:crosses val="autoZero"/>
        <c:auto val="1"/>
        <c:lblAlgn val="ctr"/>
        <c:lblOffset val="100"/>
        <c:noMultiLvlLbl val="0"/>
      </c:catAx>
      <c:valAx>
        <c:axId val="7853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0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'2x5'!$S$6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'2x5'!$S$7:$S$16</c:f>
              <c:numCache>
                <c:formatCode>General</c:formatCode>
                <c:ptCount val="10"/>
                <c:pt idx="0">
                  <c:v>-13.708261330883062</c:v>
                </c:pt>
                <c:pt idx="1">
                  <c:v>-48.04882721280098</c:v>
                </c:pt>
                <c:pt idx="2">
                  <c:v>-103.25661789466561</c:v>
                </c:pt>
                <c:pt idx="3">
                  <c:v>-182.14986021297639</c:v>
                </c:pt>
                <c:pt idx="4">
                  <c:v>-287.63783561188103</c:v>
                </c:pt>
                <c:pt idx="5">
                  <c:v>-422.27688850173814</c:v>
                </c:pt>
                <c:pt idx="6">
                  <c:v>-588.14120166750263</c:v>
                </c:pt>
                <c:pt idx="7">
                  <c:v>-786.80710061123477</c:v>
                </c:pt>
                <c:pt idx="8">
                  <c:v>-1019.3960225741039</c:v>
                </c:pt>
                <c:pt idx="9">
                  <c:v>-1286.6471339690349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955840"/>
        <c:axId val="930961824"/>
      </c:lineChart>
      <c:catAx>
        <c:axId val="9309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61824"/>
        <c:crosses val="autoZero"/>
        <c:auto val="1"/>
        <c:lblAlgn val="ctr"/>
        <c:lblOffset val="100"/>
        <c:noMultiLvlLbl val="0"/>
      </c:catAx>
      <c:valAx>
        <c:axId val="9309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5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'2x6'!$S$6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'2x6'!$S$7:$S$16</c:f>
              <c:numCache>
                <c:formatCode>General</c:formatCode>
                <c:ptCount val="10"/>
                <c:pt idx="0">
                  <c:v>-20.103957553017256</c:v>
                </c:pt>
                <c:pt idx="1">
                  <c:v>-68.17651398548324</c:v>
                </c:pt>
                <c:pt idx="2">
                  <c:v>-142.88338138536966</c:v>
                </c:pt>
                <c:pt idx="3">
                  <c:v>-247.29081333209746</c:v>
                </c:pt>
                <c:pt idx="4">
                  <c:v>-384.91267819029719</c:v>
                </c:pt>
                <c:pt idx="5">
                  <c:v>-559.03926881560631</c:v>
                </c:pt>
                <c:pt idx="6">
                  <c:v>-772.52272208965576</c:v>
                </c:pt>
                <c:pt idx="7">
                  <c:v>-1027.7042004869213</c:v>
                </c:pt>
                <c:pt idx="8">
                  <c:v>-1326.4124057189208</c:v>
                </c:pt>
                <c:pt idx="9">
                  <c:v>-1670.0044328831614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952032"/>
        <c:axId val="930954752"/>
      </c:lineChart>
      <c:catAx>
        <c:axId val="9309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54752"/>
        <c:crosses val="autoZero"/>
        <c:auto val="1"/>
        <c:lblAlgn val="ctr"/>
        <c:lblOffset val="100"/>
        <c:noMultiLvlLbl val="0"/>
      </c:catAx>
      <c:valAx>
        <c:axId val="9309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'2x7'!$S$6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'2x7'!$S$7:$S$16</c:f>
              <c:numCache>
                <c:formatCode>General</c:formatCode>
                <c:ptCount val="10"/>
                <c:pt idx="0">
                  <c:v>-28.115466336063669</c:v>
                </c:pt>
                <c:pt idx="1">
                  <c:v>-93.20035089703093</c:v>
                </c:pt>
                <c:pt idx="2">
                  <c:v>-191.85429240486044</c:v>
                </c:pt>
                <c:pt idx="3">
                  <c:v>-327.36675548814179</c:v>
                </c:pt>
                <c:pt idx="4">
                  <c:v>-503.88418690311244</c:v>
                </c:pt>
                <c:pt idx="5">
                  <c:v>-725.45714965824618</c:v>
                </c:pt>
                <c:pt idx="6">
                  <c:v>-995.73692344386427</c:v>
                </c:pt>
                <c:pt idx="7">
                  <c:v>-1317.8539124600306</c:v>
                </c:pt>
                <c:pt idx="8">
                  <c:v>-1694.3806360027122</c:v>
                </c:pt>
                <c:pt idx="9">
                  <c:v>-2127.3458909003139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962912"/>
        <c:axId val="930963456"/>
      </c:lineChart>
      <c:catAx>
        <c:axId val="9309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63456"/>
        <c:crosses val="autoZero"/>
        <c:auto val="1"/>
        <c:lblAlgn val="ctr"/>
        <c:lblOffset val="100"/>
        <c:noMultiLvlLbl val="0"/>
      </c:catAx>
      <c:valAx>
        <c:axId val="9309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6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'2x8'!$S$6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'2x8'!$S$7:$S$16</c:f>
              <c:numCache>
                <c:formatCode>General</c:formatCode>
                <c:ptCount val="10"/>
                <c:pt idx="0">
                  <c:v>-37.830947398710514</c:v>
                </c:pt>
                <c:pt idx="1">
                  <c:v>-123.45620168060967</c:v>
                </c:pt>
                <c:pt idx="2">
                  <c:v>-250.9375832695834</c:v>
                </c:pt>
                <c:pt idx="3">
                  <c:v>-423.81041918919215</c:v>
                </c:pt>
                <c:pt idx="4">
                  <c:v>-646.93950436007037</c:v>
                </c:pt>
                <c:pt idx="5">
                  <c:v>-925.22185727428575</c:v>
                </c:pt>
                <c:pt idx="6">
                  <c:v>-1263.1818479519811</c:v>
                </c:pt>
                <c:pt idx="7">
                  <c:v>-1664.8012842865373</c:v>
                </c:pt>
                <c:pt idx="8">
                  <c:v>-2133.4513335245265</c:v>
                </c:pt>
                <c:pt idx="9">
                  <c:v>-2671.8847537284473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951488"/>
        <c:axId val="930964000"/>
      </c:lineChart>
      <c:catAx>
        <c:axId val="9309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64000"/>
        <c:crosses val="autoZero"/>
        <c:auto val="1"/>
        <c:lblAlgn val="ctr"/>
        <c:lblOffset val="100"/>
        <c:noMultiLvlLbl val="0"/>
      </c:catAx>
      <c:valAx>
        <c:axId val="9309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Analysis!$R$25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Analysis!$R$26:$R$35</c:f>
              <c:numCache>
                <c:formatCode>General</c:formatCode>
                <c:ptCount val="10"/>
                <c:pt idx="0">
                  <c:v>-0.58377630120307544</c:v>
                </c:pt>
                <c:pt idx="1">
                  <c:v>-0.39235185674994544</c:v>
                </c:pt>
                <c:pt idx="2">
                  <c:v>-0.28939810634429969</c:v>
                </c:pt>
                <c:pt idx="3">
                  <c:v>-0.22934723273037716</c:v>
                </c:pt>
                <c:pt idx="4">
                  <c:v>-0.19265298491151961</c:v>
                </c:pt>
                <c:pt idx="5">
                  <c:v>-0.16959035716015719</c:v>
                </c:pt>
                <c:pt idx="6">
                  <c:v>-0.15483780124461316</c:v>
                </c:pt>
                <c:pt idx="7">
                  <c:v>-0.145294421090226</c:v>
                </c:pt>
                <c:pt idx="8">
                  <c:v>-0.13907592316901607</c:v>
                </c:pt>
                <c:pt idx="9">
                  <c:v>-0.13500476830669483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934E-8148-2C34652223AE}"/>
            </c:ext>
          </c:extLst>
        </c:ser>
        <c:ser>
          <c:idx val="1"/>
          <c:order val="1"/>
          <c:tx>
            <c:strRef>
              <c:f>Analysis!$S$25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Analysis!$S$26:$S$35</c:f>
              <c:numCache>
                <c:formatCode>General</c:formatCode>
                <c:ptCount val="10"/>
                <c:pt idx="0">
                  <c:v>1.1492179096556916</c:v>
                </c:pt>
                <c:pt idx="1">
                  <c:v>3.5045589003759483</c:v>
                </c:pt>
                <c:pt idx="2">
                  <c:v>6.3900482018125464</c:v>
                </c:pt>
                <c:pt idx="3">
                  <c:v>9.561309863395465</c:v>
                </c:pt>
                <c:pt idx="4">
                  <c:v>12.901858765822615</c:v>
                </c:pt>
                <c:pt idx="5">
                  <c:v>16.346961737415967</c:v>
                </c:pt>
                <c:pt idx="6">
                  <c:v>19.857608766888934</c:v>
                </c:pt>
                <c:pt idx="7">
                  <c:v>23.40937904656348</c:v>
                </c:pt>
                <c:pt idx="8">
                  <c:v>26.986774277400567</c:v>
                </c:pt>
                <c:pt idx="9">
                  <c:v>30.579955802484957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934E-8148-2C34652223AE}"/>
            </c:ext>
          </c:extLst>
        </c:ser>
        <c:ser>
          <c:idx val="2"/>
          <c:order val="2"/>
          <c:tx>
            <c:strRef>
              <c:f>Analysis!$T$25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Analysis!$T$26:$T$35</c:f>
              <c:numCache>
                <c:formatCode>General</c:formatCode>
                <c:ptCount val="10"/>
                <c:pt idx="0">
                  <c:v>1.4556188171178033</c:v>
                </c:pt>
                <c:pt idx="1">
                  <c:v>5.3461165444562733</c:v>
                </c:pt>
                <c:pt idx="2">
                  <c:v>11.578819831375677</c:v>
                </c:pt>
                <c:pt idx="3">
                  <c:v>20.308200849528969</c:v>
                </c:pt>
                <c:pt idx="4">
                  <c:v>31.721548769068761</c:v>
                </c:pt>
                <c:pt idx="5">
                  <c:v>45.984125497158196</c:v>
                </c:pt>
                <c:pt idx="6">
                  <c:v>63.22431849813519</c:v>
                </c:pt>
                <c:pt idx="7">
                  <c:v>83.533124675716664</c:v>
                </c:pt>
                <c:pt idx="8">
                  <c:v>106.96939621006125</c:v>
                </c:pt>
                <c:pt idx="9">
                  <c:v>133.56696749519909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E-934E-8148-2C34652223AE}"/>
            </c:ext>
          </c:extLst>
        </c:ser>
        <c:ser>
          <c:idx val="3"/>
          <c:order val="3"/>
          <c:tx>
            <c:strRef>
              <c:f>Analysis!$U$25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Analysis!$U$26:$U$35</c:f>
              <c:numCache>
                <c:formatCode>General</c:formatCode>
                <c:ptCount val="10"/>
                <c:pt idx="0">
                  <c:v>-0.30640090746211168</c:v>
                </c:pt>
                <c:pt idx="1">
                  <c:v>-1.841557644080325</c:v>
                </c:pt>
                <c:pt idx="2">
                  <c:v>-5.1887716295631305</c:v>
                </c:pt>
                <c:pt idx="3">
                  <c:v>-10.746890986133504</c:v>
                </c:pt>
                <c:pt idx="4">
                  <c:v>-18.819690003246144</c:v>
                </c:pt>
                <c:pt idx="5">
                  <c:v>-29.637163759742229</c:v>
                </c:pt>
                <c:pt idx="6">
                  <c:v>-43.36670973124626</c:v>
                </c:pt>
                <c:pt idx="7">
                  <c:v>-60.123745629153184</c:v>
                </c:pt>
                <c:pt idx="8">
                  <c:v>-79.982621932660678</c:v>
                </c:pt>
                <c:pt idx="9">
                  <c:v>-102.98701169271413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BE40-AE07-4A63048A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352368"/>
        <c:axId val="785352912"/>
      </c:lineChart>
      <c:catAx>
        <c:axId val="78535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52912"/>
        <c:crosses val="autoZero"/>
        <c:auto val="1"/>
        <c:lblAlgn val="ctr"/>
        <c:lblOffset val="100"/>
        <c:noMultiLvlLbl val="0"/>
      </c:catAx>
      <c:valAx>
        <c:axId val="7853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5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'2x9'!$S$6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'2x9'!$S$7:$S$16</c:f>
              <c:numCache>
                <c:formatCode>General</c:formatCode>
                <c:ptCount val="10"/>
                <c:pt idx="0">
                  <c:v>-49.306350003695115</c:v>
                </c:pt>
                <c:pt idx="1">
                  <c:v>-159.16199167520355</c:v>
                </c:pt>
                <c:pt idx="2">
                  <c:v>-320.63416104940052</c:v>
                </c:pt>
                <c:pt idx="3">
                  <c:v>-537.5530494136118</c:v>
                </c:pt>
                <c:pt idx="4">
                  <c:v>-815.6206947140787</c:v>
                </c:pt>
                <c:pt idx="5">
                  <c:v>-1160.7037473712014</c:v>
                </c:pt>
                <c:pt idx="6">
                  <c:v>-1578.3104910188106</c:v>
                </c:pt>
                <c:pt idx="7">
                  <c:v>-2073.3687484456796</c:v>
                </c:pt>
                <c:pt idx="8">
                  <c:v>-2650.127609972214</c:v>
                </c:pt>
                <c:pt idx="9">
                  <c:v>-3312.1304042800143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956928"/>
        <c:axId val="930959648"/>
      </c:lineChart>
      <c:catAx>
        <c:axId val="93095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59648"/>
        <c:crosses val="autoZero"/>
        <c:auto val="1"/>
        <c:lblAlgn val="ctr"/>
        <c:lblOffset val="100"/>
        <c:noMultiLvlLbl val="0"/>
      </c:catAx>
      <c:valAx>
        <c:axId val="9309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5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'2x10'!$S$6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'2x10'!$S$7:$S$16</c:f>
              <c:numCache>
                <c:formatCode>General</c:formatCode>
                <c:ptCount val="10"/>
                <c:pt idx="0">
                  <c:v>-62.57381452038716</c:v>
                </c:pt>
                <c:pt idx="1">
                  <c:v>-200.44648263962318</c:v>
                </c:pt>
                <c:pt idx="2">
                  <c:v>-401.24304384494161</c:v>
                </c:pt>
                <c:pt idx="3">
                  <c:v>-669.15179267587257</c:v>
                </c:pt>
                <c:pt idx="4">
                  <c:v>-1010.8489867304835</c:v>
                </c:pt>
                <c:pt idx="5">
                  <c:v>-1433.3150812019537</c:v>
                </c:pt>
                <c:pt idx="6">
                  <c:v>-1943.1753479179858</c:v>
                </c:pt>
                <c:pt idx="7">
                  <c:v>-2546.4196322629004</c:v>
                </c:pt>
                <c:pt idx="8">
                  <c:v>-3248.2726865802761</c:v>
                </c:pt>
                <c:pt idx="9">
                  <c:v>-4053.1489359570646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955296"/>
        <c:axId val="930952576"/>
      </c:lineChart>
      <c:catAx>
        <c:axId val="9309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52576"/>
        <c:crosses val="autoZero"/>
        <c:auto val="1"/>
        <c:lblAlgn val="ctr"/>
        <c:lblOffset val="100"/>
        <c:noMultiLvlLbl val="0"/>
      </c:catAx>
      <c:valAx>
        <c:axId val="9309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9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'3x5'!$S$6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'3x5'!$S$7:$S$16</c:f>
              <c:numCache>
                <c:formatCode>General</c:formatCode>
                <c:ptCount val="10"/>
                <c:pt idx="0">
                  <c:v>-34.412718903504569</c:v>
                </c:pt>
                <c:pt idx="1">
                  <c:v>-141.30623216164224</c:v>
                </c:pt>
                <c:pt idx="2">
                  <c:v>-332.67017572079743</c:v>
                </c:pt>
                <c:pt idx="3">
                  <c:v>-615.43909513661924</c:v>
                </c:pt>
                <c:pt idx="4">
                  <c:v>-991.73779324900443</c:v>
                </c:pt>
                <c:pt idx="5">
                  <c:v>-1461.5705944090432</c:v>
                </c:pt>
                <c:pt idx="6">
                  <c:v>-2024.4091868564997</c:v>
                </c:pt>
                <c:pt idx="7">
                  <c:v>-2679.7795814703763</c:v>
                </c:pt>
                <c:pt idx="8">
                  <c:v>-3427.3768764089118</c:v>
                </c:pt>
                <c:pt idx="9">
                  <c:v>-4267.0320867185992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6-48B2-A1FA-8D12D664B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75440"/>
        <c:axId val="901375984"/>
      </c:lineChart>
      <c:catAx>
        <c:axId val="9013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984"/>
        <c:crosses val="autoZero"/>
        <c:auto val="1"/>
        <c:lblAlgn val="ctr"/>
        <c:lblOffset val="100"/>
        <c:noMultiLvlLbl val="0"/>
      </c:catAx>
      <c:valAx>
        <c:axId val="9013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'3x6'!$S$6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'3x6'!$S$7:$S$16</c:f>
              <c:numCache>
                <c:formatCode>General</c:formatCode>
                <c:ptCount val="10"/>
                <c:pt idx="0">
                  <c:v>-49.847207526196591</c:v>
                </c:pt>
                <c:pt idx="1">
                  <c:v>-202.26604031005667</c:v>
                </c:pt>
                <c:pt idx="2">
                  <c:v>-473.89785879045718</c:v>
                </c:pt>
                <c:pt idx="3">
                  <c:v>-875.41934918923698</c:v>
                </c:pt>
                <c:pt idx="4">
                  <c:v>-1410.6064791693409</c:v>
                </c:pt>
                <c:pt idx="5">
                  <c:v>-2079.829033788963</c:v>
                </c:pt>
                <c:pt idx="6">
                  <c:v>-2882.4070718298321</c:v>
                </c:pt>
                <c:pt idx="7">
                  <c:v>-3817.6113582039202</c:v>
                </c:pt>
                <c:pt idx="8">
                  <c:v>-4884.9286471277546</c:v>
                </c:pt>
                <c:pt idx="9">
                  <c:v>-6084.0541007121537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5-4536-BE92-0DAB3951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75440"/>
        <c:axId val="901375984"/>
      </c:lineChart>
      <c:catAx>
        <c:axId val="9013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984"/>
        <c:crosses val="autoZero"/>
        <c:auto val="1"/>
        <c:lblAlgn val="ctr"/>
        <c:lblOffset val="100"/>
        <c:noMultiLvlLbl val="0"/>
      </c:catAx>
      <c:valAx>
        <c:axId val="9013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'3x7'!$S$6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'3x7'!$S$7:$S$16</c:f>
              <c:numCache>
                <c:formatCode>General</c:formatCode>
                <c:ptCount val="10"/>
                <c:pt idx="0">
                  <c:v>-68.638854499133345</c:v>
                </c:pt>
                <c:pt idx="1">
                  <c:v>-276.01517248624441</c:v>
                </c:pt>
                <c:pt idx="2">
                  <c:v>-644.09178984726555</c:v>
                </c:pt>
                <c:pt idx="3">
                  <c:v>-1187.989399675969</c:v>
                </c:pt>
                <c:pt idx="4">
                  <c:v>-1913.5192775555829</c:v>
                </c:pt>
                <c:pt idx="5">
                  <c:v>-2821.5610780268612</c:v>
                </c:pt>
                <c:pt idx="6">
                  <c:v>-3911.2978612571283</c:v>
                </c:pt>
                <c:pt idx="7">
                  <c:v>-5181.7094241170316</c:v>
                </c:pt>
                <c:pt idx="8">
                  <c:v>-6632.0303562429099</c:v>
                </c:pt>
                <c:pt idx="9">
                  <c:v>-8261.7843713988841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B-4F91-A004-6AB09417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75440"/>
        <c:axId val="901375984"/>
      </c:lineChart>
      <c:catAx>
        <c:axId val="9013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984"/>
        <c:crosses val="autoZero"/>
        <c:auto val="1"/>
        <c:lblAlgn val="ctr"/>
        <c:lblOffset val="100"/>
        <c:noMultiLvlLbl val="0"/>
      </c:catAx>
      <c:valAx>
        <c:axId val="9013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'3x8'!$S$6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'3x8'!$S$7:$S$16</c:f>
              <c:numCache>
                <c:formatCode>General</c:formatCode>
                <c:ptCount val="10"/>
                <c:pt idx="0">
                  <c:v>-90.909659773690521</c:v>
                </c:pt>
                <c:pt idx="1">
                  <c:v>-363.09501291538203</c:v>
                </c:pt>
                <c:pt idx="2">
                  <c:v>-844.56762554131274</c:v>
                </c:pt>
                <c:pt idx="3">
                  <c:v>-1555.5895982873533</c:v>
                </c:pt>
                <c:pt idx="4">
                  <c:v>-2504.3564177889602</c:v>
                </c:pt>
                <c:pt idx="5">
                  <c:v>-3692.3721211461871</c:v>
                </c:pt>
                <c:pt idx="6">
                  <c:v>-5118.683890134439</c:v>
                </c:pt>
                <c:pt idx="7">
                  <c:v>-6781.9431211027304</c:v>
                </c:pt>
                <c:pt idx="8">
                  <c:v>-8681.091605352909</c:v>
                </c:pt>
                <c:pt idx="9">
                  <c:v>-10815.449895855489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F-4969-9C31-BD0E9832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75440"/>
        <c:axId val="901375984"/>
      </c:lineChart>
      <c:catAx>
        <c:axId val="9013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984"/>
        <c:crosses val="autoZero"/>
        <c:auto val="1"/>
        <c:lblAlgn val="ctr"/>
        <c:lblOffset val="100"/>
        <c:noMultiLvlLbl val="0"/>
      </c:catAx>
      <c:valAx>
        <c:axId val="9013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'3x9'!$S$6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'3x9'!$S$7:$S$16</c:f>
              <c:numCache>
                <c:formatCode>General</c:formatCode>
                <c:ptCount val="10"/>
                <c:pt idx="0">
                  <c:v>-116.73539818823376</c:v>
                </c:pt>
                <c:pt idx="1">
                  <c:v>-463.85244278097213</c:v>
                </c:pt>
                <c:pt idx="2">
                  <c:v>-1076.1837472437182</c:v>
                </c:pt>
                <c:pt idx="3">
                  <c:v>-1979.8325481781553</c:v>
                </c:pt>
                <c:pt idx="4">
                  <c:v>-3185.7052689287052</c:v>
                </c:pt>
                <c:pt idx="5">
                  <c:v>-4696.0223938158997</c:v>
                </c:pt>
                <c:pt idx="6">
                  <c:v>-6509.6838425011274</c:v>
                </c:pt>
                <c:pt idx="7">
                  <c:v>-8624.9715895561058</c:v>
                </c:pt>
                <c:pt idx="8">
                  <c:v>-11040.495098322663</c:v>
                </c:pt>
                <c:pt idx="9">
                  <c:v>-13755.342593585181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6-4C82-88E2-BE300815D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75440"/>
        <c:axId val="901375984"/>
      </c:lineChart>
      <c:catAx>
        <c:axId val="9013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984"/>
        <c:crosses val="autoZero"/>
        <c:auto val="1"/>
        <c:lblAlgn val="ctr"/>
        <c:lblOffset val="100"/>
        <c:noMultiLvlLbl val="0"/>
      </c:catAx>
      <c:valAx>
        <c:axId val="9013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'3x10'!$S$6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'3x10'!$S$7:$S$16</c:f>
              <c:numCache>
                <c:formatCode>General</c:formatCode>
                <c:ptCount val="10"/>
                <c:pt idx="0">
                  <c:v>-146.15790165277309</c:v>
                </c:pt>
                <c:pt idx="1">
                  <c:v>-578.48607270533262</c:v>
                </c:pt>
                <c:pt idx="2">
                  <c:v>-1339.4408770184327</c:v>
                </c:pt>
                <c:pt idx="3">
                  <c:v>-2461.6698468707596</c:v>
                </c:pt>
                <c:pt idx="4">
                  <c:v>-3959.1040718516956</c:v>
                </c:pt>
                <c:pt idx="5">
                  <c:v>-5834.7578948007294</c:v>
                </c:pt>
                <c:pt idx="6">
                  <c:v>-8087.3635473314453</c:v>
                </c:pt>
                <c:pt idx="7">
                  <c:v>-10714.789321373539</c:v>
                </c:pt>
                <c:pt idx="8">
                  <c:v>-13715.273015594365</c:v>
                </c:pt>
                <c:pt idx="9">
                  <c:v>-17087.642852420842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2-42CD-8E23-47038D1C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75440"/>
        <c:axId val="901375984"/>
      </c:lineChart>
      <c:catAx>
        <c:axId val="9013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984"/>
        <c:crosses val="autoZero"/>
        <c:auto val="1"/>
        <c:lblAlgn val="ctr"/>
        <c:lblOffset val="100"/>
        <c:noMultiLvlLbl val="0"/>
      </c:catAx>
      <c:valAx>
        <c:axId val="9013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Analysis!$R$25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Analysis!$R$26:$R$35</c:f>
              <c:numCache>
                <c:formatCode>General</c:formatCode>
                <c:ptCount val="10"/>
                <c:pt idx="0">
                  <c:v>-0.58377630120307544</c:v>
                </c:pt>
                <c:pt idx="1">
                  <c:v>-0.39235185674994544</c:v>
                </c:pt>
                <c:pt idx="2">
                  <c:v>-0.28939810634429969</c:v>
                </c:pt>
                <c:pt idx="3">
                  <c:v>-0.22934723273037716</c:v>
                </c:pt>
                <c:pt idx="4">
                  <c:v>-0.19265298491151961</c:v>
                </c:pt>
                <c:pt idx="5">
                  <c:v>-0.16959035716015719</c:v>
                </c:pt>
                <c:pt idx="6">
                  <c:v>-0.15483780124461316</c:v>
                </c:pt>
                <c:pt idx="7">
                  <c:v>-0.145294421090226</c:v>
                </c:pt>
                <c:pt idx="8">
                  <c:v>-0.13907592316901607</c:v>
                </c:pt>
                <c:pt idx="9">
                  <c:v>-0.13500476830669483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934E-8148-2C34652223AE}"/>
            </c:ext>
          </c:extLst>
        </c:ser>
        <c:ser>
          <c:idx val="1"/>
          <c:order val="1"/>
          <c:tx>
            <c:strRef>
              <c:f>Analysis!$S$25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Analysis!$S$26:$S$35</c:f>
              <c:numCache>
                <c:formatCode>General</c:formatCode>
                <c:ptCount val="10"/>
                <c:pt idx="0">
                  <c:v>1.1492179096556916</c:v>
                </c:pt>
                <c:pt idx="1">
                  <c:v>3.5045589003759483</c:v>
                </c:pt>
                <c:pt idx="2">
                  <c:v>6.3900482018125464</c:v>
                </c:pt>
                <c:pt idx="3">
                  <c:v>9.561309863395465</c:v>
                </c:pt>
                <c:pt idx="4">
                  <c:v>12.901858765822615</c:v>
                </c:pt>
                <c:pt idx="5">
                  <c:v>16.346961737415967</c:v>
                </c:pt>
                <c:pt idx="6">
                  <c:v>19.857608766888934</c:v>
                </c:pt>
                <c:pt idx="7">
                  <c:v>23.40937904656348</c:v>
                </c:pt>
                <c:pt idx="8">
                  <c:v>26.986774277400567</c:v>
                </c:pt>
                <c:pt idx="9">
                  <c:v>30.579955802484957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934E-8148-2C34652223AE}"/>
            </c:ext>
          </c:extLst>
        </c:ser>
        <c:ser>
          <c:idx val="2"/>
          <c:order val="2"/>
          <c:tx>
            <c:strRef>
              <c:f>Analysis!$T$25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Analysis!$T$26:$T$35</c:f>
              <c:numCache>
                <c:formatCode>General</c:formatCode>
                <c:ptCount val="10"/>
                <c:pt idx="0">
                  <c:v>1.4556188171178033</c:v>
                </c:pt>
                <c:pt idx="1">
                  <c:v>5.3461165444562733</c:v>
                </c:pt>
                <c:pt idx="2">
                  <c:v>11.578819831375677</c:v>
                </c:pt>
                <c:pt idx="3">
                  <c:v>20.308200849528969</c:v>
                </c:pt>
                <c:pt idx="4">
                  <c:v>31.721548769068761</c:v>
                </c:pt>
                <c:pt idx="5">
                  <c:v>45.984125497158196</c:v>
                </c:pt>
                <c:pt idx="6">
                  <c:v>63.22431849813519</c:v>
                </c:pt>
                <c:pt idx="7">
                  <c:v>83.533124675716664</c:v>
                </c:pt>
                <c:pt idx="8">
                  <c:v>106.96939621006125</c:v>
                </c:pt>
                <c:pt idx="9">
                  <c:v>133.56696749519909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E-934E-8148-2C34652223AE}"/>
            </c:ext>
          </c:extLst>
        </c:ser>
        <c:ser>
          <c:idx val="3"/>
          <c:order val="3"/>
          <c:tx>
            <c:strRef>
              <c:f>Analysis!$U$25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Analysis!$U$26:$U$35</c:f>
              <c:numCache>
                <c:formatCode>General</c:formatCode>
                <c:ptCount val="10"/>
                <c:pt idx="0">
                  <c:v>-0.30640090746211168</c:v>
                </c:pt>
                <c:pt idx="1">
                  <c:v>-1.841557644080325</c:v>
                </c:pt>
                <c:pt idx="2">
                  <c:v>-5.1887716295631305</c:v>
                </c:pt>
                <c:pt idx="3">
                  <c:v>-10.746890986133504</c:v>
                </c:pt>
                <c:pt idx="4">
                  <c:v>-18.819690003246144</c:v>
                </c:pt>
                <c:pt idx="5">
                  <c:v>-29.637163759742229</c:v>
                </c:pt>
                <c:pt idx="6">
                  <c:v>-43.36670973124626</c:v>
                </c:pt>
                <c:pt idx="7">
                  <c:v>-60.123745629153184</c:v>
                </c:pt>
                <c:pt idx="8">
                  <c:v>-79.982621932660678</c:v>
                </c:pt>
                <c:pt idx="9">
                  <c:v>-102.98701169271413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BE40-AE07-4A63048A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354000"/>
        <c:axId val="785343120"/>
      </c:lineChart>
      <c:catAx>
        <c:axId val="78535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43120"/>
        <c:crosses val="autoZero"/>
        <c:auto val="1"/>
        <c:lblAlgn val="ctr"/>
        <c:lblOffset val="100"/>
        <c:noMultiLvlLbl val="0"/>
      </c:catAx>
      <c:valAx>
        <c:axId val="7853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5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'1x2'!$S$6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'1x2'!$S$7:$S$16</c:f>
              <c:numCache>
                <c:formatCode>General</c:formatCode>
                <c:ptCount val="10"/>
                <c:pt idx="0">
                  <c:v>-9.2114609509495127E-2</c:v>
                </c:pt>
                <c:pt idx="1">
                  <c:v>-0.12525362033682841</c:v>
                </c:pt>
                <c:pt idx="2">
                  <c:v>-2.1151576969923092E-2</c:v>
                </c:pt>
                <c:pt idx="3">
                  <c:v>0.22260475101416777</c:v>
                </c:pt>
                <c:pt idx="4">
                  <c:v>0.59639718470474712</c:v>
                </c:pt>
                <c:pt idx="5">
                  <c:v>1.0877174700211896</c:v>
                </c:pt>
                <c:pt idx="6">
                  <c:v>1.6834683406324809</c:v>
                </c:pt>
                <c:pt idx="7">
                  <c:v>2.3707397879195202</c:v>
                </c:pt>
                <c:pt idx="8">
                  <c:v>3.1371237170763191</c:v>
                </c:pt>
                <c:pt idx="9">
                  <c:v>3.9708570856518897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354544"/>
        <c:axId val="534771104"/>
      </c:lineChart>
      <c:catAx>
        <c:axId val="78535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71104"/>
        <c:crosses val="autoZero"/>
        <c:auto val="1"/>
        <c:lblAlgn val="ctr"/>
        <c:lblOffset val="100"/>
        <c:noMultiLvlLbl val="0"/>
      </c:catAx>
      <c:valAx>
        <c:axId val="5347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5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'1x3'!$S$6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'1x3'!$S$7:$S$16</c:f>
              <c:numCache>
                <c:formatCode>General</c:formatCode>
                <c:ptCount val="10"/>
                <c:pt idx="0">
                  <c:v>-6.8250450963520448E-2</c:v>
                </c:pt>
                <c:pt idx="1">
                  <c:v>0.5303337656535394</c:v>
                </c:pt>
                <c:pt idx="2">
                  <c:v>1.7906887529627094</c:v>
                </c:pt>
                <c:pt idx="3">
                  <c:v>3.4568609126301304</c:v>
                </c:pt>
                <c:pt idx="4">
                  <c:v>5.3011952678104084</c:v>
                </c:pt>
                <c:pt idx="5">
                  <c:v>7.155208239942338</c:v>
                </c:pt>
                <c:pt idx="6">
                  <c:v>8.9070823964293773</c:v>
                </c:pt>
                <c:pt idx="7">
                  <c:v>10.491473645165403</c:v>
                </c:pt>
                <c:pt idx="8">
                  <c:v>11.877953888563436</c:v>
                </c:pt>
                <c:pt idx="9">
                  <c:v>13.060395910059645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772736"/>
        <c:axId val="534773824"/>
      </c:lineChart>
      <c:catAx>
        <c:axId val="53477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73824"/>
        <c:crosses val="autoZero"/>
        <c:auto val="1"/>
        <c:lblAlgn val="ctr"/>
        <c:lblOffset val="100"/>
        <c:noMultiLvlLbl val="0"/>
      </c:catAx>
      <c:valAx>
        <c:axId val="5347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'1x4'!$S$6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'1x4'!$S$7:$S$16</c:f>
              <c:numCache>
                <c:formatCode>General</c:formatCode>
                <c:ptCount val="10"/>
                <c:pt idx="0">
                  <c:v>-0.18747083219424221</c:v>
                </c:pt>
                <c:pt idx="1">
                  <c:v>1.03428276657535</c:v>
                </c:pt>
                <c:pt idx="2">
                  <c:v>3.3934185290209378</c:v>
                </c:pt>
                <c:pt idx="3">
                  <c:v>6.179203880245848</c:v>
                </c:pt>
                <c:pt idx="4">
                  <c:v>8.900675232640582</c:v>
                </c:pt>
                <c:pt idx="5">
                  <c:v>11.296072830624338</c:v>
                </c:pt>
                <c:pt idx="6">
                  <c:v>13.267400664080146</c:v>
                </c:pt>
                <c:pt idx="7">
                  <c:v>14.815009826623623</c:v>
                </c:pt>
                <c:pt idx="8">
                  <c:v>15.988505851318923</c:v>
                </c:pt>
                <c:pt idx="9">
                  <c:v>16.855178111295952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776000"/>
        <c:axId val="534760768"/>
      </c:lineChart>
      <c:catAx>
        <c:axId val="5347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60768"/>
        <c:crosses val="autoZero"/>
        <c:auto val="1"/>
        <c:lblAlgn val="ctr"/>
        <c:lblOffset val="100"/>
        <c:noMultiLvlLbl val="0"/>
      </c:catAx>
      <c:valAx>
        <c:axId val="5347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'1x5'!$S$6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'1x5'!$S$7:$S$16</c:f>
              <c:numCache>
                <c:formatCode>General</c:formatCode>
                <c:ptCount val="10"/>
                <c:pt idx="0">
                  <c:v>-0.53256695132980214</c:v>
                </c:pt>
                <c:pt idx="1">
                  <c:v>1.2354145617490833</c:v>
                </c:pt>
                <c:pt idx="2">
                  <c:v>4.686242441434322</c:v>
                </c:pt>
                <c:pt idx="3">
                  <c:v>8.536727881164996</c:v>
                </c:pt>
                <c:pt idx="4">
                  <c:v>12.033380999017501</c:v>
                </c:pt>
                <c:pt idx="5">
                  <c:v>14.873925328283423</c:v>
                </c:pt>
                <c:pt idx="6">
                  <c:v>17.024115731471728</c:v>
                </c:pt>
                <c:pt idx="7">
                  <c:v>18.574652744138213</c:v>
                </c:pt>
                <c:pt idx="8">
                  <c:v>19.654445623943168</c:v>
                </c:pt>
                <c:pt idx="9">
                  <c:v>20.387247940940302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761856"/>
        <c:axId val="534762400"/>
      </c:lineChart>
      <c:catAx>
        <c:axId val="5347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62400"/>
        <c:crosses val="autoZero"/>
        <c:auto val="1"/>
        <c:lblAlgn val="ctr"/>
        <c:lblOffset val="100"/>
        <c:noMultiLvlLbl val="0"/>
      </c:catAx>
      <c:valAx>
        <c:axId val="5347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'1x6'!$S$6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'1x6'!$S$7:$S$16</c:f>
              <c:numCache>
                <c:formatCode>General</c:formatCode>
                <c:ptCount val="10"/>
                <c:pt idx="0">
                  <c:v>-1.1608222355493911</c:v>
                </c:pt>
                <c:pt idx="1">
                  <c:v>1.0412686967269114</c:v>
                </c:pt>
                <c:pt idx="2">
                  <c:v>5.6189758525097471</c:v>
                </c:pt>
                <c:pt idx="3">
                  <c:v>10.597804468402634</c:v>
                </c:pt>
                <c:pt idx="4">
                  <c:v>14.93166277440165</c:v>
                </c:pt>
                <c:pt idx="5">
                  <c:v>18.28554052456316</c:v>
                </c:pt>
                <c:pt idx="6">
                  <c:v>20.697906992512497</c:v>
                </c:pt>
                <c:pt idx="7">
                  <c:v>22.349522948044552</c:v>
                </c:pt>
                <c:pt idx="8">
                  <c:v>23.441575129583029</c:v>
                </c:pt>
                <c:pt idx="9">
                  <c:v>24.145552403530502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72176"/>
        <c:axId val="901370544"/>
      </c:lineChart>
      <c:catAx>
        <c:axId val="9013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0544"/>
        <c:crosses val="autoZero"/>
        <c:auto val="1"/>
        <c:lblAlgn val="ctr"/>
        <c:lblOffset val="100"/>
        <c:noMultiLvlLbl val="0"/>
      </c:catAx>
      <c:valAx>
        <c:axId val="9013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889"/>
          <c:y val="0.20809827437356329"/>
          <c:w val="0.82267170676455736"/>
          <c:h val="0.76287916454300542"/>
        </c:manualLayout>
      </c:layout>
      <c:lineChart>
        <c:grouping val="standard"/>
        <c:varyColors val="0"/>
        <c:ser>
          <c:idx val="0"/>
          <c:order val="0"/>
          <c:tx>
            <c:strRef>
              <c:f>'1x7'!$S$6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'1x7'!$S$7:$S$16</c:f>
              <c:numCache>
                <c:formatCode>General</c:formatCode>
                <c:ptCount val="10"/>
                <c:pt idx="0">
                  <c:v>-2.1132945456322663</c:v>
                </c:pt>
                <c:pt idx="1">
                  <c:v>0.38387871050247746</c:v>
                </c:pt>
                <c:pt idx="2">
                  <c:v>6.1426160304734498</c:v>
                </c:pt>
                <c:pt idx="3">
                  <c:v>12.36414730502463</c:v>
                </c:pt>
                <c:pt idx="4">
                  <c:v>17.653668200284091</c:v>
                </c:pt>
                <c:pt idx="5">
                  <c:v>21.629255536096434</c:v>
                </c:pt>
                <c:pt idx="6">
                  <c:v>24.400311364812811</c:v>
                </c:pt>
                <c:pt idx="7">
                  <c:v>26.237395342807694</c:v>
                </c:pt>
                <c:pt idx="8">
                  <c:v>27.413499333334297</c:v>
                </c:pt>
                <c:pt idx="9">
                  <c:v>28.147736472688717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368912"/>
        <c:axId val="901371088"/>
      </c:lineChart>
      <c:catAx>
        <c:axId val="90136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71088"/>
        <c:crosses val="autoZero"/>
        <c:auto val="1"/>
        <c:lblAlgn val="ctr"/>
        <c:lblOffset val="100"/>
        <c:noMultiLvlLbl val="0"/>
      </c:catAx>
      <c:valAx>
        <c:axId val="9013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403225</xdr:colOff>
      <xdr:row>5</xdr:row>
      <xdr:rowOff>180975</xdr:rowOff>
    </xdr:from>
    <xdr:to>
      <xdr:col>29</xdr:col>
      <xdr:colOff>171450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339725</xdr:colOff>
      <xdr:row>22</xdr:row>
      <xdr:rowOff>196850</xdr:rowOff>
    </xdr:from>
    <xdr:to>
      <xdr:col>28</xdr:col>
      <xdr:colOff>631825</xdr:colOff>
      <xdr:row>34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187325</xdr:colOff>
      <xdr:row>39</xdr:row>
      <xdr:rowOff>63500</xdr:rowOff>
    </xdr:from>
    <xdr:to>
      <xdr:col>29</xdr:col>
      <xdr:colOff>479425</xdr:colOff>
      <xdr:row>50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327025</xdr:colOff>
      <xdr:row>16</xdr:row>
      <xdr:rowOff>161925</xdr:rowOff>
    </xdr:from>
    <xdr:to>
      <xdr:col>19</xdr:col>
      <xdr:colOff>47625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22225</xdr:colOff>
      <xdr:row>16</xdr:row>
      <xdr:rowOff>212725</xdr:rowOff>
    </xdr:from>
    <xdr:to>
      <xdr:col>19</xdr:col>
      <xdr:colOff>174625</xdr:colOff>
      <xdr:row>28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4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7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8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9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0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2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14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5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1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7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18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19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0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21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22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2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24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0"/>
  <sheetViews>
    <sheetView zoomScale="80" zoomScaleNormal="80" zoomScalePageLayoutView="80" workbookViewId="0">
      <selection activeCell="D24" sqref="D24"/>
    </sheetView>
  </sheetViews>
  <sheetFormatPr baseColWidth="10" defaultColWidth="11" defaultRowHeight="16" x14ac:dyDescent="0.2"/>
  <cols>
    <col min="1" max="1" width="16.83203125" bestFit="1" customWidth="1"/>
    <col min="2" max="2" width="15.33203125" bestFit="1" customWidth="1"/>
    <col min="3" max="6" width="13.5" bestFit="1" customWidth="1"/>
    <col min="7" max="7" width="15.33203125" bestFit="1" customWidth="1"/>
    <col min="8" max="19" width="4.6640625" customWidth="1"/>
  </cols>
  <sheetData>
    <row r="1" spans="1:19" ht="25" thickBot="1" x14ac:dyDescent="0.35">
      <c r="A1" s="280" t="s">
        <v>124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2"/>
    </row>
    <row r="2" spans="1:19" ht="22" thickBot="1" x14ac:dyDescent="0.3">
      <c r="A2" s="286" t="s">
        <v>52</v>
      </c>
      <c r="B2" s="287"/>
      <c r="C2" s="287"/>
      <c r="D2" s="287"/>
      <c r="E2" s="287"/>
      <c r="F2" s="288"/>
      <c r="G2" s="181"/>
      <c r="I2" s="289" t="s">
        <v>23</v>
      </c>
      <c r="J2" s="289"/>
      <c r="K2" s="289"/>
      <c r="L2" s="289"/>
      <c r="M2" s="289"/>
      <c r="N2" s="289"/>
      <c r="O2" s="289"/>
      <c r="P2" s="289"/>
      <c r="Q2" s="289"/>
      <c r="R2" s="289"/>
      <c r="S2" s="289"/>
    </row>
    <row r="3" spans="1:19" ht="17" thickBot="1" x14ac:dyDescent="0.25">
      <c r="A3" s="132" t="s">
        <v>65</v>
      </c>
      <c r="B3" s="173" t="s">
        <v>63</v>
      </c>
      <c r="C3" s="125"/>
      <c r="D3" s="160" t="s">
        <v>54</v>
      </c>
      <c r="E3" s="161" t="s">
        <v>63</v>
      </c>
      <c r="F3" s="182" t="s">
        <v>64</v>
      </c>
      <c r="G3" s="162" t="s">
        <v>89</v>
      </c>
      <c r="I3" s="49" t="s">
        <v>9</v>
      </c>
      <c r="J3" s="49" t="s">
        <v>22</v>
      </c>
      <c r="K3" s="49">
        <v>2</v>
      </c>
      <c r="L3" s="49">
        <v>3</v>
      </c>
      <c r="M3" s="49">
        <v>4</v>
      </c>
      <c r="N3" s="49">
        <v>5</v>
      </c>
      <c r="O3" s="49">
        <v>6</v>
      </c>
      <c r="P3" s="49">
        <v>7</v>
      </c>
      <c r="Q3" s="49">
        <v>8</v>
      </c>
      <c r="R3" s="49">
        <v>9</v>
      </c>
      <c r="S3" s="49">
        <v>10</v>
      </c>
    </row>
    <row r="4" spans="1:19" ht="17" thickBot="1" x14ac:dyDescent="0.25">
      <c r="A4" s="132" t="s">
        <v>125</v>
      </c>
      <c r="B4" s="174" t="s">
        <v>6</v>
      </c>
      <c r="C4" s="125"/>
      <c r="D4" s="163" t="s">
        <v>54</v>
      </c>
      <c r="E4" s="159" t="s">
        <v>53</v>
      </c>
      <c r="F4" s="159" t="s">
        <v>6</v>
      </c>
      <c r="G4" s="164"/>
      <c r="I4" s="49" t="s">
        <v>20</v>
      </c>
      <c r="J4" s="50" t="str">
        <f>Summary!C3</f>
        <v>H</v>
      </c>
      <c r="K4" s="50" t="str">
        <f>Summary!D3</f>
        <v>H</v>
      </c>
      <c r="L4" s="50" t="str">
        <f>Summary!E3</f>
        <v>H</v>
      </c>
      <c r="M4" s="50" t="str">
        <f>Summary!F3</f>
        <v>H</v>
      </c>
      <c r="N4" s="50" t="str">
        <f>Summary!G3</f>
        <v>H</v>
      </c>
      <c r="O4" s="50" t="str">
        <f>Summary!H3</f>
        <v>H</v>
      </c>
      <c r="P4" s="50" t="str">
        <f>Summary!I3</f>
        <v>H</v>
      </c>
      <c r="Q4" s="50" t="str">
        <f>Summary!J3</f>
        <v>H</v>
      </c>
      <c r="R4" s="50" t="str">
        <f>Summary!K3</f>
        <v>H</v>
      </c>
      <c r="S4" s="50" t="str">
        <f>Summary!L3</f>
        <v>H</v>
      </c>
    </row>
    <row r="5" spans="1:19" ht="17" thickBot="1" x14ac:dyDescent="0.25">
      <c r="A5" s="132" t="s">
        <v>126</v>
      </c>
      <c r="B5" s="175">
        <v>4</v>
      </c>
      <c r="C5" s="134" t="str">
        <f>"True Count: " &amp; B5-4</f>
        <v>True Count: 0</v>
      </c>
      <c r="D5" s="163" t="s">
        <v>54</v>
      </c>
      <c r="E5" s="159" t="s">
        <v>86</v>
      </c>
      <c r="F5" s="159" t="s">
        <v>85</v>
      </c>
      <c r="G5" s="164"/>
      <c r="I5" s="49">
        <v>9</v>
      </c>
      <c r="J5" s="50" t="str">
        <f>Summary!C4</f>
        <v>H</v>
      </c>
      <c r="K5" s="50" t="str">
        <f>Summary!D4</f>
        <v>H</v>
      </c>
      <c r="L5" s="50" t="str">
        <f>Summary!E4</f>
        <v>D</v>
      </c>
      <c r="M5" s="50" t="str">
        <f>Summary!F4</f>
        <v>D</v>
      </c>
      <c r="N5" s="50" t="str">
        <f>Summary!G4</f>
        <v>D</v>
      </c>
      <c r="O5" s="50" t="str">
        <f>Summary!H4</f>
        <v>D</v>
      </c>
      <c r="P5" s="50" t="str">
        <f>Summary!I4</f>
        <v>H</v>
      </c>
      <c r="Q5" s="50" t="str">
        <f>Summary!J4</f>
        <v>H</v>
      </c>
      <c r="R5" s="50" t="str">
        <f>Summary!K4</f>
        <v>H</v>
      </c>
      <c r="S5" s="50" t="str">
        <f>Summary!L4</f>
        <v>H</v>
      </c>
    </row>
    <row r="6" spans="1:19" ht="17" thickBot="1" x14ac:dyDescent="0.25">
      <c r="A6" s="132" t="s">
        <v>56</v>
      </c>
      <c r="B6" s="176" t="s">
        <v>78</v>
      </c>
      <c r="C6" s="156"/>
      <c r="D6" s="163" t="s">
        <v>54</v>
      </c>
      <c r="E6" s="159" t="s">
        <v>78</v>
      </c>
      <c r="F6" s="159" t="s">
        <v>57</v>
      </c>
      <c r="G6" s="164"/>
      <c r="I6" s="49">
        <v>10</v>
      </c>
      <c r="J6" s="50" t="str">
        <f>Summary!C5</f>
        <v>H</v>
      </c>
      <c r="K6" s="50" t="str">
        <f>Summary!D5</f>
        <v>D</v>
      </c>
      <c r="L6" s="50" t="str">
        <f>Summary!E5</f>
        <v>D</v>
      </c>
      <c r="M6" s="50" t="str">
        <f>Summary!F5</f>
        <v>D</v>
      </c>
      <c r="N6" s="50" t="str">
        <f>Summary!G5</f>
        <v>D</v>
      </c>
      <c r="O6" s="50" t="str">
        <f>Summary!H5</f>
        <v>D</v>
      </c>
      <c r="P6" s="50" t="str">
        <f>Summary!I5</f>
        <v>D</v>
      </c>
      <c r="Q6" s="50" t="str">
        <f>Summary!J5</f>
        <v>D</v>
      </c>
      <c r="R6" s="50" t="str">
        <f>Summary!K5</f>
        <v>D</v>
      </c>
      <c r="S6" s="50" t="str">
        <f>Summary!L5</f>
        <v>H</v>
      </c>
    </row>
    <row r="7" spans="1:19" ht="17" thickBot="1" x14ac:dyDescent="0.25">
      <c r="A7" s="132" t="s">
        <v>62</v>
      </c>
      <c r="B7" s="177" t="s">
        <v>58</v>
      </c>
      <c r="C7" s="117"/>
      <c r="D7" s="163" t="s">
        <v>54</v>
      </c>
      <c r="E7" s="159" t="s">
        <v>58</v>
      </c>
      <c r="F7" s="159" t="s">
        <v>59</v>
      </c>
      <c r="G7" s="164"/>
      <c r="I7" s="49">
        <v>11</v>
      </c>
      <c r="J7" s="50" t="str">
        <f>Summary!C6</f>
        <v>H</v>
      </c>
      <c r="K7" s="50" t="str">
        <f>Summary!D6</f>
        <v>D</v>
      </c>
      <c r="L7" s="50" t="str">
        <f>Summary!E6</f>
        <v>D</v>
      </c>
      <c r="M7" s="50" t="str">
        <f>Summary!F6</f>
        <v>D</v>
      </c>
      <c r="N7" s="50" t="str">
        <f>Summary!G6</f>
        <v>D</v>
      </c>
      <c r="O7" s="50" t="str">
        <f>Summary!H6</f>
        <v>D</v>
      </c>
      <c r="P7" s="50" t="str">
        <f>Summary!I6</f>
        <v>D</v>
      </c>
      <c r="Q7" s="50" t="str">
        <f>Summary!J6</f>
        <v>D</v>
      </c>
      <c r="R7" s="50" t="str">
        <f>Summary!K6</f>
        <v>D</v>
      </c>
      <c r="S7" s="50" t="str">
        <f>Summary!L6</f>
        <v>D</v>
      </c>
    </row>
    <row r="8" spans="1:19" ht="17" thickBot="1" x14ac:dyDescent="0.25">
      <c r="A8" s="132" t="s">
        <v>60</v>
      </c>
      <c r="B8" s="177" t="s">
        <v>59</v>
      </c>
      <c r="C8" s="117"/>
      <c r="D8" s="163" t="s">
        <v>54</v>
      </c>
      <c r="E8" s="159" t="s">
        <v>58</v>
      </c>
      <c r="F8" s="159" t="s">
        <v>59</v>
      </c>
      <c r="G8" s="164"/>
      <c r="I8" s="49">
        <v>12</v>
      </c>
      <c r="J8" s="50" t="str">
        <f>Summary!C7</f>
        <v>H</v>
      </c>
      <c r="K8" s="50" t="str">
        <f>Summary!D7</f>
        <v>H</v>
      </c>
      <c r="L8" s="50" t="str">
        <f>Summary!E7</f>
        <v>H</v>
      </c>
      <c r="M8" s="50" t="str">
        <f>Summary!F7</f>
        <v>S</v>
      </c>
      <c r="N8" s="50" t="str">
        <f>Summary!G7</f>
        <v>S</v>
      </c>
      <c r="O8" s="50" t="str">
        <f>Summary!H7</f>
        <v>S</v>
      </c>
      <c r="P8" s="50" t="str">
        <f>Summary!I7</f>
        <v>H</v>
      </c>
      <c r="Q8" s="50" t="str">
        <f>Summary!J7</f>
        <v>H</v>
      </c>
      <c r="R8" s="50" t="str">
        <f>Summary!K7</f>
        <v>H</v>
      </c>
      <c r="S8" s="50" t="str">
        <f>Summary!L7</f>
        <v>H</v>
      </c>
    </row>
    <row r="9" spans="1:19" ht="17" thickBot="1" x14ac:dyDescent="0.25">
      <c r="A9" s="132" t="s">
        <v>77</v>
      </c>
      <c r="B9" s="177" t="s">
        <v>58</v>
      </c>
      <c r="C9" s="117"/>
      <c r="D9" s="163" t="s">
        <v>54</v>
      </c>
      <c r="E9" s="159" t="s">
        <v>58</v>
      </c>
      <c r="F9" s="159" t="s">
        <v>59</v>
      </c>
      <c r="G9" s="164"/>
      <c r="I9" s="49">
        <v>13</v>
      </c>
      <c r="J9" s="50" t="str">
        <f>Summary!C8</f>
        <v>H</v>
      </c>
      <c r="K9" s="50" t="str">
        <f>Summary!D8</f>
        <v>S</v>
      </c>
      <c r="L9" s="50" t="str">
        <f>Summary!E8</f>
        <v>S</v>
      </c>
      <c r="M9" s="50" t="str">
        <f>Summary!F8</f>
        <v>S</v>
      </c>
      <c r="N9" s="50" t="str">
        <f>Summary!G8</f>
        <v>S</v>
      </c>
      <c r="O9" s="50" t="str">
        <f>Summary!H8</f>
        <v>S</v>
      </c>
      <c r="P9" s="50" t="str">
        <f>Summary!I8</f>
        <v>H</v>
      </c>
      <c r="Q9" s="50" t="str">
        <f>Summary!J8</f>
        <v>H</v>
      </c>
      <c r="R9" s="50" t="str">
        <f>Summary!K8</f>
        <v>H</v>
      </c>
      <c r="S9" s="50" t="str">
        <f>Summary!L8</f>
        <v>H</v>
      </c>
    </row>
    <row r="10" spans="1:19" ht="17" thickBot="1" x14ac:dyDescent="0.25">
      <c r="A10" s="132" t="s">
        <v>52</v>
      </c>
      <c r="B10" s="177" t="s">
        <v>67</v>
      </c>
      <c r="C10" s="117"/>
      <c r="D10" s="163" t="s">
        <v>54</v>
      </c>
      <c r="E10" s="159" t="s">
        <v>67</v>
      </c>
      <c r="F10" s="159" t="s">
        <v>66</v>
      </c>
      <c r="G10" s="164"/>
      <c r="I10" s="49">
        <v>14</v>
      </c>
      <c r="J10" s="50" t="str">
        <f>Summary!C9</f>
        <v>H</v>
      </c>
      <c r="K10" s="50" t="str">
        <f>Summary!D9</f>
        <v>S</v>
      </c>
      <c r="L10" s="50" t="str">
        <f>Summary!E9</f>
        <v>S</v>
      </c>
      <c r="M10" s="50" t="str">
        <f>Summary!F9</f>
        <v>S</v>
      </c>
      <c r="N10" s="50" t="str">
        <f>Summary!G9</f>
        <v>S</v>
      </c>
      <c r="O10" s="50" t="str">
        <f>Summary!H9</f>
        <v>S</v>
      </c>
      <c r="P10" s="50" t="str">
        <f>Summary!I9</f>
        <v>H</v>
      </c>
      <c r="Q10" s="50" t="str">
        <f>Summary!J9</f>
        <v>H</v>
      </c>
      <c r="R10" s="50" t="str">
        <f>Summary!K9</f>
        <v>H</v>
      </c>
      <c r="S10" s="50" t="str">
        <f>Summary!L9</f>
        <v>H</v>
      </c>
    </row>
    <row r="11" spans="1:19" ht="17" thickBot="1" x14ac:dyDescent="0.25">
      <c r="A11" s="132" t="s">
        <v>75</v>
      </c>
      <c r="B11" s="177">
        <v>4</v>
      </c>
      <c r="C11" s="157" t="s">
        <v>76</v>
      </c>
      <c r="D11" s="163" t="s">
        <v>54</v>
      </c>
      <c r="E11" s="159" t="s">
        <v>61</v>
      </c>
      <c r="F11" s="159" t="s">
        <v>84</v>
      </c>
      <c r="G11" s="164"/>
      <c r="I11" s="49">
        <v>15</v>
      </c>
      <c r="J11" s="50" t="str">
        <f>Summary!C10</f>
        <v>H</v>
      </c>
      <c r="K11" s="50" t="str">
        <f>Summary!D10</f>
        <v>S</v>
      </c>
      <c r="L11" s="50" t="str">
        <f>Summary!E10</f>
        <v>S</v>
      </c>
      <c r="M11" s="50" t="str">
        <f>Summary!F10</f>
        <v>S</v>
      </c>
      <c r="N11" s="50" t="str">
        <f>Summary!G10</f>
        <v>S</v>
      </c>
      <c r="O11" s="50" t="str">
        <f>Summary!H10</f>
        <v>S</v>
      </c>
      <c r="P11" s="50" t="str">
        <f>Summary!I10</f>
        <v>H</v>
      </c>
      <c r="Q11" s="50" t="str">
        <f>Summary!J10</f>
        <v>H</v>
      </c>
      <c r="R11" s="50" t="str">
        <f>Summary!K10</f>
        <v>H</v>
      </c>
      <c r="S11" s="50" t="str">
        <f>Summary!L10</f>
        <v>R</v>
      </c>
    </row>
    <row r="12" spans="1:19" ht="17" thickBot="1" x14ac:dyDescent="0.25">
      <c r="A12" s="135" t="s">
        <v>83</v>
      </c>
      <c r="B12" s="174" t="s">
        <v>59</v>
      </c>
      <c r="C12" s="169"/>
      <c r="D12" s="163" t="s">
        <v>54</v>
      </c>
      <c r="E12" s="159" t="s">
        <v>58</v>
      </c>
      <c r="F12" s="159" t="s">
        <v>59</v>
      </c>
      <c r="G12" s="164"/>
      <c r="I12" s="49">
        <v>16</v>
      </c>
      <c r="J12" s="50" t="str">
        <f>Summary!C11</f>
        <v>H</v>
      </c>
      <c r="K12" s="50" t="str">
        <f>Summary!D11</f>
        <v>S</v>
      </c>
      <c r="L12" s="50" t="str">
        <f>Summary!E11</f>
        <v>S</v>
      </c>
      <c r="M12" s="50" t="str">
        <f>Summary!F11</f>
        <v>S</v>
      </c>
      <c r="N12" s="50" t="str">
        <f>Summary!G11</f>
        <v>S</v>
      </c>
      <c r="O12" s="50" t="str">
        <f>Summary!H11</f>
        <v>S</v>
      </c>
      <c r="P12" s="50" t="str">
        <f>Summary!I11</f>
        <v>H</v>
      </c>
      <c r="Q12" s="50" t="str">
        <f>Summary!J11</f>
        <v>H</v>
      </c>
      <c r="R12" s="50" t="str">
        <f>Summary!K11</f>
        <v>R</v>
      </c>
      <c r="S12" s="50" t="str">
        <f>Summary!L11</f>
        <v>R</v>
      </c>
    </row>
    <row r="13" spans="1:19" ht="17" thickBot="1" x14ac:dyDescent="0.25">
      <c r="A13" s="168" t="s">
        <v>91</v>
      </c>
      <c r="B13" s="174" t="s">
        <v>88</v>
      </c>
      <c r="C13" s="169"/>
      <c r="D13" s="163" t="s">
        <v>54</v>
      </c>
      <c r="E13" s="159" t="s">
        <v>87</v>
      </c>
      <c r="F13" s="159" t="s">
        <v>88</v>
      </c>
      <c r="G13" s="164"/>
      <c r="I13" s="49" t="s">
        <v>21</v>
      </c>
      <c r="J13" s="50" t="str">
        <f>Summary!C12</f>
        <v>S</v>
      </c>
      <c r="K13" s="50" t="str">
        <f>Summary!D12</f>
        <v>S</v>
      </c>
      <c r="L13" s="50" t="str">
        <f>Summary!E12</f>
        <v>S</v>
      </c>
      <c r="M13" s="50" t="str">
        <f>Summary!F12</f>
        <v>S</v>
      </c>
      <c r="N13" s="50" t="str">
        <f>Summary!G12</f>
        <v>S</v>
      </c>
      <c r="O13" s="50" t="str">
        <f>Summary!H12</f>
        <v>S</v>
      </c>
      <c r="P13" s="50" t="str">
        <f>Summary!I12</f>
        <v>S</v>
      </c>
      <c r="Q13" s="50" t="str">
        <f>Summary!J12</f>
        <v>S</v>
      </c>
      <c r="R13" s="50" t="str">
        <f>Summary!K12</f>
        <v>S</v>
      </c>
      <c r="S13" s="50" t="str">
        <f>Summary!L12</f>
        <v>S</v>
      </c>
    </row>
    <row r="14" spans="1:19" ht="17" thickBot="1" x14ac:dyDescent="0.25">
      <c r="A14" s="180" t="s">
        <v>92</v>
      </c>
      <c r="B14" s="174" t="s">
        <v>93</v>
      </c>
      <c r="C14" s="169"/>
      <c r="D14" s="170" t="s">
        <v>54</v>
      </c>
      <c r="E14" s="171" t="s">
        <v>93</v>
      </c>
      <c r="F14" s="171" t="s">
        <v>94</v>
      </c>
      <c r="G14" s="172"/>
      <c r="I14" s="49" t="s">
        <v>4</v>
      </c>
      <c r="J14" s="49" t="s">
        <v>22</v>
      </c>
      <c r="K14" s="49">
        <v>2</v>
      </c>
      <c r="L14" s="49">
        <v>3</v>
      </c>
      <c r="M14" s="49">
        <v>4</v>
      </c>
      <c r="N14" s="49">
        <v>5</v>
      </c>
      <c r="O14" s="49">
        <v>6</v>
      </c>
      <c r="P14" s="49">
        <v>7</v>
      </c>
      <c r="Q14" s="49">
        <v>8</v>
      </c>
      <c r="R14" s="49">
        <v>9</v>
      </c>
      <c r="S14" s="49">
        <v>10</v>
      </c>
    </row>
    <row r="15" spans="1:19" ht="17" thickBot="1" x14ac:dyDescent="0.25">
      <c r="A15" s="193" t="s">
        <v>117</v>
      </c>
      <c r="B15" s="174" t="s">
        <v>88</v>
      </c>
      <c r="C15" s="169"/>
      <c r="D15" s="170" t="s">
        <v>54</v>
      </c>
      <c r="E15" s="171" t="s">
        <v>87</v>
      </c>
      <c r="F15" s="171" t="s">
        <v>118</v>
      </c>
      <c r="G15" s="172" t="s">
        <v>88</v>
      </c>
      <c r="I15" s="49">
        <v>13</v>
      </c>
      <c r="J15" s="50" t="str">
        <f>Summary!C14</f>
        <v>H</v>
      </c>
      <c r="K15" s="50" t="str">
        <f>Summary!D14</f>
        <v>H</v>
      </c>
      <c r="L15" s="50" t="str">
        <f>Summary!E14</f>
        <v>H</v>
      </c>
      <c r="M15" s="50" t="str">
        <f>Summary!F14</f>
        <v>H</v>
      </c>
      <c r="N15" s="50" t="str">
        <f>Summary!G14</f>
        <v>H</v>
      </c>
      <c r="O15" s="50" t="str">
        <f>Summary!H14</f>
        <v>D</v>
      </c>
      <c r="P15" s="50" t="str">
        <f>Summary!I14</f>
        <v>H</v>
      </c>
      <c r="Q15" s="50" t="str">
        <f>Summary!J14</f>
        <v>H</v>
      </c>
      <c r="R15" s="50" t="str">
        <f>Summary!K14</f>
        <v>H</v>
      </c>
      <c r="S15" s="50" t="str">
        <f>Summary!L14</f>
        <v>H</v>
      </c>
    </row>
    <row r="16" spans="1:19" ht="17" thickBot="1" x14ac:dyDescent="0.25">
      <c r="A16" s="192" t="s">
        <v>116</v>
      </c>
      <c r="B16" s="174" t="s">
        <v>88</v>
      </c>
      <c r="C16" s="169"/>
      <c r="D16" s="170" t="s">
        <v>54</v>
      </c>
      <c r="E16" s="171" t="s">
        <v>87</v>
      </c>
      <c r="F16" s="171" t="s">
        <v>118</v>
      </c>
      <c r="G16" s="172" t="s">
        <v>88</v>
      </c>
      <c r="I16" s="49">
        <v>14</v>
      </c>
      <c r="J16" s="50" t="str">
        <f>Summary!C15</f>
        <v>H</v>
      </c>
      <c r="K16" s="50" t="str">
        <f>Summary!D15</f>
        <v>H</v>
      </c>
      <c r="L16" s="50" t="str">
        <f>Summary!E15</f>
        <v>H</v>
      </c>
      <c r="M16" s="50" t="str">
        <f>Summary!F15</f>
        <v>H</v>
      </c>
      <c r="N16" s="50" t="str">
        <f>Summary!G15</f>
        <v>D</v>
      </c>
      <c r="O16" s="50" t="str">
        <f>Summary!H15</f>
        <v>D</v>
      </c>
      <c r="P16" s="50" t="str">
        <f>Summary!I15</f>
        <v>H</v>
      </c>
      <c r="Q16" s="50" t="str">
        <f>Summary!J15</f>
        <v>H</v>
      </c>
      <c r="R16" s="50" t="str">
        <f>Summary!K15</f>
        <v>H</v>
      </c>
      <c r="S16" s="50" t="str">
        <f>Summary!L15</f>
        <v>H</v>
      </c>
    </row>
    <row r="17" spans="1:19" ht="17" thickBot="1" x14ac:dyDescent="0.25">
      <c r="A17" s="132" t="s">
        <v>90</v>
      </c>
      <c r="B17" s="178">
        <v>3</v>
      </c>
      <c r="C17" s="158" t="s">
        <v>76</v>
      </c>
      <c r="D17" s="165" t="s">
        <v>54</v>
      </c>
      <c r="E17" s="166" t="s">
        <v>61</v>
      </c>
      <c r="F17" s="166" t="s">
        <v>84</v>
      </c>
      <c r="G17" s="167"/>
      <c r="I17" s="49">
        <v>15</v>
      </c>
      <c r="J17" s="50" t="str">
        <f>Summary!C16</f>
        <v>H</v>
      </c>
      <c r="K17" s="50" t="str">
        <f>Summary!D16</f>
        <v>H</v>
      </c>
      <c r="L17" s="50" t="str">
        <f>Summary!E16</f>
        <v>H</v>
      </c>
      <c r="M17" s="50" t="str">
        <f>Summary!F16</f>
        <v>H</v>
      </c>
      <c r="N17" s="50" t="str">
        <f>Summary!G16</f>
        <v>D</v>
      </c>
      <c r="O17" s="50" t="str">
        <f>Summary!H16</f>
        <v>D</v>
      </c>
      <c r="P17" s="50" t="str">
        <f>Summary!I16</f>
        <v>H</v>
      </c>
      <c r="Q17" s="50" t="str">
        <f>Summary!J16</f>
        <v>H</v>
      </c>
      <c r="R17" s="50" t="str">
        <f>Summary!K16</f>
        <v>H</v>
      </c>
      <c r="S17" s="50" t="str">
        <f>Summary!L16</f>
        <v>H</v>
      </c>
    </row>
    <row r="18" spans="1:19" ht="17" thickBot="1" x14ac:dyDescent="0.25">
      <c r="A18" s="49" t="s">
        <v>41</v>
      </c>
      <c r="B18">
        <f>'WL Prob'!O5</f>
        <v>0.3978152025489306</v>
      </c>
      <c r="C18" s="30">
        <f>'WL Prob'!O5</f>
        <v>0.3978152025489306</v>
      </c>
      <c r="D18" s="49" t="s">
        <v>191</v>
      </c>
      <c r="E18">
        <f>'WL Prob'!O4</f>
        <v>0.60218479745106923</v>
      </c>
      <c r="F18" s="30">
        <f>'WL Prob'!O4</f>
        <v>0.60218479745106923</v>
      </c>
      <c r="G18" s="271" t="s">
        <v>51</v>
      </c>
      <c r="I18" s="49">
        <v>16</v>
      </c>
      <c r="J18" s="50" t="str">
        <f>Summary!C17</f>
        <v>H</v>
      </c>
      <c r="K18" s="50" t="str">
        <f>Summary!D17</f>
        <v>H</v>
      </c>
      <c r="L18" s="50" t="str">
        <f>Summary!E17</f>
        <v>H</v>
      </c>
      <c r="M18" s="50" t="str">
        <f>Summary!F17</f>
        <v>D</v>
      </c>
      <c r="N18" s="50" t="str">
        <f>Summary!G17</f>
        <v>D</v>
      </c>
      <c r="O18" s="50" t="str">
        <f>Summary!H17</f>
        <v>D</v>
      </c>
      <c r="P18" s="50" t="str">
        <f>Summary!I17</f>
        <v>H</v>
      </c>
      <c r="Q18" s="50" t="str">
        <f>Summary!J17</f>
        <v>H</v>
      </c>
      <c r="R18" s="50" t="str">
        <f>Summary!K17</f>
        <v>H</v>
      </c>
      <c r="S18" s="50" t="str">
        <f>Summary!L17</f>
        <v>H</v>
      </c>
    </row>
    <row r="19" spans="1:19" ht="17" thickBot="1" x14ac:dyDescent="0.25">
      <c r="A19" s="49" t="s">
        <v>70</v>
      </c>
      <c r="B19" s="49"/>
      <c r="C19" s="293">
        <f>IF(Rules!$B$16=Rules!$E$16,EV!H46+'5 Cards'!G122,EV!H46)</f>
        <v>-4.6363254102503859E-3</v>
      </c>
      <c r="D19" s="294"/>
      <c r="E19" s="295" t="str">
        <f>"( "&amp; ROUND(C19*100,2)&amp; "% )"</f>
        <v>( -0.46% )</v>
      </c>
      <c r="F19" s="296"/>
      <c r="G19" s="272">
        <f>B18-E18</f>
        <v>-0.20436959490213863</v>
      </c>
      <c r="I19" s="49">
        <v>17</v>
      </c>
      <c r="J19" s="50" t="str">
        <f>Summary!C18</f>
        <v>H</v>
      </c>
      <c r="K19" s="50" t="str">
        <f>Summary!D18</f>
        <v>H</v>
      </c>
      <c r="L19" s="50" t="str">
        <f>Summary!E18</f>
        <v>D</v>
      </c>
      <c r="M19" s="50" t="str">
        <f>Summary!F18</f>
        <v>D</v>
      </c>
      <c r="N19" s="50" t="str">
        <f>Summary!G18</f>
        <v>D</v>
      </c>
      <c r="O19" s="50" t="str">
        <f>Summary!H18</f>
        <v>D</v>
      </c>
      <c r="P19" s="50" t="str">
        <f>Summary!I18</f>
        <v>H</v>
      </c>
      <c r="Q19" s="50" t="str">
        <f>Summary!J18</f>
        <v>H</v>
      </c>
      <c r="R19" s="50" t="str">
        <f>Summary!K18</f>
        <v>H</v>
      </c>
      <c r="S19" s="50" t="str">
        <f>Summary!L18</f>
        <v>H</v>
      </c>
    </row>
    <row r="20" spans="1:19" x14ac:dyDescent="0.2">
      <c r="I20" s="49">
        <v>18</v>
      </c>
      <c r="J20" s="50" t="str">
        <f>Summary!C19</f>
        <v>H</v>
      </c>
      <c r="K20" s="50" t="str">
        <f>Summary!D19</f>
        <v>S</v>
      </c>
      <c r="L20" s="50" t="str">
        <f>Summary!E19</f>
        <v>D</v>
      </c>
      <c r="M20" s="50" t="str">
        <f>Summary!F19</f>
        <v>D</v>
      </c>
      <c r="N20" s="50" t="str">
        <f>Summary!G19</f>
        <v>D</v>
      </c>
      <c r="O20" s="50" t="str">
        <f>Summary!H19</f>
        <v>D</v>
      </c>
      <c r="P20" s="50" t="str">
        <f>Summary!I19</f>
        <v>S</v>
      </c>
      <c r="Q20" s="50" t="str">
        <f>Summary!J19</f>
        <v>S</v>
      </c>
      <c r="R20" s="50" t="str">
        <f>Summary!K19</f>
        <v>H</v>
      </c>
      <c r="S20" s="50" t="str">
        <f>Summary!L19</f>
        <v>H</v>
      </c>
    </row>
    <row r="21" spans="1:19" x14ac:dyDescent="0.2">
      <c r="A21" s="49"/>
      <c r="B21" s="49"/>
      <c r="C21" s="49" t="s">
        <v>50</v>
      </c>
      <c r="D21" s="49" t="s">
        <v>51</v>
      </c>
      <c r="E21" s="49" t="s">
        <v>139</v>
      </c>
      <c r="F21" s="49" t="s">
        <v>167</v>
      </c>
      <c r="G21" s="49" t="s">
        <v>171</v>
      </c>
      <c r="I21" s="49">
        <v>19</v>
      </c>
      <c r="J21" s="50" t="str">
        <f>Summary!C20</f>
        <v>S</v>
      </c>
      <c r="K21" s="50" t="str">
        <f>Summary!D20</f>
        <v>S</v>
      </c>
      <c r="L21" s="50" t="str">
        <f>Summary!E20</f>
        <v>S</v>
      </c>
      <c r="M21" s="50" t="str">
        <f>Summary!F20</f>
        <v>S</v>
      </c>
      <c r="N21" s="50" t="str">
        <f>Summary!G20</f>
        <v>S</v>
      </c>
      <c r="O21" s="50" t="str">
        <f>Summary!H20</f>
        <v>S</v>
      </c>
      <c r="P21" s="50" t="str">
        <f>Summary!I20</f>
        <v>S</v>
      </c>
      <c r="Q21" s="50" t="str">
        <f>Summary!J20</f>
        <v>S</v>
      </c>
      <c r="R21" s="50" t="str">
        <f>Summary!K20</f>
        <v>S</v>
      </c>
      <c r="S21" s="50" t="str">
        <f>Summary!L20</f>
        <v>S</v>
      </c>
    </row>
    <row r="22" spans="1:19" x14ac:dyDescent="0.2">
      <c r="A22" s="49" t="s">
        <v>169</v>
      </c>
      <c r="B22" s="49" t="s">
        <v>166</v>
      </c>
      <c r="C22" s="268">
        <f>'Strategy Summary'!D3</f>
        <v>1.03428276657535</v>
      </c>
      <c r="D22" s="268">
        <f>'Strategy Summary'!D14</f>
        <v>0.22354406249726549</v>
      </c>
      <c r="E22" s="268">
        <v>40</v>
      </c>
      <c r="F22" s="268">
        <f>E22*2</f>
        <v>80</v>
      </c>
      <c r="G22" s="268">
        <f>C22/E22</f>
        <v>2.585706916438375E-2</v>
      </c>
      <c r="I22" s="49" t="s">
        <v>10</v>
      </c>
      <c r="J22" s="49" t="s">
        <v>22</v>
      </c>
      <c r="K22" s="49">
        <v>2</v>
      </c>
      <c r="L22" s="49">
        <v>3</v>
      </c>
      <c r="M22" s="49">
        <v>4</v>
      </c>
      <c r="N22" s="49">
        <v>5</v>
      </c>
      <c r="O22" s="49">
        <v>6</v>
      </c>
      <c r="P22" s="49">
        <v>7</v>
      </c>
      <c r="Q22" s="49">
        <v>8</v>
      </c>
      <c r="R22" s="49">
        <v>9</v>
      </c>
      <c r="S22" s="49">
        <v>10</v>
      </c>
    </row>
    <row r="23" spans="1:19" x14ac:dyDescent="0.2">
      <c r="A23" s="49" t="s">
        <v>169</v>
      </c>
      <c r="B23" s="49" t="s">
        <v>168</v>
      </c>
      <c r="C23" s="140">
        <f>'Strategy Summary'!C4</f>
        <v>1.7906887529627094</v>
      </c>
      <c r="D23" s="140">
        <f>'Strategy Summary'!C15</f>
        <v>0.53537276282161517</v>
      </c>
      <c r="E23" s="140">
        <v>60</v>
      </c>
      <c r="F23" s="140">
        <f>E23*2</f>
        <v>120</v>
      </c>
      <c r="G23" s="1">
        <f>C23/E23</f>
        <v>2.9844812549378489E-2</v>
      </c>
      <c r="I23" s="49" t="s">
        <v>22</v>
      </c>
      <c r="J23" s="50" t="str">
        <f>Summary!C22</f>
        <v>P</v>
      </c>
      <c r="K23" s="50" t="str">
        <f>Summary!D22</f>
        <v>P</v>
      </c>
      <c r="L23" s="50" t="str">
        <f>Summary!E22</f>
        <v>P</v>
      </c>
      <c r="M23" s="50" t="str">
        <f>Summary!F22</f>
        <v>P</v>
      </c>
      <c r="N23" s="50" t="str">
        <f>Summary!G22</f>
        <v>P</v>
      </c>
      <c r="O23" s="50" t="str">
        <f>Summary!H22</f>
        <v>P</v>
      </c>
      <c r="P23" s="50" t="str">
        <f>Summary!I22</f>
        <v>P</v>
      </c>
      <c r="Q23" s="50" t="str">
        <f>Summary!J22</f>
        <v>P</v>
      </c>
      <c r="R23" s="50" t="str">
        <f>Summary!K22</f>
        <v>P</v>
      </c>
      <c r="S23" s="50" t="str">
        <f>Summary!L22</f>
        <v>P</v>
      </c>
    </row>
    <row r="24" spans="1:19" x14ac:dyDescent="0.2">
      <c r="I24" s="49">
        <v>2</v>
      </c>
      <c r="J24" s="50" t="str">
        <f>Summary!C23</f>
        <v>H</v>
      </c>
      <c r="K24" s="50" t="str">
        <f>Summary!D23</f>
        <v>P</v>
      </c>
      <c r="L24" s="50" t="str">
        <f>Summary!E23</f>
        <v>P</v>
      </c>
      <c r="M24" s="50" t="str">
        <f>Summary!F23</f>
        <v>P</v>
      </c>
      <c r="N24" s="50" t="str">
        <f>Summary!G23</f>
        <v>P</v>
      </c>
      <c r="O24" s="50" t="str">
        <f>Summary!H23</f>
        <v>P</v>
      </c>
      <c r="P24" s="50" t="str">
        <f>Summary!I23</f>
        <v>P</v>
      </c>
      <c r="Q24" s="50" t="str">
        <f>Summary!J23</f>
        <v>H</v>
      </c>
      <c r="R24" s="50" t="str">
        <f>Summary!K23</f>
        <v>H</v>
      </c>
      <c r="S24" s="50" t="str">
        <f>Summary!L23</f>
        <v>H</v>
      </c>
    </row>
    <row r="25" spans="1:19" x14ac:dyDescent="0.2">
      <c r="A25" s="49" t="s">
        <v>170</v>
      </c>
      <c r="B25" s="49">
        <v>40</v>
      </c>
      <c r="C25" s="49">
        <v>60</v>
      </c>
      <c r="D25" s="49">
        <v>80</v>
      </c>
      <c r="E25" s="49">
        <v>120</v>
      </c>
      <c r="F25" s="49" t="s">
        <v>192</v>
      </c>
      <c r="G25" s="49" t="s">
        <v>193</v>
      </c>
      <c r="I25" s="49">
        <v>3</v>
      </c>
      <c r="J25" s="50" t="str">
        <f>Summary!C24</f>
        <v>H</v>
      </c>
      <c r="K25" s="50" t="str">
        <f>Summary!D24</f>
        <v>P</v>
      </c>
      <c r="L25" s="50" t="str">
        <f>Summary!E24</f>
        <v>P</v>
      </c>
      <c r="M25" s="50" t="str">
        <f>Summary!F24</f>
        <v>P</v>
      </c>
      <c r="N25" s="50" t="str">
        <f>Summary!G24</f>
        <v>P</v>
      </c>
      <c r="O25" s="50" t="str">
        <f>Summary!H24</f>
        <v>P</v>
      </c>
      <c r="P25" s="50" t="str">
        <f>Summary!I24</f>
        <v>P</v>
      </c>
      <c r="Q25" s="50" t="str">
        <f>Summary!J24</f>
        <v>H</v>
      </c>
      <c r="R25" s="50" t="str">
        <f>Summary!K24</f>
        <v>H</v>
      </c>
      <c r="S25" s="50" t="str">
        <f>Summary!L24</f>
        <v>H</v>
      </c>
    </row>
    <row r="26" spans="1:19" x14ac:dyDescent="0.2">
      <c r="A26" s="49">
        <v>100</v>
      </c>
      <c r="B26" s="269">
        <f>$A26*B$25</f>
        <v>4000</v>
      </c>
      <c r="C26" s="269">
        <f t="shared" ref="C26:E26" si="0">$A26*C$25</f>
        <v>6000</v>
      </c>
      <c r="D26" s="269">
        <f t="shared" si="0"/>
        <v>8000</v>
      </c>
      <c r="E26" s="269">
        <f t="shared" si="0"/>
        <v>12000</v>
      </c>
      <c r="F26" s="273">
        <f>A26*60</f>
        <v>6000</v>
      </c>
      <c r="G26" s="274">
        <f>F26*$G$23</f>
        <v>179.06887529627093</v>
      </c>
      <c r="I26" s="49">
        <v>4</v>
      </c>
      <c r="J26" s="50" t="str">
        <f>Summary!C25</f>
        <v>H</v>
      </c>
      <c r="K26" s="50" t="str">
        <f>Summary!D25</f>
        <v>H</v>
      </c>
      <c r="L26" s="50" t="str">
        <f>Summary!E25</f>
        <v>H</v>
      </c>
      <c r="M26" s="50" t="str">
        <f>Summary!F25</f>
        <v>H</v>
      </c>
      <c r="N26" s="50" t="str">
        <f>Summary!G25</f>
        <v>P</v>
      </c>
      <c r="O26" s="50" t="str">
        <f>Summary!H25</f>
        <v>P</v>
      </c>
      <c r="P26" s="50" t="str">
        <f>Summary!I25</f>
        <v>H</v>
      </c>
      <c r="Q26" s="50" t="str">
        <f>Summary!J25</f>
        <v>H</v>
      </c>
      <c r="R26" s="50" t="str">
        <f>Summary!K25</f>
        <v>H</v>
      </c>
      <c r="S26" s="50" t="str">
        <f>Summary!L25</f>
        <v>H</v>
      </c>
    </row>
    <row r="27" spans="1:19" x14ac:dyDescent="0.2">
      <c r="A27" s="49">
        <v>200</v>
      </c>
      <c r="B27" s="269">
        <f t="shared" ref="B27:E29" si="1">$A27*B$25</f>
        <v>8000</v>
      </c>
      <c r="C27" s="269">
        <f t="shared" si="1"/>
        <v>12000</v>
      </c>
      <c r="D27" s="269">
        <f t="shared" si="1"/>
        <v>16000</v>
      </c>
      <c r="E27" s="269">
        <f t="shared" si="1"/>
        <v>24000</v>
      </c>
      <c r="F27" s="273">
        <f t="shared" ref="F27:F29" si="2">A27*60</f>
        <v>12000</v>
      </c>
      <c r="G27" s="274">
        <f t="shared" ref="G27:G29" si="3">F27*$G$23</f>
        <v>358.13775059254186</v>
      </c>
      <c r="I27" s="49">
        <v>5</v>
      </c>
      <c r="J27" s="50" t="str">
        <f>Summary!C26</f>
        <v>H</v>
      </c>
      <c r="K27" s="50" t="str">
        <f>Summary!D26</f>
        <v>D</v>
      </c>
      <c r="L27" s="50" t="str">
        <f>Summary!E26</f>
        <v>D</v>
      </c>
      <c r="M27" s="50" t="str">
        <f>Summary!F26</f>
        <v>D</v>
      </c>
      <c r="N27" s="50" t="str">
        <f>Summary!G26</f>
        <v>D</v>
      </c>
      <c r="O27" s="50" t="str">
        <f>Summary!H26</f>
        <v>D</v>
      </c>
      <c r="P27" s="50" t="str">
        <f>Summary!I26</f>
        <v>D</v>
      </c>
      <c r="Q27" s="50" t="str">
        <f>Summary!J26</f>
        <v>D</v>
      </c>
      <c r="R27" s="50" t="str">
        <f>Summary!K26</f>
        <v>D</v>
      </c>
      <c r="S27" s="50" t="str">
        <f>Summary!L26</f>
        <v>H</v>
      </c>
    </row>
    <row r="28" spans="1:19" x14ac:dyDescent="0.2">
      <c r="A28" s="49">
        <v>300</v>
      </c>
      <c r="B28" s="269">
        <f t="shared" si="1"/>
        <v>12000</v>
      </c>
      <c r="C28" s="269">
        <f t="shared" si="1"/>
        <v>18000</v>
      </c>
      <c r="D28" s="269">
        <f t="shared" si="1"/>
        <v>24000</v>
      </c>
      <c r="E28" s="269">
        <f t="shared" si="1"/>
        <v>36000</v>
      </c>
      <c r="F28" s="273">
        <f t="shared" si="2"/>
        <v>18000</v>
      </c>
      <c r="G28" s="274">
        <f t="shared" si="3"/>
        <v>537.20662588881282</v>
      </c>
      <c r="I28" s="49">
        <v>6</v>
      </c>
      <c r="J28" s="50" t="str">
        <f>Summary!C27</f>
        <v>H</v>
      </c>
      <c r="K28" s="50" t="str">
        <f>Summary!D27</f>
        <v>H</v>
      </c>
      <c r="L28" s="50" t="str">
        <f>Summary!E27</f>
        <v>P</v>
      </c>
      <c r="M28" s="50" t="str">
        <f>Summary!F27</f>
        <v>P</v>
      </c>
      <c r="N28" s="50" t="str">
        <f>Summary!G27</f>
        <v>P</v>
      </c>
      <c r="O28" s="50" t="str">
        <f>Summary!H27</f>
        <v>P</v>
      </c>
      <c r="P28" s="50" t="str">
        <f>Summary!I27</f>
        <v>H</v>
      </c>
      <c r="Q28" s="50" t="str">
        <f>Summary!J27</f>
        <v>H</v>
      </c>
      <c r="R28" s="50" t="str">
        <f>Summary!K27</f>
        <v>H</v>
      </c>
      <c r="S28" s="50" t="str">
        <f>Summary!L27</f>
        <v>H</v>
      </c>
    </row>
    <row r="29" spans="1:19" x14ac:dyDescent="0.2">
      <c r="A29" s="49">
        <v>500</v>
      </c>
      <c r="B29" s="269">
        <f t="shared" si="1"/>
        <v>20000</v>
      </c>
      <c r="C29" s="269">
        <f t="shared" si="1"/>
        <v>30000</v>
      </c>
      <c r="D29" s="269">
        <f t="shared" si="1"/>
        <v>40000</v>
      </c>
      <c r="E29" s="269">
        <f t="shared" si="1"/>
        <v>60000</v>
      </c>
      <c r="F29" s="273">
        <f t="shared" si="2"/>
        <v>30000</v>
      </c>
      <c r="G29" s="274">
        <f t="shared" si="3"/>
        <v>895.34437648135463</v>
      </c>
      <c r="I29" s="49">
        <v>7</v>
      </c>
      <c r="J29" s="50" t="str">
        <f>Summary!C28</f>
        <v>H</v>
      </c>
      <c r="K29" s="50" t="str">
        <f>Summary!D28</f>
        <v>P</v>
      </c>
      <c r="L29" s="50" t="str">
        <f>Summary!E28</f>
        <v>P</v>
      </c>
      <c r="M29" s="50" t="str">
        <f>Summary!F28</f>
        <v>P</v>
      </c>
      <c r="N29" s="50" t="str">
        <f>Summary!G28</f>
        <v>P</v>
      </c>
      <c r="O29" s="50" t="str">
        <f>Summary!H28</f>
        <v>P</v>
      </c>
      <c r="P29" s="50" t="str">
        <f>Summary!I28</f>
        <v>P</v>
      </c>
      <c r="Q29" s="50" t="str">
        <f>Summary!J28</f>
        <v>H</v>
      </c>
      <c r="R29" s="50" t="str">
        <f>Summary!K28</f>
        <v>H</v>
      </c>
      <c r="S29" s="50" t="str">
        <f>Summary!L28</f>
        <v>H</v>
      </c>
    </row>
    <row r="30" spans="1:19" x14ac:dyDescent="0.2">
      <c r="I30" s="49">
        <v>8</v>
      </c>
      <c r="J30" s="50" t="str">
        <f>Summary!C29</f>
        <v>P</v>
      </c>
      <c r="K30" s="50" t="str">
        <f>Summary!D29</f>
        <v>P</v>
      </c>
      <c r="L30" s="50" t="str">
        <f>Summary!E29</f>
        <v>P</v>
      </c>
      <c r="M30" s="50" t="str">
        <f>Summary!F29</f>
        <v>P</v>
      </c>
      <c r="N30" s="50" t="str">
        <f>Summary!G29</f>
        <v>P</v>
      </c>
      <c r="O30" s="50" t="str">
        <f>Summary!H29</f>
        <v>P</v>
      </c>
      <c r="P30" s="50" t="str">
        <f>Summary!I29</f>
        <v>P</v>
      </c>
      <c r="Q30" s="50" t="str">
        <f>Summary!J29</f>
        <v>P</v>
      </c>
      <c r="R30" s="50" t="str">
        <f>Summary!K29</f>
        <v>R</v>
      </c>
      <c r="S30" s="50" t="str">
        <f>Summary!L29</f>
        <v>R</v>
      </c>
    </row>
    <row r="31" spans="1:19" x14ac:dyDescent="0.2">
      <c r="I31" s="49">
        <v>9</v>
      </c>
      <c r="J31" s="50" t="str">
        <f>Summary!C30</f>
        <v>S</v>
      </c>
      <c r="K31" s="50" t="str">
        <f>Summary!D30</f>
        <v>P</v>
      </c>
      <c r="L31" s="50" t="str">
        <f>Summary!E30</f>
        <v>P</v>
      </c>
      <c r="M31" s="50" t="str">
        <f>Summary!F30</f>
        <v>P</v>
      </c>
      <c r="N31" s="50" t="str">
        <f>Summary!G30</f>
        <v>P</v>
      </c>
      <c r="O31" s="50" t="str">
        <f>Summary!H30</f>
        <v>P</v>
      </c>
      <c r="P31" s="50" t="str">
        <f>Summary!I30</f>
        <v>S</v>
      </c>
      <c r="Q31" s="50" t="str">
        <f>Summary!J30</f>
        <v>P</v>
      </c>
      <c r="R31" s="50" t="str">
        <f>Summary!K30</f>
        <v>P</v>
      </c>
      <c r="S31" s="50" t="str">
        <f>Summary!L30</f>
        <v>S</v>
      </c>
    </row>
    <row r="32" spans="1:19" x14ac:dyDescent="0.2">
      <c r="I32" s="49">
        <v>10</v>
      </c>
      <c r="J32" s="50" t="str">
        <f>Summary!C31</f>
        <v>S</v>
      </c>
      <c r="K32" s="50" t="str">
        <f>Summary!D31</f>
        <v>S</v>
      </c>
      <c r="L32" s="50" t="str">
        <f>Summary!E31</f>
        <v>S</v>
      </c>
      <c r="M32" s="50" t="str">
        <f>Summary!F31</f>
        <v>S</v>
      </c>
      <c r="N32" s="50" t="str">
        <f>Summary!G31</f>
        <v>S</v>
      </c>
      <c r="O32" s="50" t="str">
        <f>Summary!H31</f>
        <v>P</v>
      </c>
      <c r="P32" s="50" t="str">
        <f>Summary!I31</f>
        <v>S</v>
      </c>
      <c r="Q32" s="50" t="str">
        <f>Summary!J31</f>
        <v>S</v>
      </c>
      <c r="R32" s="50" t="str">
        <f>Summary!K31</f>
        <v>S</v>
      </c>
      <c r="S32" s="50" t="str">
        <f>Summary!L31</f>
        <v>S</v>
      </c>
    </row>
    <row r="33" spans="9:19" x14ac:dyDescent="0.2">
      <c r="I33" s="290" t="str">
        <f>Summary!B32</f>
        <v>EV = -0.00463632541025039</v>
      </c>
      <c r="J33" s="290"/>
      <c r="K33" s="290"/>
      <c r="L33" s="290"/>
      <c r="M33" s="290"/>
      <c r="N33" s="290"/>
      <c r="O33" s="290"/>
      <c r="P33" s="290"/>
      <c r="Q33" s="290"/>
      <c r="R33" s="290"/>
      <c r="S33" s="290"/>
    </row>
    <row r="34" spans="9:19" x14ac:dyDescent="0.2">
      <c r="I34" s="290" t="str">
        <f>Summary!B33</f>
        <v>EV = -0.463632541025039 %</v>
      </c>
      <c r="J34" s="290"/>
      <c r="K34" s="290"/>
      <c r="L34" s="290"/>
      <c r="M34" s="290"/>
      <c r="N34" s="290"/>
      <c r="O34" s="290"/>
      <c r="P34" s="290"/>
      <c r="Q34" s="290"/>
      <c r="R34" s="290"/>
      <c r="S34" s="290"/>
    </row>
    <row r="35" spans="9:19" x14ac:dyDescent="0.2">
      <c r="I35" s="291" t="s">
        <v>24</v>
      </c>
      <c r="J35" s="291"/>
      <c r="K35" s="291"/>
      <c r="L35" s="291"/>
      <c r="M35" s="291"/>
      <c r="N35" s="291"/>
      <c r="O35" s="291"/>
      <c r="P35" s="291"/>
      <c r="Q35" s="291"/>
      <c r="R35" s="291"/>
      <c r="S35" s="291"/>
    </row>
    <row r="36" spans="9:19" x14ac:dyDescent="0.2">
      <c r="I36" s="292" t="s">
        <v>25</v>
      </c>
      <c r="J36" s="292"/>
      <c r="K36" s="292"/>
      <c r="L36" s="292"/>
      <c r="M36" s="292"/>
      <c r="N36" s="292"/>
      <c r="O36" s="292"/>
      <c r="P36" s="292"/>
      <c r="Q36" s="292"/>
      <c r="R36" s="292"/>
      <c r="S36" s="292"/>
    </row>
    <row r="37" spans="9:19" x14ac:dyDescent="0.2">
      <c r="I37" s="284" t="s">
        <v>26</v>
      </c>
      <c r="J37" s="284"/>
      <c r="K37" s="284"/>
      <c r="L37" s="284"/>
      <c r="M37" s="284"/>
      <c r="N37" s="284"/>
      <c r="O37" s="284"/>
      <c r="P37" s="284"/>
      <c r="Q37" s="284"/>
      <c r="R37" s="284"/>
      <c r="S37" s="284"/>
    </row>
    <row r="38" spans="9:19" x14ac:dyDescent="0.2">
      <c r="I38" s="285" t="s">
        <v>27</v>
      </c>
      <c r="J38" s="285"/>
      <c r="K38" s="285"/>
      <c r="L38" s="285"/>
      <c r="M38" s="285"/>
      <c r="N38" s="285"/>
      <c r="O38" s="285"/>
      <c r="P38" s="285"/>
      <c r="Q38" s="285"/>
      <c r="R38" s="285"/>
      <c r="S38" s="285"/>
    </row>
    <row r="39" spans="9:19" x14ac:dyDescent="0.2">
      <c r="I39" s="283" t="s">
        <v>28</v>
      </c>
      <c r="J39" s="283"/>
      <c r="K39" s="283"/>
      <c r="L39" s="283"/>
      <c r="M39" s="283"/>
      <c r="N39" s="283"/>
      <c r="O39" s="283"/>
      <c r="P39" s="283"/>
      <c r="Q39" s="283"/>
      <c r="R39" s="283"/>
      <c r="S39" s="283"/>
    </row>
    <row r="40" spans="9:19" x14ac:dyDescent="0.2"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</sheetData>
  <sheetProtection sheet="1" objects="1" scenarios="1"/>
  <mergeCells count="12">
    <mergeCell ref="A1:S1"/>
    <mergeCell ref="I39:S39"/>
    <mergeCell ref="I37:S37"/>
    <mergeCell ref="I38:S38"/>
    <mergeCell ref="A2:F2"/>
    <mergeCell ref="I2:S2"/>
    <mergeCell ref="I33:S33"/>
    <mergeCell ref="I35:S35"/>
    <mergeCell ref="I36:S36"/>
    <mergeCell ref="C19:D19"/>
    <mergeCell ref="E19:F19"/>
    <mergeCell ref="I34:S34"/>
  </mergeCells>
  <phoneticPr fontId="14" type="noConversion"/>
  <conditionalFormatting sqref="J23:S32 J4:S13 J15:S21">
    <cfRule type="containsText" dxfId="859" priority="4" operator="containsText" text="S">
      <formula>NOT(ISERROR(SEARCH("S",J4)))</formula>
    </cfRule>
    <cfRule type="containsText" dxfId="858" priority="5" operator="containsText" text="H">
      <formula>NOT(ISERROR(SEARCH("H",J4)))</formula>
    </cfRule>
  </conditionalFormatting>
  <conditionalFormatting sqref="J23:S32 J4:S13 J15:S21">
    <cfRule type="containsText" dxfId="857" priority="3" operator="containsText" text="D">
      <formula>NOT(ISERROR(SEARCH("D",J4)))</formula>
    </cfRule>
  </conditionalFormatting>
  <conditionalFormatting sqref="J23:S32 J4:S13 J15:S21">
    <cfRule type="containsText" dxfId="856" priority="2" operator="containsText" text="R">
      <formula>NOT(ISERROR(SEARCH("R",J4)))</formula>
    </cfRule>
  </conditionalFormatting>
  <conditionalFormatting sqref="J23:S32 J4:S13 J15:S21">
    <cfRule type="containsText" dxfId="855" priority="1" operator="containsText" text="P">
      <formula>NOT(ISERROR(SEARCH("P",J4)))</formula>
    </cfRule>
  </conditionalFormatting>
  <dataValidations count="13">
    <dataValidation type="list" allowBlank="1" showInputMessage="1" showErrorMessage="1" sqref="B4" xr:uid="{00000000-0002-0000-0000-000000000000}">
      <formula1>$E$4:$F$4</formula1>
    </dataValidation>
    <dataValidation type="list" allowBlank="1" showInputMessage="1" showErrorMessage="1" sqref="B3" xr:uid="{00000000-0002-0000-0000-000001000000}">
      <formula1>$E$3:$G$3</formula1>
    </dataValidation>
    <dataValidation type="whole" allowBlank="1" showInputMessage="1" showErrorMessage="1" sqref="B5" xr:uid="{00000000-0002-0000-0000-000002000000}">
      <formula1>0</formula1>
      <formula2>100</formula2>
    </dataValidation>
    <dataValidation type="list" allowBlank="1" showInputMessage="1" showErrorMessage="1" sqref="B6" xr:uid="{00000000-0002-0000-0000-000003000000}">
      <formula1>$E$6:$F$6</formula1>
    </dataValidation>
    <dataValidation type="list" allowBlank="1" showInputMessage="1" showErrorMessage="1" sqref="B8:B9" xr:uid="{00000000-0002-0000-0000-000004000000}">
      <formula1>$E$8:$F$8</formula1>
    </dataValidation>
    <dataValidation type="list" allowBlank="1" showInputMessage="1" showErrorMessage="1" sqref="B7" xr:uid="{00000000-0002-0000-0000-000005000000}">
      <formula1>$E$7:$F$7</formula1>
    </dataValidation>
    <dataValidation type="list" allowBlank="1" showInputMessage="1" showErrorMessage="1" sqref="B10" xr:uid="{00000000-0002-0000-0000-000006000000}">
      <formula1>$E$10:$F$10</formula1>
    </dataValidation>
    <dataValidation type="whole" allowBlank="1" showInputMessage="1" showErrorMessage="1" sqref="B11 B17" xr:uid="{00000000-0002-0000-0000-000007000000}">
      <formula1>2</formula1>
      <formula2>5</formula2>
    </dataValidation>
    <dataValidation type="list" allowBlank="1" showInputMessage="1" showErrorMessage="1" sqref="B12" xr:uid="{00000000-0002-0000-0000-000008000000}">
      <formula1>$E$12:$F$12</formula1>
    </dataValidation>
    <dataValidation type="list" allowBlank="1" showInputMessage="1" showErrorMessage="1" sqref="B13" xr:uid="{00000000-0002-0000-0000-000009000000}">
      <formula1>$E$13:$F$13</formula1>
    </dataValidation>
    <dataValidation type="list" allowBlank="1" showInputMessage="1" showErrorMessage="1" sqref="B14" xr:uid="{00000000-0002-0000-0000-00000A000000}">
      <formula1>$E$14:$F$14</formula1>
    </dataValidation>
    <dataValidation type="list" allowBlank="1" showInputMessage="1" showErrorMessage="1" sqref="B16" xr:uid="{00000000-0002-0000-0000-00000B000000}">
      <formula1>$E$16:$G$16</formula1>
    </dataValidation>
    <dataValidation type="list" allowBlank="1" showInputMessage="1" showErrorMessage="1" sqref="B15" xr:uid="{00000000-0002-0000-0000-00000C000000}">
      <formula1>$E$15:$G$15</formula1>
    </dataValidation>
  </dataValidations>
  <pageMargins left="0.7" right="0.7" top="0.75" bottom="0.75" header="0.3" footer="0.3"/>
  <pageSetup paperSize="9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63"/>
  <sheetViews>
    <sheetView workbookViewId="0">
      <selection activeCell="K9" sqref="K9"/>
    </sheetView>
  </sheetViews>
  <sheetFormatPr baseColWidth="10" defaultColWidth="8.83203125" defaultRowHeight="16" x14ac:dyDescent="0.2"/>
  <cols>
    <col min="14" max="24" width="3.5" customWidth="1"/>
  </cols>
  <sheetData>
    <row r="1" spans="1:24" ht="17" thickBot="1" x14ac:dyDescent="0.25">
      <c r="A1" s="293" t="s">
        <v>79</v>
      </c>
      <c r="B1" s="298"/>
      <c r="C1" s="298"/>
      <c r="D1" s="298"/>
      <c r="E1" s="298"/>
      <c r="F1" s="298"/>
      <c r="G1" s="298"/>
      <c r="H1" s="298"/>
      <c r="I1" s="298"/>
      <c r="J1" s="298"/>
      <c r="K1" s="294"/>
      <c r="N1" t="s">
        <v>7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</row>
    <row r="2" spans="1:24" ht="17" thickBot="1" x14ac:dyDescent="0.25">
      <c r="A2" s="120" t="s">
        <v>7</v>
      </c>
      <c r="B2" s="138">
        <v>1</v>
      </c>
      <c r="C2" s="139">
        <v>2</v>
      </c>
      <c r="D2" s="139">
        <v>3</v>
      </c>
      <c r="E2" s="139">
        <v>4</v>
      </c>
      <c r="F2" s="139">
        <v>5</v>
      </c>
      <c r="G2" s="139">
        <v>6</v>
      </c>
      <c r="H2" s="139">
        <v>7</v>
      </c>
      <c r="I2" s="139">
        <v>8</v>
      </c>
      <c r="J2" s="139">
        <v>9</v>
      </c>
      <c r="K2" s="124">
        <v>10</v>
      </c>
      <c r="N2">
        <v>1</v>
      </c>
      <c r="O2" s="31" t="str">
        <f>IF(B54=IF(Rules!$B$17=2,B42,IF(Rules!$B$17=3,B29,IF(Rules!$B$17=4,B16,B3))),"P",HSDR!O34)</f>
        <v>P</v>
      </c>
      <c r="P2" s="31" t="str">
        <f>IF(C54=IF(Rules!$B$17=2,C42,IF(Rules!$B$17=3,C29,IF(Rules!$B$17=4,C16,C3))),"P",HSDR!P34)</f>
        <v>P</v>
      </c>
      <c r="Q2" s="31" t="str">
        <f>IF(D54=IF(Rules!$B$17=2,D42,IF(Rules!$B$17=3,D29,IF(Rules!$B$17=4,D16,D3))),"P",HSDR!Q34)</f>
        <v>P</v>
      </c>
      <c r="R2" s="31" t="str">
        <f>IF(E54=IF(Rules!$B$17=2,E42,IF(Rules!$B$17=3,E29,IF(Rules!$B$17=4,E16,E3))),"P",HSDR!R34)</f>
        <v>P</v>
      </c>
      <c r="S2" s="31" t="str">
        <f>IF(F54=IF(Rules!$B$17=2,F42,IF(Rules!$B$17=3,F29,IF(Rules!$B$17=4,F16,F3))),"P",HSDR!S34)</f>
        <v>P</v>
      </c>
      <c r="T2" s="31" t="str">
        <f>IF(G54=IF(Rules!$B$17=2,G42,IF(Rules!$B$17=3,G29,IF(Rules!$B$17=4,G16,G3))),"P",HSDR!T34)</f>
        <v>P</v>
      </c>
      <c r="U2" s="31" t="str">
        <f>IF(H54=IF(Rules!$B$17=2,H42,IF(Rules!$B$17=3,H29,IF(Rules!$B$17=4,H16,H3))),"P",HSDR!U34)</f>
        <v>P</v>
      </c>
      <c r="V2" s="31" t="str">
        <f>IF(I54=IF(Rules!$B$17=2,I42,IF(Rules!$B$17=3,I29,IF(Rules!$B$17=4,I16,I3))),"P",HSDR!V34)</f>
        <v>P</v>
      </c>
      <c r="W2" s="31" t="str">
        <f>IF(J54=IF(Rules!$B$17=2,J42,IF(Rules!$B$17=3,J29,IF(Rules!$B$17=4,J16,J3))),"P",HSDR!W34)</f>
        <v>P</v>
      </c>
      <c r="X2" s="31" t="str">
        <f>IF(K54=IF(Rules!$B$17=2,K42,IF(Rules!$B$17=3,K29,IF(Rules!$B$17=4,K16,K3))),"P",HSDR!X34)</f>
        <v>P</v>
      </c>
    </row>
    <row r="3" spans="1:24" x14ac:dyDescent="0.2">
      <c r="A3" s="118">
        <v>1</v>
      </c>
      <c r="B3" s="129">
        <f>2*(IF(Rules!$B$12=Rules!$F$12,SUM(Stand!B36:B43)+Rules!$B$5*Stand!B44+B16,SUM(HSD!B36:B43)+Rules!$B$5*HSD!B44+B16)/(9+Rules!$B$5))</f>
        <v>0.24964002360108775</v>
      </c>
      <c r="C3" s="130">
        <f>2*(IF(Rules!$B$12=Rules!$F$12,SUM(Stand!C36:C43)+Rules!$B$5*Stand!C44+C16,SUM(HSD!C36:C43)+Rules!$B$5*HSD!C44+C16)/(9+Rules!$B$5))</f>
        <v>0.60893997246027043</v>
      </c>
      <c r="D3" s="130">
        <f>2*(IF(Rules!$B$12=Rules!$F$12,SUM(Stand!D36:D43)+Rules!$B$5*Stand!D44+D16,SUM(HSD!D36:D43)+Rules!$B$5*HSD!D44+D16)/(9+Rules!$B$5))</f>
        <v>0.65729370645788177</v>
      </c>
      <c r="E3" s="130">
        <f>2*(IF(Rules!$B$12=Rules!$F$12,SUM(Stand!E36:E43)+Rules!$B$5*Stand!E44+E16,SUM(HSD!E36:E43)+Rules!$B$5*HSD!E44+E16)/(9+Rules!$B$5))</f>
        <v>0.7068176357371978</v>
      </c>
      <c r="F3" s="130">
        <f>2*(IF(Rules!$B$12=Rules!$F$12,SUM(Stand!F36:F43)+Rules!$B$5*Stand!F44+F16,SUM(HSD!F36:F43)+Rules!$B$5*HSD!F44+F16)/(9+Rules!$B$5))</f>
        <v>0.75634348224235182</v>
      </c>
      <c r="G3" s="130">
        <f>2*(IF(Rules!$B$12=Rules!$F$12,SUM(Stand!G36:G43)+Rules!$B$5*Stand!G44+G16,SUM(HSD!G36:G43)+Rules!$B$5*HSD!G44+G16)/(9+Rules!$B$5))</f>
        <v>0.81612360245129012</v>
      </c>
      <c r="H3" s="130">
        <f>2*(IF(Rules!$B$12=Rules!$F$12,SUM(Stand!H36:H43)+Rules!$B$5*Stand!H44+H16,SUM(HSD!H36:H43)+Rules!$B$5*HSD!H44+H16)/(9+Rules!$B$5))</f>
        <v>0.63286124044017034</v>
      </c>
      <c r="I3" s="130">
        <f>2*(IF(Rules!$B$12=Rules!$F$12,SUM(Stand!I36:I43)+Rules!$B$5*Stand!I44+I16,SUM(HSD!I36:I43)+Rules!$B$5*HSD!I44+I16)/(9+Rules!$B$5))</f>
        <v>0.5067060739538094</v>
      </c>
      <c r="J3" s="130">
        <f>2*(IF(Rules!$B$12=Rules!$F$12,SUM(Stand!J36:J43)+Rules!$B$5*Stand!J44+J16,SUM(HSD!J36:J43)+Rules!$B$5*HSD!J44+J16)/(9+Rules!$B$5))</f>
        <v>0.36744267463395625</v>
      </c>
      <c r="K3" s="58">
        <f>2*(IF(Rules!$B$12=Rules!$F$12,SUM(Stand!K36:K43)+Rules!$B$5*Stand!K44+K16,SUM(HSD!K36:K43)+Rules!$B$5*HSD!K44+K16)/(9+Rules!$B$5))</f>
        <v>0.31014270394261662</v>
      </c>
      <c r="N3">
        <v>2</v>
      </c>
      <c r="O3" s="31" t="str">
        <f>IF(B55=IF(Rules!$B$11=2,B43,IF(Rules!$B$11=3,B30,IF(Rules!$B$11=4,B17,B4))),"P",HSDR!O4)</f>
        <v>H</v>
      </c>
      <c r="P3" s="31" t="str">
        <f>IF(C55=IF(Rules!$B$11=2,C43,IF(Rules!$B$11=3,C30,IF(Rules!$B$11=4,C17,C4))),"P",HSDR!P4)</f>
        <v>P</v>
      </c>
      <c r="Q3" s="31" t="str">
        <f>IF(D55=IF(Rules!$B$11=2,D43,IF(Rules!$B$11=3,D30,IF(Rules!$B$11=4,D17,D4))),"P",HSDR!Q4)</f>
        <v>P</v>
      </c>
      <c r="R3" s="31" t="str">
        <f>IF(E55=IF(Rules!$B$11=2,E43,IF(Rules!$B$11=3,E30,IF(Rules!$B$11=4,E17,E4))),"P",HSDR!R4)</f>
        <v>P</v>
      </c>
      <c r="S3" s="31" t="str">
        <f>IF(F55=IF(Rules!$B$11=2,F43,IF(Rules!$B$11=3,F30,IF(Rules!$B$11=4,F17,F4))),"P",HSDR!S4)</f>
        <v>P</v>
      </c>
      <c r="T3" s="31" t="str">
        <f>IF(G55=IF(Rules!$B$11=2,G43,IF(Rules!$B$11=3,G30,IF(Rules!$B$11=4,G17,G4))),"P",HSDR!T4)</f>
        <v>P</v>
      </c>
      <c r="U3" s="31" t="str">
        <f>IF(H55=IF(Rules!$B$11=2,H43,IF(Rules!$B$11=3,H30,IF(Rules!$B$11=4,H17,H4))),"P",HSDR!U4)</f>
        <v>P</v>
      </c>
      <c r="V3" s="31" t="str">
        <f>IF(I55=IF(Rules!$B$11=2,I43,IF(Rules!$B$11=3,I30,IF(Rules!$B$11=4,I17,I4))),"P",HSDR!V4)</f>
        <v>H</v>
      </c>
      <c r="W3" s="31" t="str">
        <f>IF(J55=IF(Rules!$B$11=2,J43,IF(Rules!$B$11=3,J30,IF(Rules!$B$11=4,J17,J4))),"P",HSDR!W4)</f>
        <v>H</v>
      </c>
      <c r="X3" s="31" t="str">
        <f>IF(K55=IF(Rules!$B$11=2,K43,IF(Rules!$B$11=3,K30,IF(Rules!$B$11=4,K17,K4))),"P",HSDR!X4)</f>
        <v>H</v>
      </c>
    </row>
    <row r="4" spans="1:24" x14ac:dyDescent="0.2">
      <c r="A4" s="118">
        <v>2</v>
      </c>
      <c r="B4" s="112">
        <f>2*(IF(Rules!$B$9=Rules!$E$9,SUM(HSD!B5:B11)+Rules!$B$5*HSD!B12+HSD!B36+B17,SUM(HS!B5:B11)+Rules!$B$5*HS!B12+HS!B36+B17)/(9+Rules!$B$5))</f>
        <v>-0.43453844868912295</v>
      </c>
      <c r="C4" s="1">
        <f>2*(IF(Rules!$B$9=Rules!$E$9,SUM(HSD!C5:C11)+Rules!$B$5*HSD!C12+HSD!C36+C17,SUM(HS!C5:C11)+Rules!$B$5*HS!C12+HS!C36+C17)/(9+Rules!$B$5))</f>
        <v>-8.4172455956159187E-2</v>
      </c>
      <c r="D4" s="1">
        <f>2*(IF(Rules!$B$9=Rules!$E$9,SUM(HSD!D5:D11)+Rules!$B$5*HSD!D12+HSD!D36+D17,SUM(HS!D5:D11)+Rules!$B$5*HS!D12+HS!D36+D17)/(9+Rules!$B$5))</f>
        <v>-1.5290741694285886E-2</v>
      </c>
      <c r="E4" s="1">
        <f>2*(IF(Rules!$B$9=Rules!$E$9,SUM(HSD!E5:E11)+Rules!$B$5*HSD!E12+HSD!E36+E17,SUM(HS!E5:E11)+Rules!$B$5*HS!E12+HS!E36+E17)/(9+Rules!$B$5))</f>
        <v>5.9669884812702897E-2</v>
      </c>
      <c r="F4" s="1">
        <f>2*(IF(Rules!$B$9=Rules!$E$9,SUM(HSD!F5:F11)+Rules!$B$5*HSD!F12+HSD!F36+F17,SUM(HS!F5:F11)+Rules!$B$5*HS!F12+HS!F36+F17)/(9+Rules!$B$5))</f>
        <v>0.15254460734826114</v>
      </c>
      <c r="G4" s="1">
        <f>2*(IF(Rules!$B$9=Rules!$E$9,SUM(HSD!G5:G11)+Rules!$B$5*HSD!G12+HSD!G36+G17,SUM(HS!G5:G11)+Rules!$B$5*HS!G12+HS!G36+G17)/(9+Rules!$B$5))</f>
        <v>0.22804759042439768</v>
      </c>
      <c r="H4" s="1">
        <f>2*(IF(Rules!$B$9=Rules!$E$9,SUM(HSD!H5:H11)+Rules!$B$5*HSD!H12+HSD!H36+H17,SUM(HS!H5:H11)+Rules!$B$5*HS!H12+HS!H36+H17)/(9+Rules!$B$5))</f>
        <v>7.2525602925352451E-3</v>
      </c>
      <c r="I4" s="1">
        <f>2*(IF(Rules!$B$9=Rules!$E$9,SUM(HSD!I5:I11)+Rules!$B$5*HSD!I12+HSD!I36+I17,SUM(HS!I5:I11)+Rules!$B$5*HS!I12+HS!I36+I17)/(9+Rules!$B$5))</f>
        <v>-0.17678582788913758</v>
      </c>
      <c r="J4" s="1">
        <f>2*(IF(Rules!$B$9=Rules!$E$9,SUM(HSD!J5:J11)+Rules!$B$5*HSD!J12+HSD!J36+J17,SUM(HS!J5:J11)+Rules!$B$5*HS!J12+HS!J36+J17)/(9+Rules!$B$5))</f>
        <v>-0.38766698488340534</v>
      </c>
      <c r="K4" s="9">
        <f>2*(IF(Rules!$B$9=Rules!$E$9,SUM(HSD!K5:K11)+Rules!$B$5*HSD!K12+HSD!K36+K17,SUM(HS!K5:K11)+Rules!$B$5*HS!K12+HS!K36+K17)/(9+Rules!$B$5))</f>
        <v>-0.50834444067073903</v>
      </c>
      <c r="N4">
        <v>3</v>
      </c>
      <c r="O4" s="31" t="str">
        <f>IF(B56=IF(Rules!$B$11=2,B44,IF(Rules!$B$11=3,B31,IF(Rules!$B$11=4,B18,B5))),"P",HSDR!O6)</f>
        <v>H</v>
      </c>
      <c r="P4" s="31" t="str">
        <f>IF(C56=IF(Rules!$B$11=2,C44,IF(Rules!$B$11=3,C31,IF(Rules!$B$11=4,C18,C5))),"P",HSDR!P6)</f>
        <v>P</v>
      </c>
      <c r="Q4" s="31" t="str">
        <f>IF(D56=IF(Rules!$B$11=2,D44,IF(Rules!$B$11=3,D31,IF(Rules!$B$11=4,D18,D5))),"P",HSDR!Q6)</f>
        <v>P</v>
      </c>
      <c r="R4" s="31" t="str">
        <f>IF(E56=IF(Rules!$B$11=2,E44,IF(Rules!$B$11=3,E31,IF(Rules!$B$11=4,E18,E5))),"P",HSDR!R6)</f>
        <v>P</v>
      </c>
      <c r="S4" s="31" t="str">
        <f>IF(F56=IF(Rules!$B$11=2,F44,IF(Rules!$B$11=3,F31,IF(Rules!$B$11=4,F18,F5))),"P",HSDR!S6)</f>
        <v>P</v>
      </c>
      <c r="T4" s="31" t="str">
        <f>IF(G56=IF(Rules!$B$11=2,G44,IF(Rules!$B$11=3,G31,IF(Rules!$B$11=4,G18,G5))),"P",HSDR!T6)</f>
        <v>P</v>
      </c>
      <c r="U4" s="31" t="str">
        <f>IF(H56=IF(Rules!$B$11=2,H44,IF(Rules!$B$11=3,H31,IF(Rules!$B$11=4,H18,H5))),"P",HSDR!U6)</f>
        <v>P</v>
      </c>
      <c r="V4" s="31" t="str">
        <f>IF(I56=IF(Rules!$B$11=2,I44,IF(Rules!$B$11=3,I31,IF(Rules!$B$11=4,I18,I5))),"P",HSDR!V6)</f>
        <v>H</v>
      </c>
      <c r="W4" s="31" t="str">
        <f>IF(J56=IF(Rules!$B$11=2,J44,IF(Rules!$B$11=3,J31,IF(Rules!$B$11=4,J18,J5))),"P",HSDR!W6)</f>
        <v>H</v>
      </c>
      <c r="X4" s="31" t="str">
        <f>IF(K56=IF(Rules!$B$11=2,K44,IF(Rules!$B$11=3,K31,IF(Rules!$B$11=4,K18,K5))),"P",HSDR!X6)</f>
        <v>H</v>
      </c>
    </row>
    <row r="5" spans="1:24" x14ac:dyDescent="0.2">
      <c r="A5" s="118">
        <v>3</v>
      </c>
      <c r="B5" s="112">
        <f>2*(IF(Rules!$B$9=Rules!$E$9,SUM(HSD!B6:B12)+Rules!$B$5*HSD!B13+HSD!B37+B18,SUM(HS!B6:B12)+Rules!$B$5*HS!B13+HS!B37+B18)/(9+Rules!$B$5))</f>
        <v>-0.48799403658041574</v>
      </c>
      <c r="C5" s="1">
        <f>2*(IF(Rules!$B$9=Rules!$E$9,SUM(HSD!C6:C12)+Rules!$B$5*HSD!C13+HSD!C37+C18,SUM(HS!C6:C12)+Rules!$B$5*HS!C13+HS!C37+C18)/(9+Rules!$B$5))</f>
        <v>-0.13996566799551638</v>
      </c>
      <c r="D5" s="1">
        <f>2*(IF(Rules!$B$9=Rules!$E$9,SUM(HSD!D6:D12)+Rules!$B$5*HSD!D13+HSD!D37+D18,SUM(HS!D6:D12)+Rules!$B$5*HS!D13+HS!D37+D18)/(9+Rules!$B$5))</f>
        <v>-5.8170199231302212E-2</v>
      </c>
      <c r="E5" s="1">
        <f>2*(IF(Rules!$B$9=Rules!$E$9,SUM(HSD!E6:E12)+Rules!$B$5*HSD!E13+HSD!E37+E18,SUM(HS!E6:E12)+Rules!$B$5*HS!E13+HS!E37+E18)/(9+Rules!$B$5))</f>
        <v>2.8411638911331531E-2</v>
      </c>
      <c r="F5" s="1">
        <f>2*(IF(Rules!$B$9=Rules!$E$9,SUM(HSD!F6:F12)+Rules!$B$5*HSD!F13+HSD!F37+F18,SUM(HS!F6:F12)+Rules!$B$5*HS!F13+HS!F37+F18)/(9+Rules!$B$5))</f>
        <v>0.12516764322265045</v>
      </c>
      <c r="G5" s="1">
        <f>2*(IF(Rules!$B$9=Rules!$E$9,SUM(HSD!G6:G12)+Rules!$B$5*HSD!G13+HSD!G37+G18,SUM(HS!G6:G12)+Rules!$B$5*HS!G13+HS!G37+G18)/(9+Rules!$B$5))</f>
        <v>0.20032664693999136</v>
      </c>
      <c r="H5" s="1">
        <f>2*(IF(Rules!$B$9=Rules!$E$9,SUM(HSD!H6:H12)+Rules!$B$5*HSD!H13+HSD!H37+H18,SUM(HS!H6:H12)+Rules!$B$5*HS!H13+HS!H37+H18)/(9+Rules!$B$5))</f>
        <v>-5.8397045413019377E-2</v>
      </c>
      <c r="I5" s="1">
        <f>2*(IF(Rules!$B$9=Rules!$E$9,SUM(HSD!I6:I12)+Rules!$B$5*HSD!I13+HSD!I37+I18,SUM(HS!I6:I12)+Rules!$B$5*HS!I13+HS!I37+I18)/(9+Rules!$B$5))</f>
        <v>-0.23720132685451165</v>
      </c>
      <c r="J5" s="1">
        <f>2*(IF(Rules!$B$9=Rules!$E$9,SUM(HSD!J6:J12)+Rules!$B$5*HSD!J13+HSD!J37+J18,SUM(HS!J6:J12)+Rules!$B$5*HS!J13+HS!J37+J18)/(9+Rules!$B$5))</f>
        <v>-0.44209363396013424</v>
      </c>
      <c r="K5" s="9">
        <f>2*(IF(Rules!$B$9=Rules!$E$9,SUM(HSD!K6:K12)+Rules!$B$5*HSD!K13+HSD!K37+K18,SUM(HS!K6:K12)+Rules!$B$5*HS!K13+HS!K37+K18)/(9+Rules!$B$5))</f>
        <v>-0.55907351150222828</v>
      </c>
      <c r="N5">
        <v>4</v>
      </c>
      <c r="O5" s="31" t="str">
        <f>IF(B57=IF(Rules!$B$11=2,B45,IF(Rules!$B$11=3,B32,IF(Rules!$B$11=4,B19,B6))),"P",HSDR!O8)</f>
        <v>H</v>
      </c>
      <c r="P5" s="31" t="str">
        <f>IF(C57=IF(Rules!$B$11=2,C45,IF(Rules!$B$11=3,C32,IF(Rules!$B$11=4,C19,C6))),"P",HSDR!P8)</f>
        <v>H</v>
      </c>
      <c r="Q5" s="31" t="str">
        <f>IF(D57=IF(Rules!$B$11=2,D45,IF(Rules!$B$11=3,D32,IF(Rules!$B$11=4,D19,D6))),"P",HSDR!Q8)</f>
        <v>H</v>
      </c>
      <c r="R5" s="31" t="str">
        <f>IF(E57=IF(Rules!$B$11=2,E45,IF(Rules!$B$11=3,E32,IF(Rules!$B$11=4,E19,E6))),"P",HSDR!R8)</f>
        <v>H</v>
      </c>
      <c r="S5" s="31" t="str">
        <f>IF(F57=IF(Rules!$B$11=2,F45,IF(Rules!$B$11=3,F32,IF(Rules!$B$11=4,F19,F6))),"P",HSDR!S8)</f>
        <v>P</v>
      </c>
      <c r="T5" s="31" t="str">
        <f>IF(G57=IF(Rules!$B$11=2,G45,IF(Rules!$B$11=3,G32,IF(Rules!$B$11=4,G19,G6))),"P",HSDR!T8)</f>
        <v>P</v>
      </c>
      <c r="U5" s="31" t="str">
        <f>IF(H57=IF(Rules!$B$11=2,H45,IF(Rules!$B$11=3,H32,IF(Rules!$B$11=4,H19,H6))),"P",HSDR!U8)</f>
        <v>H</v>
      </c>
      <c r="V5" s="31" t="str">
        <f>IF(I57=IF(Rules!$B$11=2,I45,IF(Rules!$B$11=3,I32,IF(Rules!$B$11=4,I19,I6))),"P",HSDR!V8)</f>
        <v>H</v>
      </c>
      <c r="W5" s="31" t="str">
        <f>IF(J57=IF(Rules!$B$11=2,J45,IF(Rules!$B$11=3,J32,IF(Rules!$B$11=4,J19,J6))),"P",HSDR!W8)</f>
        <v>H</v>
      </c>
      <c r="X5" s="31" t="str">
        <f>IF(K57=IF(Rules!$B$11=2,K45,IF(Rules!$B$11=3,K32,IF(Rules!$B$11=4,K19,K6))),"P",HSDR!X8)</f>
        <v>H</v>
      </c>
    </row>
    <row r="6" spans="1:24" x14ac:dyDescent="0.2">
      <c r="A6" s="118">
        <v>4</v>
      </c>
      <c r="B6" s="112">
        <f>2*(IF(Rules!$B$9=Rules!$E$9,SUM(HSD!B7:B13)+Rules!$B$5*HSD!B14+HSD!B38+B19,SUM(HS!B7:B13)+Rules!$B$5*HS!B14+HS!B38+B19)/(9+Rules!$B$5))</f>
        <v>-0.54274885836502385</v>
      </c>
      <c r="C6" s="1">
        <f>2*(IF(Rules!$B$9=Rules!$E$9,SUM(HSD!C7:C13)+Rules!$B$5*HSD!C14+HSD!C38+C19,SUM(HS!C7:C13)+Rules!$B$5*HS!C14+HS!C38+C19)/(9+Rules!$B$5))</f>
        <v>-0.17168894494573531</v>
      </c>
      <c r="D6" s="1">
        <f>2*(IF(Rules!$B$9=Rules!$E$9,SUM(HSD!D7:D13)+Rules!$B$5*HSD!D14+HSD!D38+D19,SUM(HS!D7:D13)+Rules!$B$5*HS!D14+HS!D38+D19)/(9+Rules!$B$5))</f>
        <v>-8.84519553309117E-2</v>
      </c>
      <c r="E6" s="1">
        <f>2*(IF(Rules!$B$9=Rules!$E$9,SUM(HSD!E7:E13)+Rules!$B$5*HSD!E14+HSD!E38+E19,SUM(HS!E7:E13)+Rules!$B$5*HS!E14+HS!E38+E19)/(9+Rules!$B$5))</f>
        <v>-4.7712569515744507E-4</v>
      </c>
      <c r="F6" s="1">
        <f>2*(IF(Rules!$B$9=Rules!$E$9,SUM(HSD!F7:F13)+Rules!$B$5*HSD!F14+HSD!F38+F19,SUM(HS!F7:F13)+Rules!$B$5*HS!F14+HS!F38+F19)/(9+Rules!$B$5))</f>
        <v>0.10112468253500301</v>
      </c>
      <c r="G6" s="1">
        <f>2*(IF(Rules!$B$9=Rules!$E$9,SUM(HSD!G7:G13)+Rules!$B$5*HSD!G14+HSD!G38+G19,SUM(HS!G7:G13)+Rules!$B$5*HS!G14+HS!G38+G19)/(9+Rules!$B$5))</f>
        <v>0.17475377772250111</v>
      </c>
      <c r="H6" s="1">
        <f>2*(IF(Rules!$B$9=Rules!$E$9,SUM(HSD!H7:H13)+Rules!$B$5*HSD!H14+HSD!H38+H19,SUM(HS!H7:H13)+Rules!$B$5*HS!H14+HS!H38+H19)/(9+Rules!$B$5))</f>
        <v>-0.12536965959538635</v>
      </c>
      <c r="I6" s="1">
        <f>2*(IF(Rules!$B$9=Rules!$E$9,SUM(HSD!I7:I13)+Rules!$B$5*HSD!I14+HSD!I38+I19,SUM(HS!I7:I13)+Rules!$B$5*HS!I14+HS!I38+I19)/(9+Rules!$B$5))</f>
        <v>-0.29899229541150613</v>
      </c>
      <c r="J6" s="1">
        <f>2*(IF(Rules!$B$9=Rules!$E$9,SUM(HSD!J7:J13)+Rules!$B$5*HSD!J14+HSD!J38+J19,SUM(HS!J7:J13)+Rules!$B$5*HS!J14+HS!J38+J19)/(9+Rules!$B$5))</f>
        <v>-0.49782945096560954</v>
      </c>
      <c r="K6" s="9">
        <f>2*(IF(Rules!$B$9=Rules!$E$9,SUM(HSD!K7:K13)+Rules!$B$5*HSD!K14+HSD!K38+K19,SUM(HS!K7:K13)+Rules!$B$5*HS!K14+HS!K38+K19)/(9+Rules!$B$5))</f>
        <v>-0.61104989209868155</v>
      </c>
      <c r="N6">
        <v>5</v>
      </c>
      <c r="O6" s="31" t="str">
        <f>IF(B58=IF(Rules!$B$11=2,B46,IF(Rules!$B$11=3,B33,IF(Rules!$B$11=4,B20,B7))),"P",HSDR!O10)</f>
        <v>H</v>
      </c>
      <c r="P6" s="31" t="str">
        <f>IF(C58=IF(Rules!$B$11=2,C46,IF(Rules!$B$11=3,C33,IF(Rules!$B$11=4,C20,C7))),"P",HSDR!P10)</f>
        <v>D</v>
      </c>
      <c r="Q6" s="31" t="str">
        <f>IF(D58=IF(Rules!$B$11=2,D46,IF(Rules!$B$11=3,D33,IF(Rules!$B$11=4,D20,D7))),"P",HSDR!Q10)</f>
        <v>D</v>
      </c>
      <c r="R6" s="31" t="str">
        <f>IF(E58=IF(Rules!$B$11=2,E46,IF(Rules!$B$11=3,E33,IF(Rules!$B$11=4,E20,E7))),"P",HSDR!R10)</f>
        <v>D</v>
      </c>
      <c r="S6" s="31" t="str">
        <f>IF(F58=IF(Rules!$B$11=2,F46,IF(Rules!$B$11=3,F33,IF(Rules!$B$11=4,F20,F7))),"P",HSDR!S10)</f>
        <v>D</v>
      </c>
      <c r="T6" s="31" t="str">
        <f>IF(G58=IF(Rules!$B$11=2,G46,IF(Rules!$B$11=3,G33,IF(Rules!$B$11=4,G20,G7))),"P",HSDR!T10)</f>
        <v>D</v>
      </c>
      <c r="U6" s="31" t="str">
        <f>IF(H58=IF(Rules!$B$11=2,H46,IF(Rules!$B$11=3,H33,IF(Rules!$B$11=4,H20,H7))),"P",HSDR!U10)</f>
        <v>D</v>
      </c>
      <c r="V6" s="31" t="str">
        <f>IF(I58=IF(Rules!$B$11=2,I46,IF(Rules!$B$11=3,I33,IF(Rules!$B$11=4,I20,I7))),"P",HSDR!V10)</f>
        <v>D</v>
      </c>
      <c r="W6" s="31" t="str">
        <f>IF(J58=IF(Rules!$B$11=2,J46,IF(Rules!$B$11=3,J33,IF(Rules!$B$11=4,J20,J7))),"P",HSDR!W10)</f>
        <v>D</v>
      </c>
      <c r="X6" s="31" t="str">
        <f>IF(K58=IF(Rules!$B$11=2,K46,IF(Rules!$B$11=3,K33,IF(Rules!$B$11=4,K20,K7))),"P",HSDR!X10)</f>
        <v>H</v>
      </c>
    </row>
    <row r="7" spans="1:24" x14ac:dyDescent="0.2">
      <c r="A7" s="118">
        <v>5</v>
      </c>
      <c r="B7" s="112">
        <f>2*(IF(Rules!$B$9=Rules!$E$9,SUM(HSD!B8:B14)+Rules!$B$5*HSD!B15+HSD!B39+B20,SUM(HS!B8:B14)+Rules!$B$5*HS!B15+HS!B39+B20)/(9+Rules!$B$5))</f>
        <v>-0.60190880494399301</v>
      </c>
      <c r="C7" s="1">
        <f>2*(IF(Rules!$B$9=Rules!$E$9,SUM(HSD!C8:C14)+Rules!$B$5*HSD!C15+HSD!C39+C20,SUM(HS!C8:C14)+Rules!$B$5*HS!C15+HS!C39+C20)/(9+Rules!$B$5))</f>
        <v>-0.20883311753418418</v>
      </c>
      <c r="D7" s="1">
        <f>2*(IF(Rules!$B$9=Rules!$E$9,SUM(HSD!D8:D14)+Rules!$B$5*HSD!D15+HSD!D39+D20,SUM(HS!D8:D14)+Rules!$B$5*HS!D15+HS!D39+D20)/(9+Rules!$B$5))</f>
        <v>-0.12400898788480738</v>
      </c>
      <c r="E7" s="1">
        <f>2*(IF(Rules!$B$9=Rules!$E$9,SUM(HSD!E8:E14)+Rules!$B$5*HSD!E15+HSD!E39+E20,SUM(HS!E8:E14)+Rules!$B$5*HS!E15+HS!E39+E20)/(9+Rules!$B$5))</f>
        <v>-3.1152297195703841E-2</v>
      </c>
      <c r="F7" s="1">
        <f>2*(IF(Rules!$B$9=Rules!$E$9,SUM(HSD!F8:F14)+Rules!$B$5*HSD!F15+HSD!F39+F20,SUM(HS!F8:F14)+Rules!$B$5*HS!F15+HS!F39+F20)/(9+Rules!$B$5))</f>
        <v>7.2079858024270943E-2</v>
      </c>
      <c r="G7" s="1">
        <f>2*(IF(Rules!$B$9=Rules!$E$9,SUM(HSD!G8:G14)+Rules!$B$5*HSD!G15+HSD!G39+G20,SUM(HS!G8:G14)+Rules!$B$5*HS!G15+HS!G39+G20)/(9+Rules!$B$5))</f>
        <v>0.14154433967312882</v>
      </c>
      <c r="H7" s="1">
        <f>2*(IF(Rules!$B$9=Rules!$E$9,SUM(HSD!H8:H14)+Rules!$B$5*HSD!H15+HSD!H39+H20,SUM(HS!H8:H14)+Rules!$B$5*HS!H15+HS!H39+H20)/(9+Rules!$B$5))</f>
        <v>-0.21405736243220946</v>
      </c>
      <c r="I7" s="1">
        <f>2*(IF(Rules!$B$9=Rules!$E$9,SUM(HSD!I8:I14)+Rules!$B$5*HSD!I15+HSD!I39+I20,SUM(HS!I8:I14)+Rules!$B$5*HS!I15+HS!I39+I20)/(9+Rules!$B$5))</f>
        <v>-0.36813274409810048</v>
      </c>
      <c r="J7" s="1">
        <f>2*(IF(Rules!$B$9=Rules!$E$9,SUM(HSD!J8:J14)+Rules!$B$5*HSD!J15+HSD!J39+J20,SUM(HS!J8:J14)+Rules!$B$5*HS!J15+HS!J39+J20)/(9+Rules!$B$5))</f>
        <v>-0.56044675205198125</v>
      </c>
      <c r="K7" s="9">
        <f>2*(IF(Rules!$B$9=Rules!$E$9,SUM(HSD!K8:K14)+Rules!$B$5*HSD!K15+HSD!K39+K20,SUM(HS!K8:K14)+Rules!$B$5*HS!K15+HS!K39+K20)/(9+Rules!$B$5))</f>
        <v>-0.6716369304134806</v>
      </c>
      <c r="N7">
        <v>6</v>
      </c>
      <c r="O7" s="31" t="str">
        <f>IF(B59=IF(Rules!$B$11=2,B47,IF(Rules!$B$11=3,B34,IF(Rules!$B$11=4,B21,B8))),"P",HSDR!O12)</f>
        <v>H</v>
      </c>
      <c r="P7" s="31" t="str">
        <f>IF(C59=IF(Rules!$B$11=2,C47,IF(Rules!$B$11=3,C34,IF(Rules!$B$11=4,C21,C8))),"P",HSDR!P12)</f>
        <v>H</v>
      </c>
      <c r="Q7" s="31" t="str">
        <f>IF(D59=IF(Rules!$B$11=2,D47,IF(Rules!$B$11=3,D34,IF(Rules!$B$11=4,D21,D8))),"P",HSDR!Q12)</f>
        <v>P</v>
      </c>
      <c r="R7" s="31" t="str">
        <f>IF(E59=IF(Rules!$B$11=2,E47,IF(Rules!$B$11=3,E34,IF(Rules!$B$11=4,E21,E8))),"P",HSDR!R12)</f>
        <v>P</v>
      </c>
      <c r="S7" s="31" t="str">
        <f>IF(F59=IF(Rules!$B$11=2,F47,IF(Rules!$B$11=3,F34,IF(Rules!$B$11=4,F21,F8))),"P",HSDR!S12)</f>
        <v>P</v>
      </c>
      <c r="T7" s="31" t="str">
        <f>IF(G59=IF(Rules!$B$11=2,G47,IF(Rules!$B$11=3,G34,IF(Rules!$B$11=4,G21,G8))),"P",HSDR!T12)</f>
        <v>P</v>
      </c>
      <c r="U7" s="31" t="str">
        <f>IF(H59=IF(Rules!$B$11=2,H47,IF(Rules!$B$11=3,H34,IF(Rules!$B$11=4,H21,H8))),"P",HSDR!U12)</f>
        <v>H</v>
      </c>
      <c r="V7" s="31" t="str">
        <f>IF(I59=IF(Rules!$B$11=2,I47,IF(Rules!$B$11=3,I34,IF(Rules!$B$11=4,I21,I8))),"P",HSDR!V12)</f>
        <v>H</v>
      </c>
      <c r="W7" s="31" t="str">
        <f>IF(J59=IF(Rules!$B$11=2,J47,IF(Rules!$B$11=3,J34,IF(Rules!$B$11=4,J21,J8))),"P",HSDR!W12)</f>
        <v>H</v>
      </c>
      <c r="X7" s="31" t="str">
        <f>IF(K59=IF(Rules!$B$11=2,K47,IF(Rules!$B$11=3,K34,IF(Rules!$B$11=4,K21,K8))),"P",HSDR!X12)</f>
        <v>H</v>
      </c>
    </row>
    <row r="8" spans="1:24" x14ac:dyDescent="0.2">
      <c r="A8" s="118">
        <v>6</v>
      </c>
      <c r="B8" s="112">
        <f>2*(IF(Rules!$B$9=Rules!$E$9,SUM(HSD!B9:B15)+Rules!$B$5*HSD!B16+HSD!B40+B21,SUM(HS!B9:B15)+Rules!$B$5*HS!B16+HS!B40+B21)/(9+Rules!$B$5))</f>
        <v>-0.68279633507299153</v>
      </c>
      <c r="C8" s="1">
        <f>2*(IF(Rules!$B$9=Rules!$E$9,SUM(HSD!C9:C15)+Rules!$B$5*HSD!C16+HSD!C40+C21,SUM(HS!C9:C15)+Rules!$B$5*HS!C16+HS!C40+C21)/(9+Rules!$B$5))</f>
        <v>-0.25429527138946978</v>
      </c>
      <c r="D8" s="1">
        <f>2*(IF(Rules!$B$9=Rules!$E$9,SUM(HSD!D9:D15)+Rules!$B$5*HSD!D16+HSD!D40+D21,SUM(HS!D9:D15)+Rules!$B$5*HS!D16+HS!D40+D21)/(9+Rules!$B$5))</f>
        <v>-0.16288874590306299</v>
      </c>
      <c r="E8" s="1">
        <f>2*(IF(Rules!$B$9=Rules!$E$9,SUM(HSD!E9:E15)+Rules!$B$5*HSD!E16+HSD!E40+E21,SUM(HS!E9:E15)+Rules!$B$5*HS!E16+HS!E40+E21)/(9+Rules!$B$5))</f>
        <v>-6.5563800504274461E-2</v>
      </c>
      <c r="F8" s="1">
        <f>2*(IF(Rules!$B$9=Rules!$E$9,SUM(HSD!F9:F15)+Rules!$B$5*HSD!F16+HSD!F40+F21,SUM(HS!F9:F15)+Rules!$B$5*HS!F16+HS!F40+F21)/(9+Rules!$B$5))</f>
        <v>3.9128704122453284E-2</v>
      </c>
      <c r="G8" s="1">
        <f>2*(IF(Rules!$B$9=Rules!$E$9,SUM(HSD!G9:G15)+Rules!$B$5*HSD!G16+HSD!G40+G21,SUM(HS!G9:G15)+Rules!$B$5*HS!G16+HS!G40+G21)/(9+Rules!$B$5))</f>
        <v>0.10664778102882916</v>
      </c>
      <c r="H8" s="1">
        <f>2*(IF(Rules!$B$9=Rules!$E$9,SUM(HSD!H9:H15)+Rules!$B$5*HSD!H16+HSD!H40+H21,SUM(HS!H9:H15)+Rules!$B$5*HS!H16+HS!H40+H21)/(9+Rules!$B$5))</f>
        <v>-0.31815503757081631</v>
      </c>
      <c r="I8" s="1">
        <f>2*(IF(Rules!$B$9=Rules!$E$9,SUM(HSD!I9:I15)+Rules!$B$5*HSD!I16+HSD!I40+I21,SUM(HS!I9:I15)+Rules!$B$5*HS!I16+HS!I40+I21)/(9+Rules!$B$5))</f>
        <v>-0.46429218926764421</v>
      </c>
      <c r="J8" s="1">
        <f>2*(IF(Rules!$B$9=Rules!$E$9,SUM(HSD!J9:J15)+Rules!$B$5*HSD!J16+HSD!J40+J21,SUM(HS!J9:J15)+Rules!$B$5*HS!J16+HS!J40+J21)/(9+Rules!$B$5))</f>
        <v>-0.63554661198683648</v>
      </c>
      <c r="K8" s="9">
        <f>2*(IF(Rules!$B$9=Rules!$E$9,SUM(HSD!K9:K15)+Rules!$B$5*HSD!K16+HSD!K40+K21,SUM(HS!K9:K15)+Rules!$B$5*HS!K16+HS!K40+K21)/(9+Rules!$B$5))</f>
        <v>-0.74175331248723864</v>
      </c>
      <c r="N8">
        <v>7</v>
      </c>
      <c r="O8" s="31" t="str">
        <f>IF(B60=IF(Rules!$B$11=2,B48,IF(Rules!$B$11=3,B35,IF(Rules!$B$11=4,B22,B9))),"P",HSDR!O14)</f>
        <v>H</v>
      </c>
      <c r="P8" s="31" t="str">
        <f>IF(C60=IF(Rules!$B$11=2,C48,IF(Rules!$B$11=3,C35,IF(Rules!$B$11=4,C22,C9))),"P",HSDR!P14)</f>
        <v>P</v>
      </c>
      <c r="Q8" s="31" t="str">
        <f>IF(D60=IF(Rules!$B$11=2,D48,IF(Rules!$B$11=3,D35,IF(Rules!$B$11=4,D22,D9))),"P",HSDR!Q14)</f>
        <v>P</v>
      </c>
      <c r="R8" s="31" t="str">
        <f>IF(E60=IF(Rules!$B$11=2,E48,IF(Rules!$B$11=3,E35,IF(Rules!$B$11=4,E22,E9))),"P",HSDR!R14)</f>
        <v>P</v>
      </c>
      <c r="S8" s="31" t="str">
        <f>IF(F60=IF(Rules!$B$11=2,F48,IF(Rules!$B$11=3,F35,IF(Rules!$B$11=4,F22,F9))),"P",HSDR!S14)</f>
        <v>P</v>
      </c>
      <c r="T8" s="31" t="str">
        <f>IF(G60=IF(Rules!$B$11=2,G48,IF(Rules!$B$11=3,G35,IF(Rules!$B$11=4,G22,G9))),"P",HSDR!T14)</f>
        <v>P</v>
      </c>
      <c r="U8" s="31" t="str">
        <f>IF(H60=IF(Rules!$B$11=2,H48,IF(Rules!$B$11=3,H35,IF(Rules!$B$11=4,H22,H9))),"P",HSDR!U14)</f>
        <v>P</v>
      </c>
      <c r="V8" s="31" t="str">
        <f>IF(I60=IF(Rules!$B$11=2,I48,IF(Rules!$B$11=3,I35,IF(Rules!$B$11=4,I22,I9))),"P",HSDR!V14)</f>
        <v>H</v>
      </c>
      <c r="W8" s="31" t="str">
        <f>IF(J60=IF(Rules!$B$11=2,J48,IF(Rules!$B$11=3,J35,IF(Rules!$B$11=4,J22,J9))),"P",HSDR!W14)</f>
        <v>H</v>
      </c>
      <c r="X8" s="31" t="str">
        <f>IF(K60=IF(Rules!$B$11=2,K48,IF(Rules!$B$11=3,K35,IF(Rules!$B$11=4,K22,K9))),"P",HSDR!X14)</f>
        <v>H</v>
      </c>
    </row>
    <row r="9" spans="1:24" x14ac:dyDescent="0.2">
      <c r="A9" s="118">
        <v>7</v>
      </c>
      <c r="B9" s="112">
        <f>2*(IF(Rules!$B$9=Rules!$E$9,SUM(HSD!B10:B16)+Rules!$B$5*HSD!B17+HSD!B41+B22,SUM(HS!B10:B16)+Rules!$B$5*HS!B17+HS!B41+B22)/(9+Rules!$B$5))</f>
        <v>-0.72058758091375785</v>
      </c>
      <c r="C9" s="1">
        <f>2*(IF(Rules!$B$9=Rules!$E$9,SUM(HSD!C10:C16)+Rules!$B$5*HSD!C17+HSD!C41+C22,SUM(HS!C10:C16)+Rules!$B$5*HS!C17+HS!C41+C22)/(9+Rules!$B$5))</f>
        <v>-0.19713886392161539</v>
      </c>
      <c r="D9" s="1">
        <f>2*(IF(Rules!$B$9=Rules!$E$9,SUM(HSD!D10:D16)+Rules!$B$5*HSD!D17+HSD!D41+D22,SUM(HS!D10:D16)+Rules!$B$5*HS!D17+HS!D41+D22)/(9+Rules!$B$5))</f>
        <v>-0.11019770934194308</v>
      </c>
      <c r="E9" s="1">
        <f>2*(IF(Rules!$B$9=Rules!$E$9,SUM(HSD!E10:E16)+Rules!$B$5*HSD!E17+HSD!E41+E22,SUM(HS!E10:E16)+Rules!$B$5*HS!E17+HS!E41+E22)/(9+Rules!$B$5))</f>
        <v>-2.0545479155361621E-2</v>
      </c>
      <c r="F9" s="1">
        <f>2*(IF(Rules!$B$9=Rules!$E$9,SUM(HSD!F10:F16)+Rules!$B$5*HSD!F17+HSD!F41+F22,SUM(HS!F10:F16)+Rules!$B$5*HS!F17+HS!F41+F22)/(9+Rules!$B$5))</f>
        <v>7.4042520610245952E-2</v>
      </c>
      <c r="G9" s="1">
        <f>2*(IF(Rules!$B$9=Rules!$E$9,SUM(HSD!G10:G16)+Rules!$B$5*HSD!G17+HSD!G41+G22,SUM(HS!G10:G16)+Rules!$B$5*HS!G17+HS!G41+G22)/(9+Rules!$B$5))</f>
        <v>0.16425624804113409</v>
      </c>
      <c r="H9" s="1">
        <f>2*(IF(Rules!$B$9=Rules!$E$9,SUM(HSD!H10:H16)+Rules!$B$5*HSD!H17+HSD!H41+H22,SUM(HS!H10:H16)+Rules!$B$5*HS!H17+HS!H41+H22)/(9+Rules!$B$5))</f>
        <v>-0.1380305845221533</v>
      </c>
      <c r="I9" s="1">
        <f>2*(IF(Rules!$B$9=Rules!$E$9,SUM(HSD!I10:I16)+Rules!$B$5*HSD!I17+HSD!I41+I22,SUM(HS!I10:I16)+Rules!$B$5*HS!I17+HS!I41+I22)/(9+Rules!$B$5))</f>
        <v>-0.47728565029446862</v>
      </c>
      <c r="J9" s="1">
        <f>2*(IF(Rules!$B$9=Rules!$E$9,SUM(HSD!J10:J16)+Rules!$B$5*HSD!J17+HSD!J41+J22,SUM(HS!J10:J16)+Rules!$B$5*HS!J17+HS!J41+J22)/(9+Rules!$B$5))</f>
        <v>-0.64698434387479586</v>
      </c>
      <c r="K9" s="9">
        <f>2*(IF(Rules!$B$9=Rules!$E$9,SUM(HSD!K10:K16)+Rules!$B$5*HSD!K17+HSD!K41+K22,SUM(HS!K10:K16)+Rules!$B$5*HS!K17+HS!K41+K22)/(9+Rules!$B$5))</f>
        <v>-0.71505816723170745</v>
      </c>
      <c r="N9">
        <v>8</v>
      </c>
      <c r="O9" s="31" t="str">
        <f>IF(B61=IF(Rules!$B$11=2,B49,IF(Rules!$B$11=3,B36,IF(Rules!$B$11=4,B23,B10))),"P",HSDR!O16)</f>
        <v>P</v>
      </c>
      <c r="P9" s="31" t="str">
        <f>IF(C61=IF(Rules!$B$11=2,C49,IF(Rules!$B$11=3,C36,IF(Rules!$B$11=4,C23,C10))),"P",HSDR!P16)</f>
        <v>P</v>
      </c>
      <c r="Q9" s="31" t="str">
        <f>IF(D61=IF(Rules!$B$11=2,D49,IF(Rules!$B$11=3,D36,IF(Rules!$B$11=4,D23,D10))),"P",HSDR!Q16)</f>
        <v>P</v>
      </c>
      <c r="R9" s="31" t="str">
        <f>IF(E61=IF(Rules!$B$11=2,E49,IF(Rules!$B$11=3,E36,IF(Rules!$B$11=4,E23,E10))),"P",HSDR!R16)</f>
        <v>P</v>
      </c>
      <c r="S9" s="31" t="str">
        <f>IF(F61=IF(Rules!$B$11=2,F49,IF(Rules!$B$11=3,F36,IF(Rules!$B$11=4,F23,F10))),"P",HSDR!S16)</f>
        <v>P</v>
      </c>
      <c r="T9" s="31" t="str">
        <f>IF(G61=IF(Rules!$B$11=2,G49,IF(Rules!$B$11=3,G36,IF(Rules!$B$11=4,G23,G10))),"P",HSDR!T16)</f>
        <v>P</v>
      </c>
      <c r="U9" s="31" t="str">
        <f>IF(H61=IF(Rules!$B$11=2,H49,IF(Rules!$B$11=3,H36,IF(Rules!$B$11=4,H23,H10))),"P",HSDR!U16)</f>
        <v>P</v>
      </c>
      <c r="V9" s="31" t="str">
        <f>IF(I61=IF(Rules!$B$11=2,I49,IF(Rules!$B$11=3,I36,IF(Rules!$B$11=4,I23,I10))),"P",HSDR!V16)</f>
        <v>P</v>
      </c>
      <c r="W9" s="31" t="str">
        <f>IF(J61=IF(Rules!$B$11=2,J49,IF(Rules!$B$11=3,J36,IF(Rules!$B$11=4,J23,J10))),"P",HSDR!W16)</f>
        <v>R</v>
      </c>
      <c r="X9" s="31" t="str">
        <f>IF(K61=IF(Rules!$B$11=2,K49,IF(Rules!$B$11=3,K36,IF(Rules!$B$11=4,K23,K10))),"P",HSDR!X16)</f>
        <v>R</v>
      </c>
    </row>
    <row r="10" spans="1:24" x14ac:dyDescent="0.2">
      <c r="A10" s="118">
        <v>8</v>
      </c>
      <c r="B10" s="112">
        <f>2*(IF(Rules!$B$9=Rules!$E$9,SUM(HSD!B11:B17)+Rules!$B$5*HSD!B18+HSD!B42+B23,SUM(HS!B11:B17)+Rules!$B$5*HS!B18+HS!B42+B23)/(9+Rules!$B$5))</f>
        <v>-0.48019868486214329</v>
      </c>
      <c r="C10" s="1">
        <f>2*(IF(Rules!$B$9=Rules!$E$9,SUM(HSD!C11:C17)+Rules!$B$5*HSD!C18+HSD!C42+C23,SUM(HS!C11:C17)+Rules!$B$5*HS!C18+HS!C42+C23)/(9+Rules!$B$5))</f>
        <v>-4.2245358384343665E-2</v>
      </c>
      <c r="D10" s="1">
        <f>2*(IF(Rules!$B$9=Rules!$E$9,SUM(HSD!D11:D17)+Rules!$B$5*HSD!D18+HSD!D42+D23,SUM(HS!D11:D17)+Rules!$B$5*HS!D18+HS!D42+D23)/(9+Rules!$B$5))</f>
        <v>2.8477183070484049E-2</v>
      </c>
      <c r="E10" s="1">
        <f>2*(IF(Rules!$B$9=Rules!$E$9,SUM(HSD!E11:E17)+Rules!$B$5*HSD!E18+HSD!E42+E23,SUM(HS!E11:E17)+Rules!$B$5*HS!E18+HS!E42+E23)/(9+Rules!$B$5))</f>
        <v>0.10142847770044075</v>
      </c>
      <c r="F10" s="1">
        <f>2*(IF(Rules!$B$9=Rules!$E$9,SUM(HSD!F11:F17)+Rules!$B$5*HSD!F18+HSD!F42+F23,SUM(HS!F11:F17)+Rules!$B$5*HS!F18+HS!F42+F23)/(9+Rules!$B$5))</f>
        <v>0.17683383344875153</v>
      </c>
      <c r="G10" s="1">
        <f>2*(IF(Rules!$B$9=Rules!$E$9,SUM(HSD!G11:G17)+Rules!$B$5*HSD!G18+HSD!G42+G23,SUM(HS!G11:G17)+Rules!$B$5*HS!G18+HS!G42+G23)/(9+Rules!$B$5))</f>
        <v>0.28023408243631798</v>
      </c>
      <c r="H10" s="1">
        <f>2*(IF(Rules!$B$9=Rules!$E$9,SUM(HSD!H11:H17)+Rules!$B$5*HSD!H18+HSD!H42+H23,SUM(HS!H11:H17)+Rules!$B$5*HS!H18+HS!H42+H23)/(9+Rules!$B$5))</f>
        <v>0.17876155984413827</v>
      </c>
      <c r="I10" s="1">
        <f>2*(IF(Rules!$B$9=Rules!$E$9,SUM(HSD!I11:I17)+Rules!$B$5*HSD!I18+HSD!I42+I23,SUM(HS!I11:I17)+Rules!$B$5*HS!I18+HS!I42+I23)/(9+Rules!$B$5))</f>
        <v>-0.15537421732701576</v>
      </c>
      <c r="J10" s="1">
        <f>2*(IF(Rules!$B$9=Rules!$E$9,SUM(HSD!J11:J17)+Rules!$B$5*HSD!J18+HSD!J42+J23,SUM(HS!J11:J17)+Rules!$B$5*HS!J18+HS!J42+J23)/(9+Rules!$B$5))</f>
        <v>-0.50498615672756886</v>
      </c>
      <c r="K10" s="9">
        <f>2*(IF(Rules!$B$9=Rules!$E$9,SUM(HSD!K11:K17)+Rules!$B$5*HSD!K18+HSD!K42+K23,SUM(HS!K11:K17)+Rules!$B$5*HS!K18+HS!K42+K23)/(9+Rules!$B$5))</f>
        <v>-0.58274609661942167</v>
      </c>
      <c r="N10">
        <v>9</v>
      </c>
      <c r="O10" s="31" t="str">
        <f>IF(B62=IF(Rules!$B$11=2,B50,IF(Rules!$B$11=3,B37,IF(Rules!$B$11=4,B24,B11))),"P",HSDR!O18)</f>
        <v>S</v>
      </c>
      <c r="P10" s="31" t="str">
        <f>IF(C62=IF(Rules!$B$11=2,C50,IF(Rules!$B$11=3,C37,IF(Rules!$B$11=4,C24,C11))),"P",HSDR!P18)</f>
        <v>P</v>
      </c>
      <c r="Q10" s="31" t="str">
        <f>IF(D62=IF(Rules!$B$11=2,D50,IF(Rules!$B$11=3,D37,IF(Rules!$B$11=4,D24,D11))),"P",HSDR!Q18)</f>
        <v>P</v>
      </c>
      <c r="R10" s="31" t="str">
        <f>IF(E62=IF(Rules!$B$11=2,E50,IF(Rules!$B$11=3,E37,IF(Rules!$B$11=4,E24,E11))),"P",HSDR!R18)</f>
        <v>P</v>
      </c>
      <c r="S10" s="31" t="str">
        <f>IF(F62=IF(Rules!$B$11=2,F50,IF(Rules!$B$11=3,F37,IF(Rules!$B$11=4,F24,F11))),"P",HSDR!S18)</f>
        <v>P</v>
      </c>
      <c r="T10" s="31" t="str">
        <f>IF(G62=IF(Rules!$B$11=2,G50,IF(Rules!$B$11=3,G37,IF(Rules!$B$11=4,G24,G11))),"P",HSDR!T18)</f>
        <v>P</v>
      </c>
      <c r="U10" s="31" t="str">
        <f>IF(H62=IF(Rules!$B$11=2,H50,IF(Rules!$B$11=3,H37,IF(Rules!$B$11=4,H24,H11))),"P",HSDR!U18)</f>
        <v>S</v>
      </c>
      <c r="V10" s="31" t="str">
        <f>IF(I62=IF(Rules!$B$11=2,I50,IF(Rules!$B$11=3,I37,IF(Rules!$B$11=4,I24,I11))),"P",HSDR!V18)</f>
        <v>P</v>
      </c>
      <c r="W10" s="31" t="str">
        <f>IF(J62=IF(Rules!$B$11=2,J50,IF(Rules!$B$11=3,J37,IF(Rules!$B$11=4,J24,J11))),"P",HSDR!W18)</f>
        <v>P</v>
      </c>
      <c r="X10" s="31" t="str">
        <f>IF(K62=IF(Rules!$B$11=2,K50,IF(Rules!$B$11=3,K37,IF(Rules!$B$11=4,K24,K11))),"P",HSDR!X18)</f>
        <v>S</v>
      </c>
    </row>
    <row r="11" spans="1:24" x14ac:dyDescent="0.2">
      <c r="A11" s="118">
        <v>9</v>
      </c>
      <c r="B11" s="112">
        <f>2*(IF(Rules!$B$9=Rules!$E$9,SUM(HSD!B12:B18)+Rules!$B$5*HSD!B19+HSD!B43+B24,SUM(HS!B12:B18)+Rules!$B$5*HS!B19+HS!B43+B24)/(9+Rules!$B$5))</f>
        <v>-0.18106406561604571</v>
      </c>
      <c r="C11" s="1">
        <f>2*(IF(Rules!$B$9=Rules!$E$9,SUM(HSD!C12:C18)+Rules!$B$5*HSD!C19+HSD!C43+C24,SUM(HS!C12:C18)+Rules!$B$5*HS!C19+HS!C43+C24)/(9+Rules!$B$5))</f>
        <v>0.13281621863254187</v>
      </c>
      <c r="D11" s="1">
        <f>2*(IF(Rules!$B$9=Rules!$E$9,SUM(HSD!D12:D18)+Rules!$B$5*HSD!D19+HSD!D43+D24,SUM(HS!D12:D18)+Rules!$B$5*HS!D19+HS!D43+D24)/(9+Rules!$B$5))</f>
        <v>0.19220356476145886</v>
      </c>
      <c r="E11" s="1">
        <f>2*(IF(Rules!$B$9=Rules!$E$9,SUM(HSD!E12:E18)+Rules!$B$5*HSD!E19+HSD!E43+E24,SUM(HS!E12:E18)+Rules!$B$5*HS!E19+HS!E43+E24)/(9+Rules!$B$5))</f>
        <v>0.25358080861134896</v>
      </c>
      <c r="F11" s="1">
        <f>2*(IF(Rules!$B$9=Rules!$E$9,SUM(HSD!F12:F18)+Rules!$B$5*HSD!F19+HSD!F43+F24,SUM(HS!F12:F18)+Rules!$B$5*HS!F19+HS!F43+F24)/(9+Rules!$B$5))</f>
        <v>0.31781452242969582</v>
      </c>
      <c r="G11" s="1">
        <f>2*(IF(Rules!$B$9=Rules!$E$9,SUM(HSD!G12:G18)+Rules!$B$5*HSD!G19+HSD!G43+G24,SUM(HS!G12:G18)+Rules!$B$5*HS!G19+HS!G43+G24)/(9+Rules!$B$5))</f>
        <v>0.40279464374223511</v>
      </c>
      <c r="H11" s="1">
        <f>2*(IF(Rules!$B$9=Rules!$E$9,SUM(HSD!H12:H18)+Rules!$B$5*HSD!H19+HSD!H43+H24,SUM(HS!H12:H18)+Rules!$B$5*HS!H19+HS!H43+H24)/(9+Rules!$B$5))</f>
        <v>0.35317698432053596</v>
      </c>
      <c r="I11" s="1">
        <f>2*(IF(Rules!$B$9=Rules!$E$9,SUM(HSD!I12:I18)+Rules!$B$5*HSD!I19+HSD!I43+I24,SUM(HS!I12:I18)+Rules!$B$5*HS!I19+HS!I43+I24)/(9+Rules!$B$5))</f>
        <v>0.19080029192214351</v>
      </c>
      <c r="J11" s="1">
        <f>2*(IF(Rules!$B$9=Rules!$E$9,SUM(HSD!J12:J18)+Rules!$B$5*HSD!J19+HSD!J43+J24,SUM(HS!J12:J18)+Rules!$B$5*HS!J19+HS!J43+J24)/(9+Rules!$B$5))</f>
        <v>-0.15189115147007362</v>
      </c>
      <c r="K11" s="9">
        <f>2*(IF(Rules!$B$9=Rules!$E$9,SUM(HSD!K12:K18)+Rules!$B$5*HSD!K19+HSD!K43+K24,SUM(HS!K12:K18)+Rules!$B$5*HS!K19+HS!K43+K24)/(9+Rules!$B$5))</f>
        <v>-0.38293391854315445</v>
      </c>
      <c r="N11">
        <v>10</v>
      </c>
      <c r="O11" s="31" t="str">
        <f>IF(B63=IF(Rules!$B$11=2,B51,IF(Rules!$B$11=3,B38,IF(Rules!$B$11=4,B25,B12))),"P",HSDR!O20)</f>
        <v>S</v>
      </c>
      <c r="P11" s="31" t="str">
        <f>IF(C63=IF(Rules!$B$11=2,C51,IF(Rules!$B$11=3,C38,IF(Rules!$B$11=4,C25,C12))),"P",HSDR!P20)</f>
        <v>S</v>
      </c>
      <c r="Q11" s="31" t="str">
        <f>IF(D63=IF(Rules!$B$11=2,D51,IF(Rules!$B$11=3,D38,IF(Rules!$B$11=4,D25,D12))),"P",HSDR!Q20)</f>
        <v>S</v>
      </c>
      <c r="R11" s="31" t="str">
        <f>IF(E63=IF(Rules!$B$11=2,E51,IF(Rules!$B$11=3,E38,IF(Rules!$B$11=4,E25,E12))),"P",HSDR!R20)</f>
        <v>S</v>
      </c>
      <c r="S11" s="31" t="str">
        <f>IF(F63=IF(Rules!$B$11=2,F51,IF(Rules!$B$11=3,F38,IF(Rules!$B$11=4,F25,F12))),"P",HSDR!S20)</f>
        <v>S</v>
      </c>
      <c r="T11" s="31" t="str">
        <f>IF(G63=IF(Rules!$B$11=2,G51,IF(Rules!$B$11=3,G38,IF(Rules!$B$11=4,G25,G12))),"P",HSDR!T20)</f>
        <v>P</v>
      </c>
      <c r="U11" s="31" t="str">
        <f>IF(H63=IF(Rules!$B$11=2,H51,IF(Rules!$B$11=3,H38,IF(Rules!$B$11=4,H25,H12))),"P",HSDR!U20)</f>
        <v>S</v>
      </c>
      <c r="V11" s="31" t="str">
        <f>IF(I63=IF(Rules!$B$11=2,I51,IF(Rules!$B$11=3,I38,IF(Rules!$B$11=4,I25,I12))),"P",HSDR!V20)</f>
        <v>S</v>
      </c>
      <c r="W11" s="31" t="str">
        <f>IF(J63=IF(Rules!$B$11=2,J51,IF(Rules!$B$11=3,J38,IF(Rules!$B$11=4,J25,J12))),"P",HSDR!W20)</f>
        <v>S</v>
      </c>
      <c r="X11" s="31" t="str">
        <f>IF(K63=IF(Rules!$B$11=2,K51,IF(Rules!$B$11=3,K38,IF(Rules!$B$11=4,K25,K12))),"P",HSDR!X20)</f>
        <v>S</v>
      </c>
    </row>
    <row r="12" spans="1:24" ht="17" thickBot="1" x14ac:dyDescent="0.25">
      <c r="A12" s="119">
        <v>10</v>
      </c>
      <c r="B12" s="113">
        <f>2*(IF(Rules!$B$9=Rules!$E$9,SUM(HSD!B13:B19)+Rules!$B$5*HSD!B20+HSD!B44+B25,SUM(HS!B13:B19)+Rules!$B$5*HS!B20+HS!B44+B25)/(9+Rules!$B$5))</f>
        <v>0.25591217102008812</v>
      </c>
      <c r="C12" s="131">
        <f>2*(IF(Rules!$B$9=Rules!$E$9,SUM(HSD!C13:C19)+Rules!$B$5*HSD!C20+HSD!C44+C25,SUM(HS!C13:C19)+Rules!$B$5*HS!C20+HS!C44+C25)/(9+Rules!$B$5))</f>
        <v>0.47702511757927396</v>
      </c>
      <c r="D12" s="131">
        <f>2*(IF(Rules!$B$9=Rules!$E$9,SUM(HSD!D13:D19)+Rules!$B$5*HSD!D20+HSD!D44+D25,SUM(HS!D13:D19)+Rules!$B$5*HS!D20+HS!D44+D25)/(9+Rules!$B$5))</f>
        <v>0.52917868575056526</v>
      </c>
      <c r="E12" s="131">
        <f>2*(IF(Rules!$B$9=Rules!$E$9,SUM(HSD!E13:E19)+Rules!$B$5*HSD!E20+HSD!E44+E25,SUM(HS!E13:E19)+Rules!$B$5*HS!E20+HS!E44+E25)/(9+Rules!$B$5))</f>
        <v>0.58267776514625602</v>
      </c>
      <c r="F12" s="131">
        <f>2*(IF(Rules!$B$9=Rules!$E$9,SUM(HSD!F13:F19)+Rules!$B$5*HSD!F20+HSD!F44+F25,SUM(HS!F13:F19)+Rules!$B$5*HS!F20+HS!F44+F25)/(9+Rules!$B$5))</f>
        <v>0.63565069498224802</v>
      </c>
      <c r="G12" s="131">
        <f>2*(IF(Rules!$B$9=Rules!$E$9,SUM(HSD!G13:G19)+Rules!$B$5*HSD!G20+HSD!G44+G25,SUM(HS!G13:G19)+Rules!$B$5*HS!G20+HS!G44+G25)/(9+Rules!$B$5))</f>
        <v>0.70770536905396042</v>
      </c>
      <c r="H12" s="131">
        <f>2*(IF(Rules!$B$9=Rules!$E$9,SUM(HSD!H13:H19)+Rules!$B$5*HSD!H20+HSD!H44+H25,SUM(HS!H13:H19)+Rules!$B$5*HS!H20+HS!H44+H25)/(9+Rules!$B$5))</f>
        <v>0.6454573388630771</v>
      </c>
      <c r="I12" s="131">
        <f>2*(IF(Rules!$B$9=Rules!$E$9,SUM(HSD!I13:I19)+Rules!$B$5*HSD!I20+HSD!I44+I25,SUM(HS!I13:I19)+Rules!$B$5*HS!I20+HS!I44+I25)/(9+Rules!$B$5))</f>
        <v>0.51682590743860801</v>
      </c>
      <c r="J12" s="131">
        <f>2*(IF(Rules!$B$9=Rules!$E$9,SUM(HSD!J13:J19)+Rules!$B$5*HSD!J20+HSD!J44+J25,SUM(HS!J13:J19)+Rules!$B$5*HS!J20+HS!J44+J25)/(9+Rules!$B$5))</f>
        <v>0.33687476710602637</v>
      </c>
      <c r="K12" s="10">
        <f>2*(IF(Rules!$B$9=Rules!$E$9,SUM(HSD!K13:K19)+Rules!$B$5*HSD!K20+HSD!K44+K25,SUM(HS!K13:K19)+Rules!$B$5*HS!K20+HS!K44+K25)/(9+Rules!$B$5))</f>
        <v>0.12881490474995208</v>
      </c>
    </row>
    <row r="13" spans="1:24" ht="17" thickBot="1" x14ac:dyDescent="0.25"/>
    <row r="14" spans="1:24" ht="17" thickBot="1" x14ac:dyDescent="0.25">
      <c r="A14" s="293" t="s">
        <v>80</v>
      </c>
      <c r="B14" s="298"/>
      <c r="C14" s="298"/>
      <c r="D14" s="298"/>
      <c r="E14" s="298"/>
      <c r="F14" s="298"/>
      <c r="G14" s="298"/>
      <c r="H14" s="298"/>
      <c r="I14" s="298"/>
      <c r="J14" s="298"/>
      <c r="K14" s="294"/>
    </row>
    <row r="15" spans="1:24" ht="17" thickBot="1" x14ac:dyDescent="0.25">
      <c r="A15" s="122" t="s">
        <v>7</v>
      </c>
      <c r="B15" s="138">
        <v>1</v>
      </c>
      <c r="C15" s="139">
        <v>2</v>
      </c>
      <c r="D15" s="139">
        <v>3</v>
      </c>
      <c r="E15" s="139">
        <v>4</v>
      </c>
      <c r="F15" s="139">
        <v>5</v>
      </c>
      <c r="G15" s="139">
        <v>6</v>
      </c>
      <c r="H15" s="139">
        <v>7</v>
      </c>
      <c r="I15" s="139">
        <v>8</v>
      </c>
      <c r="J15" s="139">
        <v>9</v>
      </c>
      <c r="K15" s="124">
        <v>10</v>
      </c>
    </row>
    <row r="16" spans="1:24" x14ac:dyDescent="0.2">
      <c r="A16" s="120">
        <v>1</v>
      </c>
      <c r="B16" s="129">
        <f>2*(IF(Rules!$B$12=Rules!$F$12,SUM(Stand!B36:B43)+Rules!$B$5*Stand!B44+B29,SUM(HSD!B36:B43)+Rules!$B$5*HSD!B44+B29)/(9+Rules!$B$5))</f>
        <v>0.24681431015742963</v>
      </c>
      <c r="C16" s="130">
        <f>2*(IF(Rules!$B$12=Rules!$F$12,SUM(Stand!C36:C43)+Rules!$B$5*Stand!C44+C29,SUM(HSD!C36:C43)+Rules!$B$5*HSD!C44+C29)/(9+Rules!$B$5))</f>
        <v>0.60616009207593269</v>
      </c>
      <c r="D16" s="130">
        <f>2*(IF(Rules!$B$12=Rules!$F$12,SUM(Stand!D36:D43)+Rules!$B$5*Stand!D44+D29,SUM(HSD!D36:D43)+Rules!$B$5*HSD!D44+D29)/(9+Rules!$B$5))</f>
        <v>0.65448971744610962</v>
      </c>
      <c r="E16" s="130">
        <f>2*(IF(Rules!$B$12=Rules!$F$12,SUM(Stand!E36:E43)+Rules!$B$5*Stand!E44+E29,SUM(HSD!E36:E43)+Rules!$B$5*HSD!E44+E29)/(9+Rules!$B$5))</f>
        <v>0.70398794558002764</v>
      </c>
      <c r="F16" s="130">
        <f>2*(IF(Rules!$B$12=Rules!$F$12,SUM(Stand!F36:F43)+Rules!$B$5*Stand!F44+F29,SUM(HSD!F36:F43)+Rules!$B$5*HSD!F44+F29)/(9+Rules!$B$5))</f>
        <v>0.75349635733112907</v>
      </c>
      <c r="G16" s="130">
        <f>2*(IF(Rules!$B$12=Rules!$F$12,SUM(Stand!G36:G43)+Rules!$B$5*Stand!G44+G29,SUM(HSD!G36:G43)+Rules!$B$5*HSD!G44+G29)/(9+Rules!$B$5))</f>
        <v>0.81313378320418017</v>
      </c>
      <c r="H16" s="130">
        <f>2*(IF(Rules!$B$12=Rules!$F$12,SUM(Stand!H36:H43)+Rules!$B$5*Stand!H44+H29,SUM(HSD!H36:H43)+Rules!$B$5*HSD!H44+H29)/(9+Rules!$B$5))</f>
        <v>0.62944471196628327</v>
      </c>
      <c r="I16" s="130">
        <f>2*(IF(Rules!$B$12=Rules!$F$12,SUM(Stand!I36:I43)+Rules!$B$5*Stand!I44+I29,SUM(HSD!I36:I43)+Rules!$B$5*HSD!I44+I29)/(9+Rules!$B$5))</f>
        <v>0.50357012454509587</v>
      </c>
      <c r="J16" s="130">
        <f>2*(IF(Rules!$B$12=Rules!$F$12,SUM(Stand!J36:J43)+Rules!$B$5*Stand!J44+J29,SUM(HSD!J36:J43)+Rules!$B$5*HSD!J44+J29)/(9+Rules!$B$5))</f>
        <v>0.36463545349864968</v>
      </c>
      <c r="K16" s="58">
        <f>2*(IF(Rules!$B$12=Rules!$F$12,SUM(Stand!K36:K43)+Rules!$B$5*Stand!K44+K29,SUM(HSD!K36:K43)+Rules!$B$5*HSD!K44+K29)/(9+Rules!$B$5))</f>
        <v>0.30752051345957193</v>
      </c>
    </row>
    <row r="17" spans="1:11" x14ac:dyDescent="0.2">
      <c r="A17" s="118">
        <v>2</v>
      </c>
      <c r="B17" s="112">
        <f>2*(IF(Rules!$B$9=Rules!$E$9,SUM(HSD!B5:B11)+Rules!$B$5*HSD!B12+HSD!B36+B30,SUM(HS!B5:B11)+Rules!$B$5*HS!B12+HS!B36+B30)/(9+Rules!$B$5))</f>
        <v>-0.43397902994758852</v>
      </c>
      <c r="C17" s="1">
        <f>2*(IF(Rules!$B$9=Rules!$E$9,SUM(HSD!C5:C11)+Rules!$B$5*HSD!C12+HSD!C36+C30,SUM(HS!C5:C11)+Rules!$B$5*HS!C12+HS!C36+C30)/(9+Rules!$B$5))</f>
        <v>-8.4267225502711041E-2</v>
      </c>
      <c r="D17" s="1">
        <f>2*(IF(Rules!$B$9=Rules!$E$9,SUM(HSD!D5:D11)+Rules!$B$5*HSD!D12+HSD!D36+D30,SUM(HS!D5:D11)+Rules!$B$5*HS!D12+HS!D36+D30)/(9+Rules!$B$5))</f>
        <v>-1.5498287197501173E-2</v>
      </c>
      <c r="E17" s="1">
        <f>2*(IF(Rules!$B$9=Rules!$E$9,SUM(HSD!E5:E11)+Rules!$B$5*HSD!E12+HSD!E36+E30,SUM(HS!E5:E11)+Rules!$B$5*HS!E12+HS!E36+E30)/(9+Rules!$B$5))</f>
        <v>5.9333738978653974E-2</v>
      </c>
      <c r="F17" s="1">
        <f>2*(IF(Rules!$B$9=Rules!$E$9,SUM(HSD!F5:F11)+Rules!$B$5*HSD!F12+HSD!F36+F30,SUM(HS!F5:F11)+Rules!$B$5*HS!F12+HS!F36+F30)/(9+Rules!$B$5))</f>
        <v>0.15203616947891799</v>
      </c>
      <c r="G17" s="1">
        <f>2*(IF(Rules!$B$9=Rules!$E$9,SUM(HSD!G5:G11)+Rules!$B$5*HSD!G12+HSD!G36+G30,SUM(HS!G5:G11)+Rules!$B$5*HS!G12+HS!G36+G30)/(9+Rules!$B$5))</f>
        <v>0.22737886696191317</v>
      </c>
      <c r="H17" s="1">
        <f>2*(IF(Rules!$B$9=Rules!$E$9,SUM(HSD!H5:H11)+Rules!$B$5*HSD!H12+HSD!H36+H30,SUM(HS!H5:H11)+Rules!$B$5*HS!H12+HS!H36+H30)/(9+Rules!$B$5))</f>
        <v>6.958050045595748E-3</v>
      </c>
      <c r="I17" s="1">
        <f>2*(IF(Rules!$B$9=Rules!$E$9,SUM(HSD!I5:I11)+Rules!$B$5*HSD!I12+HSD!I36+I30,SUM(HS!I5:I11)+Rules!$B$5*HS!I12+HS!I36+I30)/(9+Rules!$B$5))</f>
        <v>-0.17673202696357632</v>
      </c>
      <c r="J17" s="1">
        <f>2*(IF(Rules!$B$9=Rules!$E$9,SUM(HSD!J5:J11)+Rules!$B$5*HSD!J12+HSD!J36+J30,SUM(HS!J5:J11)+Rules!$B$5*HS!J12+HS!J36+J30)/(9+Rules!$B$5))</f>
        <v>-0.38721380320870769</v>
      </c>
      <c r="K17" s="9">
        <f>2*(IF(Rules!$B$9=Rules!$E$9,SUM(HSD!K5:K11)+Rules!$B$5*HSD!K12+HSD!K36+K30,SUM(HS!K5:K11)+Rules!$B$5*HS!K12+HS!K36+K30)/(9+Rules!$B$5))</f>
        <v>-0.50766884444357896</v>
      </c>
    </row>
    <row r="18" spans="1:11" x14ac:dyDescent="0.2">
      <c r="A18" s="118">
        <v>3</v>
      </c>
      <c r="B18" s="112">
        <f>2*(IF(Rules!$B$9=Rules!$E$9,SUM(HSD!B6:B12)+Rules!$B$5*HSD!B13+HSD!B37+B31,SUM(HS!B6:B12)+Rules!$B$5*HS!B13+HS!B37+B31)/(9+Rules!$B$5))</f>
        <v>-0.48734842751982665</v>
      </c>
      <c r="C18" s="1">
        <f>2*(IF(Rules!$B$9=Rules!$E$9,SUM(HSD!C6:C12)+Rules!$B$5*HSD!C13+HSD!C37+C31,SUM(HS!C6:C12)+Rules!$B$5*HS!C13+HS!C37+C31)/(9+Rules!$B$5))</f>
        <v>-0.13992944417761496</v>
      </c>
      <c r="D18" s="1">
        <f>2*(IF(Rules!$B$9=Rules!$E$9,SUM(HSD!D6:D12)+Rules!$B$5*HSD!D13+HSD!D37+D31,SUM(HS!D6:D12)+Rules!$B$5*HS!D13+HS!D37+D31)/(9+Rules!$B$5))</f>
        <v>-5.8284696427541714E-2</v>
      </c>
      <c r="E18" s="1">
        <f>2*(IF(Rules!$B$9=Rules!$E$9,SUM(HSD!E6:E12)+Rules!$B$5*HSD!E13+HSD!E37+E31,SUM(HS!E6:E12)+Rules!$B$5*HS!E13+HS!E37+E31)/(9+Rules!$B$5))</f>
        <v>2.8134517976885209E-2</v>
      </c>
      <c r="F18" s="1">
        <f>2*(IF(Rules!$B$9=Rules!$E$9,SUM(HSD!F6:F12)+Rules!$B$5*HSD!F13+HSD!F37+F31,SUM(HS!F6:F12)+Rules!$B$5*HS!F13+HS!F37+F31)/(9+Rules!$B$5))</f>
        <v>0.12470784634060185</v>
      </c>
      <c r="G18" s="1">
        <f>2*(IF(Rules!$B$9=Rules!$E$9,SUM(HSD!G6:G12)+Rules!$B$5*HSD!G13+HSD!G37+G31,SUM(HS!G6:G12)+Rules!$B$5*HS!G13+HS!G37+G31)/(9+Rules!$B$5))</f>
        <v>0.19970541230483627</v>
      </c>
      <c r="H18" s="1">
        <f>2*(IF(Rules!$B$9=Rules!$E$9,SUM(HSD!H6:H12)+Rules!$B$5*HSD!H13+HSD!H37+H31,SUM(HS!H6:H12)+Rules!$B$5*HS!H13+HS!H37+H31)/(9+Rules!$B$5))</f>
        <v>-5.8585254727766593E-2</v>
      </c>
      <c r="I18" s="1">
        <f>2*(IF(Rules!$B$9=Rules!$E$9,SUM(HSD!I6:I12)+Rules!$B$5*HSD!I13+HSD!I37+I31,SUM(HS!I6:I12)+Rules!$B$5*HS!I13+HS!I37+I31)/(9+Rules!$B$5))</f>
        <v>-0.23704993410552874</v>
      </c>
      <c r="J18" s="1">
        <f>2*(IF(Rules!$B$9=Rules!$E$9,SUM(HSD!J6:J12)+Rules!$B$5*HSD!J13+HSD!J37+J31,SUM(HS!J6:J12)+Rules!$B$5*HS!J13+HS!J37+J31)/(9+Rules!$B$5))</f>
        <v>-0.44155265953053213</v>
      </c>
      <c r="K18" s="9">
        <f>2*(IF(Rules!$B$9=Rules!$E$9,SUM(HSD!K6:K12)+Rules!$B$5*HSD!K13+HSD!K37+K31,SUM(HS!K6:K12)+Rules!$B$5*HS!K13+HS!K37+K31)/(9+Rules!$B$5))</f>
        <v>-0.55831617240970499</v>
      </c>
    </row>
    <row r="19" spans="1:11" x14ac:dyDescent="0.2">
      <c r="A19" s="118">
        <v>4</v>
      </c>
      <c r="B19" s="112">
        <f>2*(IF(Rules!$B$9=Rules!$E$9,SUM(HSD!B7:B13)+Rules!$B$5*HSD!B14+HSD!B38+B32,SUM(HS!B7:B13)+Rules!$B$5*HS!B14+HS!B38+B32)/(9+Rules!$B$5))</f>
        <v>-0.54201328309754238</v>
      </c>
      <c r="C19" s="1">
        <f>2*(IF(Rules!$B$9=Rules!$E$9,SUM(HSD!C7:C13)+Rules!$B$5*HSD!C14+HSD!C38+C32,SUM(HS!C7:C13)+Rules!$B$5*HS!C14+HS!C38+C32)/(9+Rules!$B$5))</f>
        <v>-0.17159359287641518</v>
      </c>
      <c r="D19" s="1">
        <f>2*(IF(Rules!$B$9=Rules!$E$9,SUM(HSD!D7:D13)+Rules!$B$5*HSD!D14+HSD!D38+D32,SUM(HS!D7:D13)+Rules!$B$5*HS!D14+HS!D38+D32)/(9+Rules!$B$5))</f>
        <v>-8.8510033551112699E-2</v>
      </c>
      <c r="E19" s="1">
        <f>2*(IF(Rules!$B$9=Rules!$E$9,SUM(HSD!E7:E13)+Rules!$B$5*HSD!E14+HSD!E38+E32,SUM(HS!E7:E13)+Rules!$B$5*HS!E14+HS!E38+E32)/(9+Rules!$B$5))</f>
        <v>-7.0044751783560999E-4</v>
      </c>
      <c r="F19" s="1">
        <f>2*(IF(Rules!$B$9=Rules!$E$9,SUM(HSD!F7:F13)+Rules!$B$5*HSD!F14+HSD!F38+F32,SUM(HS!F7:F13)+Rules!$B$5*HS!F14+HS!F38+F32)/(9+Rules!$B$5))</f>
        <v>0.10070528937626665</v>
      </c>
      <c r="G19" s="1">
        <f>2*(IF(Rules!$B$9=Rules!$E$9,SUM(HSD!G7:G13)+Rules!$B$5*HSD!G14+HSD!G38+G32,SUM(HS!G7:G13)+Rules!$B$5*HS!G14+HS!G38+G32)/(9+Rules!$B$5))</f>
        <v>0.17417494269127992</v>
      </c>
      <c r="H19" s="1">
        <f>2*(IF(Rules!$B$9=Rules!$E$9,SUM(HSD!H7:H13)+Rules!$B$5*HSD!H14+HSD!H38+H32,SUM(HS!H7:H13)+Rules!$B$5*HS!H14+HS!H38+H32)/(9+Rules!$B$5))</f>
        <v>-0.1254515495303114</v>
      </c>
      <c r="I19" s="1">
        <f>2*(IF(Rules!$B$9=Rules!$E$9,SUM(HSD!I7:I13)+Rules!$B$5*HSD!I14+HSD!I38+I32,SUM(HS!I7:I13)+Rules!$B$5*HS!I14+HS!I38+I32)/(9+Rules!$B$5))</f>
        <v>-0.29874027101353856</v>
      </c>
      <c r="J19" s="1">
        <f>2*(IF(Rules!$B$9=Rules!$E$9,SUM(HSD!J7:J13)+Rules!$B$5*HSD!J14+HSD!J38+J32,SUM(HS!J7:J13)+Rules!$B$5*HS!J14+HS!J38+J32)/(9+Rules!$B$5))</f>
        <v>-0.49719688448925381</v>
      </c>
      <c r="K19" s="9">
        <f>2*(IF(Rules!$B$9=Rules!$E$9,SUM(HSD!K7:K13)+Rules!$B$5*HSD!K14+HSD!K38+K32,SUM(HS!K7:K13)+Rules!$B$5*HS!K14+HS!K38+K32)/(9+Rules!$B$5))</f>
        <v>-0.6102073473534938</v>
      </c>
    </row>
    <row r="20" spans="1:11" x14ac:dyDescent="0.2">
      <c r="A20" s="118">
        <v>5</v>
      </c>
      <c r="B20" s="112">
        <f>2*(IF(Rules!$B$9=Rules!$E$9,SUM(HSD!B8:B14)+Rules!$B$5*HSD!B15+HSD!B39+B33,SUM(HS!B8:B14)+Rules!$B$5*HS!B15+HS!B39+B33)/(9+Rules!$B$5))</f>
        <v>-0.60100911429393566</v>
      </c>
      <c r="C20" s="1">
        <f>2*(IF(Rules!$B$9=Rules!$E$9,SUM(HSD!C8:C14)+Rules!$B$5*HSD!C15+HSD!C39+C33,SUM(HS!C8:C14)+Rules!$B$5*HS!C15+HS!C39+C33)/(9+Rules!$B$5))</f>
        <v>-0.20852591232518977</v>
      </c>
      <c r="D20" s="1">
        <f>2*(IF(Rules!$B$9=Rules!$E$9,SUM(HSD!D8:D14)+Rules!$B$5*HSD!D15+HSD!D39+D33,SUM(HS!D8:D14)+Rules!$B$5*HS!D15+HS!D39+D33)/(9+Rules!$B$5))</f>
        <v>-0.12386278054459822</v>
      </c>
      <c r="E20" s="1">
        <f>2*(IF(Rules!$B$9=Rules!$E$9,SUM(HSD!E8:E14)+Rules!$B$5*HSD!E15+HSD!E39+E33,SUM(HS!E8:E14)+Rules!$B$5*HS!E15+HS!E39+E33)/(9+Rules!$B$5))</f>
        <v>-3.1188889093379798E-2</v>
      </c>
      <c r="F20" s="1">
        <f>2*(IF(Rules!$B$9=Rules!$E$9,SUM(HSD!F8:F14)+Rules!$B$5*HSD!F15+HSD!F39+F33,SUM(HS!F8:F14)+Rules!$B$5*HS!F15+HS!F39+F33)/(9+Rules!$B$5))</f>
        <v>7.1835229989042543E-2</v>
      </c>
      <c r="G20" s="1">
        <f>2*(IF(Rules!$B$9=Rules!$E$9,SUM(HSD!G8:G14)+Rules!$B$5*HSD!G15+HSD!G39+G33,SUM(HS!G8:G14)+Rules!$B$5*HS!G15+HS!G39+G33)/(9+Rules!$B$5))</f>
        <v>0.14119795355422551</v>
      </c>
      <c r="H20" s="1">
        <f>2*(IF(Rules!$B$9=Rules!$E$9,SUM(HSD!H8:H14)+Rules!$B$5*HSD!H15+HSD!H39+H33,SUM(HS!H8:H14)+Rules!$B$5*HS!H15+HS!H39+H33)/(9+Rules!$B$5))</f>
        <v>-0.21360957957948717</v>
      </c>
      <c r="I20" s="1">
        <f>2*(IF(Rules!$B$9=Rules!$E$9,SUM(HSD!I8:I14)+Rules!$B$5*HSD!I15+HSD!I39+I33,SUM(HS!I8:I14)+Rules!$B$5*HS!I15+HS!I39+I33)/(9+Rules!$B$5))</f>
        <v>-0.36764710872122569</v>
      </c>
      <c r="J20" s="1">
        <f>2*(IF(Rules!$B$9=Rules!$E$9,SUM(HSD!J8:J14)+Rules!$B$5*HSD!J15+HSD!J39+J33,SUM(HS!J8:J14)+Rules!$B$5*HS!J15+HS!J39+J33)/(9+Rules!$B$5))</f>
        <v>-0.55959871718010423</v>
      </c>
      <c r="K20" s="9">
        <f>2*(IF(Rules!$B$9=Rules!$E$9,SUM(HSD!K8:K14)+Rules!$B$5*HSD!K15+HSD!K39+K33,SUM(HS!K8:K14)+Rules!$B$5*HS!K15+HS!K39+K33)/(9+Rules!$B$5))</f>
        <v>-0.67054997198877109</v>
      </c>
    </row>
    <row r="21" spans="1:11" x14ac:dyDescent="0.2">
      <c r="A21" s="118">
        <v>6</v>
      </c>
      <c r="B21" s="112">
        <f>2*(IF(Rules!$B$9=Rules!$E$9,SUM(HSD!B9:B15)+Rules!$B$5*HSD!B16+HSD!B40+B34,SUM(HS!B9:B15)+Rules!$B$5*HS!B16+HS!B40+B34)/(9+Rules!$B$5))</f>
        <v>-0.68129878586451731</v>
      </c>
      <c r="C21" s="1">
        <f>2*(IF(Rules!$B$9=Rules!$E$9,SUM(HSD!C9:C15)+Rules!$B$5*HSD!C16+HSD!C40+C34,SUM(HS!C9:C15)+Rules!$B$5*HS!C16+HS!C40+C34)/(9+Rules!$B$5))</f>
        <v>-0.2535785173751941</v>
      </c>
      <c r="D21" s="1">
        <f>2*(IF(Rules!$B$9=Rules!$E$9,SUM(HSD!D9:D15)+Rules!$B$5*HSD!D16+HSD!D40+D34,SUM(HS!D9:D15)+Rules!$B$5*HS!D16+HS!D40+D34)/(9+Rules!$B$5))</f>
        <v>-0.16236190502927889</v>
      </c>
      <c r="E21" s="1">
        <f>2*(IF(Rules!$B$9=Rules!$E$9,SUM(HSD!E9:E15)+Rules!$B$5*HSD!E16+HSD!E40+E34,SUM(HS!E9:E15)+Rules!$B$5*HS!E16+HS!E40+E34)/(9+Rules!$B$5))</f>
        <v>-6.5242110257549266E-2</v>
      </c>
      <c r="F21" s="1">
        <f>2*(IF(Rules!$B$9=Rules!$E$9,SUM(HSD!F9:F15)+Rules!$B$5*HSD!F16+HSD!F40+F34,SUM(HS!F9:F15)+Rules!$B$5*HS!F16+HS!F40+F34)/(9+Rules!$B$5))</f>
        <v>3.9226356320867399E-2</v>
      </c>
      <c r="G21" s="1">
        <f>2*(IF(Rules!$B$9=Rules!$E$9,SUM(HSD!G9:G15)+Rules!$B$5*HSD!G16+HSD!G40+G34,SUM(HS!G9:G15)+Rules!$B$5*HS!G16+HS!G40+G34)/(9+Rules!$B$5))</f>
        <v>0.10667340682942227</v>
      </c>
      <c r="H21" s="1">
        <f>2*(IF(Rules!$B$9=Rules!$E$9,SUM(HSD!H9:H15)+Rules!$B$5*HSD!H16+HSD!H40+H34,SUM(HS!H9:H15)+Rules!$B$5*HS!H16+HS!H40+H34)/(9+Rules!$B$5))</f>
        <v>-0.31692077945309899</v>
      </c>
      <c r="I21" s="1">
        <f>2*(IF(Rules!$B$9=Rules!$E$9,SUM(HSD!I9:I15)+Rules!$B$5*HSD!I16+HSD!I40+I34,SUM(HS!I9:I15)+Rules!$B$5*HS!I16+HS!I40+I34)/(9+Rules!$B$5))</f>
        <v>-0.46304550282877255</v>
      </c>
      <c r="J21" s="1">
        <f>2*(IF(Rules!$B$9=Rules!$E$9,SUM(HSD!J9:J15)+Rules!$B$5*HSD!J16+HSD!J40+J34,SUM(HS!J9:J15)+Rules!$B$5*HS!J16+HS!J40+J34)/(9+Rules!$B$5))</f>
        <v>-0.63423528935103346</v>
      </c>
      <c r="K21" s="9">
        <f>2*(IF(Rules!$B$9=Rules!$E$9,SUM(HSD!K9:K15)+Rules!$B$5*HSD!K16+HSD!K40+K34,SUM(HS!K9:K15)+Rules!$B$5*HS!K16+HS!K40+K34)/(9+Rules!$B$5))</f>
        <v>-0.74023538344852136</v>
      </c>
    </row>
    <row r="22" spans="1:11" x14ac:dyDescent="0.2">
      <c r="A22" s="118">
        <v>7</v>
      </c>
      <c r="B22" s="112">
        <f>2*(IF(Rules!$B$9=Rules!$E$9,SUM(HSD!B10:B16)+Rules!$B$5*HSD!B17+HSD!B41+B35,SUM(HS!B10:B16)+Rules!$B$5*HS!B17+HS!B41+B35)/(9+Rules!$B$5))</f>
        <v>-0.71856860040621029</v>
      </c>
      <c r="C22" s="1">
        <f>2*(IF(Rules!$B$9=Rules!$E$9,SUM(HSD!C10:C16)+Rules!$B$5*HSD!C17+HSD!C41+C35,SUM(HS!C10:C16)+Rules!$B$5*HS!C17+HS!C41+C35)/(9+Rules!$B$5))</f>
        <v>-0.1963016079632402</v>
      </c>
      <c r="D22" s="1">
        <f>2*(IF(Rules!$B$9=Rules!$E$9,SUM(HSD!D10:D16)+Rules!$B$5*HSD!D17+HSD!D41+D35,SUM(HS!D10:D16)+Rules!$B$5*HS!D17+HS!D41+D35)/(9+Rules!$B$5))</f>
        <v>-0.10948552726048816</v>
      </c>
      <c r="E22" s="1">
        <f>2*(IF(Rules!$B$9=Rules!$E$9,SUM(HSD!E10:E16)+Rules!$B$5*HSD!E17+HSD!E41+E35,SUM(HS!E10:E16)+Rules!$B$5*HS!E17+HS!E41+E35)/(9+Rules!$B$5))</f>
        <v>-1.9921218921965758E-2</v>
      </c>
      <c r="F22" s="1">
        <f>2*(IF(Rules!$B$9=Rules!$E$9,SUM(HSD!F10:F16)+Rules!$B$5*HSD!F17+HSD!F41+F35,SUM(HS!F10:F16)+Rules!$B$5*HS!F17+HS!F41+F35)/(9+Rules!$B$5))</f>
        <v>7.4563567868088848E-2</v>
      </c>
      <c r="G22" s="1">
        <f>2*(IF(Rules!$B$9=Rules!$E$9,SUM(HSD!G10:G16)+Rules!$B$5*HSD!G17+HSD!G41+G35,SUM(HS!G10:G16)+Rules!$B$5*HS!G17+HS!G41+G35)/(9+Rules!$B$5))</f>
        <v>0.16472730313989489</v>
      </c>
      <c r="H22" s="1">
        <f>2*(IF(Rules!$B$9=Rules!$E$9,SUM(HSD!H10:H16)+Rules!$B$5*HSD!H17+HSD!H41+H35,SUM(HS!H10:H16)+Rules!$B$5*HS!H17+HS!H41+H35)/(9+Rules!$B$5))</f>
        <v>-0.13707521359511174</v>
      </c>
      <c r="I22" s="1">
        <f>2*(IF(Rules!$B$9=Rules!$E$9,SUM(HSD!I10:I16)+Rules!$B$5*HSD!I17+HSD!I41+I35,SUM(HS!I10:I16)+Rules!$B$5*HS!I17+HS!I41+I35)/(9+Rules!$B$5))</f>
        <v>-0.4755109701627388</v>
      </c>
      <c r="J22" s="1">
        <f>2*(IF(Rules!$B$9=Rules!$E$9,SUM(HSD!J10:J16)+Rules!$B$5*HSD!J17+HSD!J41+J35,SUM(HS!J10:J16)+Rules!$B$5*HS!J17+HS!J41+J35)/(9+Rules!$B$5))</f>
        <v>-0.64515064432824587</v>
      </c>
      <c r="K22" s="9">
        <f>2*(IF(Rules!$B$9=Rules!$E$9,SUM(HSD!K10:K16)+Rules!$B$5*HSD!K17+HSD!K41+K35,SUM(HS!K10:K16)+Rules!$B$5*HS!K17+HS!K41+K35)/(9+Rules!$B$5))</f>
        <v>-0.71332528034968157</v>
      </c>
    </row>
    <row r="23" spans="1:11" x14ac:dyDescent="0.2">
      <c r="A23" s="118">
        <v>8</v>
      </c>
      <c r="B23" s="112">
        <f>2*(IF(Rules!$B$9=Rules!$E$9,SUM(HSD!B11:B17)+Rules!$B$5*HSD!B18+HSD!B42+B36,SUM(HS!B11:B17)+Rules!$B$5*HS!B18+HS!B42+B36)/(9+Rules!$B$5))</f>
        <v>-0.47846720619452893</v>
      </c>
      <c r="C23" s="1">
        <f>2*(IF(Rules!$B$9=Rules!$E$9,SUM(HSD!C11:C17)+Rules!$B$5*HSD!C18+HSD!C42+C36,SUM(HS!C11:C17)+Rules!$B$5*HS!C18+HS!C42+C36)/(9+Rules!$B$5))</f>
        <v>-4.10085652565544E-2</v>
      </c>
      <c r="D23" s="1">
        <f>2*(IF(Rules!$B$9=Rules!$E$9,SUM(HSD!D11:D17)+Rules!$B$5*HSD!D18+HSD!D42+D36,SUM(HS!D11:D17)+Rules!$B$5*HS!D18+HS!D42+D36)/(9+Rules!$B$5))</f>
        <v>2.9651267038439212E-2</v>
      </c>
      <c r="E23" s="1">
        <f>2*(IF(Rules!$B$9=Rules!$E$9,SUM(HSD!E11:E17)+Rules!$B$5*HSD!E18+HSD!E42+E36,SUM(HS!E11:E17)+Rules!$B$5*HS!E18+HS!E42+E36)/(9+Rules!$B$5))</f>
        <v>0.10253679913733912</v>
      </c>
      <c r="F23" s="1">
        <f>2*(IF(Rules!$B$9=Rules!$E$9,SUM(HSD!F11:F17)+Rules!$B$5*HSD!F18+HSD!F42+F36,SUM(HS!F11:F17)+Rules!$B$5*HS!F18+HS!F42+F36)/(9+Rules!$B$5))</f>
        <v>0.17786869518456505</v>
      </c>
      <c r="G23" s="1">
        <f>2*(IF(Rules!$B$9=Rules!$E$9,SUM(HSD!G11:G17)+Rules!$B$5*HSD!G18+HSD!G42+G36,SUM(HS!G11:G17)+Rules!$B$5*HS!G18+HS!G42+G36)/(9+Rules!$B$5))</f>
        <v>0.28114462143026464</v>
      </c>
      <c r="H23" s="1">
        <f>2*(IF(Rules!$B$9=Rules!$E$9,SUM(HSD!H11:H17)+Rules!$B$5*HSD!H18+HSD!H42+H36,SUM(HS!H11:H17)+Rules!$B$5*HS!H18+HS!H42+H36)/(9+Rules!$B$5))</f>
        <v>0.17942021385705018</v>
      </c>
      <c r="I23" s="1">
        <f>2*(IF(Rules!$B$9=Rules!$E$9,SUM(HSD!I11:I17)+Rules!$B$5*HSD!I18+HSD!I42+I36,SUM(HS!I11:I17)+Rules!$B$5*HS!I18+HS!I42+I36)/(9+Rules!$B$5))</f>
        <v>-0.15401156627741791</v>
      </c>
      <c r="J23" s="1">
        <f>2*(IF(Rules!$B$9=Rules!$E$9,SUM(HSD!J11:J17)+Rules!$B$5*HSD!J18+HSD!J42+J36,SUM(HS!J11:J17)+Rules!$B$5*HS!J18+HS!J42+J36)/(9+Rules!$B$5))</f>
        <v>-0.50298441638041402</v>
      </c>
      <c r="K23" s="9">
        <f>2*(IF(Rules!$B$9=Rules!$E$9,SUM(HSD!K11:K17)+Rules!$B$5*HSD!K18+HSD!K42+K36,SUM(HS!K11:K17)+Rules!$B$5*HS!K18+HS!K42+K36)/(9+Rules!$B$5))</f>
        <v>-0.58087155443935135</v>
      </c>
    </row>
    <row r="24" spans="1:11" x14ac:dyDescent="0.2">
      <c r="A24" s="118">
        <v>9</v>
      </c>
      <c r="B24" s="112">
        <f>2*(IF(Rules!$B$9=Rules!$E$9,SUM(HSD!B12:B18)+Rules!$B$5*HSD!B19+HSD!B43+B37,SUM(HS!B12:B18)+Rules!$B$5*HS!B19+HS!B43+B37)/(9+Rules!$B$5))</f>
        <v>-0.18006502022790671</v>
      </c>
      <c r="C24" s="1">
        <f>2*(IF(Rules!$B$9=Rules!$E$9,SUM(HSD!C12:C18)+Rules!$B$5*HSD!C19+HSD!C43+C37,SUM(HS!C12:C18)+Rules!$B$5*HS!C19+HS!C43+C37)/(9+Rules!$B$5))</f>
        <v>0.13385768207672508</v>
      </c>
      <c r="D24" s="1">
        <f>2*(IF(Rules!$B$9=Rules!$E$9,SUM(HSD!D12:D18)+Rules!$B$5*HSD!D19+HSD!D43+D37,SUM(HS!D12:D18)+Rules!$B$5*HS!D19+HS!D43+D37)/(9+Rules!$B$5))</f>
        <v>0.19320731563116447</v>
      </c>
      <c r="E24" s="1">
        <f>2*(IF(Rules!$B$9=Rules!$E$9,SUM(HSD!E12:E18)+Rules!$B$5*HSD!E19+HSD!E43+E37,SUM(HS!E12:E18)+Rules!$B$5*HS!E19+HS!E43+E37)/(9+Rules!$B$5))</f>
        <v>0.25454407563811315</v>
      </c>
      <c r="F24" s="1">
        <f>2*(IF(Rules!$B$9=Rules!$E$9,SUM(HSD!F12:F18)+Rules!$B$5*HSD!F19+HSD!F43+F37,SUM(HS!F12:F18)+Rules!$B$5*HS!F19+HS!F43+F37)/(9+Rules!$B$5))</f>
        <v>0.31872977328281132</v>
      </c>
      <c r="G24" s="1">
        <f>2*(IF(Rules!$B$9=Rules!$E$9,SUM(HSD!G12:G18)+Rules!$B$5*HSD!G19+HSD!G43+G37,SUM(HS!G12:G18)+Rules!$B$5*HS!G19+HS!G43+G37)/(9+Rules!$B$5))</f>
        <v>0.40361032143368897</v>
      </c>
      <c r="H24" s="1">
        <f>2*(IF(Rules!$B$9=Rules!$E$9,SUM(HSD!H12:H18)+Rules!$B$5*HSD!H19+HSD!H43+H37,SUM(HS!H12:H18)+Rules!$B$5*HS!H19+HS!H43+H37)/(9+Rules!$B$5))</f>
        <v>0.3535152100301121</v>
      </c>
      <c r="I24" s="1">
        <f>2*(IF(Rules!$B$9=Rules!$E$9,SUM(HSD!I12:I18)+Rules!$B$5*HSD!I19+HSD!I43+I37,SUM(HS!I12:I18)+Rules!$B$5*HS!I19+HS!I43+I37)/(9+Rules!$B$5))</f>
        <v>0.19129321615782191</v>
      </c>
      <c r="J24" s="1">
        <f>2*(IF(Rules!$B$9=Rules!$E$9,SUM(HSD!J12:J18)+Rules!$B$5*HSD!J19+HSD!J43+J37,SUM(HS!J12:J18)+Rules!$B$5*HS!J19+HS!J43+J37)/(9+Rules!$B$5))</f>
        <v>-0.15072067108588086</v>
      </c>
      <c r="K24" s="9">
        <f>2*(IF(Rules!$B$9=Rules!$E$9,SUM(HSD!K12:K18)+Rules!$B$5*HSD!K19+HSD!K43+K37,SUM(HS!K12:K18)+Rules!$B$5*HS!K19+HS!K43+K37)/(9+Rules!$B$5))</f>
        <v>-0.3811994363976306</v>
      </c>
    </row>
    <row r="25" spans="1:11" ht="17" thickBot="1" x14ac:dyDescent="0.25">
      <c r="A25" s="119">
        <v>10</v>
      </c>
      <c r="B25" s="113">
        <f>2*(IF(Rules!$B$9=Rules!$E$9,SUM(HSD!B13:B19)+Rules!$B$5*HSD!B20+HSD!B44+B38,SUM(HS!B13:B19)+Rules!$B$5*HS!B20+HS!B44+B38)/(9+Rules!$B$5))</f>
        <v>0.25404256790190649</v>
      </c>
      <c r="C25" s="131">
        <f>2*(IF(Rules!$B$9=Rules!$E$9,SUM(HSD!C13:C19)+Rules!$B$5*HSD!C20+HSD!C44+C38,SUM(HS!C13:C19)+Rules!$B$5*HS!C20+HS!C44+C38)/(9+Rules!$B$5))</f>
        <v>0.47477335618105915</v>
      </c>
      <c r="D25" s="131">
        <f>2*(IF(Rules!$B$9=Rules!$E$9,SUM(HSD!D13:D19)+Rules!$B$5*HSD!D20+HSD!D44+D38,SUM(HS!D13:D19)+Rules!$B$5*HS!D20+HS!D44+D38)/(9+Rules!$B$5))</f>
        <v>0.52682687199935552</v>
      </c>
      <c r="E25" s="131">
        <f>2*(IF(Rules!$B$9=Rules!$E$9,SUM(HSD!E13:E19)+Rules!$B$5*HSD!E20+HSD!E44+E38,SUM(HS!E13:E19)+Rules!$B$5*HS!E20+HS!E44+E38)/(9+Rules!$B$5))</f>
        <v>0.58023077979244886</v>
      </c>
      <c r="F25" s="131">
        <f>2*(IF(Rules!$B$9=Rules!$E$9,SUM(HSD!F13:F19)+Rules!$B$5*HSD!F20+HSD!F44+F38,SUM(HS!F13:F19)+Rules!$B$5*HS!F20+HS!F44+F38)/(9+Rules!$B$5))</f>
        <v>0.63317564802789661</v>
      </c>
      <c r="G25" s="131">
        <f>2*(IF(Rules!$B$9=Rules!$E$9,SUM(HSD!G13:G19)+Rules!$B$5*HSD!G20+HSD!G44+G38,SUM(HS!G13:G19)+Rules!$B$5*HS!G20+HS!G44+G38)/(9+Rules!$B$5))</f>
        <v>0.70504978713524302</v>
      </c>
      <c r="H25" s="131">
        <f>2*(IF(Rules!$B$9=Rules!$E$9,SUM(HSD!H13:H19)+Rules!$B$5*HSD!H20+HSD!H44+H38,SUM(HS!H13:H19)+Rules!$B$5*HS!H20+HS!H44+H38)/(9+Rules!$B$5))</f>
        <v>0.64281131172356143</v>
      </c>
      <c r="I25" s="131">
        <f>2*(IF(Rules!$B$9=Rules!$E$9,SUM(HSD!I13:I19)+Rules!$B$5*HSD!I20+HSD!I44+I38,SUM(HS!I13:I19)+Rules!$B$5*HS!I20+HS!I44+I38)/(9+Rules!$B$5))</f>
        <v>0.5143953850109767</v>
      </c>
      <c r="J25" s="131">
        <f>2*(IF(Rules!$B$9=Rules!$E$9,SUM(HSD!J13:J19)+Rules!$B$5*HSD!J20+HSD!J44+J38,SUM(HS!J13:J19)+Rules!$B$5*HS!J20+HS!J44+J38)/(9+Rules!$B$5))</f>
        <v>0.3347880216795448</v>
      </c>
      <c r="K25" s="10">
        <f>2*(IF(Rules!$B$9=Rules!$E$9,SUM(HSD!K13:K19)+Rules!$B$5*HSD!K20+HSD!K44+K38,SUM(HS!K13:K19)+Rules!$B$5*HS!K20+HS!K44+K38)/(9+Rules!$B$5))</f>
        <v>0.12724308849531457</v>
      </c>
    </row>
    <row r="26" spans="1:11" ht="17" thickBot="1" x14ac:dyDescent="0.25"/>
    <row r="27" spans="1:11" ht="17" thickBot="1" x14ac:dyDescent="0.25">
      <c r="A27" s="293" t="s">
        <v>81</v>
      </c>
      <c r="B27" s="298"/>
      <c r="C27" s="298"/>
      <c r="D27" s="298"/>
      <c r="E27" s="298"/>
      <c r="F27" s="298"/>
      <c r="G27" s="298"/>
      <c r="H27" s="298"/>
      <c r="I27" s="298"/>
      <c r="J27" s="298"/>
      <c r="K27" s="294"/>
    </row>
    <row r="28" spans="1:11" ht="17" thickBot="1" x14ac:dyDescent="0.25">
      <c r="A28" s="126" t="s">
        <v>7</v>
      </c>
      <c r="B28" s="138">
        <v>1</v>
      </c>
      <c r="C28" s="139">
        <v>2</v>
      </c>
      <c r="D28" s="139">
        <v>3</v>
      </c>
      <c r="E28" s="139">
        <v>4</v>
      </c>
      <c r="F28" s="139">
        <v>5</v>
      </c>
      <c r="G28" s="139">
        <v>6</v>
      </c>
      <c r="H28" s="139">
        <v>7</v>
      </c>
      <c r="I28" s="139">
        <v>8</v>
      </c>
      <c r="J28" s="139">
        <v>9</v>
      </c>
      <c r="K28" s="124">
        <v>10</v>
      </c>
    </row>
    <row r="29" spans="1:11" x14ac:dyDescent="0.2">
      <c r="A29" s="120">
        <v>1</v>
      </c>
      <c r="B29" s="129">
        <f>2*(IF(Rules!$B$12=Rules!$F$12,SUM(Stand!B36:B43)+Rules!$B$5*Stand!B44+B42,SUM(HSD!B36:B43)+Rules!$B$5*HSD!B44+B42)/(9+Rules!$B$5))</f>
        <v>0.22844717277365195</v>
      </c>
      <c r="C29" s="130">
        <f>2*(IF(Rules!$B$12=Rules!$F$12,SUM(Stand!C36:C43)+Rules!$B$5*Stand!C44+C42,SUM(HSD!C36:C43)+Rules!$B$5*HSD!C44+C42)/(9+Rules!$B$5))</f>
        <v>0.58809086957773749</v>
      </c>
      <c r="D29" s="130">
        <f>2*(IF(Rules!$B$12=Rules!$F$12,SUM(Stand!D36:D43)+Rules!$B$5*Stand!D44+D42,SUM(HSD!D36:D43)+Rules!$B$5*HSD!D44+D42)/(9+Rules!$B$5))</f>
        <v>0.63626378886959067</v>
      </c>
      <c r="E29" s="130">
        <f>2*(IF(Rules!$B$12=Rules!$F$12,SUM(Stand!E36:E43)+Rules!$B$5*Stand!E44+E42,SUM(HSD!E36:E43)+Rules!$B$5*HSD!E44+E42)/(9+Rules!$B$5))</f>
        <v>0.68559495955842076</v>
      </c>
      <c r="F29" s="130">
        <f>2*(IF(Rules!$B$12=Rules!$F$12,SUM(Stand!F36:F43)+Rules!$B$5*Stand!F44+F42,SUM(HSD!F36:F43)+Rules!$B$5*HSD!F44+F42)/(9+Rules!$B$5))</f>
        <v>0.73499004540818236</v>
      </c>
      <c r="G29" s="130">
        <f>2*(IF(Rules!$B$12=Rules!$F$12,SUM(Stand!G36:G43)+Rules!$B$5*Stand!G44+G42,SUM(HSD!G36:G43)+Rules!$B$5*HSD!G44+G42)/(9+Rules!$B$5))</f>
        <v>0.79369995809796545</v>
      </c>
      <c r="H29" s="130">
        <f>2*(IF(Rules!$B$12=Rules!$F$12,SUM(Stand!H36:H43)+Rules!$B$5*Stand!H44+H42,SUM(HSD!H36:H43)+Rules!$B$5*HSD!H44+H42)/(9+Rules!$B$5))</f>
        <v>0.60723727688601759</v>
      </c>
      <c r="I29" s="130">
        <f>2*(IF(Rules!$B$12=Rules!$F$12,SUM(Stand!I36:I43)+Rules!$B$5*Stand!I44+I42,SUM(HSD!I36:I43)+Rules!$B$5*HSD!I44+I42)/(9+Rules!$B$5))</f>
        <v>0.48318645338845845</v>
      </c>
      <c r="J29" s="130">
        <f>2*(IF(Rules!$B$12=Rules!$F$12,SUM(Stand!J36:J43)+Rules!$B$5*Stand!J44+J42,SUM(HSD!J36:J43)+Rules!$B$5*HSD!J44+J42)/(9+Rules!$B$5))</f>
        <v>0.34638851611915705</v>
      </c>
      <c r="K29" s="58">
        <f>2*(IF(Rules!$B$12=Rules!$F$12,SUM(Stand!K36:K43)+Rules!$B$5*Stand!K44+K42,SUM(HSD!K36:K43)+Rules!$B$5*HSD!K44+K42)/(9+Rules!$B$5))</f>
        <v>0.29047627531978187</v>
      </c>
    </row>
    <row r="30" spans="1:11" x14ac:dyDescent="0.2">
      <c r="A30" s="118">
        <v>2</v>
      </c>
      <c r="B30" s="112">
        <f>2*(IF(Rules!$B$9=Rules!$E$9,SUM(HSD!B5:B11)+Rules!$B$5*HSD!B12+HSD!B36+B43,SUM(HS!B5:B11)+Rules!$B$5*HS!B12+HS!B36+B43)/(9+Rules!$B$5))</f>
        <v>-0.43034280812761505</v>
      </c>
      <c r="C30" s="1">
        <f>2*(IF(Rules!$B$9=Rules!$E$9,SUM(HSD!C5:C11)+Rules!$B$5*HSD!C12+HSD!C36+C43,SUM(HS!C5:C11)+Rules!$B$5*HS!C12+HS!C36+C43)/(9+Rules!$B$5))</f>
        <v>-8.4883227555298188E-2</v>
      </c>
      <c r="D30" s="1">
        <f>2*(IF(Rules!$B$9=Rules!$E$9,SUM(HSD!D5:D11)+Rules!$B$5*HSD!D12+HSD!D36+D43,SUM(HS!D5:D11)+Rules!$B$5*HS!D12+HS!D36+D43)/(9+Rules!$B$5))</f>
        <v>-1.6847332968400533E-2</v>
      </c>
      <c r="E30" s="1">
        <f>2*(IF(Rules!$B$9=Rules!$E$9,SUM(HSD!E5:E11)+Rules!$B$5*HSD!E12+HSD!E36+E43,SUM(HS!E5:E11)+Rules!$B$5*HS!E12+HS!E36+E43)/(9+Rules!$B$5))</f>
        <v>5.7148791057335974E-2</v>
      </c>
      <c r="F30" s="1">
        <f>2*(IF(Rules!$B$9=Rules!$E$9,SUM(HSD!F5:F11)+Rules!$B$5*HSD!F12+HSD!F36+F43,SUM(HS!F5:F11)+Rules!$B$5*HS!F12+HS!F36+F43)/(9+Rules!$B$5))</f>
        <v>0.14873132332818745</v>
      </c>
      <c r="G30" s="1">
        <f>2*(IF(Rules!$B$9=Rules!$E$9,SUM(HSD!G5:G11)+Rules!$B$5*HSD!G12+HSD!G36+G43,SUM(HS!G5:G11)+Rules!$B$5*HS!G12+HS!G36+G43)/(9+Rules!$B$5))</f>
        <v>0.22303216445576374</v>
      </c>
      <c r="H30" s="1">
        <f>2*(IF(Rules!$B$9=Rules!$E$9,SUM(HSD!H5:H11)+Rules!$B$5*HSD!H12+HSD!H36+H43,SUM(HS!H5:H11)+Rules!$B$5*HS!H12+HS!H36+H43)/(9+Rules!$B$5))</f>
        <v>5.0437334404890245E-3</v>
      </c>
      <c r="I30" s="1">
        <f>2*(IF(Rules!$B$9=Rules!$E$9,SUM(HSD!I5:I11)+Rules!$B$5*HSD!I12+HSD!I36+I43,SUM(HS!I5:I11)+Rules!$B$5*HS!I12+HS!I36+I43)/(9+Rules!$B$5))</f>
        <v>-0.17638232094742817</v>
      </c>
      <c r="J30" s="1">
        <f>2*(IF(Rules!$B$9=Rules!$E$9,SUM(HSD!J5:J11)+Rules!$B$5*HSD!J12+HSD!J36+J43,SUM(HS!J5:J11)+Rules!$B$5*HS!J12+HS!J36+J43)/(9+Rules!$B$5))</f>
        <v>-0.3842681223231732</v>
      </c>
      <c r="K30" s="9">
        <f>2*(IF(Rules!$B$9=Rules!$E$9,SUM(HSD!K5:K11)+Rules!$B$5*HSD!K12+HSD!K36+K43,SUM(HS!K5:K11)+Rules!$B$5*HS!K12+HS!K36+K43)/(9+Rules!$B$5))</f>
        <v>-0.50327746896703818</v>
      </c>
    </row>
    <row r="31" spans="1:11" x14ac:dyDescent="0.2">
      <c r="A31" s="118">
        <v>3</v>
      </c>
      <c r="B31" s="112">
        <f>2*(IF(Rules!$B$9=Rules!$E$9,SUM(HSD!B6:B12)+Rules!$B$5*HSD!B13+HSD!B37+B44,SUM(HS!B6:B12)+Rules!$B$5*HS!B13+HS!B37+B44)/(9+Rules!$B$5))</f>
        <v>-0.48315196862599741</v>
      </c>
      <c r="C31" s="1">
        <f>2*(IF(Rules!$B$9=Rules!$E$9,SUM(HSD!C6:C12)+Rules!$B$5*HSD!C13+HSD!C37+C44,SUM(HS!C6:C12)+Rules!$B$5*HS!C13+HS!C37+C44)/(9+Rules!$B$5))</f>
        <v>-0.13969398936125582</v>
      </c>
      <c r="D31" s="1">
        <f>2*(IF(Rules!$B$9=Rules!$E$9,SUM(HSD!D6:D12)+Rules!$B$5*HSD!D13+HSD!D37+D44,SUM(HS!D6:D12)+Rules!$B$5*HS!D13+HS!D37+D44)/(9+Rules!$B$5))</f>
        <v>-5.9028928203098463E-2</v>
      </c>
      <c r="E31" s="1">
        <f>2*(IF(Rules!$B$9=Rules!$E$9,SUM(HSD!E6:E12)+Rules!$B$5*HSD!E13+HSD!E37+E44,SUM(HS!E6:E12)+Rules!$B$5*HS!E13+HS!E37+E44)/(9+Rules!$B$5))</f>
        <v>2.6333231902984113E-2</v>
      </c>
      <c r="F31" s="1">
        <f>2*(IF(Rules!$B$9=Rules!$E$9,SUM(HSD!F6:F12)+Rules!$B$5*HSD!F13+HSD!F37+F44,SUM(HS!F6:F12)+Rules!$B$5*HS!F13+HS!F37+F44)/(9+Rules!$B$5))</f>
        <v>0.12171916660728604</v>
      </c>
      <c r="G31" s="1">
        <f>2*(IF(Rules!$B$9=Rules!$E$9,SUM(HSD!G6:G12)+Rules!$B$5*HSD!G13+HSD!G37+G44,SUM(HS!G6:G12)+Rules!$B$5*HS!G13+HS!G37+G44)/(9+Rules!$B$5))</f>
        <v>0.19566738717632817</v>
      </c>
      <c r="H31" s="1">
        <f>2*(IF(Rules!$B$9=Rules!$E$9,SUM(HSD!H6:H12)+Rules!$B$5*HSD!H13+HSD!H37+H44,SUM(HS!H6:H12)+Rules!$B$5*HS!H13+HS!H37+H44)/(9+Rules!$B$5))</f>
        <v>-5.9808615273623515E-2</v>
      </c>
      <c r="I31" s="1">
        <f>2*(IF(Rules!$B$9=Rules!$E$9,SUM(HSD!I6:I12)+Rules!$B$5*HSD!I13+HSD!I37+I44,SUM(HS!I6:I12)+Rules!$B$5*HS!I13+HS!I37+I44)/(9+Rules!$B$5))</f>
        <v>-0.23606588123713995</v>
      </c>
      <c r="J31" s="1">
        <f>2*(IF(Rules!$B$9=Rules!$E$9,SUM(HSD!J6:J12)+Rules!$B$5*HSD!J13+HSD!J37+J44,SUM(HS!J6:J12)+Rules!$B$5*HS!J13+HS!J37+J44)/(9+Rules!$B$5))</f>
        <v>-0.43803632573811863</v>
      </c>
      <c r="K31" s="9">
        <f>2*(IF(Rules!$B$9=Rules!$E$9,SUM(HSD!K6:K12)+Rules!$B$5*HSD!K13+HSD!K37+K44,SUM(HS!K6:K12)+Rules!$B$5*HS!K13+HS!K37+K44)/(9+Rules!$B$5))</f>
        <v>-0.55339346830830327</v>
      </c>
    </row>
    <row r="32" spans="1:11" x14ac:dyDescent="0.2">
      <c r="A32" s="118">
        <v>4</v>
      </c>
      <c r="B32" s="112">
        <f>2*(IF(Rules!$B$9=Rules!$E$9,SUM(HSD!B7:B13)+Rules!$B$5*HSD!B14+HSD!B38+B45,SUM(HS!B7:B13)+Rules!$B$5*HS!B14+HS!B38+B45)/(9+Rules!$B$5))</f>
        <v>-0.53723204385891232</v>
      </c>
      <c r="C32" s="1">
        <f>2*(IF(Rules!$B$9=Rules!$E$9,SUM(HSD!C7:C13)+Rules!$B$5*HSD!C14+HSD!C38+C45,SUM(HS!C7:C13)+Rules!$B$5*HS!C14+HS!C38+C45)/(9+Rules!$B$5))</f>
        <v>-0.17097380442583437</v>
      </c>
      <c r="D32" s="1">
        <f>2*(IF(Rules!$B$9=Rules!$E$9,SUM(HSD!D7:D13)+Rules!$B$5*HSD!D14+HSD!D38+D45,SUM(HS!D7:D13)+Rules!$B$5*HS!D14+HS!D38+D45)/(9+Rules!$B$5))</f>
        <v>-8.8887541982419133E-2</v>
      </c>
      <c r="E32" s="1">
        <f>2*(IF(Rules!$B$9=Rules!$E$9,SUM(HSD!E7:E13)+Rules!$B$5*HSD!E14+HSD!E38+E45,SUM(HS!E7:E13)+Rules!$B$5*HS!E14+HS!E38+E45)/(9+Rules!$B$5))</f>
        <v>-2.1520393652436822E-3</v>
      </c>
      <c r="F32" s="1">
        <f>2*(IF(Rules!$B$9=Rules!$E$9,SUM(HSD!F7:F13)+Rules!$B$5*HSD!F14+HSD!F38+F45,SUM(HS!F7:F13)+Rules!$B$5*HS!F14+HS!F38+F45)/(9+Rules!$B$5))</f>
        <v>9.7979233844480332E-2</v>
      </c>
      <c r="G32" s="1">
        <f>2*(IF(Rules!$B$9=Rules!$E$9,SUM(HSD!G7:G13)+Rules!$B$5*HSD!G14+HSD!G38+G45,SUM(HS!G7:G13)+Rules!$B$5*HS!G14+HS!G38+G45)/(9+Rules!$B$5))</f>
        <v>0.17041251498834212</v>
      </c>
      <c r="H32" s="1">
        <f>2*(IF(Rules!$B$9=Rules!$E$9,SUM(HSD!H7:H13)+Rules!$B$5*HSD!H14+HSD!H38+H45,SUM(HS!H7:H13)+Rules!$B$5*HS!H14+HS!H38+H45)/(9+Rules!$B$5))</f>
        <v>-0.12598383410732422</v>
      </c>
      <c r="I32" s="1">
        <f>2*(IF(Rules!$B$9=Rules!$E$9,SUM(HSD!I7:I13)+Rules!$B$5*HSD!I14+HSD!I38+I45,SUM(HS!I7:I13)+Rules!$B$5*HS!I14+HS!I38+I45)/(9+Rules!$B$5))</f>
        <v>-0.29710211242674955</v>
      </c>
      <c r="J32" s="1">
        <f>2*(IF(Rules!$B$9=Rules!$E$9,SUM(HSD!J7:J13)+Rules!$B$5*HSD!J14+HSD!J38+J45,SUM(HS!J7:J13)+Rules!$B$5*HS!J14+HS!J38+J45)/(9+Rules!$B$5))</f>
        <v>-0.49308520239294168</v>
      </c>
      <c r="K32" s="9">
        <f>2*(IF(Rules!$B$9=Rules!$E$9,SUM(HSD!K7:K13)+Rules!$B$5*HSD!K14+HSD!K38+K45,SUM(HS!K7:K13)+Rules!$B$5*HS!K14+HS!K38+K45)/(9+Rules!$B$5))</f>
        <v>-0.60473080650977351</v>
      </c>
    </row>
    <row r="33" spans="1:11" x14ac:dyDescent="0.2">
      <c r="A33" s="118">
        <v>5</v>
      </c>
      <c r="B33" s="112">
        <f>2*(IF(Rules!$B$9=Rules!$E$9,SUM(HSD!B8:B14)+Rules!$B$5*HSD!B15+HSD!B39+B46,SUM(HS!B8:B14)+Rules!$B$5*HS!B15+HS!B39+B46)/(9+Rules!$B$5))</f>
        <v>-0.59516112506856278</v>
      </c>
      <c r="C33" s="1">
        <f>2*(IF(Rules!$B$9=Rules!$E$9,SUM(HSD!C8:C14)+Rules!$B$5*HSD!C15+HSD!C39+C46,SUM(HS!C8:C14)+Rules!$B$5*HS!C15+HS!C39+C46)/(9+Rules!$B$5))</f>
        <v>-0.206529078466726</v>
      </c>
      <c r="D33" s="1">
        <f>2*(IF(Rules!$B$9=Rules!$E$9,SUM(HSD!D8:D14)+Rules!$B$5*HSD!D15+HSD!D39+D46,SUM(HS!D8:D14)+Rules!$B$5*HS!D15+HS!D39+D46)/(9+Rules!$B$5))</f>
        <v>-0.12291243283323873</v>
      </c>
      <c r="E33" s="1">
        <f>2*(IF(Rules!$B$9=Rules!$E$9,SUM(HSD!E8:E14)+Rules!$B$5*HSD!E15+HSD!E39+E46,SUM(HS!E8:E14)+Rules!$B$5*HS!E15+HS!E39+E46)/(9+Rules!$B$5))</f>
        <v>-3.1426736428273511E-2</v>
      </c>
      <c r="F33" s="1">
        <f>2*(IF(Rules!$B$9=Rules!$E$9,SUM(HSD!F8:F14)+Rules!$B$5*HSD!F15+HSD!F39+F46,SUM(HS!F8:F14)+Rules!$B$5*HS!F15+HS!F39+F46)/(9+Rules!$B$5))</f>
        <v>7.0245147760057941E-2</v>
      </c>
      <c r="G33" s="1">
        <f>2*(IF(Rules!$B$9=Rules!$E$9,SUM(HSD!G8:G14)+Rules!$B$5*HSD!G15+HSD!G39+G46,SUM(HS!G8:G14)+Rules!$B$5*HS!G15+HS!G39+G46)/(9+Rules!$B$5))</f>
        <v>0.13894644378135385</v>
      </c>
      <c r="H33" s="1">
        <f>2*(IF(Rules!$B$9=Rules!$E$9,SUM(HSD!H8:H14)+Rules!$B$5*HSD!H15+HSD!H39+H46,SUM(HS!H8:H14)+Rules!$B$5*HS!H15+HS!H39+H46)/(9+Rules!$B$5))</f>
        <v>-0.21069899103679252</v>
      </c>
      <c r="I33" s="1">
        <f>2*(IF(Rules!$B$9=Rules!$E$9,SUM(HSD!I8:I14)+Rules!$B$5*HSD!I15+HSD!I39+I46,SUM(HS!I8:I14)+Rules!$B$5*HS!I15+HS!I39+I46)/(9+Rules!$B$5))</f>
        <v>-0.36449047877153973</v>
      </c>
      <c r="J33" s="1">
        <f>2*(IF(Rules!$B$9=Rules!$E$9,SUM(HSD!J8:J14)+Rules!$B$5*HSD!J15+HSD!J39+J46,SUM(HS!J8:J14)+Rules!$B$5*HS!J15+HS!J39+J46)/(9+Rules!$B$5))</f>
        <v>-0.55408649051290371</v>
      </c>
      <c r="K33" s="9">
        <f>2*(IF(Rules!$B$9=Rules!$E$9,SUM(HSD!K8:K14)+Rules!$B$5*HSD!K15+HSD!K39+K46,SUM(HS!K8:K14)+Rules!$B$5*HS!K15+HS!K39+K46)/(9+Rules!$B$5))</f>
        <v>-0.66348474222815945</v>
      </c>
    </row>
    <row r="34" spans="1:11" x14ac:dyDescent="0.2">
      <c r="A34" s="118">
        <v>6</v>
      </c>
      <c r="B34" s="112">
        <f>2*(IF(Rules!$B$9=Rules!$E$9,SUM(HSD!B9:B15)+Rules!$B$5*HSD!B16+HSD!B40+B47,SUM(HS!B9:B15)+Rules!$B$5*HS!B16+HS!B40+B47)/(9+Rules!$B$5))</f>
        <v>-0.6715647160094349</v>
      </c>
      <c r="C34" s="1">
        <f>2*(IF(Rules!$B$9=Rules!$E$9,SUM(HSD!C9:C15)+Rules!$B$5*HSD!C16+HSD!C40+C47,SUM(HS!C9:C15)+Rules!$B$5*HS!C16+HS!C40+C47)/(9+Rules!$B$5))</f>
        <v>-0.24891961628240239</v>
      </c>
      <c r="D34" s="1">
        <f>2*(IF(Rules!$B$9=Rules!$E$9,SUM(HSD!D9:D15)+Rules!$B$5*HSD!D16+HSD!D40+D47,SUM(HS!D9:D15)+Rules!$B$5*HS!D16+HS!D40+D47)/(9+Rules!$B$5))</f>
        <v>-0.15893743934968224</v>
      </c>
      <c r="E34" s="1">
        <f>2*(IF(Rules!$B$9=Rules!$E$9,SUM(HSD!E9:E15)+Rules!$B$5*HSD!E16+HSD!E40+E47,SUM(HS!E9:E15)+Rules!$B$5*HS!E16+HS!E40+E47)/(9+Rules!$B$5))</f>
        <v>-6.3151123653835545E-2</v>
      </c>
      <c r="F34" s="1">
        <f>2*(IF(Rules!$B$9=Rules!$E$9,SUM(HSD!F9:F15)+Rules!$B$5*HSD!F16+HSD!F40+F47,SUM(HS!F9:F15)+Rules!$B$5*HS!F16+HS!F40+F47)/(9+Rules!$B$5))</f>
        <v>3.9861095610559186E-2</v>
      </c>
      <c r="G34" s="1">
        <f>2*(IF(Rules!$B$9=Rules!$E$9,SUM(HSD!G9:G15)+Rules!$B$5*HSD!G16+HSD!G40+G47,SUM(HS!G9:G15)+Rules!$B$5*HS!G16+HS!G40+G47)/(9+Rules!$B$5))</f>
        <v>0.10683997453327757</v>
      </c>
      <c r="H34" s="1">
        <f>2*(IF(Rules!$B$9=Rules!$E$9,SUM(HSD!H9:H15)+Rules!$B$5*HSD!H16+HSD!H40+H47,SUM(HS!H9:H15)+Rules!$B$5*HS!H16+HS!H40+H47)/(9+Rules!$B$5))</f>
        <v>-0.30889810168793636</v>
      </c>
      <c r="I34" s="1">
        <f>2*(IF(Rules!$B$9=Rules!$E$9,SUM(HSD!I9:I15)+Rules!$B$5*HSD!I16+HSD!I40+I47,SUM(HS!I9:I15)+Rules!$B$5*HS!I16+HS!I40+I47)/(9+Rules!$B$5))</f>
        <v>-0.45494204097610691</v>
      </c>
      <c r="J34" s="1">
        <f>2*(IF(Rules!$B$9=Rules!$E$9,SUM(HSD!J9:J15)+Rules!$B$5*HSD!J16+HSD!J40+J47,SUM(HS!J9:J15)+Rules!$B$5*HS!J16+HS!J40+J47)/(9+Rules!$B$5))</f>
        <v>-0.62571169221831358</v>
      </c>
      <c r="K34" s="9">
        <f>2*(IF(Rules!$B$9=Rules!$E$9,SUM(HSD!K9:K15)+Rules!$B$5*HSD!K16+HSD!K40+K47,SUM(HS!K9:K15)+Rules!$B$5*HS!K16+HS!K40+K47)/(9+Rules!$B$5))</f>
        <v>-0.73036884469685959</v>
      </c>
    </row>
    <row r="35" spans="1:11" x14ac:dyDescent="0.2">
      <c r="A35" s="118">
        <v>7</v>
      </c>
      <c r="B35" s="112">
        <f>2*(IF(Rules!$B$9=Rules!$E$9,SUM(HSD!B10:B16)+Rules!$B$5*HSD!B17+HSD!B41+B48,SUM(HS!B10:B16)+Rules!$B$5*HS!B17+HS!B41+B48)/(9+Rules!$B$5))</f>
        <v>-0.70544522710715207</v>
      </c>
      <c r="C35" s="1">
        <f>2*(IF(Rules!$B$9=Rules!$E$9,SUM(HSD!C10:C16)+Rules!$B$5*HSD!C17+HSD!C41+C48,SUM(HS!C10:C16)+Rules!$B$5*HS!C17+HS!C41+C48)/(9+Rules!$B$5))</f>
        <v>-0.19085944423380138</v>
      </c>
      <c r="D35" s="1">
        <f>2*(IF(Rules!$B$9=Rules!$E$9,SUM(HSD!D10:D16)+Rules!$B$5*HSD!D17+HSD!D41+D48,SUM(HS!D10:D16)+Rules!$B$5*HS!D17+HS!D41+D48)/(9+Rules!$B$5))</f>
        <v>-0.1048563437310312</v>
      </c>
      <c r="E35" s="1">
        <f>2*(IF(Rules!$B$9=Rules!$E$9,SUM(HSD!E10:E16)+Rules!$B$5*HSD!E17+HSD!E41+E48,SUM(HS!E10:E16)+Rules!$B$5*HS!E17+HS!E41+E48)/(9+Rules!$B$5))</f>
        <v>-1.5863527404892646E-2</v>
      </c>
      <c r="F35" s="1">
        <f>2*(IF(Rules!$B$9=Rules!$E$9,SUM(HSD!F10:F16)+Rules!$B$5*HSD!F17+HSD!F41+F48,SUM(HS!F10:F16)+Rules!$B$5*HS!F17+HS!F41+F48)/(9+Rules!$B$5))</f>
        <v>7.7950375044067696E-2</v>
      </c>
      <c r="G35" s="1">
        <f>2*(IF(Rules!$B$9=Rules!$E$9,SUM(HSD!G10:G16)+Rules!$B$5*HSD!G17+HSD!G41+G48,SUM(HS!G10:G16)+Rules!$B$5*HS!G17+HS!G41+G48)/(9+Rules!$B$5))</f>
        <v>0.16778916128184004</v>
      </c>
      <c r="H35" s="1">
        <f>2*(IF(Rules!$B$9=Rules!$E$9,SUM(HSD!H10:H16)+Rules!$B$5*HSD!H17+HSD!H41+H48,SUM(HS!H10:H16)+Rules!$B$5*HS!H17+HS!H41+H48)/(9+Rules!$B$5))</f>
        <v>-0.13086530256934162</v>
      </c>
      <c r="I35" s="1">
        <f>2*(IF(Rules!$B$9=Rules!$E$9,SUM(HSD!I10:I16)+Rules!$B$5*HSD!I17+HSD!I41+I48,SUM(HS!I10:I16)+Rules!$B$5*HS!I17+HS!I41+I48)/(9+Rules!$B$5))</f>
        <v>-0.46397554930649498</v>
      </c>
      <c r="J35" s="1">
        <f>2*(IF(Rules!$B$9=Rules!$E$9,SUM(HSD!J10:J16)+Rules!$B$5*HSD!J17+HSD!J41+J48,SUM(HS!J10:J16)+Rules!$B$5*HS!J17+HS!J41+J48)/(9+Rules!$B$5))</f>
        <v>-0.63323159727567113</v>
      </c>
      <c r="K35" s="9">
        <f>2*(IF(Rules!$B$9=Rules!$E$9,SUM(HSD!K10:K16)+Rules!$B$5*HSD!K17+HSD!K41+K48,SUM(HS!K10:K16)+Rules!$B$5*HS!K17+HS!K41+K48)/(9+Rules!$B$5))</f>
        <v>-0.70206151561651309</v>
      </c>
    </row>
    <row r="36" spans="1:11" x14ac:dyDescent="0.2">
      <c r="A36" s="118">
        <v>8</v>
      </c>
      <c r="B36" s="112">
        <f>2*(IF(Rules!$B$9=Rules!$E$9,SUM(HSD!B11:B17)+Rules!$B$5*HSD!B18+HSD!B42+B49,SUM(HS!B11:B17)+Rules!$B$5*HS!B18+HS!B42+B49)/(9+Rules!$B$5))</f>
        <v>-0.46721259485503536</v>
      </c>
      <c r="C36" s="1">
        <f>2*(IF(Rules!$B$9=Rules!$E$9,SUM(HSD!C11:C17)+Rules!$B$5*HSD!C18+HSD!C42+C49,SUM(HS!C11:C17)+Rules!$B$5*HS!C18+HS!C42+C49)/(9+Rules!$B$5))</f>
        <v>-3.2969409925924183E-2</v>
      </c>
      <c r="D36" s="1">
        <f>2*(IF(Rules!$B$9=Rules!$E$9,SUM(HSD!D11:D17)+Rules!$B$5*HSD!D18+HSD!D42+D49,SUM(HS!D11:D17)+Rules!$B$5*HS!D18+HS!D42+D49)/(9+Rules!$B$5))</f>
        <v>3.7282812830147755E-2</v>
      </c>
      <c r="E36" s="1">
        <f>2*(IF(Rules!$B$9=Rules!$E$9,SUM(HSD!E11:E17)+Rules!$B$5*HSD!E18+HSD!E42+E49,SUM(HS!E11:E17)+Rules!$B$5*HS!E18+HS!E42+E49)/(9+Rules!$B$5))</f>
        <v>0.10974088847717861</v>
      </c>
      <c r="F36" s="1">
        <f>2*(IF(Rules!$B$9=Rules!$E$9,SUM(HSD!F11:F17)+Rules!$B$5*HSD!F18+HSD!F42+F49,SUM(HS!F11:F17)+Rules!$B$5*HS!F18+HS!F42+F49)/(9+Rules!$B$5))</f>
        <v>0.18459529646735304</v>
      </c>
      <c r="G36" s="1">
        <f>2*(IF(Rules!$B$9=Rules!$E$9,SUM(HSD!G11:G17)+Rules!$B$5*HSD!G18+HSD!G42+G49,SUM(HS!G11:G17)+Rules!$B$5*HS!G18+HS!G42+G49)/(9+Rules!$B$5))</f>
        <v>0.28706312489091801</v>
      </c>
      <c r="H36" s="1">
        <f>2*(IF(Rules!$B$9=Rules!$E$9,SUM(HSD!H11:H17)+Rules!$B$5*HSD!H18+HSD!H42+H49,SUM(HS!H11:H17)+Rules!$B$5*HS!H18+HS!H42+H49)/(9+Rules!$B$5))</f>
        <v>0.18370146494097755</v>
      </c>
      <c r="I36" s="1">
        <f>2*(IF(Rules!$B$9=Rules!$E$9,SUM(HSD!I11:I17)+Rules!$B$5*HSD!I18+HSD!I42+I49,SUM(HS!I11:I17)+Rules!$B$5*HS!I18+HS!I42+I49)/(9+Rules!$B$5))</f>
        <v>-0.14515433445503195</v>
      </c>
      <c r="J36" s="1">
        <f>2*(IF(Rules!$B$9=Rules!$E$9,SUM(HSD!J11:J17)+Rules!$B$5*HSD!J18+HSD!J42+J49,SUM(HS!J11:J17)+Rules!$B$5*HS!J18+HS!J42+J49)/(9+Rules!$B$5))</f>
        <v>-0.48997310412390777</v>
      </c>
      <c r="K36" s="9">
        <f>2*(IF(Rules!$B$9=Rules!$E$9,SUM(HSD!K11:K17)+Rules!$B$5*HSD!K18+HSD!K42+K49,SUM(HS!K11:K17)+Rules!$B$5*HS!K18+HS!K42+K49)/(9+Rules!$B$5))</f>
        <v>-0.56868703026889478</v>
      </c>
    </row>
    <row r="37" spans="1:11" x14ac:dyDescent="0.2">
      <c r="A37" s="118">
        <v>9</v>
      </c>
      <c r="B37" s="112">
        <f>2*(IF(Rules!$B$9=Rules!$E$9,SUM(HSD!B12:B18)+Rules!$B$5*HSD!B19+HSD!B43+B50,SUM(HS!B12:B18)+Rules!$B$5*HS!B19+HS!B43+B50)/(9+Rules!$B$5))</f>
        <v>-0.17357122520500348</v>
      </c>
      <c r="C37" s="1">
        <f>2*(IF(Rules!$B$9=Rules!$E$9,SUM(HSD!C12:C18)+Rules!$B$5*HSD!C19+HSD!C43+C50,SUM(HS!C12:C18)+Rules!$B$5*HS!C19+HS!C43+C50)/(9+Rules!$B$5))</f>
        <v>0.14062719446391592</v>
      </c>
      <c r="D37" s="1">
        <f>2*(IF(Rules!$B$9=Rules!$E$9,SUM(HSD!D12:D18)+Rules!$B$5*HSD!D19+HSD!D43+D50,SUM(HS!D12:D18)+Rules!$B$5*HS!D19+HS!D43+D50)/(9+Rules!$B$5))</f>
        <v>0.19973169628425091</v>
      </c>
      <c r="E37" s="1">
        <f>2*(IF(Rules!$B$9=Rules!$E$9,SUM(HSD!E12:E18)+Rules!$B$5*HSD!E19+HSD!E43+E50,SUM(HS!E12:E18)+Rules!$B$5*HS!E19+HS!E43+E50)/(9+Rules!$B$5))</f>
        <v>0.26080531131208023</v>
      </c>
      <c r="F37" s="1">
        <f>2*(IF(Rules!$B$9=Rules!$E$9,SUM(HSD!F12:F18)+Rules!$B$5*HSD!F19+HSD!F43+F50,SUM(HS!F12:F18)+Rules!$B$5*HS!F19+HS!F43+F50)/(9+Rules!$B$5))</f>
        <v>0.32467890382806186</v>
      </c>
      <c r="G37" s="1">
        <f>2*(IF(Rules!$B$9=Rules!$E$9,SUM(HSD!G12:G18)+Rules!$B$5*HSD!G19+HSD!G43+G50,SUM(HS!G12:G18)+Rules!$B$5*HS!G19+HS!G43+G50)/(9+Rules!$B$5))</f>
        <v>0.40891222642813879</v>
      </c>
      <c r="H37" s="1">
        <f>2*(IF(Rules!$B$9=Rules!$E$9,SUM(HSD!H12:H18)+Rules!$B$5*HSD!H19+HSD!H43+H50,SUM(HS!H12:H18)+Rules!$B$5*HS!H19+HS!H43+H50)/(9+Rules!$B$5))</f>
        <v>0.35571367714235691</v>
      </c>
      <c r="I37" s="1">
        <f>2*(IF(Rules!$B$9=Rules!$E$9,SUM(HSD!I12:I18)+Rules!$B$5*HSD!I19+HSD!I43+I50,SUM(HS!I12:I18)+Rules!$B$5*HS!I19+HS!I43+I50)/(9+Rules!$B$5))</f>
        <v>0.19449722368973132</v>
      </c>
      <c r="J37" s="1">
        <f>2*(IF(Rules!$B$9=Rules!$E$9,SUM(HSD!J12:J18)+Rules!$B$5*HSD!J19+HSD!J43+J50,SUM(HS!J12:J18)+Rules!$B$5*HS!J19+HS!J43+J50)/(9+Rules!$B$5))</f>
        <v>-0.14311254858862787</v>
      </c>
      <c r="K37" s="9">
        <f>2*(IF(Rules!$B$9=Rules!$E$9,SUM(HSD!K12:K18)+Rules!$B$5*HSD!K19+HSD!K43+K50,SUM(HS!K12:K18)+Rules!$B$5*HS!K19+HS!K43+K50)/(9+Rules!$B$5))</f>
        <v>-0.3699253024517255</v>
      </c>
    </row>
    <row r="38" spans="1:11" ht="17" thickBot="1" x14ac:dyDescent="0.25">
      <c r="A38" s="119">
        <v>10</v>
      </c>
      <c r="B38" s="113">
        <f>2*(IF(Rules!$B$9=Rules!$E$9,SUM(HSD!B13:B19)+Rules!$B$5*HSD!B20+HSD!B44+B51,SUM(HS!B13:B19)+Rules!$B$5*HS!B20+HS!B44+B51)/(9+Rules!$B$5))</f>
        <v>0.24189014763372588</v>
      </c>
      <c r="C38" s="131">
        <f>2*(IF(Rules!$B$9=Rules!$E$9,SUM(HSD!C13:C19)+Rules!$B$5*HSD!C20+HSD!C44+C51,SUM(HS!C13:C19)+Rules!$B$5*HS!C20+HS!C44+C51)/(9+Rules!$B$5))</f>
        <v>0.46013690709266325</v>
      </c>
      <c r="D38" s="131">
        <f>2*(IF(Rules!$B$9=Rules!$E$9,SUM(HSD!D13:D19)+Rules!$B$5*HSD!D20+HSD!D44+D51,SUM(HS!D13:D19)+Rules!$B$5*HS!D20+HS!D44+D51)/(9+Rules!$B$5))</f>
        <v>0.51154008261649231</v>
      </c>
      <c r="E38" s="131">
        <f>2*(IF(Rules!$B$9=Rules!$E$9,SUM(HSD!E13:E19)+Rules!$B$5*HSD!E20+HSD!E44+E51,SUM(HS!E13:E19)+Rules!$B$5*HS!E20+HS!E44+E51)/(9+Rules!$B$5))</f>
        <v>0.56432537499270297</v>
      </c>
      <c r="F38" s="131">
        <f>2*(IF(Rules!$B$9=Rules!$E$9,SUM(HSD!F13:F19)+Rules!$B$5*HSD!F20+HSD!F44+F51,SUM(HS!F13:F19)+Rules!$B$5*HS!F20+HS!F44+F51)/(9+Rules!$B$5))</f>
        <v>0.61708784282461282</v>
      </c>
      <c r="G38" s="131">
        <f>2*(IF(Rules!$B$9=Rules!$E$9,SUM(HSD!G13:G19)+Rules!$B$5*HSD!G20+HSD!G44+G51,SUM(HS!G13:G19)+Rules!$B$5*HS!G20+HS!G44+G51)/(9+Rules!$B$5))</f>
        <v>0.68778850466357977</v>
      </c>
      <c r="H38" s="131">
        <f>2*(IF(Rules!$B$9=Rules!$E$9,SUM(HSD!H13:H19)+Rules!$B$5*HSD!H20+HSD!H44+H51,SUM(HS!H13:H19)+Rules!$B$5*HS!H20+HS!H44+H51)/(9+Rules!$B$5))</f>
        <v>0.62561213531670967</v>
      </c>
      <c r="I38" s="131">
        <f>2*(IF(Rules!$B$9=Rules!$E$9,SUM(HSD!I13:I19)+Rules!$B$5*HSD!I20+HSD!I44+I51,SUM(HS!I13:I19)+Rules!$B$5*HS!I20+HS!I44+I51)/(9+Rules!$B$5))</f>
        <v>0.49859698923137341</v>
      </c>
      <c r="J38" s="131">
        <f>2*(IF(Rules!$B$9=Rules!$E$9,SUM(HSD!J13:J19)+Rules!$B$5*HSD!J20+HSD!J44+J51,SUM(HS!J13:J19)+Rules!$B$5*HS!J20+HS!J44+J51)/(9+Rules!$B$5))</f>
        <v>0.32122417640741452</v>
      </c>
      <c r="K38" s="10">
        <f>2*(IF(Rules!$B$9=Rules!$E$9,SUM(HSD!K13:K19)+Rules!$B$5*HSD!K20+HSD!K44+K51,SUM(HS!K13:K19)+Rules!$B$5*HS!K20+HS!K44+K51)/(9+Rules!$B$5))</f>
        <v>0.11702628284017082</v>
      </c>
    </row>
    <row r="39" spans="1:11" ht="17" thickBot="1" x14ac:dyDescent="0.25"/>
    <row r="40" spans="1:11" ht="17" thickBot="1" x14ac:dyDescent="0.25">
      <c r="A40" s="299" t="s">
        <v>82</v>
      </c>
      <c r="B40" s="300"/>
      <c r="C40" s="300"/>
      <c r="D40" s="300"/>
      <c r="E40" s="300"/>
      <c r="F40" s="300"/>
      <c r="G40" s="300"/>
      <c r="H40" s="300"/>
      <c r="I40" s="300"/>
      <c r="J40" s="300"/>
      <c r="K40" s="301"/>
    </row>
    <row r="41" spans="1:11" ht="17" thickBot="1" x14ac:dyDescent="0.25">
      <c r="A41" s="152" t="s">
        <v>7</v>
      </c>
      <c r="B41" s="153">
        <v>1</v>
      </c>
      <c r="C41" s="154">
        <v>2</v>
      </c>
      <c r="D41" s="154">
        <v>3</v>
      </c>
      <c r="E41" s="154">
        <v>4</v>
      </c>
      <c r="F41" s="154">
        <v>5</v>
      </c>
      <c r="G41" s="154">
        <v>6</v>
      </c>
      <c r="H41" s="154">
        <v>7</v>
      </c>
      <c r="I41" s="154">
        <v>8</v>
      </c>
      <c r="J41" s="154">
        <v>9</v>
      </c>
      <c r="K41" s="155">
        <v>10</v>
      </c>
    </row>
    <row r="42" spans="1:11" x14ac:dyDescent="0.2">
      <c r="A42" s="147">
        <v>1</v>
      </c>
      <c r="B42" s="146">
        <f>2*(IF(Rules!$B$12=Rules!$F$12,SUM(Stand!B35:B43)+Rules!$B$5*Stand!B44,SUM(HSD!B35:B43)+Rules!$B$5*HSD!B44)/(9+Rules!$B$5))</f>
        <v>0.10906077977909699</v>
      </c>
      <c r="C42" s="150">
        <f>2*(IF(Rules!$B$12=Rules!$F$12,SUM(Stand!C35:C43)+Rules!$B$5*Stand!C44,SUM(HSD!C35:C43)+Rules!$B$5*HSD!C44)/(9+Rules!$B$5))</f>
        <v>0.47064092333946894</v>
      </c>
      <c r="D42" s="150">
        <f>2*(IF(Rules!$B$12=Rules!$F$12,SUM(Stand!D35:D43)+Rules!$B$5*Stand!D44,SUM(HSD!D35:D43)+Rules!$B$5*HSD!D44)/(9+Rules!$B$5))</f>
        <v>0.51779525312221664</v>
      </c>
      <c r="E42" s="150">
        <f>2*(IF(Rules!$B$12=Rules!$F$12,SUM(Stand!E35:E43)+Rules!$B$5*Stand!E44,SUM(HSD!E35:E43)+Rules!$B$5*HSD!E44)/(9+Rules!$B$5))</f>
        <v>0.56604055041797596</v>
      </c>
      <c r="F42" s="150">
        <f>2*(IF(Rules!$B$12=Rules!$F$12,SUM(Stand!F35:F43)+Rules!$B$5*Stand!F44,SUM(HSD!F35:F43)+Rules!$B$5*HSD!F44)/(9+Rules!$B$5))</f>
        <v>0.61469901790902803</v>
      </c>
      <c r="G42" s="150">
        <f>2*(IF(Rules!$B$12=Rules!$F$12,SUM(Stand!G35:G43)+Rules!$B$5*Stand!G44,SUM(HSD!G35:G43)+Rules!$B$5*HSD!G44)/(9+Rules!$B$5))</f>
        <v>0.66738009490756944</v>
      </c>
      <c r="H42" s="150">
        <f>2*(IF(Rules!$B$12=Rules!$F$12,SUM(Stand!H35:H43)+Rules!$B$5*Stand!H44,SUM(HSD!H35:H43)+Rules!$B$5*HSD!H44)/(9+Rules!$B$5))</f>
        <v>0.46288894886429088</v>
      </c>
      <c r="I42" s="150">
        <f>2*(IF(Rules!$B$12=Rules!$F$12,SUM(Stand!I35:I43)+Rules!$B$5*Stand!I44,SUM(HSD!I35:I43)+Rules!$B$5*HSD!I44)/(9+Rules!$B$5))</f>
        <v>0.35069259087031512</v>
      </c>
      <c r="J42" s="150">
        <f>2*(IF(Rules!$B$12=Rules!$F$12,SUM(Stand!J35:J43)+Rules!$B$5*Stand!J44,SUM(HSD!J35:J43)+Rules!$B$5*HSD!J44)/(9+Rules!$B$5))</f>
        <v>0.22778342315245487</v>
      </c>
      <c r="K42" s="151">
        <f>2*(IF(Rules!$B$12=Rules!$F$12,SUM(Stand!K35:K43)+Rules!$B$5*Stand!K44,SUM(HSD!K35:K43)+Rules!$B$5*HSD!K44)/(9+Rules!$B$5))</f>
        <v>0.17968872741114625</v>
      </c>
    </row>
    <row r="43" spans="1:11" x14ac:dyDescent="0.2">
      <c r="A43" s="148">
        <v>2</v>
      </c>
      <c r="B43" s="141">
        <f>2*(IF(Rules!$B$9=Rules!$E$9,SUM(HSD!B4:B11)+Rules!$B$5*HSD!B12+HSD!B36,SUM(HS!B4:B11)+Rules!$B$5*HS!B12+HS!B36)/(9+Rules!$B$5))</f>
        <v>-0.40670736629778753</v>
      </c>
      <c r="C43" s="140">
        <f>2*(IF(Rules!$B$9=Rules!$E$9,SUM(HSD!C4:C11)+Rules!$B$5*HSD!C12+HSD!C36,SUM(HS!C4:C11)+Rules!$B$5*HS!C12+HS!C36)/(9+Rules!$B$5))</f>
        <v>-8.8887240897114625E-2</v>
      </c>
      <c r="D43" s="140">
        <f>2*(IF(Rules!$B$9=Rules!$E$9,SUM(HSD!D4:D11)+Rules!$B$5*HSD!D12+HSD!D36,SUM(HS!D4:D11)+Rules!$B$5*HS!D12+HS!D36)/(9+Rules!$B$5))</f>
        <v>-2.561613047924638E-2</v>
      </c>
      <c r="E43" s="140">
        <f>2*(IF(Rules!$B$9=Rules!$E$9,SUM(HSD!E4:E11)+Rules!$B$5*HSD!E12+HSD!E36,SUM(HS!E4:E11)+Rules!$B$5*HS!E12+HS!E36)/(9+Rules!$B$5))</f>
        <v>4.2946629568768907E-2</v>
      </c>
      <c r="F43" s="140">
        <f>2*(IF(Rules!$B$9=Rules!$E$9,SUM(HSD!F4:F11)+Rules!$B$5*HSD!F12+HSD!F36,SUM(HS!F4:F11)+Rules!$B$5*HS!F12+HS!F36)/(9+Rules!$B$5))</f>
        <v>0.12724982334843896</v>
      </c>
      <c r="G43" s="140">
        <f>2*(IF(Rules!$B$9=Rules!$E$9,SUM(HSD!G4:G11)+Rules!$B$5*HSD!G12+HSD!G36,SUM(HS!G4:G11)+Rules!$B$5*HS!G12+HS!G36)/(9+Rules!$B$5))</f>
        <v>0.19477859816579254</v>
      </c>
      <c r="H43" s="140">
        <f>2*(IF(Rules!$B$9=Rules!$E$9,SUM(HSD!H4:H11)+Rules!$B$5*HSD!H12+HSD!H36,SUM(HS!H4:H11)+Rules!$B$5*HS!H12+HS!H36)/(9+Rules!$B$5))</f>
        <v>-7.3993244927046805E-3</v>
      </c>
      <c r="I43" s="140">
        <f>2*(IF(Rules!$B$9=Rules!$E$9,SUM(HSD!I4:I11)+Rules!$B$5*HSD!I12+HSD!I36,SUM(HS!I4:I11)+Rules!$B$5*HS!I12+HS!I36)/(9+Rules!$B$5))</f>
        <v>-0.17410923184246513</v>
      </c>
      <c r="J43" s="140">
        <f>2*(IF(Rules!$B$9=Rules!$E$9,SUM(HSD!J4:J11)+Rules!$B$5*HSD!J12+HSD!J36,SUM(HS!J4:J11)+Rules!$B$5*HS!J12+HS!J36)/(9+Rules!$B$5))</f>
        <v>-0.36512119656719888</v>
      </c>
      <c r="K43" s="142">
        <f>2*(IF(Rules!$B$9=Rules!$E$9,SUM(HSD!K4:K11)+Rules!$B$5*HSD!K12+HSD!K36,SUM(HS!K4:K11)+Rules!$B$5*HS!K12+HS!K36)/(9+Rules!$B$5))</f>
        <v>-0.47473352836952315</v>
      </c>
    </row>
    <row r="44" spans="1:11" x14ac:dyDescent="0.2">
      <c r="A44" s="148">
        <v>3</v>
      </c>
      <c r="B44" s="141">
        <f>2*(IF(Rules!$B$9=Rules!$E$9,SUM(HSD!B5:B12)+Rules!$B$5*HSD!B13+HSD!B37,SUM(HS!B5:B12)+Rules!$B$5*HS!B13+HS!B37)/(9+Rules!$B$5))</f>
        <v>-0.45587498581610703</v>
      </c>
      <c r="C44" s="140">
        <f>2*(IF(Rules!$B$9=Rules!$E$9,SUM(HSD!C5:C12)+Rules!$B$5*HSD!C13+HSD!C37,SUM(HS!C5:C12)+Rules!$B$5*HS!C13+HS!C37)/(9+Rules!$B$5))</f>
        <v>-0.13816353305492138</v>
      </c>
      <c r="D44" s="140">
        <f>2*(IF(Rules!$B$9=Rules!$E$9,SUM(HSD!D5:D12)+Rules!$B$5*HSD!D13+HSD!D37,SUM(HS!D5:D12)+Rules!$B$5*HS!D13+HS!D37)/(9+Rules!$B$5))</f>
        <v>-6.3866434744217312E-2</v>
      </c>
      <c r="E44" s="140">
        <f>2*(IF(Rules!$B$9=Rules!$E$9,SUM(HSD!E5:E12)+Rules!$B$5*HSD!E13+HSD!E37,SUM(HS!E5:E12)+Rules!$B$5*HS!E13+HS!E37)/(9+Rules!$B$5))</f>
        <v>1.4624872422626991E-2</v>
      </c>
      <c r="F44" s="140">
        <f>2*(IF(Rules!$B$9=Rules!$E$9,SUM(HSD!F5:F12)+Rules!$B$5*HSD!F13+HSD!F37,SUM(HS!F5:F12)+Rules!$B$5*HS!F13+HS!F37)/(9+Rules!$B$5))</f>
        <v>0.10229274834073326</v>
      </c>
      <c r="G44" s="140">
        <f>2*(IF(Rules!$B$9=Rules!$E$9,SUM(HSD!G5:G12)+Rules!$B$5*HSD!G13+HSD!G37,SUM(HS!G5:G12)+Rules!$B$5*HS!G13+HS!G37)/(9+Rules!$B$5))</f>
        <v>0.16942022384102573</v>
      </c>
      <c r="H44" s="140">
        <f>2*(IF(Rules!$B$9=Rules!$E$9,SUM(HSD!H5:H12)+Rules!$B$5*HSD!H13+HSD!H37,SUM(HS!H5:H12)+Rules!$B$5*HS!H13+HS!H37)/(9+Rules!$B$5))</f>
        <v>-6.7760458821693514E-2</v>
      </c>
      <c r="I44" s="140">
        <f>2*(IF(Rules!$B$9=Rules!$E$9,SUM(HSD!I5:I12)+Rules!$B$5*HSD!I13+HSD!I37,SUM(HS!I5:I12)+Rules!$B$5*HS!I13+HS!I37)/(9+Rules!$B$5))</f>
        <v>-0.22966953759261269</v>
      </c>
      <c r="J44" s="140">
        <f>2*(IF(Rules!$B$9=Rules!$E$9,SUM(HSD!J5:J12)+Rules!$B$5*HSD!J13+HSD!J37,SUM(HS!J5:J12)+Rules!$B$5*HS!J13+HS!J37)/(9+Rules!$B$5))</f>
        <v>-0.41518015608743064</v>
      </c>
      <c r="K44" s="142">
        <f>2*(IF(Rules!$B$9=Rules!$E$9,SUM(HSD!K5:K12)+Rules!$B$5*HSD!K13+HSD!K37,SUM(HS!K5:K12)+Rules!$B$5*HS!K13+HS!K37)/(9+Rules!$B$5))</f>
        <v>-0.52139589164919231</v>
      </c>
    </row>
    <row r="45" spans="1:11" x14ac:dyDescent="0.2">
      <c r="A45" s="148">
        <v>4</v>
      </c>
      <c r="B45" s="141">
        <f>2*(IF(Rules!$B$9=Rules!$E$9,SUM(HSD!B6:B13)+Rules!$B$5*HSD!B14+HSD!B38,SUM(HS!B6:B13)+Rules!$B$5*HS!B14+HS!B38)/(9+Rules!$B$5))</f>
        <v>-0.50615398880781726</v>
      </c>
      <c r="C45" s="140">
        <f>2*(IF(Rules!$B$9=Rules!$E$9,SUM(HSD!C6:C13)+Rules!$B$5*HSD!C14+HSD!C38,SUM(HS!C6:C13)+Rules!$B$5*HS!C14+HS!C38)/(9+Rules!$B$5))</f>
        <v>-0.16694517949705912</v>
      </c>
      <c r="D45" s="140">
        <f>2*(IF(Rules!$B$9=Rules!$E$9,SUM(HSD!D6:D13)+Rules!$B$5*HSD!D14+HSD!D38,SUM(HS!D6:D13)+Rules!$B$5*HS!D14+HS!D38)/(9+Rules!$B$5))</f>
        <v>-9.1341346785911021E-2</v>
      </c>
      <c r="E45" s="140">
        <f>2*(IF(Rules!$B$9=Rules!$E$9,SUM(HSD!E6:E13)+Rules!$B$5*HSD!E14+HSD!E38,SUM(HS!E6:E13)+Rules!$B$5*HS!E14+HS!E38)/(9+Rules!$B$5))</f>
        <v>-1.1587386373396152E-2</v>
      </c>
      <c r="F45" s="140">
        <f>2*(IF(Rules!$B$9=Rules!$E$9,SUM(HSD!F6:F13)+Rules!$B$5*HSD!F14+HSD!F38,SUM(HS!F6:F13)+Rules!$B$5*HS!F14+HS!F38)/(9+Rules!$B$5))</f>
        <v>8.0259872887869343E-2</v>
      </c>
      <c r="G45" s="140">
        <f>2*(IF(Rules!$B$9=Rules!$E$9,SUM(HSD!G6:G13)+Rules!$B$5*HSD!G14+HSD!G38,SUM(HS!G6:G13)+Rules!$B$5*HS!G14+HS!G38)/(9+Rules!$B$5))</f>
        <v>0.14595673491924663</v>
      </c>
      <c r="H45" s="140">
        <f>2*(IF(Rules!$B$9=Rules!$E$9,SUM(HSD!H6:H13)+Rules!$B$5*HSD!H14+HSD!H38,SUM(HS!H6:H13)+Rules!$B$5*HS!H14+HS!H38)/(9+Rules!$B$5))</f>
        <v>-0.12944368385790758</v>
      </c>
      <c r="I45" s="140">
        <f>2*(IF(Rules!$B$9=Rules!$E$9,SUM(HSD!I6:I13)+Rules!$B$5*HSD!I14+HSD!I38,SUM(HS!I6:I13)+Rules!$B$5*HS!I14+HS!I38)/(9+Rules!$B$5))</f>
        <v>-0.28645408161262087</v>
      </c>
      <c r="J45" s="140">
        <f>2*(IF(Rules!$B$9=Rules!$E$9,SUM(HSD!J6:J13)+Rules!$B$5*HSD!J14+HSD!J38,SUM(HS!J6:J13)+Rules!$B$5*HS!J14+HS!J38)/(9+Rules!$B$5))</f>
        <v>-0.46635926876691297</v>
      </c>
      <c r="K45" s="142">
        <f>2*(IF(Rules!$B$9=Rules!$E$9,SUM(HSD!K6:K13)+Rules!$B$5*HSD!K14+HSD!K38,SUM(HS!K6:K13)+Rules!$B$5*HS!K14+HS!K38)/(9+Rules!$B$5))</f>
        <v>-0.5691332910255914</v>
      </c>
    </row>
    <row r="46" spans="1:11" x14ac:dyDescent="0.2">
      <c r="A46" s="148">
        <v>5</v>
      </c>
      <c r="B46" s="141">
        <f>2*(IF(Rules!$B$9=Rules!$E$9,SUM(HSD!B7:B14)+Rules!$B$5*HSD!B15+HSD!B39,SUM(HS!B7:B14)+Rules!$B$5*HS!B15+HS!B39)/(9+Rules!$B$5))</f>
        <v>-0.55714919510363936</v>
      </c>
      <c r="C46" s="140">
        <f>2*(IF(Rules!$B$9=Rules!$E$9,SUM(HSD!C7:C14)+Rules!$B$5*HSD!C15+HSD!C39,SUM(HS!C7:C14)+Rules!$B$5*HS!C15+HS!C39)/(9+Rules!$B$5))</f>
        <v>-0.19354965838671134</v>
      </c>
      <c r="D46" s="140">
        <f>2*(IF(Rules!$B$9=Rules!$E$9,SUM(HSD!D7:D14)+Rules!$B$5*HSD!D15+HSD!D39,SUM(HS!D7:D14)+Rules!$B$5*HS!D15+HS!D39)/(9+Rules!$B$5))</f>
        <v>-0.11673517270940206</v>
      </c>
      <c r="E46" s="140">
        <f>2*(IF(Rules!$B$9=Rules!$E$9,SUM(HSD!E7:E14)+Rules!$B$5*HSD!E15+HSD!E39,SUM(HS!E7:E14)+Rules!$B$5*HS!E15+HS!E39)/(9+Rules!$B$5))</f>
        <v>-3.2972744105082649E-2</v>
      </c>
      <c r="F46" s="140">
        <f>2*(IF(Rules!$B$9=Rules!$E$9,SUM(HSD!F7:F14)+Rules!$B$5*HSD!F15+HSD!F39,SUM(HS!F7:F14)+Rules!$B$5*HS!F15+HS!F39)/(9+Rules!$B$5))</f>
        <v>5.9909613271658099E-2</v>
      </c>
      <c r="G46" s="140">
        <f>2*(IF(Rules!$B$9=Rules!$E$9,SUM(HSD!G7:G14)+Rules!$B$5*HSD!G15+HSD!G39,SUM(HS!G7:G14)+Rules!$B$5*HS!G15+HS!G39)/(9+Rules!$B$5))</f>
        <v>0.12431163025768811</v>
      </c>
      <c r="H46" s="140">
        <f>2*(IF(Rules!$B$9=Rules!$E$9,SUM(HSD!H7:H14)+Rules!$B$5*HSD!H15+HSD!H39,SUM(HS!H7:H14)+Rules!$B$5*HS!H15+HS!H39)/(9+Rules!$B$5))</f>
        <v>-0.19178016550927721</v>
      </c>
      <c r="I46" s="140">
        <f>2*(IF(Rules!$B$9=Rules!$E$9,SUM(HSD!I7:I14)+Rules!$B$5*HSD!I15+HSD!I39,SUM(HS!I7:I14)+Rules!$B$5*HS!I15+HS!I39)/(9+Rules!$B$5))</f>
        <v>-0.34397238409858105</v>
      </c>
      <c r="J46" s="140">
        <f>2*(IF(Rules!$B$9=Rules!$E$9,SUM(HSD!J7:J14)+Rules!$B$5*HSD!J15+HSD!J39,SUM(HS!J7:J14)+Rules!$B$5*HS!J15+HS!J39)/(9+Rules!$B$5))</f>
        <v>-0.51825701717610007</v>
      </c>
      <c r="K46" s="142">
        <f>2*(IF(Rules!$B$9=Rules!$E$9,SUM(HSD!K7:K14)+Rules!$B$5*HSD!K15+HSD!K39,SUM(HS!K7:K14)+Rules!$B$5*HS!K15+HS!K39)/(9+Rules!$B$5))</f>
        <v>-0.61756074878418332</v>
      </c>
    </row>
    <row r="47" spans="1:11" x14ac:dyDescent="0.2">
      <c r="A47" s="148">
        <v>6</v>
      </c>
      <c r="B47" s="141">
        <f>2*(IF(Rules!$B$9=Rules!$E$9,SUM(HSD!B8:B15)+Rules!$B$5*HSD!B16+HSD!B40,SUM(HS!B8:B15)+Rules!$B$5*HS!B16+HS!B40)/(9+Rules!$B$5))</f>
        <v>-0.60829326195139866</v>
      </c>
      <c r="C47" s="140">
        <f>2*(IF(Rules!$B$9=Rules!$E$9,SUM(HSD!C8:C15)+Rules!$B$5*HSD!C16+HSD!C40,SUM(HS!C8:C15)+Rules!$B$5*HS!C16+HS!C40)/(9+Rules!$B$5))</f>
        <v>-0.21863675917925621</v>
      </c>
      <c r="D47" s="140">
        <f>2*(IF(Rules!$B$9=Rules!$E$9,SUM(HSD!D8:D15)+Rules!$B$5*HSD!D16+HSD!D40,SUM(HS!D8:D15)+Rules!$B$5*HS!D16+HS!D40)/(9+Rules!$B$5))</f>
        <v>-0.13667841243230397</v>
      </c>
      <c r="E47" s="140">
        <f>2*(IF(Rules!$B$9=Rules!$E$9,SUM(HSD!E8:E15)+Rules!$B$5*HSD!E16+HSD!E40,SUM(HS!E8:E15)+Rules!$B$5*HS!E16+HS!E40)/(9+Rules!$B$5))</f>
        <v>-4.9559710729696275E-2</v>
      </c>
      <c r="F47" s="140">
        <f>2*(IF(Rules!$B$9=Rules!$E$9,SUM(HSD!F8:F15)+Rules!$B$5*HSD!F16+HSD!F40,SUM(HS!F8:F15)+Rules!$B$5*HS!F16+HS!F40)/(9+Rules!$B$5))</f>
        <v>4.3986900993555816E-2</v>
      </c>
      <c r="G47" s="140">
        <f>2*(IF(Rules!$B$9=Rules!$E$9,SUM(HSD!G8:G15)+Rules!$B$5*HSD!G16+HSD!G40,SUM(HS!G8:G15)+Rules!$B$5*HS!G16+HS!G40)/(9+Rules!$B$5))</f>
        <v>0.10792266460833698</v>
      </c>
      <c r="H47" s="140">
        <f>2*(IF(Rules!$B$9=Rules!$E$9,SUM(HSD!H8:H15)+Rules!$B$5*HSD!H16+HSD!H40,SUM(HS!H8:H15)+Rules!$B$5*HS!H16+HS!H40)/(9+Rules!$B$5))</f>
        <v>-0.25675069621437913</v>
      </c>
      <c r="I47" s="140">
        <f>2*(IF(Rules!$B$9=Rules!$E$9,SUM(HSD!I8:I15)+Rules!$B$5*HSD!I16+HSD!I40,SUM(HS!I8:I15)+Rules!$B$5*HS!I16+HS!I40)/(9+Rules!$B$5))</f>
        <v>-0.40226953893378015</v>
      </c>
      <c r="J47" s="140">
        <f>2*(IF(Rules!$B$9=Rules!$E$9,SUM(HSD!J8:J15)+Rules!$B$5*HSD!J16+HSD!J40,SUM(HS!J8:J15)+Rules!$B$5*HS!J16+HS!J40)/(9+Rules!$B$5))</f>
        <v>-0.57030831085563405</v>
      </c>
      <c r="K47" s="142">
        <f>2*(IF(Rules!$B$9=Rules!$E$9,SUM(HSD!K8:K15)+Rules!$B$5*HSD!K16+HSD!K40,SUM(HS!K8:K15)+Rules!$B$5*HS!K16+HS!K40)/(9+Rules!$B$5))</f>
        <v>-0.66623634281105726</v>
      </c>
    </row>
    <row r="48" spans="1:11" x14ac:dyDescent="0.2">
      <c r="A48" s="148">
        <v>7</v>
      </c>
      <c r="B48" s="141">
        <f>2*(IF(Rules!$B$9=Rules!$E$9,SUM(HSD!B9:B16)+Rules!$B$5*HSD!B17+HSD!B41,SUM(HS!B9:B16)+Rules!$B$5*HS!B17+HS!B41)/(9+Rules!$B$5))</f>
        <v>-0.62014330066327394</v>
      </c>
      <c r="C48" s="140">
        <f>2*(IF(Rules!$B$9=Rules!$E$9,SUM(HSD!C9:C16)+Rules!$B$5*HSD!C17+HSD!C41,SUM(HS!C9:C16)+Rules!$B$5*HS!C17+HS!C41)/(9+Rules!$B$5))</f>
        <v>-0.1554853799924491</v>
      </c>
      <c r="D48" s="140">
        <f>2*(IF(Rules!$B$9=Rules!$E$9,SUM(HSD!D9:D16)+Rules!$B$5*HSD!D17+HSD!D41,SUM(HS!D9:D16)+Rules!$B$5*HS!D17+HS!D41)/(9+Rules!$B$5))</f>
        <v>-7.4766650789560851E-2</v>
      </c>
      <c r="E48" s="140">
        <f>2*(IF(Rules!$B$9=Rules!$E$9,SUM(HSD!E9:E16)+Rules!$B$5*HSD!E17+HSD!E41,SUM(HS!E9:E16)+Rules!$B$5*HS!E17+HS!E41)/(9+Rules!$B$5))</f>
        <v>1.0511467456082583E-2</v>
      </c>
      <c r="F48" s="140">
        <f>2*(IF(Rules!$B$9=Rules!$E$9,SUM(HSD!F9:F16)+Rules!$B$5*HSD!F17+HSD!F41,SUM(HS!F9:F16)+Rules!$B$5*HS!F17+HS!F41)/(9+Rules!$B$5))</f>
        <v>9.9964621687930175E-2</v>
      </c>
      <c r="G48" s="140">
        <f>2*(IF(Rules!$B$9=Rules!$E$9,SUM(HSD!G9:G16)+Rules!$B$5*HSD!G17+HSD!G41,SUM(HS!G9:G16)+Rules!$B$5*HS!G17+HS!G41)/(9+Rules!$B$5))</f>
        <v>0.18769123920448363</v>
      </c>
      <c r="H48" s="140">
        <f>2*(IF(Rules!$B$9=Rules!$E$9,SUM(HSD!H9:H16)+Rules!$B$5*HSD!H17+HSD!H41,SUM(HS!H9:H16)+Rules!$B$5*HS!H17+HS!H41)/(9+Rules!$B$5))</f>
        <v>-9.0500880901835723E-2</v>
      </c>
      <c r="I48" s="140">
        <f>2*(IF(Rules!$B$9=Rules!$E$9,SUM(HSD!I9:I16)+Rules!$B$5*HSD!I17+HSD!I41,SUM(HS!I9:I16)+Rules!$B$5*HS!I17+HS!I41)/(9+Rules!$B$5))</f>
        <v>-0.38899531374091001</v>
      </c>
      <c r="J48" s="140">
        <f>2*(IF(Rules!$B$9=Rules!$E$9,SUM(HSD!J9:J16)+Rules!$B$5*HSD!J17+HSD!J41,SUM(HS!J9:J16)+Rules!$B$5*HS!J17+HS!J41)/(9+Rules!$B$5))</f>
        <v>-0.55575779143393522</v>
      </c>
      <c r="K48" s="142">
        <f>2*(IF(Rules!$B$9=Rules!$E$9,SUM(HSD!K9:K16)+Rules!$B$5*HSD!K17+HSD!K41,SUM(HS!K9:K16)+Rules!$B$5*HS!K17+HS!K41)/(9+Rules!$B$5))</f>
        <v>-0.62884704485091814</v>
      </c>
    </row>
    <row r="49" spans="1:11" x14ac:dyDescent="0.2">
      <c r="A49" s="148">
        <v>8</v>
      </c>
      <c r="B49" s="141">
        <f>2*(IF(Rules!$B$9=Rules!$E$9,SUM(HSD!B10:B17)+Rules!$B$5*HSD!B18+HSD!B42,SUM(HS!B10:B17)+Rules!$B$5*HS!B18+HS!B42)/(9+Rules!$B$5))</f>
        <v>-0.39405762114832721</v>
      </c>
      <c r="C49" s="140">
        <f>2*(IF(Rules!$B$9=Rules!$E$9,SUM(HSD!C10:C17)+Rules!$B$5*HSD!C18+HSD!C42,SUM(HS!C10:C17)+Rules!$B$5*HS!C18+HS!C42)/(9+Rules!$B$5))</f>
        <v>1.9285099723172237E-2</v>
      </c>
      <c r="D49" s="140">
        <f>2*(IF(Rules!$B$9=Rules!$E$9,SUM(HSD!D10:D17)+Rules!$B$5*HSD!D18+HSD!D42,SUM(HS!D10:D17)+Rules!$B$5*HS!D18+HS!D42)/(9+Rules!$B$5))</f>
        <v>8.688786047625327E-2</v>
      </c>
      <c r="E49" s="140">
        <f>2*(IF(Rules!$B$9=Rules!$E$9,SUM(HSD!E10:E17)+Rules!$B$5*HSD!E18+HSD!E42,SUM(HS!E10:E17)+Rules!$B$5*HS!E18+HS!E42)/(9+Rules!$B$5))</f>
        <v>0.15656746918613532</v>
      </c>
      <c r="F49" s="140">
        <f>2*(IF(Rules!$B$9=Rules!$E$9,SUM(HSD!F10:F17)+Rules!$B$5*HSD!F18+HSD!F42,SUM(HS!F10:F17)+Rules!$B$5*HS!F18+HS!F42)/(9+Rules!$B$5))</f>
        <v>0.22831820480547502</v>
      </c>
      <c r="G49" s="140">
        <f>2*(IF(Rules!$B$9=Rules!$E$9,SUM(HSD!G10:G17)+Rules!$B$5*HSD!G18+HSD!G42,SUM(HS!G10:G17)+Rules!$B$5*HS!G18+HS!G42)/(9+Rules!$B$5))</f>
        <v>0.32553339738516479</v>
      </c>
      <c r="H49" s="140">
        <f>2*(IF(Rules!$B$9=Rules!$E$9,SUM(HSD!H10:H17)+Rules!$B$5*HSD!H18+HSD!H42,SUM(HS!H10:H17)+Rules!$B$5*HS!H18+HS!H42)/(9+Rules!$B$5))</f>
        <v>0.21152959698650559</v>
      </c>
      <c r="I49" s="140">
        <f>2*(IF(Rules!$B$9=Rules!$E$9,SUM(HSD!I10:I17)+Rules!$B$5*HSD!I18+HSD!I42,SUM(HS!I10:I17)+Rules!$B$5*HS!I18+HS!I42)/(9+Rules!$B$5))</f>
        <v>-8.7582327609523197E-2</v>
      </c>
      <c r="J49" s="140">
        <f>2*(IF(Rules!$B$9=Rules!$E$9,SUM(HSD!J10:J17)+Rules!$B$5*HSD!J18+HSD!J42,SUM(HS!J10:J17)+Rules!$B$5*HS!J18+HS!J42)/(9+Rules!$B$5))</f>
        <v>-0.40539957445661723</v>
      </c>
      <c r="K49" s="142">
        <f>2*(IF(Rules!$B$9=Rules!$E$9,SUM(HSD!K10:K17)+Rules!$B$5*HSD!K18+HSD!K42,SUM(HS!K10:K17)+Rules!$B$5*HS!K18+HS!K42)/(9+Rules!$B$5))</f>
        <v>-0.48948762316092631</v>
      </c>
    </row>
    <row r="50" spans="1:11" x14ac:dyDescent="0.2">
      <c r="A50" s="148">
        <v>9</v>
      </c>
      <c r="B50" s="141">
        <f>2*(IF(Rules!$B$9=Rules!$E$9,SUM(HSD!B11:B18)+Rules!$B$5*HSD!B19+HSD!B43,SUM(HS!B11:B18)+Rules!$B$5*HS!B19+HS!B43)/(9+Rules!$B$5))</f>
        <v>-0.13136155755613241</v>
      </c>
      <c r="C50" s="140">
        <f>2*(IF(Rules!$B$9=Rules!$E$9,SUM(HSD!C11:C18)+Rules!$B$5*HSD!C19+HSD!C43,SUM(HS!C11:C18)+Rules!$B$5*HS!C19+HS!C43)/(9+Rules!$B$5))</f>
        <v>0.18462902498065631</v>
      </c>
      <c r="D50" s="140">
        <f>2*(IF(Rules!$B$9=Rules!$E$9,SUM(HSD!D11:D18)+Rules!$B$5*HSD!D19+HSD!D43,SUM(HS!D11:D18)+Rules!$B$5*HS!D19+HS!D43)/(9+Rules!$B$5))</f>
        <v>0.24214017052931303</v>
      </c>
      <c r="E50" s="140">
        <f>2*(IF(Rules!$B$9=Rules!$E$9,SUM(HSD!E11:E18)+Rules!$B$5*HSD!E19+HSD!E43,SUM(HS!E11:E18)+Rules!$B$5*HS!E19+HS!E43)/(9+Rules!$B$5))</f>
        <v>0.30150334319286637</v>
      </c>
      <c r="F50" s="140">
        <f>2*(IF(Rules!$B$9=Rules!$E$9,SUM(HSD!F11:F18)+Rules!$B$5*HSD!F19+HSD!F43,SUM(HS!F11:F18)+Rules!$B$5*HS!F19+HS!F43)/(9+Rules!$B$5))</f>
        <v>0.36334825237219065</v>
      </c>
      <c r="G50" s="140">
        <f>2*(IF(Rules!$B$9=Rules!$E$9,SUM(HSD!G11:G18)+Rules!$B$5*HSD!G19+HSD!G43,SUM(HS!G11:G18)+Rules!$B$5*HS!G19+HS!G43)/(9+Rules!$B$5))</f>
        <v>0.44337460889206287</v>
      </c>
      <c r="H50" s="140">
        <f>2*(IF(Rules!$B$9=Rules!$E$9,SUM(HSD!H11:H18)+Rules!$B$5*HSD!H19+HSD!H43,SUM(HS!H11:H18)+Rules!$B$5*HS!H19+HS!H43)/(9+Rules!$B$5))</f>
        <v>0.37000371337194804</v>
      </c>
      <c r="I50" s="140">
        <f>2*(IF(Rules!$B$9=Rules!$E$9,SUM(HSD!I11:I18)+Rules!$B$5*HSD!I19+HSD!I43,SUM(HS!I11:I18)+Rules!$B$5*HS!I19+HS!I43)/(9+Rules!$B$5))</f>
        <v>0.21532327264714252</v>
      </c>
      <c r="J50" s="140">
        <f>2*(IF(Rules!$B$9=Rules!$E$9,SUM(HSD!J11:J18)+Rules!$B$5*HSD!J19+HSD!J43,SUM(HS!J11:J18)+Rules!$B$5*HS!J19+HS!J43)/(9+Rules!$B$5))</f>
        <v>-9.3659752356483508E-2</v>
      </c>
      <c r="K50" s="142">
        <f>2*(IF(Rules!$B$9=Rules!$E$9,SUM(HSD!K11:K18)+Rules!$B$5*HSD!K19+HSD!K43,SUM(HS!K11:K18)+Rules!$B$5*HS!K19+HS!K43)/(9+Rules!$B$5))</f>
        <v>-0.29664343180334263</v>
      </c>
    </row>
    <row r="51" spans="1:11" ht="17" thickBot="1" x14ac:dyDescent="0.25">
      <c r="A51" s="149">
        <v>10</v>
      </c>
      <c r="B51" s="143">
        <f>2*(IF(Rules!$B$9=Rules!$E$9,SUM(HSD!B12:B19)+Rules!$B$5*HSD!B20+HSD!B44,SUM(HS!B12:B19)+Rules!$B$5*HS!B20+HS!B44)/(9+Rules!$B$5))</f>
        <v>0.16289941589055185</v>
      </c>
      <c r="C51" s="144">
        <f>2*(IF(Rules!$B$9=Rules!$E$9,SUM(HSD!C12:C19)+Rules!$B$5*HSD!C20+HSD!C44,SUM(HS!C12:C19)+Rules!$B$5*HS!C20+HS!C44)/(9+Rules!$B$5))</f>
        <v>0.36499998801808975</v>
      </c>
      <c r="D51" s="144">
        <f>2*(IF(Rules!$B$9=Rules!$E$9,SUM(HSD!D12:D19)+Rules!$B$5*HSD!D20+HSD!D44,SUM(HS!D12:D19)+Rules!$B$5*HS!D20+HS!D44)/(9+Rules!$B$5))</f>
        <v>0.41217595162788179</v>
      </c>
      <c r="E51" s="144">
        <f>2*(IF(Rules!$B$9=Rules!$E$9,SUM(HSD!E12:E19)+Rules!$B$5*HSD!E20+HSD!E44,SUM(HS!E12:E19)+Rules!$B$5*HS!E20+HS!E44)/(9+Rules!$B$5))</f>
        <v>0.460940243794354</v>
      </c>
      <c r="F51" s="144">
        <f>2*(IF(Rules!$B$9=Rules!$E$9,SUM(HSD!F12:F19)+Rules!$B$5*HSD!F20+HSD!F44,SUM(HS!F12:F19)+Rules!$B$5*HS!F20+HS!F44)/(9+Rules!$B$5))</f>
        <v>0.51251710900326775</v>
      </c>
      <c r="G51" s="144">
        <f>2*(IF(Rules!$B$9=Rules!$E$9,SUM(HSD!G12:G19)+Rules!$B$5*HSD!G20+HSD!G44,SUM(HS!G12:G19)+Rules!$B$5*HS!G20+HS!G44)/(9+Rules!$B$5))</f>
        <v>0.57559016859776857</v>
      </c>
      <c r="H51" s="144">
        <f>2*(IF(Rules!$B$9=Rules!$E$9,SUM(HSD!H12:H19)+Rules!$B$5*HSD!H20+HSD!H44,SUM(HS!H12:H19)+Rules!$B$5*HS!H20+HS!H44)/(9+Rules!$B$5))</f>
        <v>0.51381748867217314</v>
      </c>
      <c r="I51" s="144">
        <f>2*(IF(Rules!$B$9=Rules!$E$9,SUM(HSD!I12:I19)+Rules!$B$5*HSD!I20+HSD!I44,SUM(HS!I12:I19)+Rules!$B$5*HS!I20+HS!I44)/(9+Rules!$B$5))</f>
        <v>0.39590741666395218</v>
      </c>
      <c r="J51" s="144">
        <f>2*(IF(Rules!$B$9=Rules!$E$9,SUM(HSD!J12:J19)+Rules!$B$5*HSD!J20+HSD!J44,SUM(HS!J12:J19)+Rules!$B$5*HS!J20+HS!J44)/(9+Rules!$B$5))</f>
        <v>0.2330591821385678</v>
      </c>
      <c r="K51" s="145">
        <f>2*(IF(Rules!$B$9=Rules!$E$9,SUM(HSD!K12:K19)+Rules!$B$5*HSD!K20+HSD!K44,SUM(HS!K12:K19)+Rules!$B$5*HS!K20+HS!K44)/(9+Rules!$B$5))</f>
        <v>5.061704608173629E-2</v>
      </c>
    </row>
    <row r="53" spans="1:11" x14ac:dyDescent="0.2">
      <c r="A53" s="1" t="s">
        <v>7</v>
      </c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>
        <v>7</v>
      </c>
      <c r="I53" s="1">
        <v>8</v>
      </c>
      <c r="J53" s="1">
        <v>9</v>
      </c>
      <c r="K53" s="1">
        <v>10</v>
      </c>
    </row>
    <row r="54" spans="1:11" x14ac:dyDescent="0.2">
      <c r="A54" s="1">
        <v>1</v>
      </c>
      <c r="B54" s="1">
        <f>MAX(IF(Rules!$B$17=2,B42,IF(Rules!$B$17=3,B29,IF(Rules!$B$17=4,B16,B3))),HSDR!B35)</f>
        <v>0.22844717277365195</v>
      </c>
      <c r="C54" s="1">
        <f>MAX(IF(Rules!$B$17=2,C42,IF(Rules!$B$17=3,C29,IF(Rules!$B$17=4,C16,C3))),HSDR!C35)</f>
        <v>0.58809086957773749</v>
      </c>
      <c r="D54" s="1">
        <f>MAX(IF(Rules!$B$17=2,D42,IF(Rules!$B$17=3,D29,IF(Rules!$B$17=4,D16,D3))),HSDR!D35)</f>
        <v>0.63626378886959067</v>
      </c>
      <c r="E54" s="1">
        <f>MAX(IF(Rules!$B$17=2,E42,IF(Rules!$B$17=3,E29,IF(Rules!$B$17=4,E16,E3))),HSDR!E35)</f>
        <v>0.68559495955842076</v>
      </c>
      <c r="F54" s="1">
        <f>MAX(IF(Rules!$B$17=2,F42,IF(Rules!$B$17=3,F29,IF(Rules!$B$17=4,F16,F3))),HSDR!F35)</f>
        <v>0.73499004540818236</v>
      </c>
      <c r="G54" s="1">
        <f>MAX(IF(Rules!$B$17=2,G42,IF(Rules!$B$17=3,G29,IF(Rules!$B$17=4,G16,G3))),HSDR!G35)</f>
        <v>0.79369995809796545</v>
      </c>
      <c r="H54" s="1">
        <f>MAX(IF(Rules!$B$17=2,H42,IF(Rules!$B$17=3,H29,IF(Rules!$B$17=4,H16,H3))),HSDR!H35)</f>
        <v>0.60723727688601759</v>
      </c>
      <c r="I54" s="1">
        <f>MAX(IF(Rules!$B$17=2,I42,IF(Rules!$B$17=3,I29,IF(Rules!$B$17=4,I16,I3))),HSDR!I35)</f>
        <v>0.48318645338845845</v>
      </c>
      <c r="J54" s="1">
        <f>MAX(IF(Rules!$B$17=2,J42,IF(Rules!$B$17=3,J29,IF(Rules!$B$17=4,J16,J3))),HSDR!J35)</f>
        <v>0.34638851611915705</v>
      </c>
      <c r="K54" s="1">
        <f>MAX(IF(Rules!$B$17=2,K42,IF(Rules!$B$17=3,K29,IF(Rules!$B$17=4,K16,K3))),HSDR!K35)</f>
        <v>0.29047627531978187</v>
      </c>
    </row>
    <row r="55" spans="1:11" x14ac:dyDescent="0.2">
      <c r="A55" s="1">
        <v>2</v>
      </c>
      <c r="B55" s="1">
        <f>MAX(IF(Rules!$B$11=2,B43,IF(Rules!$B$11=3,B30,IF(Rules!$B$11=4,B17,B4))),HSDR!B4)</f>
        <v>-0.25307699440390863</v>
      </c>
      <c r="C55" s="1">
        <f>MAX(IF(Rules!$B$11=2,C43,IF(Rules!$B$11=3,C30,IF(Rules!$B$11=4,C17,C4))),HSDR!C4)</f>
        <v>-8.4267225502711041E-2</v>
      </c>
      <c r="D55" s="1">
        <f>MAX(IF(Rules!$B$11=2,D43,IF(Rules!$B$11=3,D30,IF(Rules!$B$11=4,D17,D4))),HSDR!D4)</f>
        <v>-1.5498287197501173E-2</v>
      </c>
      <c r="E55" s="1">
        <f>MAX(IF(Rules!$B$11=2,E43,IF(Rules!$B$11=3,E30,IF(Rules!$B$11=4,E17,E4))),HSDR!E4)</f>
        <v>5.9333738978653974E-2</v>
      </c>
      <c r="F55" s="1">
        <f>MAX(IF(Rules!$B$11=2,F43,IF(Rules!$B$11=3,F30,IF(Rules!$B$11=4,F17,F4))),HSDR!F4)</f>
        <v>0.15203616947891799</v>
      </c>
      <c r="G55" s="1">
        <f>MAX(IF(Rules!$B$11=2,G43,IF(Rules!$B$11=3,G30,IF(Rules!$B$11=4,G17,G4))),HSDR!G4)</f>
        <v>0.22737886696191317</v>
      </c>
      <c r="H55" s="1">
        <f>MAX(IF(Rules!$B$11=2,H43,IF(Rules!$B$11=3,H30,IF(Rules!$B$11=4,H17,H4))),HSDR!H4)</f>
        <v>6.958050045595748E-3</v>
      </c>
      <c r="I55" s="1">
        <f>MAX(IF(Rules!$B$11=2,I43,IF(Rules!$B$11=3,I30,IF(Rules!$B$11=4,I17,I4))),HSDR!I4)</f>
        <v>-0.15933415266020512</v>
      </c>
      <c r="J55" s="1">
        <f>MAX(IF(Rules!$B$11=2,J43,IF(Rules!$B$11=3,J30,IF(Rules!$B$11=4,J17,J4))),HSDR!J4)</f>
        <v>-0.24066617915336547</v>
      </c>
      <c r="K55" s="1">
        <f>MAX(IF(Rules!$B$11=2,K43,IF(Rules!$B$11=3,K30,IF(Rules!$B$11=4,K17,K4))),HSDR!K4)</f>
        <v>-0.28919791448567511</v>
      </c>
    </row>
    <row r="56" spans="1:11" x14ac:dyDescent="0.2">
      <c r="A56" s="1">
        <v>3</v>
      </c>
      <c r="B56" s="1">
        <f>MAX(IF(Rules!$B$11=2,B44,IF(Rules!$B$11=3,B31,IF(Rules!$B$11=4,B18,B5))),HSDR!B6)</f>
        <v>-0.30414663097569933</v>
      </c>
      <c r="C56" s="1">
        <f>MAX(IF(Rules!$B$11=2,C44,IF(Rules!$B$11=3,C31,IF(Rules!$B$11=4,C18,C5))),HSDR!C6)</f>
        <v>-0.13992944417761496</v>
      </c>
      <c r="D56" s="1">
        <f>MAX(IF(Rules!$B$11=2,D44,IF(Rules!$B$11=3,D31,IF(Rules!$B$11=4,D18,D5))),HSDR!D6)</f>
        <v>-5.8284696427541714E-2</v>
      </c>
      <c r="E56" s="1">
        <f>MAX(IF(Rules!$B$11=2,E44,IF(Rules!$B$11=3,E31,IF(Rules!$B$11=4,E18,E5))),HSDR!E6)</f>
        <v>2.8134517976885209E-2</v>
      </c>
      <c r="F56" s="1">
        <f>MAX(IF(Rules!$B$11=2,F44,IF(Rules!$B$11=3,F31,IF(Rules!$B$11=4,F18,F5))),HSDR!F6)</f>
        <v>0.12470784634060185</v>
      </c>
      <c r="G56" s="1">
        <f>MAX(IF(Rules!$B$11=2,G44,IF(Rules!$B$11=3,G31,IF(Rules!$B$11=4,G18,G5))),HSDR!G6)</f>
        <v>0.19970541230483627</v>
      </c>
      <c r="H56" s="1">
        <f>MAX(IF(Rules!$B$11=2,H44,IF(Rules!$B$11=3,H31,IF(Rules!$B$11=4,H18,H5))),HSDR!H6)</f>
        <v>-5.8585254727766593E-2</v>
      </c>
      <c r="I56" s="1">
        <f>MAX(IF(Rules!$B$11=2,I44,IF(Rules!$B$11=3,I31,IF(Rules!$B$11=4,I18,I5))),HSDR!I6)</f>
        <v>-0.21724188132078476</v>
      </c>
      <c r="J56" s="1">
        <f>MAX(IF(Rules!$B$11=2,J44,IF(Rules!$B$11=3,J31,IF(Rules!$B$11=4,J18,J5))),HSDR!J6)</f>
        <v>-0.29264070019772598</v>
      </c>
      <c r="K56" s="1">
        <f>MAX(IF(Rules!$B$11=2,K44,IF(Rules!$B$11=3,K31,IF(Rules!$B$11=4,K18,K5))),HSDR!K6)</f>
        <v>-0.33774944037840804</v>
      </c>
    </row>
    <row r="57" spans="1:11" x14ac:dyDescent="0.2">
      <c r="A57" s="1">
        <v>4</v>
      </c>
      <c r="B57" s="1">
        <f>MAX(IF(Rules!$B$11=2,B45,IF(Rules!$B$11=3,B32,IF(Rules!$B$11=4,B19,B6))),HSDR!B8)</f>
        <v>-0.1970288105741636</v>
      </c>
      <c r="C57" s="1">
        <f>MAX(IF(Rules!$B$11=2,C45,IF(Rules!$B$11=3,C32,IF(Rules!$B$11=4,C19,C6))),HSDR!C8)</f>
        <v>-2.1798188008805668E-2</v>
      </c>
      <c r="D57" s="1">
        <f>MAX(IF(Rules!$B$11=2,D45,IF(Rules!$B$11=3,D32,IF(Rules!$B$11=4,D19,D6))),HSDR!D8)</f>
        <v>8.0052625306546825E-3</v>
      </c>
      <c r="E57" s="1">
        <f>MAX(IF(Rules!$B$11=2,E45,IF(Rules!$B$11=3,E32,IF(Rules!$B$11=4,E19,E6))),HSDR!E8)</f>
        <v>3.8784473277208811E-2</v>
      </c>
      <c r="F57" s="1">
        <f>MAX(IF(Rules!$B$11=2,F45,IF(Rules!$B$11=3,F32,IF(Rules!$B$11=4,F19,F6))),HSDR!F8)</f>
        <v>0.10070528937626665</v>
      </c>
      <c r="G57" s="1">
        <f>MAX(IF(Rules!$B$11=2,G45,IF(Rules!$B$11=3,G32,IF(Rules!$B$11=4,G19,G6))),HSDR!G8)</f>
        <v>0.17417494269127992</v>
      </c>
      <c r="H57" s="1">
        <f>MAX(IF(Rules!$B$11=2,H45,IF(Rules!$B$11=3,H32,IF(Rules!$B$11=4,H19,H6))),HSDR!H8)</f>
        <v>8.2207439363742862E-2</v>
      </c>
      <c r="I57" s="1">
        <f>MAX(IF(Rules!$B$11=2,I45,IF(Rules!$B$11=3,I32,IF(Rules!$B$11=4,I19,I6))),HSDR!I8)</f>
        <v>-5.9898275658656304E-2</v>
      </c>
      <c r="J57" s="1">
        <f>MAX(IF(Rules!$B$11=2,J45,IF(Rules!$B$11=3,J32,IF(Rules!$B$11=4,J19,J6))),HSDR!J8)</f>
        <v>-0.21018633199821757</v>
      </c>
      <c r="K57" s="1">
        <f>MAX(IF(Rules!$B$11=2,K45,IF(Rules!$B$11=3,K32,IF(Rules!$B$11=4,K19,K6))),HSDR!K8)</f>
        <v>-0.24937508055334259</v>
      </c>
    </row>
    <row r="58" spans="1:11" x14ac:dyDescent="0.2">
      <c r="A58" s="1">
        <v>5</v>
      </c>
      <c r="B58" s="1">
        <f>MAX(IF(Rules!$B$11=2,B46,IF(Rules!$B$11=3,B33,IF(Rules!$B$11=4,B20,B7))),HSDR!B10)</f>
        <v>8.1449707945275923E-2</v>
      </c>
      <c r="C58" s="1">
        <f>MAX(IF(Rules!$B$11=2,C46,IF(Rules!$B$11=3,C33,IF(Rules!$B$11=4,C20,C7))),HSDR!C10)</f>
        <v>0.3589394124422991</v>
      </c>
      <c r="D58" s="1">
        <f>MAX(IF(Rules!$B$11=2,D46,IF(Rules!$B$11=3,D33,IF(Rules!$B$11=4,D20,D7))),HSDR!D10)</f>
        <v>0.40932067017593915</v>
      </c>
      <c r="E58" s="1">
        <f>MAX(IF(Rules!$B$11=2,E46,IF(Rules!$B$11=3,E33,IF(Rules!$B$11=4,E20,E7))),HSDR!E10)</f>
        <v>0.460940243794354</v>
      </c>
      <c r="F58" s="1">
        <f>MAX(IF(Rules!$B$11=2,F46,IF(Rules!$B$11=3,F33,IF(Rules!$B$11=4,F20,F7))),HSDR!F10)</f>
        <v>0.51251710900326775</v>
      </c>
      <c r="G58" s="1">
        <f>MAX(IF(Rules!$B$11=2,G46,IF(Rules!$B$11=3,G33,IF(Rules!$B$11=4,G20,G7))),HSDR!G10)</f>
        <v>0.57559016859776857</v>
      </c>
      <c r="H58" s="1">
        <f>MAX(IF(Rules!$B$11=2,H46,IF(Rules!$B$11=3,H33,IF(Rules!$B$11=4,H20,H7))),HSDR!H10)</f>
        <v>0.39241245528243773</v>
      </c>
      <c r="I58" s="1">
        <f>MAX(IF(Rules!$B$11=2,I46,IF(Rules!$B$11=3,I33,IF(Rules!$B$11=4,I20,I7))),HSDR!I10)</f>
        <v>0.28663571688628381</v>
      </c>
      <c r="J58" s="1">
        <f>MAX(IF(Rules!$B$11=2,J46,IF(Rules!$B$11=3,J33,IF(Rules!$B$11=4,J20,J7))),HSDR!J10)</f>
        <v>0.1443283683807712</v>
      </c>
      <c r="K58" s="1">
        <f>MAX(IF(Rules!$B$11=2,K46,IF(Rules!$B$11=3,K33,IF(Rules!$B$11=4,K20,K7))),HSDR!K10)</f>
        <v>2.5308523040868145E-2</v>
      </c>
    </row>
    <row r="59" spans="1:11" x14ac:dyDescent="0.2">
      <c r="A59" s="1">
        <v>6</v>
      </c>
      <c r="B59" s="1">
        <f>MAX(IF(Rules!$B$11=2,B47,IF(Rules!$B$11=3,B34,IF(Rules!$B$11=4,B21,B8))),HSDR!B12)</f>
        <v>-0.35054034044008009</v>
      </c>
      <c r="C59" s="1">
        <f>MAX(IF(Rules!$B$11=2,C47,IF(Rules!$B$11=3,C34,IF(Rules!$B$11=4,C21,C8))),HSDR!C12)</f>
        <v>-0.25338998596663809</v>
      </c>
      <c r="D59" s="1">
        <f>MAX(IF(Rules!$B$11=2,D47,IF(Rules!$B$11=3,D34,IF(Rules!$B$11=4,D21,D8))),HSDR!D12)</f>
        <v>-0.16236190502927889</v>
      </c>
      <c r="E59" s="1">
        <f>MAX(IF(Rules!$B$11=2,E47,IF(Rules!$B$11=3,E34,IF(Rules!$B$11=4,E21,E8))),HSDR!E12)</f>
        <v>-6.5242110257549266E-2</v>
      </c>
      <c r="F59" s="1">
        <f>MAX(IF(Rules!$B$11=2,F47,IF(Rules!$B$11=3,F34,IF(Rules!$B$11=4,F21,F8))),HSDR!F12)</f>
        <v>3.9226356320867399E-2</v>
      </c>
      <c r="G59" s="1">
        <f>MAX(IF(Rules!$B$11=2,G47,IF(Rules!$B$11=3,G34,IF(Rules!$B$11=4,G21,G8))),HSDR!G12)</f>
        <v>0.10667340682942227</v>
      </c>
      <c r="H59" s="1">
        <f>MAX(IF(Rules!$B$11=2,H47,IF(Rules!$B$11=3,H34,IF(Rules!$B$11=4,H21,H8))),HSDR!H12)</f>
        <v>-0.21284771451731424</v>
      </c>
      <c r="I59" s="1">
        <f>MAX(IF(Rules!$B$11=2,I47,IF(Rules!$B$11=3,I34,IF(Rules!$B$11=4,I21,I8))),HSDR!I12)</f>
        <v>-0.27157480502428616</v>
      </c>
      <c r="J59" s="1">
        <f>MAX(IF(Rules!$B$11=2,J47,IF(Rules!$B$11=3,J34,IF(Rules!$B$11=4,J21,J8))),HSDR!J12)</f>
        <v>-0.3400132806089356</v>
      </c>
      <c r="K59" s="1">
        <f>MAX(IF(Rules!$B$11=2,K47,IF(Rules!$B$11=3,K34,IF(Rules!$B$11=4,K21,K8))),HSDR!K12)</f>
        <v>-0.38104299284808768</v>
      </c>
    </row>
    <row r="60" spans="1:11" x14ac:dyDescent="0.2">
      <c r="A60" s="1">
        <v>7</v>
      </c>
      <c r="B60" s="1">
        <f>MAX(IF(Rules!$B$11=2,B48,IF(Rules!$B$11=3,B35,IF(Rules!$B$11=4,B22,B9))),HSDR!B14)</f>
        <v>-0.44000672211415065</v>
      </c>
      <c r="C60" s="1">
        <f>MAX(IF(Rules!$B$11=2,C48,IF(Rules!$B$11=3,C35,IF(Rules!$B$11=4,C22,C9))),HSDR!C14)</f>
        <v>-0.1963016079632402</v>
      </c>
      <c r="D60" s="1">
        <f>MAX(IF(Rules!$B$11=2,D48,IF(Rules!$B$11=3,D35,IF(Rules!$B$11=4,D22,D9))),HSDR!D14)</f>
        <v>-0.10948552726048816</v>
      </c>
      <c r="E60" s="1">
        <f>MAX(IF(Rules!$B$11=2,E48,IF(Rules!$B$11=3,E35,IF(Rules!$B$11=4,E22,E9))),HSDR!E14)</f>
        <v>-1.9921218921965758E-2</v>
      </c>
      <c r="F60" s="1">
        <f>MAX(IF(Rules!$B$11=2,F48,IF(Rules!$B$11=3,F35,IF(Rules!$B$11=4,F22,F9))),HSDR!F14)</f>
        <v>7.4563567868088848E-2</v>
      </c>
      <c r="G60" s="1">
        <f>MAX(IF(Rules!$B$11=2,G48,IF(Rules!$B$11=3,G35,IF(Rules!$B$11=4,G22,G9))),HSDR!G14)</f>
        <v>0.16472730313989489</v>
      </c>
      <c r="H60" s="1">
        <f>MAX(IF(Rules!$B$11=2,H48,IF(Rules!$B$11=3,H35,IF(Rules!$B$11=4,H22,H9))),HSDR!H14)</f>
        <v>-0.13707521359511174</v>
      </c>
      <c r="I60" s="1">
        <f>MAX(IF(Rules!$B$11=2,I48,IF(Rules!$B$11=3,I35,IF(Rules!$B$11=4,I22,I9))),HSDR!I14)</f>
        <v>-0.37191909208726714</v>
      </c>
      <c r="J60" s="1">
        <f>MAX(IF(Rules!$B$11=2,J48,IF(Rules!$B$11=3,J35,IF(Rules!$B$11=4,J22,J9))),HSDR!J14)</f>
        <v>-0.43092981848423528</v>
      </c>
      <c r="K60" s="1">
        <f>MAX(IF(Rules!$B$11=2,K48,IF(Rules!$B$11=3,K35,IF(Rules!$B$11=4,K22,K9))),HSDR!K14)</f>
        <v>-0.46630747852717758</v>
      </c>
    </row>
    <row r="61" spans="1:11" x14ac:dyDescent="0.2">
      <c r="A61" s="1">
        <v>8</v>
      </c>
      <c r="B61" s="1">
        <f>MAX(IF(Rules!$B$11=2,B49,IF(Rules!$B$11=3,B36,IF(Rules!$B$11=4,B23,B10))),HSDR!B16)</f>
        <v>-0.47846720619452893</v>
      </c>
      <c r="C61" s="1">
        <f>MAX(IF(Rules!$B$11=2,C49,IF(Rules!$B$11=3,C36,IF(Rules!$B$11=4,C23,C10))),HSDR!C16)</f>
        <v>-4.10085652565544E-2</v>
      </c>
      <c r="D61" s="1">
        <f>MAX(IF(Rules!$B$11=2,D49,IF(Rules!$B$11=3,D36,IF(Rules!$B$11=4,D23,D10))),HSDR!D16)</f>
        <v>2.9651267038439212E-2</v>
      </c>
      <c r="E61" s="1">
        <f>MAX(IF(Rules!$B$11=2,E49,IF(Rules!$B$11=3,E36,IF(Rules!$B$11=4,E23,E10))),HSDR!E16)</f>
        <v>0.10253679913733912</v>
      </c>
      <c r="F61" s="1">
        <f>MAX(IF(Rules!$B$11=2,F49,IF(Rules!$B$11=3,F36,IF(Rules!$B$11=4,F23,F10))),HSDR!F16)</f>
        <v>0.17786869518456505</v>
      </c>
      <c r="G61" s="1">
        <f>MAX(IF(Rules!$B$11=2,G49,IF(Rules!$B$11=3,G36,IF(Rules!$B$11=4,G23,G10))),HSDR!G16)</f>
        <v>0.28114462143026464</v>
      </c>
      <c r="H61" s="1">
        <f>MAX(IF(Rules!$B$11=2,H49,IF(Rules!$B$11=3,H36,IF(Rules!$B$11=4,H23,H10))),HSDR!H16)</f>
        <v>0.17942021385705018</v>
      </c>
      <c r="I61" s="1">
        <f>MAX(IF(Rules!$B$11=2,I49,IF(Rules!$B$11=3,I36,IF(Rules!$B$11=4,I23,I10))),HSDR!I16)</f>
        <v>-0.15401156627741791</v>
      </c>
      <c r="J61" s="1">
        <f>MAX(IF(Rules!$B$11=2,J49,IF(Rules!$B$11=3,J36,IF(Rules!$B$11=4,J23,J10))),HSDR!J16)</f>
        <v>-0.5</v>
      </c>
      <c r="K61" s="1">
        <f>MAX(IF(Rules!$B$11=2,K49,IF(Rules!$B$11=3,K36,IF(Rules!$B$11=4,K23,K10))),HSDR!K16)</f>
        <v>-0.5</v>
      </c>
    </row>
    <row r="62" spans="1:11" x14ac:dyDescent="0.2">
      <c r="A62" s="1">
        <v>9</v>
      </c>
      <c r="B62" s="1">
        <f>MAX(IF(Rules!$B$11=2,B50,IF(Rules!$B$11=3,B37,IF(Rules!$B$11=4,B24,B11))),HSDR!B18)</f>
        <v>-0.10019887561319057</v>
      </c>
      <c r="C62" s="1">
        <f>MAX(IF(Rules!$B$11=2,C50,IF(Rules!$B$11=3,C37,IF(Rules!$B$11=4,C24,C11))),HSDR!C18)</f>
        <v>0.13385768207672508</v>
      </c>
      <c r="D62" s="1">
        <f>MAX(IF(Rules!$B$11=2,D50,IF(Rules!$B$11=3,D37,IF(Rules!$B$11=4,D24,D11))),HSDR!D18)</f>
        <v>0.19320731563116447</v>
      </c>
      <c r="E62" s="1">
        <f>MAX(IF(Rules!$B$11=2,E50,IF(Rules!$B$11=3,E37,IF(Rules!$B$11=4,E24,E11))),HSDR!E18)</f>
        <v>0.25454407563811315</v>
      </c>
      <c r="F62" s="1">
        <f>MAX(IF(Rules!$B$11=2,F50,IF(Rules!$B$11=3,F37,IF(Rules!$B$11=4,F24,F11))),HSDR!F18)</f>
        <v>0.31872977328281132</v>
      </c>
      <c r="G62" s="1">
        <f>MAX(IF(Rules!$B$11=2,G50,IF(Rules!$B$11=3,G37,IF(Rules!$B$11=4,G24,G11))),HSDR!G18)</f>
        <v>0.40361032143368897</v>
      </c>
      <c r="H62" s="1">
        <f>MAX(IF(Rules!$B$11=2,H50,IF(Rules!$B$11=3,H37,IF(Rules!$B$11=4,H24,H11))),HSDR!H18)</f>
        <v>0.3995541673365518</v>
      </c>
      <c r="I62" s="1">
        <f>MAX(IF(Rules!$B$11=2,I50,IF(Rules!$B$11=3,I37,IF(Rules!$B$11=4,I24,I11))),HSDR!I18)</f>
        <v>0.19129321615782191</v>
      </c>
      <c r="J62" s="1">
        <f>MAX(IF(Rules!$B$11=2,J50,IF(Rules!$B$11=3,J37,IF(Rules!$B$11=4,J24,J11))),HSDR!J18)</f>
        <v>-0.15072067108588086</v>
      </c>
      <c r="K62" s="1">
        <f>MAX(IF(Rules!$B$11=2,K50,IF(Rules!$B$11=3,K37,IF(Rules!$B$11=4,K24,K11))),HSDR!K18)</f>
        <v>-0.17830123379648949</v>
      </c>
    </row>
    <row r="63" spans="1:11" x14ac:dyDescent="0.2">
      <c r="A63" s="1">
        <v>10</v>
      </c>
      <c r="B63" s="1">
        <f>MAX(IF(Rules!$B$11=2,B51,IF(Rules!$B$11=3,B38,IF(Rules!$B$11=4,B25,B12))),HSDR!B20)</f>
        <v>0.65547032314990239</v>
      </c>
      <c r="C63" s="1">
        <f>MAX(IF(Rules!$B$11=2,C51,IF(Rules!$B$11=3,C38,IF(Rules!$B$11=4,C25,C12))),HSDR!C20)</f>
        <v>0.63998657521683877</v>
      </c>
      <c r="D63" s="1">
        <f>MAX(IF(Rules!$B$11=2,D51,IF(Rules!$B$11=3,D38,IF(Rules!$B$11=4,D25,D12))),HSDR!D20)</f>
        <v>0.65027209425148136</v>
      </c>
      <c r="E63" s="1">
        <f>MAX(IF(Rules!$B$11=2,E51,IF(Rules!$B$11=3,E38,IF(Rules!$B$11=4,E25,E12))),HSDR!E20)</f>
        <v>0.66104996194807186</v>
      </c>
      <c r="F63" s="1">
        <f>MAX(IF(Rules!$B$11=2,F51,IF(Rules!$B$11=3,F38,IF(Rules!$B$11=4,F25,F12))),HSDR!F20)</f>
        <v>0.67035969063279999</v>
      </c>
      <c r="G63" s="1">
        <f>MAX(IF(Rules!$B$11=2,G51,IF(Rules!$B$11=3,G38,IF(Rules!$B$11=4,G25,G12))),HSDR!G20)</f>
        <v>0.70504978713524302</v>
      </c>
      <c r="H63" s="1">
        <f>MAX(IF(Rules!$B$11=2,H51,IF(Rules!$B$11=3,H38,IF(Rules!$B$11=4,H25,H12))),HSDR!H20)</f>
        <v>0.77322722653717491</v>
      </c>
      <c r="I63" s="1">
        <f>MAX(IF(Rules!$B$11=2,I51,IF(Rules!$B$11=3,I38,IF(Rules!$B$11=4,I25,I12))),HSDR!I20)</f>
        <v>0.79181515955189841</v>
      </c>
      <c r="J63" s="1">
        <f>MAX(IF(Rules!$B$11=2,J51,IF(Rules!$B$11=3,J38,IF(Rules!$B$11=4,J25,J12))),HSDR!J20)</f>
        <v>0.75835687080859626</v>
      </c>
      <c r="K63" s="1">
        <f>MAX(IF(Rules!$B$11=2,K51,IF(Rules!$B$11=3,K38,IF(Rules!$B$11=4,K25,K12))),HSDR!K20)</f>
        <v>0.55453756646817121</v>
      </c>
    </row>
  </sheetData>
  <sheetProtection sheet="1" objects="1" scenarios="1"/>
  <mergeCells count="4">
    <mergeCell ref="A1:K1"/>
    <mergeCell ref="A14:K14"/>
    <mergeCell ref="A27:K27"/>
    <mergeCell ref="A40:K40"/>
  </mergeCells>
  <phoneticPr fontId="14" type="noConversion"/>
  <conditionalFormatting sqref="O2:X11">
    <cfRule type="containsText" dxfId="834" priority="5" operator="containsText" text="S">
      <formula>NOT(ISERROR(SEARCH("S",O2)))</formula>
    </cfRule>
    <cfRule type="containsText" dxfId="833" priority="6" operator="containsText" text="H">
      <formula>NOT(ISERROR(SEARCH("H",O2)))</formula>
    </cfRule>
  </conditionalFormatting>
  <conditionalFormatting sqref="O2:X11">
    <cfRule type="containsText" dxfId="832" priority="4" operator="containsText" text="D">
      <formula>NOT(ISERROR(SEARCH("D",O2)))</formula>
    </cfRule>
  </conditionalFormatting>
  <conditionalFormatting sqref="O2:X11">
    <cfRule type="containsText" dxfId="831" priority="3" operator="containsText" text="R">
      <formula>NOT(ISERROR(SEARCH("R",O2)))</formula>
    </cfRule>
  </conditionalFormatting>
  <conditionalFormatting sqref="O2:X11">
    <cfRule type="containsText" dxfId="830" priority="2" operator="containsText" text="P">
      <formula>NOT(ISERROR(SEARCH("P",O2)))</formula>
    </cfRule>
  </conditionalFormatting>
  <conditionalFormatting sqref="O3:X11">
    <cfRule type="containsText" dxfId="829" priority="1" operator="containsText" text="P">
      <formula>NOT(ISERROR(SEARCH("P",O3)))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C3"/>
  <sheetViews>
    <sheetView workbookViewId="0">
      <selection activeCell="K9" sqref="K9"/>
    </sheetView>
  </sheetViews>
  <sheetFormatPr baseColWidth="10" defaultColWidth="8.83203125" defaultRowHeight="16" x14ac:dyDescent="0.2"/>
  <cols>
    <col min="2" max="2" width="17.6640625" bestFit="1" customWidth="1"/>
  </cols>
  <sheetData>
    <row r="1" spans="2:3" x14ac:dyDescent="0.2">
      <c r="B1" s="53" t="s">
        <v>31</v>
      </c>
      <c r="C1" s="1">
        <f>Dealer!J33</f>
        <v>4.7337278106508882E-2</v>
      </c>
    </row>
    <row r="2" spans="2:3" x14ac:dyDescent="0.2">
      <c r="B2" s="53" t="s">
        <v>32</v>
      </c>
      <c r="C2" s="1">
        <f>1-Dealer!J33</f>
        <v>0.9526627218934911</v>
      </c>
    </row>
    <row r="3" spans="2:3" x14ac:dyDescent="0.2">
      <c r="B3" s="1"/>
      <c r="C3" s="1">
        <f>C1*C2</f>
        <v>4.5096460207975919E-2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M87"/>
  <sheetViews>
    <sheetView topLeftCell="A4" workbookViewId="0">
      <selection activeCell="H6" sqref="H6"/>
    </sheetView>
  </sheetViews>
  <sheetFormatPr baseColWidth="10" defaultColWidth="8.83203125" defaultRowHeight="15" x14ac:dyDescent="0.2"/>
  <cols>
    <col min="1" max="2" width="8.83203125" style="33"/>
    <col min="3" max="3" width="8" style="33" customWidth="1"/>
    <col min="4" max="16384" width="8.83203125" style="33"/>
  </cols>
  <sheetData>
    <row r="1" spans="1:13" ht="25" thickBot="1" x14ac:dyDescent="0.35">
      <c r="A1" s="302" t="s">
        <v>137</v>
      </c>
      <c r="B1" s="303"/>
      <c r="C1" s="303"/>
      <c r="D1" s="303"/>
      <c r="E1" s="303"/>
      <c r="F1" s="303"/>
      <c r="G1" s="303"/>
      <c r="H1" s="303"/>
      <c r="I1" s="303"/>
      <c r="J1" s="303"/>
      <c r="K1" s="304"/>
    </row>
    <row r="2" spans="1:13" x14ac:dyDescent="0.2">
      <c r="A2" s="230" t="s">
        <v>9</v>
      </c>
      <c r="B2" s="230" t="s">
        <v>1</v>
      </c>
      <c r="C2" s="230">
        <v>2</v>
      </c>
      <c r="D2" s="230">
        <v>3</v>
      </c>
      <c r="E2" s="230">
        <v>4</v>
      </c>
      <c r="F2" s="230">
        <v>5</v>
      </c>
      <c r="G2" s="230">
        <v>6</v>
      </c>
      <c r="H2" s="230">
        <v>7</v>
      </c>
      <c r="I2" s="230">
        <v>8</v>
      </c>
      <c r="J2" s="230">
        <v>9</v>
      </c>
      <c r="K2" s="230">
        <v>10</v>
      </c>
    </row>
    <row r="3" spans="1:13" x14ac:dyDescent="0.2">
      <c r="A3" s="32">
        <v>5</v>
      </c>
      <c r="B3" s="34">
        <f>$C71*1/(9+Rules!$B$5)*(9/(9+Rules!$B$5))</f>
        <v>6.3023003396239633E-4</v>
      </c>
      <c r="C3" s="34">
        <f>$C71*1/(9+Rules!$B$5)</f>
        <v>9.1033227127901696E-4</v>
      </c>
      <c r="D3" s="34">
        <f>$C71*1/(9+Rules!$B$5)</f>
        <v>9.1033227127901696E-4</v>
      </c>
      <c r="E3" s="34">
        <f>$C71*1/(9+Rules!$B$5)</f>
        <v>9.1033227127901696E-4</v>
      </c>
      <c r="F3" s="34">
        <f>$C71*1/(9+Rules!$B$5)</f>
        <v>9.1033227127901696E-4</v>
      </c>
      <c r="G3" s="34">
        <f>$C71*1/(9+Rules!$B$5)</f>
        <v>9.1033227127901696E-4</v>
      </c>
      <c r="H3" s="34">
        <f>$C71*1/(9+Rules!$B$5)</f>
        <v>9.1033227127901696E-4</v>
      </c>
      <c r="I3" s="34">
        <f>$C71*1/(9+Rules!$B$5)</f>
        <v>9.1033227127901696E-4</v>
      </c>
      <c r="J3" s="34">
        <f>$C71*1/(9+Rules!$B$5)</f>
        <v>9.1033227127901696E-4</v>
      </c>
      <c r="K3" s="34">
        <f>$C71*Rules!$B$5/(9+Rules!$B$5)*((9+Rules!$B$5-1)/(9+Rules!$B$5))</f>
        <v>3.3612268477994475E-3</v>
      </c>
    </row>
    <row r="4" spans="1:13" x14ac:dyDescent="0.2">
      <c r="A4" s="32">
        <v>6</v>
      </c>
      <c r="B4" s="34">
        <f>$C72*1/(9+Rules!$B$5)*(9/(9+Rules!$B$5))</f>
        <v>6.3023003396239633E-4</v>
      </c>
      <c r="C4" s="34">
        <f>$C72*1/(9+Rules!$B$5)</f>
        <v>9.1033227127901696E-4</v>
      </c>
      <c r="D4" s="34">
        <f>$C72*1/(9+Rules!$B$5)</f>
        <v>9.1033227127901696E-4</v>
      </c>
      <c r="E4" s="34">
        <f>$C72*1/(9+Rules!$B$5)</f>
        <v>9.1033227127901696E-4</v>
      </c>
      <c r="F4" s="34">
        <f>$C72*1/(9+Rules!$B$5)</f>
        <v>9.1033227127901696E-4</v>
      </c>
      <c r="G4" s="34">
        <f>$C72*1/(9+Rules!$B$5)</f>
        <v>9.1033227127901696E-4</v>
      </c>
      <c r="H4" s="34">
        <f>$C72*1/(9+Rules!$B$5)</f>
        <v>9.1033227127901696E-4</v>
      </c>
      <c r="I4" s="34">
        <f>$C72*1/(9+Rules!$B$5)</f>
        <v>9.1033227127901696E-4</v>
      </c>
      <c r="J4" s="34">
        <f>$C72*1/(9+Rules!$B$5)</f>
        <v>9.1033227127901696E-4</v>
      </c>
      <c r="K4" s="34">
        <f>$C72*Rules!$B$5/(9+Rules!$B$5)*((9+Rules!$B$5-1)/(9+Rules!$B$5))</f>
        <v>3.3612268477994475E-3</v>
      </c>
    </row>
    <row r="5" spans="1:13" x14ac:dyDescent="0.2">
      <c r="A5" s="32">
        <v>7</v>
      </c>
      <c r="B5" s="34">
        <f>$C73*1/(9+Rules!$B$5)*(9/(9+Rules!$B$5))</f>
        <v>1.2604600679247927E-3</v>
      </c>
      <c r="C5" s="34">
        <f>$C73*1/(9+Rules!$B$5)</f>
        <v>1.8206645425580339E-3</v>
      </c>
      <c r="D5" s="34">
        <f>$C73*1/(9+Rules!$B$5)</f>
        <v>1.8206645425580339E-3</v>
      </c>
      <c r="E5" s="34">
        <f>$C73*1/(9+Rules!$B$5)</f>
        <v>1.8206645425580339E-3</v>
      </c>
      <c r="F5" s="34">
        <f>$C73*1/(9+Rules!$B$5)</f>
        <v>1.8206645425580339E-3</v>
      </c>
      <c r="G5" s="34">
        <f>$C73*1/(9+Rules!$B$5)</f>
        <v>1.8206645425580339E-3</v>
      </c>
      <c r="H5" s="34">
        <f>$C73*1/(9+Rules!$B$5)</f>
        <v>1.8206645425580339E-3</v>
      </c>
      <c r="I5" s="34">
        <f>$C73*1/(9+Rules!$B$5)</f>
        <v>1.8206645425580339E-3</v>
      </c>
      <c r="J5" s="34">
        <f>$C73*1/(9+Rules!$B$5)</f>
        <v>1.8206645425580339E-3</v>
      </c>
      <c r="K5" s="34">
        <f>$C73*Rules!$B$5/(9+Rules!$B$5)*((9+Rules!$B$5-1)/(9+Rules!$B$5))</f>
        <v>6.7224536955988951E-3</v>
      </c>
    </row>
    <row r="6" spans="1:13" x14ac:dyDescent="0.2">
      <c r="A6" s="32">
        <v>8</v>
      </c>
      <c r="B6" s="34">
        <f>$C74*1/(9+Rules!$B$5)*(9/(9+Rules!$B$5))</f>
        <v>1.2604600679247927E-3</v>
      </c>
      <c r="C6" s="34">
        <f>$C74*1/(9+Rules!$B$5)</f>
        <v>1.8206645425580339E-3</v>
      </c>
      <c r="D6" s="34">
        <f>$C74*1/(9+Rules!$B$5)</f>
        <v>1.8206645425580339E-3</v>
      </c>
      <c r="E6" s="34">
        <f>$C74*1/(9+Rules!$B$5)</f>
        <v>1.8206645425580339E-3</v>
      </c>
      <c r="F6" s="34">
        <f>$C74*1/(9+Rules!$B$5)</f>
        <v>1.8206645425580339E-3</v>
      </c>
      <c r="G6" s="34">
        <f>$C74*1/(9+Rules!$B$5)</f>
        <v>1.8206645425580339E-3</v>
      </c>
      <c r="H6" s="34">
        <f>$C74*1/(9+Rules!$B$5)</f>
        <v>1.8206645425580339E-3</v>
      </c>
      <c r="I6" s="34">
        <f>$C74*1/(9+Rules!$B$5)</f>
        <v>1.8206645425580339E-3</v>
      </c>
      <c r="J6" s="34">
        <f>$C74*1/(9+Rules!$B$5)</f>
        <v>1.8206645425580339E-3</v>
      </c>
      <c r="K6" s="34">
        <f>$C74*Rules!$B$5/(9+Rules!$B$5)*((9+Rules!$B$5-1)/(9+Rules!$B$5))</f>
        <v>6.7224536955988951E-3</v>
      </c>
    </row>
    <row r="7" spans="1:13" x14ac:dyDescent="0.2">
      <c r="A7" s="32">
        <v>9</v>
      </c>
      <c r="B7" s="34">
        <f>$C75*1/(9+Rules!$B$5)*(9/(9+Rules!$B$5))</f>
        <v>1.890690101887189E-3</v>
      </c>
      <c r="C7" s="34">
        <f>$C75*1/(9+Rules!$B$5)</f>
        <v>2.730996813837051E-3</v>
      </c>
      <c r="D7" s="34">
        <f>$C75*1/(9+Rules!$B$5)</f>
        <v>2.730996813837051E-3</v>
      </c>
      <c r="E7" s="34">
        <f>$C75*1/(9+Rules!$B$5)</f>
        <v>2.730996813837051E-3</v>
      </c>
      <c r="F7" s="34">
        <f>$C75*1/(9+Rules!$B$5)</f>
        <v>2.730996813837051E-3</v>
      </c>
      <c r="G7" s="34">
        <f>$C75*1/(9+Rules!$B$5)</f>
        <v>2.730996813837051E-3</v>
      </c>
      <c r="H7" s="34">
        <f>$C75*1/(9+Rules!$B$5)</f>
        <v>2.730996813837051E-3</v>
      </c>
      <c r="I7" s="34">
        <f>$C75*1/(9+Rules!$B$5)</f>
        <v>2.730996813837051E-3</v>
      </c>
      <c r="J7" s="34">
        <f>$C75*1/(9+Rules!$B$5)</f>
        <v>2.730996813837051E-3</v>
      </c>
      <c r="K7" s="34">
        <f>$C75*Rules!$B$5/(9+Rules!$B$5)*((9+Rules!$B$5-1)/(9+Rules!$B$5))</f>
        <v>1.0083680543398343E-2</v>
      </c>
    </row>
    <row r="8" spans="1:13" x14ac:dyDescent="0.2">
      <c r="A8" s="32">
        <v>10</v>
      </c>
      <c r="B8" s="34">
        <f>$C76*1/(9+Rules!$B$5)*(9/(9+Rules!$B$5))</f>
        <v>1.890690101887189E-3</v>
      </c>
      <c r="C8" s="34">
        <f>$C76*1/(9+Rules!$B$5)</f>
        <v>2.730996813837051E-3</v>
      </c>
      <c r="D8" s="34">
        <f>$C76*1/(9+Rules!$B$5)</f>
        <v>2.730996813837051E-3</v>
      </c>
      <c r="E8" s="34">
        <f>$C76*1/(9+Rules!$B$5)</f>
        <v>2.730996813837051E-3</v>
      </c>
      <c r="F8" s="34">
        <f>$C76*1/(9+Rules!$B$5)</f>
        <v>2.730996813837051E-3</v>
      </c>
      <c r="G8" s="34">
        <f>$C76*1/(9+Rules!$B$5)</f>
        <v>2.730996813837051E-3</v>
      </c>
      <c r="H8" s="34">
        <f>$C76*1/(9+Rules!$B$5)</f>
        <v>2.730996813837051E-3</v>
      </c>
      <c r="I8" s="34">
        <f>$C76*1/(9+Rules!$B$5)</f>
        <v>2.730996813837051E-3</v>
      </c>
      <c r="J8" s="34">
        <f>$C76*1/(9+Rules!$B$5)</f>
        <v>2.730996813837051E-3</v>
      </c>
      <c r="K8" s="34">
        <f>$C76*Rules!$B$5/(9+Rules!$B$5)*((9+Rules!$B$5-1)/(9+Rules!$B$5))</f>
        <v>1.0083680543398343E-2</v>
      </c>
    </row>
    <row r="9" spans="1:13" x14ac:dyDescent="0.2">
      <c r="A9" s="32">
        <v>11</v>
      </c>
      <c r="B9" s="34">
        <f>$C77*1/(9+Rules!$B$5)*(9/(9+Rules!$B$5))</f>
        <v>2.5209201358495858E-3</v>
      </c>
      <c r="C9" s="34">
        <f>$C77*1/(9+Rules!$B$5)</f>
        <v>3.6413290851160683E-3</v>
      </c>
      <c r="D9" s="34">
        <f>$C77*1/(9+Rules!$B$5)</f>
        <v>3.6413290851160683E-3</v>
      </c>
      <c r="E9" s="34">
        <f>$C77*1/(9+Rules!$B$5)</f>
        <v>3.6413290851160683E-3</v>
      </c>
      <c r="F9" s="34">
        <f>$C77*1/(9+Rules!$B$5)</f>
        <v>3.6413290851160683E-3</v>
      </c>
      <c r="G9" s="34">
        <f>$C77*1/(9+Rules!$B$5)</f>
        <v>3.6413290851160683E-3</v>
      </c>
      <c r="H9" s="34">
        <f>$C77*1/(9+Rules!$B$5)</f>
        <v>3.6413290851160683E-3</v>
      </c>
      <c r="I9" s="34">
        <f>$C77*1/(9+Rules!$B$5)</f>
        <v>3.6413290851160683E-3</v>
      </c>
      <c r="J9" s="34">
        <f>$C77*1/(9+Rules!$B$5)</f>
        <v>3.6413290851160683E-3</v>
      </c>
      <c r="K9" s="34">
        <f>$C77*Rules!$B$5/(9+Rules!$B$5)*((9+Rules!$B$5-1)/(9+Rules!$B$5))</f>
        <v>1.3444907391197792E-2</v>
      </c>
    </row>
    <row r="10" spans="1:13" x14ac:dyDescent="0.2">
      <c r="A10" s="32">
        <v>12</v>
      </c>
      <c r="B10" s="34">
        <f>$C78*1/(9+Rules!$B$5)*(9/(9+Rules!$B$5))</f>
        <v>4.4116102377367745E-3</v>
      </c>
      <c r="C10" s="34">
        <f>$C78*1/(9+Rules!$B$5)</f>
        <v>6.3723258989531193E-3</v>
      </c>
      <c r="D10" s="34">
        <f>$C78*1/(9+Rules!$B$5)</f>
        <v>6.3723258989531193E-3</v>
      </c>
      <c r="E10" s="34">
        <f>$C78*1/(9+Rules!$B$5)</f>
        <v>6.3723258989531193E-3</v>
      </c>
      <c r="F10" s="34">
        <f>$C78*1/(9+Rules!$B$5)</f>
        <v>6.3723258989531193E-3</v>
      </c>
      <c r="G10" s="34">
        <f>$C78*1/(9+Rules!$B$5)</f>
        <v>6.3723258989531193E-3</v>
      </c>
      <c r="H10" s="34">
        <f>$C78*1/(9+Rules!$B$5)</f>
        <v>6.3723258989531193E-3</v>
      </c>
      <c r="I10" s="34">
        <f>$C78*1/(9+Rules!$B$5)</f>
        <v>6.3723258989531193E-3</v>
      </c>
      <c r="J10" s="34">
        <f>$C78*1/(9+Rules!$B$5)</f>
        <v>6.3723258989531193E-3</v>
      </c>
      <c r="K10" s="34">
        <f>$C78*Rules!$B$5/(9+Rules!$B$5)*((9+Rules!$B$5-1)/(9+Rules!$B$5))</f>
        <v>2.3528587934596133E-2</v>
      </c>
    </row>
    <row r="11" spans="1:13" x14ac:dyDescent="0.2">
      <c r="A11" s="32">
        <v>13</v>
      </c>
      <c r="B11" s="34">
        <f>$C79*1/(9+Rules!$B$5)*(9/(9+Rules!$B$5))</f>
        <v>4.4116102377367745E-3</v>
      </c>
      <c r="C11" s="34">
        <f>$C79*1/(9+Rules!$B$5)</f>
        <v>6.3723258989531193E-3</v>
      </c>
      <c r="D11" s="34">
        <f>$C79*1/(9+Rules!$B$5)</f>
        <v>6.3723258989531193E-3</v>
      </c>
      <c r="E11" s="34">
        <f>$C79*1/(9+Rules!$B$5)</f>
        <v>6.3723258989531193E-3</v>
      </c>
      <c r="F11" s="34">
        <f>$C79*1/(9+Rules!$B$5)</f>
        <v>6.3723258989531193E-3</v>
      </c>
      <c r="G11" s="34">
        <f>$C79*1/(9+Rules!$B$5)</f>
        <v>6.3723258989531193E-3</v>
      </c>
      <c r="H11" s="34">
        <f>$C79*1/(9+Rules!$B$5)</f>
        <v>6.3723258989531193E-3</v>
      </c>
      <c r="I11" s="34">
        <f>$C79*1/(9+Rules!$B$5)</f>
        <v>6.3723258989531193E-3</v>
      </c>
      <c r="J11" s="34">
        <f>$C79*1/(9+Rules!$B$5)</f>
        <v>6.3723258989531193E-3</v>
      </c>
      <c r="K11" s="34">
        <f>$C79*Rules!$B$5/(9+Rules!$B$5)*((9+Rules!$B$5-1)/(9+Rules!$B$5))</f>
        <v>2.3528587934596133E-2</v>
      </c>
    </row>
    <row r="12" spans="1:13" x14ac:dyDescent="0.2">
      <c r="A12" s="32">
        <v>14</v>
      </c>
      <c r="B12" s="34">
        <f>$C80*1/(9+Rules!$B$5)*(9/(9+Rules!$B$5))</f>
        <v>3.781380203774378E-3</v>
      </c>
      <c r="C12" s="34">
        <f>$C80*1/(9+Rules!$B$5)</f>
        <v>5.461993627674102E-3</v>
      </c>
      <c r="D12" s="34">
        <f>$C80*1/(9+Rules!$B$5)</f>
        <v>5.461993627674102E-3</v>
      </c>
      <c r="E12" s="34">
        <f>$C80*1/(9+Rules!$B$5)</f>
        <v>5.461993627674102E-3</v>
      </c>
      <c r="F12" s="34">
        <f>$C80*1/(9+Rules!$B$5)</f>
        <v>5.461993627674102E-3</v>
      </c>
      <c r="G12" s="34">
        <f>$C80*1/(9+Rules!$B$5)</f>
        <v>5.461993627674102E-3</v>
      </c>
      <c r="H12" s="34">
        <f>$C80*1/(9+Rules!$B$5)</f>
        <v>5.461993627674102E-3</v>
      </c>
      <c r="I12" s="34">
        <f>$C80*1/(9+Rules!$B$5)</f>
        <v>5.461993627674102E-3</v>
      </c>
      <c r="J12" s="34">
        <f>$C80*1/(9+Rules!$B$5)</f>
        <v>5.461993627674102E-3</v>
      </c>
      <c r="K12" s="34">
        <f>$C80*Rules!$B$5/(9+Rules!$B$5)*((9+Rules!$B$5-1)/(9+Rules!$B$5))</f>
        <v>2.0167361086796686E-2</v>
      </c>
    </row>
    <row r="13" spans="1:13" x14ac:dyDescent="0.2">
      <c r="A13" s="32">
        <v>15</v>
      </c>
      <c r="B13" s="34">
        <f>$C81*1/(9+Rules!$B$5)*(9/(9+Rules!$B$5))</f>
        <v>3.781380203774378E-3</v>
      </c>
      <c r="C13" s="34">
        <f>$C81*1/(9+Rules!$B$5)</f>
        <v>5.461993627674102E-3</v>
      </c>
      <c r="D13" s="34">
        <f>$C81*1/(9+Rules!$B$5)</f>
        <v>5.461993627674102E-3</v>
      </c>
      <c r="E13" s="34">
        <f>$C81*1/(9+Rules!$B$5)</f>
        <v>5.461993627674102E-3</v>
      </c>
      <c r="F13" s="34">
        <f>$C81*1/(9+Rules!$B$5)</f>
        <v>5.461993627674102E-3</v>
      </c>
      <c r="G13" s="34">
        <f>$C81*1/(9+Rules!$B$5)</f>
        <v>5.461993627674102E-3</v>
      </c>
      <c r="H13" s="34">
        <f>$C81*1/(9+Rules!$B$5)</f>
        <v>5.461993627674102E-3</v>
      </c>
      <c r="I13" s="34">
        <f>$C81*1/(9+Rules!$B$5)</f>
        <v>5.461993627674102E-3</v>
      </c>
      <c r="J13" s="34">
        <f>$C81*1/(9+Rules!$B$5)</f>
        <v>5.461993627674102E-3</v>
      </c>
      <c r="K13" s="34">
        <f>$C81*Rules!$B$5/(9+Rules!$B$5)*((9+Rules!$B$5-1)/(9+Rules!$B$5))</f>
        <v>2.0167361086796686E-2</v>
      </c>
    </row>
    <row r="14" spans="1:13" x14ac:dyDescent="0.2">
      <c r="A14" s="32">
        <v>16</v>
      </c>
      <c r="B14" s="34">
        <f>$C82*1/(9+Rules!$B$5)*(9/(9+Rules!$B$5))</f>
        <v>3.1511501698119814E-3</v>
      </c>
      <c r="C14" s="34">
        <f>$C82*1/(9+Rules!$B$5)</f>
        <v>4.5516613563950847E-3</v>
      </c>
      <c r="D14" s="34">
        <f>$C82*1/(9+Rules!$B$5)</f>
        <v>4.5516613563950847E-3</v>
      </c>
      <c r="E14" s="34">
        <f>$C82*1/(9+Rules!$B$5)</f>
        <v>4.5516613563950847E-3</v>
      </c>
      <c r="F14" s="34">
        <f>$C82*1/(9+Rules!$B$5)</f>
        <v>4.5516613563950847E-3</v>
      </c>
      <c r="G14" s="34">
        <f>$C82*1/(9+Rules!$B$5)</f>
        <v>4.5516613563950847E-3</v>
      </c>
      <c r="H14" s="34">
        <f>$C82*1/(9+Rules!$B$5)</f>
        <v>4.5516613563950847E-3</v>
      </c>
      <c r="I14" s="34">
        <f>$C82*1/(9+Rules!$B$5)</f>
        <v>4.5516613563950847E-3</v>
      </c>
      <c r="J14" s="34">
        <f>$C82*1/(9+Rules!$B$5)</f>
        <v>4.5516613563950847E-3</v>
      </c>
      <c r="K14" s="34">
        <f>$C82*Rules!$B$5/(9+Rules!$B$5)*((9+Rules!$B$5-1)/(9+Rules!$B$5))</f>
        <v>1.6806134238997236E-2</v>
      </c>
      <c r="M14" s="179"/>
    </row>
    <row r="15" spans="1:13" x14ac:dyDescent="0.2">
      <c r="A15" s="32">
        <v>17</v>
      </c>
      <c r="B15" s="34">
        <f>$C83*1/(9+Rules!$B$5)*(9/(9+Rules!$B$5))</f>
        <v>3.1511501698119814E-3</v>
      </c>
      <c r="C15" s="34">
        <f>$C83*1/(9+Rules!$B$5)</f>
        <v>4.5516613563950847E-3</v>
      </c>
      <c r="D15" s="34">
        <f>$C83*1/(9+Rules!$B$5)</f>
        <v>4.5516613563950847E-3</v>
      </c>
      <c r="E15" s="34">
        <f>$C83*1/(9+Rules!$B$5)</f>
        <v>4.5516613563950847E-3</v>
      </c>
      <c r="F15" s="34">
        <f>$C83*1/(9+Rules!$B$5)</f>
        <v>4.5516613563950847E-3</v>
      </c>
      <c r="G15" s="34">
        <f>$C83*1/(9+Rules!$B$5)</f>
        <v>4.5516613563950847E-3</v>
      </c>
      <c r="H15" s="34">
        <f>$C83*1/(9+Rules!$B$5)</f>
        <v>4.5516613563950847E-3</v>
      </c>
      <c r="I15" s="34">
        <f>$C83*1/(9+Rules!$B$5)</f>
        <v>4.5516613563950847E-3</v>
      </c>
      <c r="J15" s="34">
        <f>$C83*1/(9+Rules!$B$5)</f>
        <v>4.5516613563950847E-3</v>
      </c>
      <c r="K15" s="34">
        <f>$C83*Rules!$B$5/(9+Rules!$B$5)*((9+Rules!$B$5-1)/(9+Rules!$B$5))</f>
        <v>1.6806134238997236E-2</v>
      </c>
    </row>
    <row r="16" spans="1:13" x14ac:dyDescent="0.2">
      <c r="A16" s="32">
        <v>18</v>
      </c>
      <c r="B16" s="34">
        <f>$C84*1/(9+Rules!$B$5)*(9/(9+Rules!$B$5))</f>
        <v>2.5209201358495853E-3</v>
      </c>
      <c r="C16" s="34">
        <f>$C84*1/(9+Rules!$B$5)</f>
        <v>3.6413290851160678E-3</v>
      </c>
      <c r="D16" s="34">
        <f>$C84*1/(9+Rules!$B$5)</f>
        <v>3.6413290851160678E-3</v>
      </c>
      <c r="E16" s="34">
        <f>$C84*1/(9+Rules!$B$5)</f>
        <v>3.6413290851160678E-3</v>
      </c>
      <c r="F16" s="34">
        <f>$C84*1/(9+Rules!$B$5)</f>
        <v>3.6413290851160678E-3</v>
      </c>
      <c r="G16" s="34">
        <f>$C84*1/(9+Rules!$B$5)</f>
        <v>3.6413290851160678E-3</v>
      </c>
      <c r="H16" s="34">
        <f>$C84*1/(9+Rules!$B$5)</f>
        <v>3.6413290851160678E-3</v>
      </c>
      <c r="I16" s="34">
        <f>$C84*1/(9+Rules!$B$5)</f>
        <v>3.6413290851160678E-3</v>
      </c>
      <c r="J16" s="34">
        <f>$C84*1/(9+Rules!$B$5)</f>
        <v>3.6413290851160678E-3</v>
      </c>
      <c r="K16" s="34">
        <f>$C84*Rules!$B$5/(9+Rules!$B$5)*((9+Rules!$B$5-1)/(9+Rules!$B$5))</f>
        <v>1.344490739119779E-2</v>
      </c>
    </row>
    <row r="17" spans="1:13" x14ac:dyDescent="0.2">
      <c r="A17" s="32">
        <v>19</v>
      </c>
      <c r="B17" s="34">
        <f>$C85*1/(9+Rules!$B$5)*(9/(9+Rules!$B$5))</f>
        <v>2.5209201358495853E-3</v>
      </c>
      <c r="C17" s="34">
        <f>$C85*1/(9+Rules!$B$5)</f>
        <v>3.6413290851160678E-3</v>
      </c>
      <c r="D17" s="34">
        <f>$C85*1/(9+Rules!$B$5)</f>
        <v>3.6413290851160678E-3</v>
      </c>
      <c r="E17" s="34">
        <f>$C85*1/(9+Rules!$B$5)</f>
        <v>3.6413290851160678E-3</v>
      </c>
      <c r="F17" s="34">
        <f>$C85*1/(9+Rules!$B$5)</f>
        <v>3.6413290851160678E-3</v>
      </c>
      <c r="G17" s="34">
        <f>$C85*1/(9+Rules!$B$5)</f>
        <v>3.6413290851160678E-3</v>
      </c>
      <c r="H17" s="34">
        <f>$C85*1/(9+Rules!$B$5)</f>
        <v>3.6413290851160678E-3</v>
      </c>
      <c r="I17" s="34">
        <f>$C85*1/(9+Rules!$B$5)</f>
        <v>3.6413290851160678E-3</v>
      </c>
      <c r="J17" s="34">
        <f>$C85*1/(9+Rules!$B$5)</f>
        <v>3.6413290851160678E-3</v>
      </c>
      <c r="K17" s="34">
        <f>$C85*Rules!$B$5/(9+Rules!$B$5)*((9+Rules!$B$5-1)/(9+Rules!$B$5))</f>
        <v>1.344490739119779E-2</v>
      </c>
      <c r="M17" s="33">
        <f>SUM(B3:K17)</f>
        <v>0.67644690311963807</v>
      </c>
    </row>
    <row r="18" spans="1:13" x14ac:dyDescent="0.2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3" x14ac:dyDescent="0.2">
      <c r="A19" s="32">
        <v>13</v>
      </c>
      <c r="B19" s="34">
        <f>2*(1/(9+Rules!$B$5))^3*(9/(9+Rules!$B$5))</f>
        <v>6.3023003396239633E-4</v>
      </c>
      <c r="C19" s="34">
        <f>2*(1/(9+Rules!$B$5))^3</f>
        <v>9.1033227127901696E-4</v>
      </c>
      <c r="D19" s="34">
        <f>2*(1/(9+Rules!$B$5))^3</f>
        <v>9.1033227127901696E-4</v>
      </c>
      <c r="E19" s="34">
        <f>2*(1/(9+Rules!$B$5))^3</f>
        <v>9.1033227127901696E-4</v>
      </c>
      <c r="F19" s="34">
        <f>2*(1/(9+Rules!$B$5))^3</f>
        <v>9.1033227127901696E-4</v>
      </c>
      <c r="G19" s="34">
        <f>2*(1/(9+Rules!$B$5))^3</f>
        <v>9.1033227127901696E-4</v>
      </c>
      <c r="H19" s="34">
        <f>2*(1/(9+Rules!$B$5))^3</f>
        <v>9.1033227127901696E-4</v>
      </c>
      <c r="I19" s="34">
        <f>2*(1/(9+Rules!$B$5))^3</f>
        <v>9.1033227127901696E-4</v>
      </c>
      <c r="J19" s="34">
        <f>2*(1/(9+Rules!$B$5))^3</f>
        <v>9.1033227127901696E-4</v>
      </c>
      <c r="K19" s="34">
        <f>2*(1/(9+Rules!$B$5))^2*(Rules!$B$5/(9+Rules!$B$5))*((9+Rules!$B$5-1)/(9+Rules!$B$5))</f>
        <v>3.3612268477994475E-3</v>
      </c>
    </row>
    <row r="20" spans="1:13" x14ac:dyDescent="0.2">
      <c r="A20" s="32">
        <v>14</v>
      </c>
      <c r="B20" s="34">
        <f>2*(1/(9+Rules!$B$5))^3*(9/(9+Rules!$B$5))</f>
        <v>6.3023003396239633E-4</v>
      </c>
      <c r="C20" s="34">
        <f>2*(1/(9+Rules!$B$5))^3</f>
        <v>9.1033227127901696E-4</v>
      </c>
      <c r="D20" s="34">
        <f>2*(1/(9+Rules!$B$5))^3</f>
        <v>9.1033227127901696E-4</v>
      </c>
      <c r="E20" s="34">
        <f>2*(1/(9+Rules!$B$5))^3</f>
        <v>9.1033227127901696E-4</v>
      </c>
      <c r="F20" s="34">
        <f>2*(1/(9+Rules!$B$5))^3</f>
        <v>9.1033227127901696E-4</v>
      </c>
      <c r="G20" s="34">
        <f>2*(1/(9+Rules!$B$5))^3</f>
        <v>9.1033227127901696E-4</v>
      </c>
      <c r="H20" s="34">
        <f>2*(1/(9+Rules!$B$5))^3</f>
        <v>9.1033227127901696E-4</v>
      </c>
      <c r="I20" s="34">
        <f>2*(1/(9+Rules!$B$5))^3</f>
        <v>9.1033227127901696E-4</v>
      </c>
      <c r="J20" s="34">
        <f>2*(1/(9+Rules!$B$5))^3</f>
        <v>9.1033227127901696E-4</v>
      </c>
      <c r="K20" s="34">
        <f>2*(1/(9+Rules!$B$5))^2*(Rules!$B$5/(9+Rules!$B$5))*((9+Rules!$B$5-1)/(9+Rules!$B$5))</f>
        <v>3.3612268477994475E-3</v>
      </c>
    </row>
    <row r="21" spans="1:13" x14ac:dyDescent="0.2">
      <c r="A21" s="32">
        <v>15</v>
      </c>
      <c r="B21" s="34">
        <f>2*(1/(9+Rules!$B$5))^3*(9/(9+Rules!$B$5))</f>
        <v>6.3023003396239633E-4</v>
      </c>
      <c r="C21" s="34">
        <f>2*(1/(9+Rules!$B$5))^3</f>
        <v>9.1033227127901696E-4</v>
      </c>
      <c r="D21" s="34">
        <f>2*(1/(9+Rules!$B$5))^3</f>
        <v>9.1033227127901696E-4</v>
      </c>
      <c r="E21" s="34">
        <f>2*(1/(9+Rules!$B$5))^3</f>
        <v>9.1033227127901696E-4</v>
      </c>
      <c r="F21" s="34">
        <f>2*(1/(9+Rules!$B$5))^3</f>
        <v>9.1033227127901696E-4</v>
      </c>
      <c r="G21" s="34">
        <f>2*(1/(9+Rules!$B$5))^3</f>
        <v>9.1033227127901696E-4</v>
      </c>
      <c r="H21" s="34">
        <f>2*(1/(9+Rules!$B$5))^3</f>
        <v>9.1033227127901696E-4</v>
      </c>
      <c r="I21" s="34">
        <f>2*(1/(9+Rules!$B$5))^3</f>
        <v>9.1033227127901696E-4</v>
      </c>
      <c r="J21" s="34">
        <f>2*(1/(9+Rules!$B$5))^3</f>
        <v>9.1033227127901696E-4</v>
      </c>
      <c r="K21" s="34">
        <f>2*(1/(9+Rules!$B$5))^2*(Rules!$B$5/(9+Rules!$B$5))*((9+Rules!$B$5-1)/(9+Rules!$B$5))</f>
        <v>3.3612268477994475E-3</v>
      </c>
    </row>
    <row r="22" spans="1:13" x14ac:dyDescent="0.2">
      <c r="A22" s="32">
        <v>16</v>
      </c>
      <c r="B22" s="34">
        <f>2*(1/(9+Rules!$B$5))^3*(9/(9+Rules!$B$5))</f>
        <v>6.3023003396239633E-4</v>
      </c>
      <c r="C22" s="34">
        <f>2*(1/(9+Rules!$B$5))^3</f>
        <v>9.1033227127901696E-4</v>
      </c>
      <c r="D22" s="34">
        <f>2*(1/(9+Rules!$B$5))^3</f>
        <v>9.1033227127901696E-4</v>
      </c>
      <c r="E22" s="34">
        <f>2*(1/(9+Rules!$B$5))^3</f>
        <v>9.1033227127901696E-4</v>
      </c>
      <c r="F22" s="34">
        <f>2*(1/(9+Rules!$B$5))^3</f>
        <v>9.1033227127901696E-4</v>
      </c>
      <c r="G22" s="34">
        <f>2*(1/(9+Rules!$B$5))^3</f>
        <v>9.1033227127901696E-4</v>
      </c>
      <c r="H22" s="34">
        <f>2*(1/(9+Rules!$B$5))^3</f>
        <v>9.1033227127901696E-4</v>
      </c>
      <c r="I22" s="34">
        <f>2*(1/(9+Rules!$B$5))^3</f>
        <v>9.1033227127901696E-4</v>
      </c>
      <c r="J22" s="34">
        <f>2*(1/(9+Rules!$B$5))^3</f>
        <v>9.1033227127901696E-4</v>
      </c>
      <c r="K22" s="34">
        <f>2*(1/(9+Rules!$B$5))^2*(Rules!$B$5/(9+Rules!$B$5))*((9+Rules!$B$5-1)/(9+Rules!$B$5))</f>
        <v>3.3612268477994475E-3</v>
      </c>
    </row>
    <row r="23" spans="1:13" x14ac:dyDescent="0.2">
      <c r="A23" s="32">
        <v>17</v>
      </c>
      <c r="B23" s="34">
        <f>2*(1/(9+Rules!$B$5))^3*(9/(9+Rules!$B$5))</f>
        <v>6.3023003396239633E-4</v>
      </c>
      <c r="C23" s="34">
        <f>2*(1/(9+Rules!$B$5))^3</f>
        <v>9.1033227127901696E-4</v>
      </c>
      <c r="D23" s="34">
        <f>2*(1/(9+Rules!$B$5))^3</f>
        <v>9.1033227127901696E-4</v>
      </c>
      <c r="E23" s="34">
        <f>2*(1/(9+Rules!$B$5))^3</f>
        <v>9.1033227127901696E-4</v>
      </c>
      <c r="F23" s="34">
        <f>2*(1/(9+Rules!$B$5))^3</f>
        <v>9.1033227127901696E-4</v>
      </c>
      <c r="G23" s="34">
        <f>2*(1/(9+Rules!$B$5))^3</f>
        <v>9.1033227127901696E-4</v>
      </c>
      <c r="H23" s="34">
        <f>2*(1/(9+Rules!$B$5))^3</f>
        <v>9.1033227127901696E-4</v>
      </c>
      <c r="I23" s="34">
        <f>2*(1/(9+Rules!$B$5))^3</f>
        <v>9.1033227127901696E-4</v>
      </c>
      <c r="J23" s="34">
        <f>2*(1/(9+Rules!$B$5))^3</f>
        <v>9.1033227127901696E-4</v>
      </c>
      <c r="K23" s="34">
        <f>2*(1/(9+Rules!$B$5))^2*(Rules!$B$5/(9+Rules!$B$5))*((9+Rules!$B$5-1)/(9+Rules!$B$5))</f>
        <v>3.3612268477994475E-3</v>
      </c>
    </row>
    <row r="24" spans="1:13" x14ac:dyDescent="0.2">
      <c r="A24" s="32">
        <v>18</v>
      </c>
      <c r="B24" s="34">
        <f>2*(1/(9+Rules!$B$5))^3*(9/(9+Rules!$B$5))</f>
        <v>6.3023003396239633E-4</v>
      </c>
      <c r="C24" s="34">
        <f>2*(1/(9+Rules!$B$5))^3</f>
        <v>9.1033227127901696E-4</v>
      </c>
      <c r="D24" s="34">
        <f>2*(1/(9+Rules!$B$5))^3</f>
        <v>9.1033227127901696E-4</v>
      </c>
      <c r="E24" s="34">
        <f>2*(1/(9+Rules!$B$5))^3</f>
        <v>9.1033227127901696E-4</v>
      </c>
      <c r="F24" s="34">
        <f>2*(1/(9+Rules!$B$5))^3</f>
        <v>9.1033227127901696E-4</v>
      </c>
      <c r="G24" s="34">
        <f>2*(1/(9+Rules!$B$5))^3</f>
        <v>9.1033227127901696E-4</v>
      </c>
      <c r="H24" s="34">
        <f>2*(1/(9+Rules!$B$5))^3</f>
        <v>9.1033227127901696E-4</v>
      </c>
      <c r="I24" s="34">
        <f>2*(1/(9+Rules!$B$5))^3</f>
        <v>9.1033227127901696E-4</v>
      </c>
      <c r="J24" s="34">
        <f>2*(1/(9+Rules!$B$5))^3</f>
        <v>9.1033227127901696E-4</v>
      </c>
      <c r="K24" s="34">
        <f>2*(1/(9+Rules!$B$5))^2*(Rules!$B$5/(9+Rules!$B$5))*((9+Rules!$B$5-1)/(9+Rules!$B$5))</f>
        <v>3.3612268477994475E-3</v>
      </c>
    </row>
    <row r="25" spans="1:13" x14ac:dyDescent="0.2">
      <c r="A25" s="32">
        <v>19</v>
      </c>
      <c r="B25" s="34">
        <f>2*(1/(9+Rules!$B$5))^3*(9/(9+Rules!$B$5))</f>
        <v>6.3023003396239633E-4</v>
      </c>
      <c r="C25" s="34">
        <f>2*(1/(9+Rules!$B$5))^3</f>
        <v>9.1033227127901696E-4</v>
      </c>
      <c r="D25" s="34">
        <f>2*(1/(9+Rules!$B$5))^3</f>
        <v>9.1033227127901696E-4</v>
      </c>
      <c r="E25" s="34">
        <f>2*(1/(9+Rules!$B$5))^3</f>
        <v>9.1033227127901696E-4</v>
      </c>
      <c r="F25" s="34">
        <f>2*(1/(9+Rules!$B$5))^3</f>
        <v>9.1033227127901696E-4</v>
      </c>
      <c r="G25" s="34">
        <f>2*(1/(9+Rules!$B$5))^3</f>
        <v>9.1033227127901696E-4</v>
      </c>
      <c r="H25" s="34">
        <f>2*(1/(9+Rules!$B$5))^3</f>
        <v>9.1033227127901696E-4</v>
      </c>
      <c r="I25" s="34">
        <f>2*(1/(9+Rules!$B$5))^3</f>
        <v>9.1033227127901696E-4</v>
      </c>
      <c r="J25" s="34">
        <f>2*(1/(9+Rules!$B$5))^3</f>
        <v>9.1033227127901696E-4</v>
      </c>
      <c r="K25" s="34">
        <f>2*(1/(9+Rules!$B$5))^2*(Rules!$B$5/(9+Rules!$B$5))*((9+Rules!$B$5-1)/(9+Rules!$B$5))</f>
        <v>3.3612268477994475E-3</v>
      </c>
    </row>
    <row r="26" spans="1:13" x14ac:dyDescent="0.2">
      <c r="A26" s="32">
        <v>20</v>
      </c>
      <c r="B26" s="34">
        <f>2*(1/(9+Rules!$B$5))^3*(9/(9+Rules!$B$5))</f>
        <v>6.3023003396239633E-4</v>
      </c>
      <c r="C26" s="34">
        <f>2*(1/(9+Rules!$B$5))^3</f>
        <v>9.1033227127901696E-4</v>
      </c>
      <c r="D26" s="34">
        <f>2*(1/(9+Rules!$B$5))^3</f>
        <v>9.1033227127901696E-4</v>
      </c>
      <c r="E26" s="34">
        <f>2*(1/(9+Rules!$B$5))^3</f>
        <v>9.1033227127901696E-4</v>
      </c>
      <c r="F26" s="34">
        <f>2*(1/(9+Rules!$B$5))^3</f>
        <v>9.1033227127901696E-4</v>
      </c>
      <c r="G26" s="34">
        <f>2*(1/(9+Rules!$B$5))^3</f>
        <v>9.1033227127901696E-4</v>
      </c>
      <c r="H26" s="34">
        <f>2*(1/(9+Rules!$B$5))^3</f>
        <v>9.1033227127901696E-4</v>
      </c>
      <c r="I26" s="34">
        <f>2*(1/(9+Rules!$B$5))^3</f>
        <v>9.1033227127901696E-4</v>
      </c>
      <c r="J26" s="34">
        <f>2*(1/(9+Rules!$B$5))^3</f>
        <v>9.1033227127901696E-4</v>
      </c>
      <c r="K26" s="34">
        <f>2*(1/(9+Rules!$B$5))^2*(Rules!$B$5/(9+Rules!$B$5))*((9+Rules!$B$5-1)/(9+Rules!$B$5))</f>
        <v>3.3612268477994475E-3</v>
      </c>
    </row>
    <row r="27" spans="1:13" x14ac:dyDescent="0.2">
      <c r="A27" s="32">
        <v>21</v>
      </c>
      <c r="B27" s="34">
        <f>2*(1/(9+Rules!$B$5))^2*(Rules!$B$5/(9+Rules!$B$5))*(9/(9+Rules!$B$5))</f>
        <v>2.5209201358495853E-3</v>
      </c>
      <c r="C27" s="34">
        <f>2*(1/(9+Rules!$B$5))^2*(Rules!$B$5/(9+Rules!$B$5))</f>
        <v>3.6413290851160678E-3</v>
      </c>
      <c r="D27" s="34">
        <f>2*(1/(9+Rules!$B$5))^2*(Rules!$B$5/(9+Rules!$B$5))</f>
        <v>3.6413290851160678E-3</v>
      </c>
      <c r="E27" s="34">
        <f>2*(1/(9+Rules!$B$5))^2*(Rules!$B$5/(9+Rules!$B$5))</f>
        <v>3.6413290851160678E-3</v>
      </c>
      <c r="F27" s="34">
        <f>2*(1/(9+Rules!$B$5))^2*(Rules!$B$5/(9+Rules!$B$5))</f>
        <v>3.6413290851160678E-3</v>
      </c>
      <c r="G27" s="34">
        <f>2*(1/(9+Rules!$B$5))^2*(Rules!$B$5/(9+Rules!$B$5))</f>
        <v>3.6413290851160678E-3</v>
      </c>
      <c r="H27" s="34">
        <f>2*(1/(9+Rules!$B$5))^2*(Rules!$B$5/(9+Rules!$B$5))</f>
        <v>3.6413290851160678E-3</v>
      </c>
      <c r="I27" s="34">
        <f>2*(1/(9+Rules!$B$5))^2*(Rules!$B$5/(9+Rules!$B$5))</f>
        <v>3.6413290851160678E-3</v>
      </c>
      <c r="J27" s="34">
        <f>2*(1/(9+Rules!$B$5))^2*(Rules!$B$5/(9+Rules!$B$5))</f>
        <v>3.6413290851160678E-3</v>
      </c>
      <c r="K27" s="34">
        <f>2*(Rules!$B$5/(9+Rules!$B$5))^2*(1/(9+Rules!$B$5))*((9+Rules!$B$5-1)/(9+Rules!$B$5))</f>
        <v>1.344490739119779E-2</v>
      </c>
      <c r="M27" s="33">
        <f>SUM(B19:K27)</f>
        <v>0.13528938062392776</v>
      </c>
    </row>
    <row r="28" spans="1:13" x14ac:dyDescent="0.2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3" x14ac:dyDescent="0.2">
      <c r="A29" s="32" t="s">
        <v>1</v>
      </c>
      <c r="B29" s="34">
        <f>(1/(9+Rules!$B$5))^3*(9/(9+Rules!$B$5))</f>
        <v>3.1511501698119817E-4</v>
      </c>
      <c r="C29" s="34">
        <f>(1/(9+Rules!$B$5))^3</f>
        <v>4.5516613563950848E-4</v>
      </c>
      <c r="D29" s="34">
        <f>(1/(9+Rules!$B$5))^3</f>
        <v>4.5516613563950848E-4</v>
      </c>
      <c r="E29" s="34">
        <f>(1/(9+Rules!$B$5))^3</f>
        <v>4.5516613563950848E-4</v>
      </c>
      <c r="F29" s="34">
        <f>(1/(9+Rules!$B$5))^3</f>
        <v>4.5516613563950848E-4</v>
      </c>
      <c r="G29" s="34">
        <f>(1/(9+Rules!$B$5))^3</f>
        <v>4.5516613563950848E-4</v>
      </c>
      <c r="H29" s="34">
        <f>(1/(9+Rules!$B$5))^3</f>
        <v>4.5516613563950848E-4</v>
      </c>
      <c r="I29" s="34">
        <f>(1/(9+Rules!$B$5))^3</f>
        <v>4.5516613563950848E-4</v>
      </c>
      <c r="J29" s="34">
        <f>(1/(9+Rules!$B$5))^3</f>
        <v>4.5516613563950848E-4</v>
      </c>
      <c r="K29" s="34">
        <f>(1/(9+Rules!$B$5))^2*(Rules!$B$5/(9+Rules!$B$5))*((9+Rules!$B$5-1)/(9+Rules!$B$5))</f>
        <v>1.6806134238997238E-3</v>
      </c>
    </row>
    <row r="30" spans="1:13" x14ac:dyDescent="0.2">
      <c r="A30" s="32">
        <v>2</v>
      </c>
      <c r="B30" s="34">
        <f>(1/(9+Rules!$B$5))^3*(9/(9+Rules!$B$5))</f>
        <v>3.1511501698119817E-4</v>
      </c>
      <c r="C30" s="34">
        <f>(1/(9+Rules!$B$5))^3</f>
        <v>4.5516613563950848E-4</v>
      </c>
      <c r="D30" s="34">
        <f>(1/(9+Rules!$B$5))^3</f>
        <v>4.5516613563950848E-4</v>
      </c>
      <c r="E30" s="34">
        <f>(1/(9+Rules!$B$5))^3</f>
        <v>4.5516613563950848E-4</v>
      </c>
      <c r="F30" s="34">
        <f>(1/(9+Rules!$B$5))^3</f>
        <v>4.5516613563950848E-4</v>
      </c>
      <c r="G30" s="34">
        <f>(1/(9+Rules!$B$5))^3</f>
        <v>4.5516613563950848E-4</v>
      </c>
      <c r="H30" s="34">
        <f>(1/(9+Rules!$B$5))^3</f>
        <v>4.5516613563950848E-4</v>
      </c>
      <c r="I30" s="34">
        <f>(1/(9+Rules!$B$5))^3</f>
        <v>4.5516613563950848E-4</v>
      </c>
      <c r="J30" s="34">
        <f>(1/(9+Rules!$B$5))^3</f>
        <v>4.5516613563950848E-4</v>
      </c>
      <c r="K30" s="34">
        <f>(1/(9+Rules!$B$5))^2*(Rules!$B$5/(9+Rules!$B$5))*((9+Rules!$B$5-1)/(9+Rules!$B$5))</f>
        <v>1.6806134238997238E-3</v>
      </c>
    </row>
    <row r="31" spans="1:13" x14ac:dyDescent="0.2">
      <c r="A31" s="32">
        <v>3</v>
      </c>
      <c r="B31" s="34">
        <f>(1/(9+Rules!$B$5))^3*(9/(9+Rules!$B$5))</f>
        <v>3.1511501698119817E-4</v>
      </c>
      <c r="C31" s="34">
        <f>(1/(9+Rules!$B$5))^3</f>
        <v>4.5516613563950848E-4</v>
      </c>
      <c r="D31" s="34">
        <f>(1/(9+Rules!$B$5))^3</f>
        <v>4.5516613563950848E-4</v>
      </c>
      <c r="E31" s="34">
        <f>(1/(9+Rules!$B$5))^3</f>
        <v>4.5516613563950848E-4</v>
      </c>
      <c r="F31" s="34">
        <f>(1/(9+Rules!$B$5))^3</f>
        <v>4.5516613563950848E-4</v>
      </c>
      <c r="G31" s="34">
        <f>(1/(9+Rules!$B$5))^3</f>
        <v>4.5516613563950848E-4</v>
      </c>
      <c r="H31" s="34">
        <f>(1/(9+Rules!$B$5))^3</f>
        <v>4.5516613563950848E-4</v>
      </c>
      <c r="I31" s="34">
        <f>(1/(9+Rules!$B$5))^3</f>
        <v>4.5516613563950848E-4</v>
      </c>
      <c r="J31" s="34">
        <f>(1/(9+Rules!$B$5))^3</f>
        <v>4.5516613563950848E-4</v>
      </c>
      <c r="K31" s="34">
        <f>(1/(9+Rules!$B$5))^2*(Rules!$B$5/(9+Rules!$B$5))*((9+Rules!$B$5-1)/(9+Rules!$B$5))</f>
        <v>1.6806134238997238E-3</v>
      </c>
    </row>
    <row r="32" spans="1:13" x14ac:dyDescent="0.2">
      <c r="A32" s="32">
        <v>4</v>
      </c>
      <c r="B32" s="34">
        <f>(1/(9+Rules!$B$5))^3*(9/(9+Rules!$B$5))</f>
        <v>3.1511501698119817E-4</v>
      </c>
      <c r="C32" s="34">
        <f>(1/(9+Rules!$B$5))^3</f>
        <v>4.5516613563950848E-4</v>
      </c>
      <c r="D32" s="34">
        <f>(1/(9+Rules!$B$5))^3</f>
        <v>4.5516613563950848E-4</v>
      </c>
      <c r="E32" s="34">
        <f>(1/(9+Rules!$B$5))^3</f>
        <v>4.5516613563950848E-4</v>
      </c>
      <c r="F32" s="34">
        <f>(1/(9+Rules!$B$5))^3</f>
        <v>4.5516613563950848E-4</v>
      </c>
      <c r="G32" s="34">
        <f>(1/(9+Rules!$B$5))^3</f>
        <v>4.5516613563950848E-4</v>
      </c>
      <c r="H32" s="34">
        <f>(1/(9+Rules!$B$5))^3</f>
        <v>4.5516613563950848E-4</v>
      </c>
      <c r="I32" s="34">
        <f>(1/(9+Rules!$B$5))^3</f>
        <v>4.5516613563950848E-4</v>
      </c>
      <c r="J32" s="34">
        <f>(1/(9+Rules!$B$5))^3</f>
        <v>4.5516613563950848E-4</v>
      </c>
      <c r="K32" s="34">
        <f>(1/(9+Rules!$B$5))^2*(Rules!$B$5/(9+Rules!$B$5))*((9+Rules!$B$5-1)/(9+Rules!$B$5))</f>
        <v>1.6806134238997238E-3</v>
      </c>
    </row>
    <row r="33" spans="1:13" x14ac:dyDescent="0.2">
      <c r="A33" s="32">
        <v>5</v>
      </c>
      <c r="B33" s="34">
        <f>(1/(9+Rules!$B$5))^3*(9/(9+Rules!$B$5))</f>
        <v>3.1511501698119817E-4</v>
      </c>
      <c r="C33" s="34">
        <f>(1/(9+Rules!$B$5))^3</f>
        <v>4.5516613563950848E-4</v>
      </c>
      <c r="D33" s="34">
        <f>(1/(9+Rules!$B$5))^3</f>
        <v>4.5516613563950848E-4</v>
      </c>
      <c r="E33" s="34">
        <f>(1/(9+Rules!$B$5))^3</f>
        <v>4.5516613563950848E-4</v>
      </c>
      <c r="F33" s="34">
        <f>(1/(9+Rules!$B$5))^3</f>
        <v>4.5516613563950848E-4</v>
      </c>
      <c r="G33" s="34">
        <f>(1/(9+Rules!$B$5))^3</f>
        <v>4.5516613563950848E-4</v>
      </c>
      <c r="H33" s="34">
        <f>(1/(9+Rules!$B$5))^3</f>
        <v>4.5516613563950848E-4</v>
      </c>
      <c r="I33" s="34">
        <f>(1/(9+Rules!$B$5))^3</f>
        <v>4.5516613563950848E-4</v>
      </c>
      <c r="J33" s="34">
        <f>(1/(9+Rules!$B$5))^3</f>
        <v>4.5516613563950848E-4</v>
      </c>
      <c r="K33" s="34">
        <f>(1/(9+Rules!$B$5))^2*(Rules!$B$5/(9+Rules!$B$5))*((9+Rules!$B$5-1)/(9+Rules!$B$5))</f>
        <v>1.6806134238997238E-3</v>
      </c>
    </row>
    <row r="34" spans="1:13" x14ac:dyDescent="0.2">
      <c r="A34" s="32">
        <v>6</v>
      </c>
      <c r="B34" s="34">
        <f>(1/(9+Rules!$B$5))^3*(9/(9+Rules!$B$5))</f>
        <v>3.1511501698119817E-4</v>
      </c>
      <c r="C34" s="34">
        <f>(1/(9+Rules!$B$5))^3</f>
        <v>4.5516613563950848E-4</v>
      </c>
      <c r="D34" s="34">
        <f>(1/(9+Rules!$B$5))^3</f>
        <v>4.5516613563950848E-4</v>
      </c>
      <c r="E34" s="34">
        <f>(1/(9+Rules!$B$5))^3</f>
        <v>4.5516613563950848E-4</v>
      </c>
      <c r="F34" s="34">
        <f>(1/(9+Rules!$B$5))^3</f>
        <v>4.5516613563950848E-4</v>
      </c>
      <c r="G34" s="34">
        <f>(1/(9+Rules!$B$5))^3</f>
        <v>4.5516613563950848E-4</v>
      </c>
      <c r="H34" s="34">
        <f>(1/(9+Rules!$B$5))^3</f>
        <v>4.5516613563950848E-4</v>
      </c>
      <c r="I34" s="34">
        <f>(1/(9+Rules!$B$5))^3</f>
        <v>4.5516613563950848E-4</v>
      </c>
      <c r="J34" s="34">
        <f>(1/(9+Rules!$B$5))^3</f>
        <v>4.5516613563950848E-4</v>
      </c>
      <c r="K34" s="34">
        <f>(1/(9+Rules!$B$5))^2*(Rules!$B$5/(9+Rules!$B$5))*((9+Rules!$B$5-1)/(9+Rules!$B$5))</f>
        <v>1.6806134238997238E-3</v>
      </c>
    </row>
    <row r="35" spans="1:13" x14ac:dyDescent="0.2">
      <c r="A35" s="32">
        <v>7</v>
      </c>
      <c r="B35" s="34">
        <f>(1/(9+Rules!$B$5))^3*(9/(9+Rules!$B$5))</f>
        <v>3.1511501698119817E-4</v>
      </c>
      <c r="C35" s="34">
        <f>(1/(9+Rules!$B$5))^3</f>
        <v>4.5516613563950848E-4</v>
      </c>
      <c r="D35" s="34">
        <f>(1/(9+Rules!$B$5))^3</f>
        <v>4.5516613563950848E-4</v>
      </c>
      <c r="E35" s="34">
        <f>(1/(9+Rules!$B$5))^3</f>
        <v>4.5516613563950848E-4</v>
      </c>
      <c r="F35" s="34">
        <f>(1/(9+Rules!$B$5))^3</f>
        <v>4.5516613563950848E-4</v>
      </c>
      <c r="G35" s="34">
        <f>(1/(9+Rules!$B$5))^3</f>
        <v>4.5516613563950848E-4</v>
      </c>
      <c r="H35" s="34">
        <f>(1/(9+Rules!$B$5))^3</f>
        <v>4.5516613563950848E-4</v>
      </c>
      <c r="I35" s="34">
        <f>(1/(9+Rules!$B$5))^3</f>
        <v>4.5516613563950848E-4</v>
      </c>
      <c r="J35" s="34">
        <f>(1/(9+Rules!$B$5))^3</f>
        <v>4.5516613563950848E-4</v>
      </c>
      <c r="K35" s="34">
        <f>(1/(9+Rules!$B$5))^2*(Rules!$B$5/(9+Rules!$B$5))*((9+Rules!$B$5-1)/(9+Rules!$B$5))</f>
        <v>1.6806134238997238E-3</v>
      </c>
    </row>
    <row r="36" spans="1:13" x14ac:dyDescent="0.2">
      <c r="A36" s="32">
        <v>8</v>
      </c>
      <c r="B36" s="34">
        <f>(1/(9+Rules!$B$5))^3*(9/(9+Rules!$B$5))</f>
        <v>3.1511501698119817E-4</v>
      </c>
      <c r="C36" s="34">
        <f>(1/(9+Rules!$B$5))^3</f>
        <v>4.5516613563950848E-4</v>
      </c>
      <c r="D36" s="34">
        <f>(1/(9+Rules!$B$5))^3</f>
        <v>4.5516613563950848E-4</v>
      </c>
      <c r="E36" s="34">
        <f>(1/(9+Rules!$B$5))^3</f>
        <v>4.5516613563950848E-4</v>
      </c>
      <c r="F36" s="34">
        <f>(1/(9+Rules!$B$5))^3</f>
        <v>4.5516613563950848E-4</v>
      </c>
      <c r="G36" s="34">
        <f>(1/(9+Rules!$B$5))^3</f>
        <v>4.5516613563950848E-4</v>
      </c>
      <c r="H36" s="34">
        <f>(1/(9+Rules!$B$5))^3</f>
        <v>4.5516613563950848E-4</v>
      </c>
      <c r="I36" s="34">
        <f>(1/(9+Rules!$B$5))^3</f>
        <v>4.5516613563950848E-4</v>
      </c>
      <c r="J36" s="34">
        <f>(1/(9+Rules!$B$5))^3</f>
        <v>4.5516613563950848E-4</v>
      </c>
      <c r="K36" s="34">
        <f>(1/(9+Rules!$B$5))^2*(Rules!$B$5/(9+Rules!$B$5))*((9+Rules!$B$5-1)/(9+Rules!$B$5))</f>
        <v>1.6806134238997238E-3</v>
      </c>
    </row>
    <row r="37" spans="1:13" x14ac:dyDescent="0.2">
      <c r="A37" s="32">
        <v>9</v>
      </c>
      <c r="B37" s="34">
        <f>(1/(9+Rules!$B$5))^3*(9/(9+Rules!$B$5))</f>
        <v>3.1511501698119817E-4</v>
      </c>
      <c r="C37" s="34">
        <f>(1/(9+Rules!$B$5))^3</f>
        <v>4.5516613563950848E-4</v>
      </c>
      <c r="D37" s="34">
        <f>(1/(9+Rules!$B$5))^3</f>
        <v>4.5516613563950848E-4</v>
      </c>
      <c r="E37" s="34">
        <f>(1/(9+Rules!$B$5))^3</f>
        <v>4.5516613563950848E-4</v>
      </c>
      <c r="F37" s="34">
        <f>(1/(9+Rules!$B$5))^3</f>
        <v>4.5516613563950848E-4</v>
      </c>
      <c r="G37" s="34">
        <f>(1/(9+Rules!$B$5))^3</f>
        <v>4.5516613563950848E-4</v>
      </c>
      <c r="H37" s="34">
        <f>(1/(9+Rules!$B$5))^3</f>
        <v>4.5516613563950848E-4</v>
      </c>
      <c r="I37" s="34">
        <f>(1/(9+Rules!$B$5))^3</f>
        <v>4.5516613563950848E-4</v>
      </c>
      <c r="J37" s="34">
        <f>(1/(9+Rules!$B$5))^3</f>
        <v>4.5516613563950848E-4</v>
      </c>
      <c r="K37" s="34">
        <f>(1/(9+Rules!$B$5))^2*(Rules!$B$5/(9+Rules!$B$5))*((9+Rules!$B$5-1)/(9+Rules!$B$5))</f>
        <v>1.6806134238997238E-3</v>
      </c>
    </row>
    <row r="38" spans="1:13" x14ac:dyDescent="0.2">
      <c r="A38" s="32">
        <v>10</v>
      </c>
      <c r="B38" s="34">
        <f>(Rules!$B$5/(9+Rules!$B$5))^2*(1/(9+Rules!$B$5))*(9/(9+Rules!$B$5))</f>
        <v>5.0418402716991707E-3</v>
      </c>
      <c r="C38" s="34">
        <f>(Rules!$B$5/(9+Rules!$B$5))^2*(1/(9+Rules!$B$5))</f>
        <v>7.2826581702321357E-3</v>
      </c>
      <c r="D38" s="34">
        <f>(Rules!$B$5/(9+Rules!$B$5))^2*(1/(9+Rules!$B$5))</f>
        <v>7.2826581702321357E-3</v>
      </c>
      <c r="E38" s="34">
        <f>(Rules!$B$5/(9+Rules!$B$5))^2*(1/(9+Rules!$B$5))</f>
        <v>7.2826581702321357E-3</v>
      </c>
      <c r="F38" s="34">
        <f>(Rules!$B$5/(9+Rules!$B$5))^2*(1/(9+Rules!$B$5))</f>
        <v>7.2826581702321357E-3</v>
      </c>
      <c r="G38" s="34">
        <f>(Rules!$B$5/(9+Rules!$B$5))^2*(1/(9+Rules!$B$5))</f>
        <v>7.2826581702321357E-3</v>
      </c>
      <c r="H38" s="34">
        <f>(Rules!$B$5/(9+Rules!$B$5))^2*(1/(9+Rules!$B$5))</f>
        <v>7.2826581702321357E-3</v>
      </c>
      <c r="I38" s="34">
        <f>(Rules!$B$5/(9+Rules!$B$5))^2*(1/(9+Rules!$B$5))</f>
        <v>7.2826581702321357E-3</v>
      </c>
      <c r="J38" s="34">
        <f>(Rules!$B$5/(9+Rules!$B$5))^2*(1/(9+Rules!$B$5))</f>
        <v>7.2826581702321357E-3</v>
      </c>
      <c r="K38" s="34">
        <f>(Rules!$B$5/(9+Rules!$B$5))^3*((9+Rules!$B$5-1)/(9+Rules!$B$5))</f>
        <v>2.688981478239558E-2</v>
      </c>
      <c r="M38" s="33">
        <f>SUM(B29:K38)</f>
        <v>0.1409264381499247</v>
      </c>
    </row>
    <row r="39" spans="1:13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3" x14ac:dyDescent="0.2">
      <c r="A40" s="37" t="s">
        <v>11</v>
      </c>
      <c r="B40" s="38"/>
      <c r="C40" s="39">
        <f>2*(1/(9+Rules!$B$5))*(Rules!$B$5/(9+Rules!$B$5))</f>
        <v>4.7337278106508882E-2</v>
      </c>
      <c r="M40" s="33">
        <f>SUM(B3:K17,B19:K27,B29:K38)</f>
        <v>0.95266272189349366</v>
      </c>
    </row>
    <row r="41" spans="1:13" x14ac:dyDescent="0.2">
      <c r="M41" s="33">
        <f>M40+C40</f>
        <v>1.0000000000000024</v>
      </c>
    </row>
    <row r="43" spans="1:13" x14ac:dyDescent="0.2">
      <c r="C43" s="40" t="s">
        <v>12</v>
      </c>
    </row>
    <row r="44" spans="1:13" x14ac:dyDescent="0.2">
      <c r="A44" s="41" t="s">
        <v>13</v>
      </c>
      <c r="B44" s="41"/>
      <c r="C44" s="41">
        <v>2</v>
      </c>
      <c r="D44" s="41">
        <v>3</v>
      </c>
      <c r="E44" s="41">
        <v>4</v>
      </c>
      <c r="F44" s="41">
        <v>5</v>
      </c>
      <c r="G44" s="41">
        <v>6</v>
      </c>
      <c r="H44" s="41">
        <v>7</v>
      </c>
      <c r="I44" s="41">
        <v>8</v>
      </c>
      <c r="J44" s="41">
        <v>9</v>
      </c>
      <c r="K44" s="41">
        <v>10</v>
      </c>
    </row>
    <row r="45" spans="1:13" x14ac:dyDescent="0.2">
      <c r="A45" s="41">
        <v>2</v>
      </c>
      <c r="B45" s="41"/>
      <c r="D45" s="33">
        <f t="shared" ref="D45:K47" si="0">SUM(D$44,$A45)</f>
        <v>5</v>
      </c>
      <c r="E45" s="33">
        <f t="shared" si="0"/>
        <v>6</v>
      </c>
      <c r="F45" s="33">
        <f t="shared" si="0"/>
        <v>7</v>
      </c>
      <c r="G45" s="33">
        <f t="shared" si="0"/>
        <v>8</v>
      </c>
      <c r="H45" s="33">
        <f t="shared" si="0"/>
        <v>9</v>
      </c>
      <c r="I45" s="33">
        <f t="shared" si="0"/>
        <v>10</v>
      </c>
      <c r="J45" s="33">
        <f t="shared" si="0"/>
        <v>11</v>
      </c>
      <c r="K45" s="33">
        <f t="shared" si="0"/>
        <v>12</v>
      </c>
    </row>
    <row r="46" spans="1:13" x14ac:dyDescent="0.2">
      <c r="A46" s="41">
        <v>3</v>
      </c>
      <c r="B46" s="41"/>
      <c r="C46" s="33">
        <f t="shared" ref="C46:E53" si="1">SUM(C$44,$A46)</f>
        <v>5</v>
      </c>
      <c r="E46" s="33">
        <f t="shared" si="0"/>
        <v>7</v>
      </c>
      <c r="F46" s="33">
        <f t="shared" si="0"/>
        <v>8</v>
      </c>
      <c r="G46" s="33">
        <f t="shared" si="0"/>
        <v>9</v>
      </c>
      <c r="H46" s="33">
        <f t="shared" si="0"/>
        <v>10</v>
      </c>
      <c r="I46" s="33">
        <f t="shared" si="0"/>
        <v>11</v>
      </c>
      <c r="J46" s="33">
        <f t="shared" si="0"/>
        <v>12</v>
      </c>
      <c r="K46" s="33">
        <f t="shared" si="0"/>
        <v>13</v>
      </c>
    </row>
    <row r="47" spans="1:13" x14ac:dyDescent="0.2">
      <c r="A47" s="41">
        <v>4</v>
      </c>
      <c r="B47" s="41"/>
      <c r="C47" s="33">
        <f t="shared" si="1"/>
        <v>6</v>
      </c>
      <c r="D47" s="33">
        <f t="shared" si="1"/>
        <v>7</v>
      </c>
      <c r="F47" s="33">
        <f t="shared" si="0"/>
        <v>9</v>
      </c>
      <c r="G47" s="33">
        <f t="shared" si="0"/>
        <v>10</v>
      </c>
      <c r="H47" s="33">
        <f t="shared" si="0"/>
        <v>11</v>
      </c>
      <c r="I47" s="33">
        <f t="shared" si="0"/>
        <v>12</v>
      </c>
      <c r="J47" s="33">
        <f t="shared" si="0"/>
        <v>13</v>
      </c>
      <c r="K47" s="33">
        <f t="shared" si="0"/>
        <v>14</v>
      </c>
    </row>
    <row r="48" spans="1:13" x14ac:dyDescent="0.2">
      <c r="A48" s="41">
        <v>5</v>
      </c>
      <c r="B48" s="41"/>
      <c r="C48" s="33">
        <f t="shared" si="1"/>
        <v>7</v>
      </c>
      <c r="D48" s="33">
        <f t="shared" si="1"/>
        <v>8</v>
      </c>
      <c r="E48" s="33">
        <f t="shared" si="1"/>
        <v>9</v>
      </c>
      <c r="G48" s="33">
        <f>SUM(G$44,$A48)</f>
        <v>11</v>
      </c>
      <c r="H48" s="33">
        <f>SUM(H$44,$A48)</f>
        <v>12</v>
      </c>
      <c r="I48" s="33">
        <f>SUM(I$44,$A48)</f>
        <v>13</v>
      </c>
      <c r="J48" s="33">
        <f>SUM(J$44,$A48)</f>
        <v>14</v>
      </c>
      <c r="K48" s="33">
        <f>SUM(K$44,$A48)</f>
        <v>15</v>
      </c>
    </row>
    <row r="49" spans="1:11" x14ac:dyDescent="0.2">
      <c r="A49" s="41">
        <v>6</v>
      </c>
      <c r="B49" s="41"/>
      <c r="C49" s="33">
        <f t="shared" si="1"/>
        <v>8</v>
      </c>
      <c r="D49" s="33">
        <f t="shared" si="1"/>
        <v>9</v>
      </c>
      <c r="E49" s="33">
        <f t="shared" si="1"/>
        <v>10</v>
      </c>
      <c r="F49" s="33">
        <f>SUM(F$44,$A49)</f>
        <v>11</v>
      </c>
      <c r="H49" s="33">
        <f>SUM(H$44,$A49)</f>
        <v>13</v>
      </c>
      <c r="I49" s="33">
        <f>SUM(I$44,$A49)</f>
        <v>14</v>
      </c>
      <c r="J49" s="33">
        <f>SUM(J$44,$A49)</f>
        <v>15</v>
      </c>
      <c r="K49" s="33">
        <f>SUM(K$44,$A49)</f>
        <v>16</v>
      </c>
    </row>
    <row r="50" spans="1:11" x14ac:dyDescent="0.2">
      <c r="A50" s="41">
        <v>7</v>
      </c>
      <c r="B50" s="41"/>
      <c r="C50" s="33">
        <f t="shared" si="1"/>
        <v>9</v>
      </c>
      <c r="D50" s="33">
        <f t="shared" si="1"/>
        <v>10</v>
      </c>
      <c r="E50" s="33">
        <f t="shared" si="1"/>
        <v>11</v>
      </c>
      <c r="F50" s="33">
        <f>SUM(F$44,$A50)</f>
        <v>12</v>
      </c>
      <c r="G50" s="33">
        <f>SUM(G$44,$A50)</f>
        <v>13</v>
      </c>
      <c r="I50" s="33">
        <f>SUM(I$44,$A50)</f>
        <v>15</v>
      </c>
      <c r="J50" s="33">
        <f>SUM(J$44,$A50)</f>
        <v>16</v>
      </c>
      <c r="K50" s="33">
        <f>SUM(K$44,$A50)</f>
        <v>17</v>
      </c>
    </row>
    <row r="51" spans="1:11" x14ac:dyDescent="0.2">
      <c r="A51" s="41">
        <v>8</v>
      </c>
      <c r="B51" s="41"/>
      <c r="C51" s="33">
        <f t="shared" si="1"/>
        <v>10</v>
      </c>
      <c r="D51" s="33">
        <f t="shared" si="1"/>
        <v>11</v>
      </c>
      <c r="E51" s="33">
        <f t="shared" si="1"/>
        <v>12</v>
      </c>
      <c r="F51" s="33">
        <f>SUM(F$44,$A51)</f>
        <v>13</v>
      </c>
      <c r="G51" s="33">
        <f>SUM(G$44,$A51)</f>
        <v>14</v>
      </c>
      <c r="H51" s="33">
        <f>SUM(H$44,$A51)</f>
        <v>15</v>
      </c>
      <c r="J51" s="33">
        <f>SUM(J$44,$A51)</f>
        <v>17</v>
      </c>
      <c r="K51" s="33">
        <f>SUM(K$44,$A51)</f>
        <v>18</v>
      </c>
    </row>
    <row r="52" spans="1:11" x14ac:dyDescent="0.2">
      <c r="A52" s="41">
        <v>9</v>
      </c>
      <c r="B52" s="41"/>
      <c r="C52" s="33">
        <f t="shared" si="1"/>
        <v>11</v>
      </c>
      <c r="D52" s="33">
        <f t="shared" si="1"/>
        <v>12</v>
      </c>
      <c r="E52" s="33">
        <f t="shared" si="1"/>
        <v>13</v>
      </c>
      <c r="F52" s="33">
        <f>SUM(F$44,$A52)</f>
        <v>14</v>
      </c>
      <c r="G52" s="33">
        <f>SUM(G$44,$A52)</f>
        <v>15</v>
      </c>
      <c r="H52" s="33">
        <f>SUM(H$44,$A52)</f>
        <v>16</v>
      </c>
      <c r="I52" s="33">
        <f>SUM(I$44,$A52)</f>
        <v>17</v>
      </c>
      <c r="K52" s="33">
        <f>SUM(K$44,$A52)</f>
        <v>19</v>
      </c>
    </row>
    <row r="53" spans="1:11" x14ac:dyDescent="0.2">
      <c r="A53" s="41">
        <v>10</v>
      </c>
      <c r="B53" s="41"/>
      <c r="C53" s="33">
        <f t="shared" si="1"/>
        <v>12</v>
      </c>
      <c r="D53" s="33">
        <f t="shared" si="1"/>
        <v>13</v>
      </c>
      <c r="E53" s="33">
        <f t="shared" si="1"/>
        <v>14</v>
      </c>
      <c r="F53" s="33">
        <f>SUM(F$44,$A53)</f>
        <v>15</v>
      </c>
      <c r="G53" s="33">
        <f>SUM(G$44,$A53)</f>
        <v>16</v>
      </c>
      <c r="H53" s="33">
        <f>SUM(H$44,$A53)</f>
        <v>17</v>
      </c>
      <c r="I53" s="33">
        <f>SUM(I$44,$A53)</f>
        <v>18</v>
      </c>
      <c r="J53" s="33">
        <f>SUM(J$44,$A53)</f>
        <v>19</v>
      </c>
    </row>
    <row r="54" spans="1:11" x14ac:dyDescent="0.2">
      <c r="A54" s="41" t="s">
        <v>1</v>
      </c>
      <c r="B54" s="41"/>
    </row>
    <row r="56" spans="1:11" x14ac:dyDescent="0.2">
      <c r="C56" s="40" t="s">
        <v>12</v>
      </c>
    </row>
    <row r="57" spans="1:11" x14ac:dyDescent="0.2">
      <c r="A57" s="41" t="s">
        <v>13</v>
      </c>
      <c r="B57" s="41"/>
      <c r="C57" s="41">
        <v>2</v>
      </c>
      <c r="D57" s="41">
        <v>3</v>
      </c>
      <c r="E57" s="41">
        <v>4</v>
      </c>
      <c r="F57" s="41">
        <v>5</v>
      </c>
      <c r="G57" s="41">
        <v>6</v>
      </c>
      <c r="H57" s="41">
        <v>7</v>
      </c>
      <c r="I57" s="41">
        <v>8</v>
      </c>
      <c r="J57" s="41">
        <v>9</v>
      </c>
      <c r="K57" s="41">
        <v>10</v>
      </c>
    </row>
    <row r="58" spans="1:11" x14ac:dyDescent="0.2">
      <c r="A58" s="41">
        <v>2</v>
      </c>
      <c r="B58" s="41"/>
      <c r="D58" s="33">
        <f>(1/(9+Rules!$B$5))^2</f>
        <v>5.9171597633136102E-3</v>
      </c>
      <c r="E58" s="33">
        <f>(1/(9+Rules!$B$5))^2</f>
        <v>5.9171597633136102E-3</v>
      </c>
      <c r="F58" s="33">
        <f>(1/(9+Rules!$B$5))^2</f>
        <v>5.9171597633136102E-3</v>
      </c>
      <c r="G58" s="33">
        <f>(1/(9+Rules!$B$5))^2</f>
        <v>5.9171597633136102E-3</v>
      </c>
      <c r="H58" s="33">
        <f>(1/(9+Rules!$B$5))^2</f>
        <v>5.9171597633136102E-3</v>
      </c>
      <c r="I58" s="33">
        <f>(1/(9+Rules!$B$5))^2</f>
        <v>5.9171597633136102E-3</v>
      </c>
      <c r="J58" s="33">
        <f>(1/(9+Rules!$B$5))^2</f>
        <v>5.9171597633136102E-3</v>
      </c>
      <c r="K58" s="33">
        <f>(1/(9+Rules!$B$5))*(Rules!$B$5/(9+Rules!$B$5))</f>
        <v>2.3668639053254441E-2</v>
      </c>
    </row>
    <row r="59" spans="1:11" x14ac:dyDescent="0.2">
      <c r="A59" s="41">
        <v>3</v>
      </c>
      <c r="B59" s="41"/>
      <c r="C59" s="33">
        <f>(1/(9+Rules!$B$5))^2</f>
        <v>5.9171597633136102E-3</v>
      </c>
      <c r="E59" s="33">
        <f>(1/(9+Rules!$B$5))^2</f>
        <v>5.9171597633136102E-3</v>
      </c>
      <c r="F59" s="33">
        <f>(1/(9+Rules!$B$5))^2</f>
        <v>5.9171597633136102E-3</v>
      </c>
      <c r="G59" s="33">
        <f>(1/(9+Rules!$B$5))^2</f>
        <v>5.9171597633136102E-3</v>
      </c>
      <c r="H59" s="33">
        <f>(1/(9+Rules!$B$5))^2</f>
        <v>5.9171597633136102E-3</v>
      </c>
      <c r="I59" s="33">
        <f>(1/(9+Rules!$B$5))^2</f>
        <v>5.9171597633136102E-3</v>
      </c>
      <c r="J59" s="33">
        <f>(1/(9+Rules!$B$5))^2</f>
        <v>5.9171597633136102E-3</v>
      </c>
      <c r="K59" s="33">
        <f>(1/(9+Rules!$B$5))*(Rules!$B$5/(9+Rules!$B$5))</f>
        <v>2.3668639053254441E-2</v>
      </c>
    </row>
    <row r="60" spans="1:11" x14ac:dyDescent="0.2">
      <c r="A60" s="41">
        <v>4</v>
      </c>
      <c r="B60" s="41"/>
      <c r="C60" s="33">
        <f>(1/(9+Rules!$B$5))^2</f>
        <v>5.9171597633136102E-3</v>
      </c>
      <c r="D60" s="33">
        <f>(1/(9+Rules!$B$5))^2</f>
        <v>5.9171597633136102E-3</v>
      </c>
      <c r="F60" s="33">
        <f>(1/(9+Rules!$B$5))^2</f>
        <v>5.9171597633136102E-3</v>
      </c>
      <c r="G60" s="33">
        <f>(1/(9+Rules!$B$5))^2</f>
        <v>5.9171597633136102E-3</v>
      </c>
      <c r="H60" s="33">
        <f>(1/(9+Rules!$B$5))^2</f>
        <v>5.9171597633136102E-3</v>
      </c>
      <c r="I60" s="33">
        <f>(1/(9+Rules!$B$5))^2</f>
        <v>5.9171597633136102E-3</v>
      </c>
      <c r="J60" s="33">
        <f>(1/(9+Rules!$B$5))^2</f>
        <v>5.9171597633136102E-3</v>
      </c>
      <c r="K60" s="33">
        <f>(1/(9+Rules!$B$5))*(Rules!$B$5/(9+Rules!$B$5))</f>
        <v>2.3668639053254441E-2</v>
      </c>
    </row>
    <row r="61" spans="1:11" x14ac:dyDescent="0.2">
      <c r="A61" s="41">
        <v>5</v>
      </c>
      <c r="B61" s="41"/>
      <c r="C61" s="33">
        <f>(1/(9+Rules!$B$5))^2</f>
        <v>5.9171597633136102E-3</v>
      </c>
      <c r="D61" s="33">
        <f>(1/(9+Rules!$B$5))^2</f>
        <v>5.9171597633136102E-3</v>
      </c>
      <c r="E61" s="33">
        <f>(1/(9+Rules!$B$5))^2</f>
        <v>5.9171597633136102E-3</v>
      </c>
      <c r="G61" s="33">
        <f>(1/(9+Rules!$B$5))^2</f>
        <v>5.9171597633136102E-3</v>
      </c>
      <c r="H61" s="33">
        <f>(1/(9+Rules!$B$5))^2</f>
        <v>5.9171597633136102E-3</v>
      </c>
      <c r="I61" s="33">
        <f>(1/(9+Rules!$B$5))^2</f>
        <v>5.9171597633136102E-3</v>
      </c>
      <c r="J61" s="33">
        <f>(1/(9+Rules!$B$5))^2</f>
        <v>5.9171597633136102E-3</v>
      </c>
      <c r="K61" s="33">
        <f>(1/(9+Rules!$B$5))*(Rules!$B$5/(9+Rules!$B$5))</f>
        <v>2.3668639053254441E-2</v>
      </c>
    </row>
    <row r="62" spans="1:11" x14ac:dyDescent="0.2">
      <c r="A62" s="41">
        <v>6</v>
      </c>
      <c r="B62" s="41"/>
      <c r="C62" s="33">
        <f>(1/(9+Rules!$B$5))^2</f>
        <v>5.9171597633136102E-3</v>
      </c>
      <c r="D62" s="33">
        <f>(1/(9+Rules!$B$5))^2</f>
        <v>5.9171597633136102E-3</v>
      </c>
      <c r="E62" s="33">
        <f>(1/(9+Rules!$B$5))^2</f>
        <v>5.9171597633136102E-3</v>
      </c>
      <c r="F62" s="33">
        <f>(1/(9+Rules!$B$5))^2</f>
        <v>5.9171597633136102E-3</v>
      </c>
      <c r="H62" s="33">
        <f>(1/(9+Rules!$B$5))^2</f>
        <v>5.9171597633136102E-3</v>
      </c>
      <c r="I62" s="33">
        <f>(1/(9+Rules!$B$5))^2</f>
        <v>5.9171597633136102E-3</v>
      </c>
      <c r="J62" s="33">
        <f>(1/(9+Rules!$B$5))^2</f>
        <v>5.9171597633136102E-3</v>
      </c>
      <c r="K62" s="33">
        <f>(1/(9+Rules!$B$5))*(Rules!$B$5/(9+Rules!$B$5))</f>
        <v>2.3668639053254441E-2</v>
      </c>
    </row>
    <row r="63" spans="1:11" x14ac:dyDescent="0.2">
      <c r="A63" s="41">
        <v>7</v>
      </c>
      <c r="B63" s="41"/>
      <c r="C63" s="33">
        <f>(1/(9+Rules!$B$5))^2</f>
        <v>5.9171597633136102E-3</v>
      </c>
      <c r="D63" s="33">
        <f>(1/(9+Rules!$B$5))^2</f>
        <v>5.9171597633136102E-3</v>
      </c>
      <c r="E63" s="33">
        <f>(1/(9+Rules!$B$5))^2</f>
        <v>5.9171597633136102E-3</v>
      </c>
      <c r="F63" s="33">
        <f>(1/(9+Rules!$B$5))^2</f>
        <v>5.9171597633136102E-3</v>
      </c>
      <c r="G63" s="33">
        <f>(1/(9+Rules!$B$5))^2</f>
        <v>5.9171597633136102E-3</v>
      </c>
      <c r="I63" s="33">
        <f>(1/(9+Rules!$B$5))^2</f>
        <v>5.9171597633136102E-3</v>
      </c>
      <c r="J63" s="33">
        <f>(1/(9+Rules!$B$5))^2</f>
        <v>5.9171597633136102E-3</v>
      </c>
      <c r="K63" s="33">
        <f>(1/(9+Rules!$B$5))*(Rules!$B$5/(9+Rules!$B$5))</f>
        <v>2.3668639053254441E-2</v>
      </c>
    </row>
    <row r="64" spans="1:11" x14ac:dyDescent="0.2">
      <c r="A64" s="41">
        <v>8</v>
      </c>
      <c r="B64" s="41"/>
      <c r="C64" s="33">
        <f>(1/(9+Rules!$B$5))^2</f>
        <v>5.9171597633136102E-3</v>
      </c>
      <c r="D64" s="33">
        <f>(1/(9+Rules!$B$5))^2</f>
        <v>5.9171597633136102E-3</v>
      </c>
      <c r="E64" s="33">
        <f>(1/(9+Rules!$B$5))^2</f>
        <v>5.9171597633136102E-3</v>
      </c>
      <c r="F64" s="33">
        <f>(1/(9+Rules!$B$5))^2</f>
        <v>5.9171597633136102E-3</v>
      </c>
      <c r="G64" s="33">
        <f>(1/(9+Rules!$B$5))^2</f>
        <v>5.9171597633136102E-3</v>
      </c>
      <c r="H64" s="33">
        <f>(1/(9+Rules!$B$5))^2</f>
        <v>5.9171597633136102E-3</v>
      </c>
      <c r="J64" s="33">
        <f>(1/(9+Rules!$B$5))^2</f>
        <v>5.9171597633136102E-3</v>
      </c>
      <c r="K64" s="33">
        <f>(1/(9+Rules!$B$5))*(Rules!$B$5/(9+Rules!$B$5))</f>
        <v>2.3668639053254441E-2</v>
      </c>
    </row>
    <row r="65" spans="1:11" x14ac:dyDescent="0.2">
      <c r="A65" s="41">
        <v>9</v>
      </c>
      <c r="B65" s="41"/>
      <c r="C65" s="33">
        <f>(1/(9+Rules!$B$5))^2</f>
        <v>5.9171597633136102E-3</v>
      </c>
      <c r="D65" s="33">
        <f>(1/(9+Rules!$B$5))^2</f>
        <v>5.9171597633136102E-3</v>
      </c>
      <c r="E65" s="33">
        <f>(1/(9+Rules!$B$5))^2</f>
        <v>5.9171597633136102E-3</v>
      </c>
      <c r="F65" s="33">
        <f>(1/(9+Rules!$B$5))^2</f>
        <v>5.9171597633136102E-3</v>
      </c>
      <c r="G65" s="33">
        <f>(1/(9+Rules!$B$5))^2</f>
        <v>5.9171597633136102E-3</v>
      </c>
      <c r="H65" s="33">
        <f>(1/(9+Rules!$B$5))^2</f>
        <v>5.9171597633136102E-3</v>
      </c>
      <c r="I65" s="33">
        <f>(1/(9+Rules!$B$5))^2</f>
        <v>5.9171597633136102E-3</v>
      </c>
      <c r="K65" s="33">
        <f>(1/(9+Rules!$B$5))*(Rules!$B$5/(9+Rules!$B$5))</f>
        <v>2.3668639053254441E-2</v>
      </c>
    </row>
    <row r="66" spans="1:11" x14ac:dyDescent="0.2">
      <c r="A66" s="41">
        <v>10</v>
      </c>
      <c r="B66" s="41"/>
      <c r="C66" s="33">
        <f>(1/(9+Rules!$B$5))*(Rules!$B$5/(9+Rules!$B$5))</f>
        <v>2.3668639053254441E-2</v>
      </c>
      <c r="D66" s="33">
        <f>(1/(9+Rules!$B$5))*(Rules!$B$5/(9+Rules!$B$5))</f>
        <v>2.3668639053254441E-2</v>
      </c>
      <c r="E66" s="33">
        <f>(1/(9+Rules!$B$5))*(Rules!$B$5/(9+Rules!$B$5))</f>
        <v>2.3668639053254441E-2</v>
      </c>
      <c r="F66" s="33">
        <f>(1/(9+Rules!$B$5))*(Rules!$B$5/(9+Rules!$B$5))</f>
        <v>2.3668639053254441E-2</v>
      </c>
      <c r="G66" s="33">
        <f>(1/(9+Rules!$B$5))*(Rules!$B$5/(9+Rules!$B$5))</f>
        <v>2.3668639053254441E-2</v>
      </c>
      <c r="H66" s="33">
        <f>(1/(9+Rules!$B$5))*(Rules!$B$5/(9+Rules!$B$5))</f>
        <v>2.3668639053254441E-2</v>
      </c>
      <c r="I66" s="33">
        <f>(1/(9+Rules!$B$5))*(Rules!$B$5/(9+Rules!$B$5))</f>
        <v>2.3668639053254441E-2</v>
      </c>
      <c r="J66" s="33">
        <f>(1/(9+Rules!$B$5))*(Rules!$B$5/(9+Rules!$B$5))</f>
        <v>2.3668639053254441E-2</v>
      </c>
    </row>
    <row r="67" spans="1:11" x14ac:dyDescent="0.2">
      <c r="A67" s="41" t="s">
        <v>1</v>
      </c>
      <c r="B67" s="41"/>
    </row>
    <row r="69" spans="1:11" x14ac:dyDescent="0.2">
      <c r="A69" s="41"/>
      <c r="B69" s="41"/>
    </row>
    <row r="70" spans="1:11" x14ac:dyDescent="0.2">
      <c r="A70" s="33" t="s">
        <v>9</v>
      </c>
      <c r="C70" s="33" t="s">
        <v>14</v>
      </c>
      <c r="E70" s="33" t="s">
        <v>15</v>
      </c>
    </row>
    <row r="71" spans="1:11" ht="16" x14ac:dyDescent="0.2">
      <c r="A71" s="33">
        <v>5</v>
      </c>
      <c r="C71" s="33">
        <f t="shared" ref="C71:C85" si="2">SUMIF($C$45:$K$53,A71,$C$58:$K$66)</f>
        <v>1.183431952662722E-2</v>
      </c>
      <c r="E71" s="42">
        <f>C71</f>
        <v>1.183431952662722E-2</v>
      </c>
    </row>
    <row r="72" spans="1:11" ht="16" x14ac:dyDescent="0.2">
      <c r="A72" s="33">
        <v>6</v>
      </c>
      <c r="C72" s="33">
        <f t="shared" si="2"/>
        <v>1.183431952662722E-2</v>
      </c>
      <c r="E72" s="42">
        <f t="shared" ref="E72:E85" si="3">C72</f>
        <v>1.183431952662722E-2</v>
      </c>
    </row>
    <row r="73" spans="1:11" ht="16" x14ac:dyDescent="0.2">
      <c r="A73" s="33">
        <v>7</v>
      </c>
      <c r="C73" s="33">
        <f t="shared" si="2"/>
        <v>2.3668639053254441E-2</v>
      </c>
      <c r="E73" s="42">
        <f t="shared" si="3"/>
        <v>2.3668639053254441E-2</v>
      </c>
    </row>
    <row r="74" spans="1:11" ht="16" x14ac:dyDescent="0.2">
      <c r="A74" s="33">
        <v>8</v>
      </c>
      <c r="C74" s="33">
        <f t="shared" si="2"/>
        <v>2.3668639053254441E-2</v>
      </c>
      <c r="E74" s="42">
        <f t="shared" si="3"/>
        <v>2.3668639053254441E-2</v>
      </c>
    </row>
    <row r="75" spans="1:11" ht="16" x14ac:dyDescent="0.2">
      <c r="A75" s="33">
        <v>9</v>
      </c>
      <c r="C75" s="33">
        <f t="shared" si="2"/>
        <v>3.5502958579881665E-2</v>
      </c>
      <c r="E75" s="42">
        <f t="shared" si="3"/>
        <v>3.5502958579881665E-2</v>
      </c>
    </row>
    <row r="76" spans="1:11" ht="16" x14ac:dyDescent="0.2">
      <c r="A76" s="33">
        <v>10</v>
      </c>
      <c r="C76" s="33">
        <f t="shared" si="2"/>
        <v>3.5502958579881665E-2</v>
      </c>
      <c r="E76" s="42">
        <f t="shared" si="3"/>
        <v>3.5502958579881665E-2</v>
      </c>
    </row>
    <row r="77" spans="1:11" ht="16" x14ac:dyDescent="0.2">
      <c r="A77" s="33">
        <v>11</v>
      </c>
      <c r="C77" s="33">
        <f t="shared" si="2"/>
        <v>4.7337278106508889E-2</v>
      </c>
      <c r="E77" s="42">
        <f t="shared" si="3"/>
        <v>4.7337278106508889E-2</v>
      </c>
    </row>
    <row r="78" spans="1:11" ht="16" x14ac:dyDescent="0.2">
      <c r="A78" s="33">
        <v>12</v>
      </c>
      <c r="C78" s="33">
        <f t="shared" si="2"/>
        <v>8.2840236686390553E-2</v>
      </c>
      <c r="E78" s="42">
        <f t="shared" si="3"/>
        <v>8.2840236686390553E-2</v>
      </c>
    </row>
    <row r="79" spans="1:11" ht="16" x14ac:dyDescent="0.2">
      <c r="A79" s="33">
        <v>13</v>
      </c>
      <c r="C79" s="33">
        <f t="shared" si="2"/>
        <v>8.2840236686390553E-2</v>
      </c>
      <c r="E79" s="42">
        <f t="shared" si="3"/>
        <v>8.2840236686390553E-2</v>
      </c>
    </row>
    <row r="80" spans="1:11" ht="16" x14ac:dyDescent="0.2">
      <c r="A80" s="33">
        <v>14</v>
      </c>
      <c r="C80" s="33">
        <f t="shared" si="2"/>
        <v>7.1005917159763329E-2</v>
      </c>
      <c r="E80" s="42">
        <f t="shared" si="3"/>
        <v>7.1005917159763329E-2</v>
      </c>
    </row>
    <row r="81" spans="1:5" ht="16" x14ac:dyDescent="0.2">
      <c r="A81" s="33">
        <v>15</v>
      </c>
      <c r="C81" s="33">
        <f t="shared" si="2"/>
        <v>7.1005917159763329E-2</v>
      </c>
      <c r="E81" s="42">
        <f t="shared" si="3"/>
        <v>7.1005917159763329E-2</v>
      </c>
    </row>
    <row r="82" spans="1:5" ht="16" x14ac:dyDescent="0.2">
      <c r="A82" s="33">
        <v>16</v>
      </c>
      <c r="C82" s="33">
        <f t="shared" si="2"/>
        <v>5.9171597633136105E-2</v>
      </c>
      <c r="E82" s="42">
        <f t="shared" si="3"/>
        <v>5.9171597633136105E-2</v>
      </c>
    </row>
    <row r="83" spans="1:5" ht="16" x14ac:dyDescent="0.2">
      <c r="A83" s="33">
        <v>17</v>
      </c>
      <c r="C83" s="33">
        <f t="shared" si="2"/>
        <v>5.9171597633136105E-2</v>
      </c>
      <c r="E83" s="42">
        <f t="shared" si="3"/>
        <v>5.9171597633136105E-2</v>
      </c>
    </row>
    <row r="84" spans="1:5" ht="16" x14ac:dyDescent="0.2">
      <c r="A84" s="33">
        <v>18</v>
      </c>
      <c r="C84" s="33">
        <f t="shared" si="2"/>
        <v>4.7337278106508882E-2</v>
      </c>
      <c r="E84" s="42">
        <f t="shared" si="3"/>
        <v>4.7337278106508882E-2</v>
      </c>
    </row>
    <row r="85" spans="1:5" ht="16" x14ac:dyDescent="0.2">
      <c r="A85" s="33">
        <v>19</v>
      </c>
      <c r="C85" s="33">
        <f t="shared" si="2"/>
        <v>4.7337278106508882E-2</v>
      </c>
      <c r="E85" s="42">
        <f t="shared" si="3"/>
        <v>4.7337278106508882E-2</v>
      </c>
    </row>
    <row r="87" spans="1:5" x14ac:dyDescent="0.2">
      <c r="C87" s="33">
        <f>SUM(C71:C86)</f>
        <v>0.71005917159763332</v>
      </c>
    </row>
  </sheetData>
  <sheetProtection sheet="1" objects="1" scenarios="1"/>
  <mergeCells count="1">
    <mergeCell ref="A1:K1"/>
  </mergeCells>
  <phoneticPr fontId="14" type="noConversion"/>
  <conditionalFormatting sqref="B19:K27 B29:K39 B3:K17">
    <cfRule type="containsText" dxfId="828" priority="15" operator="containsText" text="R">
      <formula>NOT(ISERROR(SEARCH("R",B3)))</formula>
    </cfRule>
    <cfRule type="containsText" dxfId="827" priority="16" operator="containsText" text="D">
      <formula>NOT(ISERROR(SEARCH("D",B3)))</formula>
    </cfRule>
    <cfRule type="containsText" dxfId="826" priority="17" operator="containsText" text="S">
      <formula>NOT(ISERROR(SEARCH("S",B3)))</formula>
    </cfRule>
    <cfRule type="containsText" dxfId="825" priority="18" operator="containsText" text="H">
      <formula>NOT(ISERROR(SEARCH("H",B3)))</formula>
    </cfRule>
  </conditionalFormatting>
  <conditionalFormatting sqref="B19:K27 B29:K39 B3:K17">
    <cfRule type="containsText" dxfId="824" priority="14" operator="containsText" text="P">
      <formula>NOT(ISERROR(SEARCH("P",B3)))</formula>
    </cfRule>
  </conditionalFormatting>
  <conditionalFormatting sqref="C43">
    <cfRule type="containsText" dxfId="823" priority="10" operator="containsText" text="R">
      <formula>NOT(ISERROR(SEARCH("R",C43)))</formula>
    </cfRule>
    <cfRule type="containsText" dxfId="822" priority="11" operator="containsText" text="D">
      <formula>NOT(ISERROR(SEARCH("D",C43)))</formula>
    </cfRule>
    <cfRule type="containsText" dxfId="821" priority="12" operator="containsText" text="S">
      <formula>NOT(ISERROR(SEARCH("S",C43)))</formula>
    </cfRule>
    <cfRule type="containsText" dxfId="820" priority="13" operator="containsText" text="H">
      <formula>NOT(ISERROR(SEARCH("H",C43)))</formula>
    </cfRule>
  </conditionalFormatting>
  <conditionalFormatting sqref="C43">
    <cfRule type="containsText" dxfId="819" priority="9" operator="containsText" text="P">
      <formula>NOT(ISERROR(SEARCH("P",C43)))</formula>
    </cfRule>
  </conditionalFormatting>
  <conditionalFormatting sqref="C56">
    <cfRule type="containsText" dxfId="818" priority="5" operator="containsText" text="R">
      <formula>NOT(ISERROR(SEARCH("R",C56)))</formula>
    </cfRule>
    <cfRule type="containsText" dxfId="817" priority="6" operator="containsText" text="D">
      <formula>NOT(ISERROR(SEARCH("D",C56)))</formula>
    </cfRule>
    <cfRule type="containsText" dxfId="816" priority="7" operator="containsText" text="S">
      <formula>NOT(ISERROR(SEARCH("S",C56)))</formula>
    </cfRule>
    <cfRule type="containsText" dxfId="815" priority="8" operator="containsText" text="H">
      <formula>NOT(ISERROR(SEARCH("H",C56)))</formula>
    </cfRule>
  </conditionalFormatting>
  <conditionalFormatting sqref="C56">
    <cfRule type="containsText" dxfId="814" priority="4" operator="containsText" text="P">
      <formula>NOT(ISERROR(SEARCH("P",C56)))</formula>
    </cfRule>
  </conditionalFormatting>
  <conditionalFormatting sqref="B3:K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K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000000000000011" bottom="0.75000000000000011" header="0.30000000000000004" footer="0.30000000000000004"/>
  <pageSetup paperSize="9" scale="5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AF122"/>
  <sheetViews>
    <sheetView topLeftCell="A105" zoomScale="85" workbookViewId="0">
      <selection activeCell="C17" sqref="C17"/>
    </sheetView>
  </sheetViews>
  <sheetFormatPr baseColWidth="10" defaultColWidth="11" defaultRowHeight="16" x14ac:dyDescent="0.2"/>
  <cols>
    <col min="2" max="3" width="12" bestFit="1" customWidth="1"/>
  </cols>
  <sheetData>
    <row r="2" spans="1:18" x14ac:dyDescent="0.2">
      <c r="A2" s="33"/>
      <c r="B2" s="33"/>
      <c r="C2" s="40" t="s">
        <v>12</v>
      </c>
      <c r="D2" s="33"/>
      <c r="E2" s="33"/>
      <c r="F2" s="33"/>
      <c r="G2" s="33"/>
      <c r="H2" s="33"/>
      <c r="I2" s="33"/>
      <c r="J2" s="33"/>
      <c r="K2" s="33"/>
      <c r="N2" t="s">
        <v>95</v>
      </c>
      <c r="O2" t="s">
        <v>14</v>
      </c>
      <c r="Q2" t="s">
        <v>96</v>
      </c>
      <c r="R2" t="s">
        <v>14</v>
      </c>
    </row>
    <row r="3" spans="1:18" x14ac:dyDescent="0.2">
      <c r="A3" s="41" t="s">
        <v>13</v>
      </c>
      <c r="B3" s="41"/>
      <c r="C3" s="41">
        <v>2</v>
      </c>
      <c r="D3" s="41">
        <v>3</v>
      </c>
      <c r="E3" s="41">
        <v>4</v>
      </c>
      <c r="F3" s="41">
        <v>5</v>
      </c>
      <c r="G3" s="41">
        <v>6</v>
      </c>
      <c r="H3" s="41">
        <v>7</v>
      </c>
      <c r="I3" s="41">
        <v>8</v>
      </c>
      <c r="J3" s="41">
        <v>9</v>
      </c>
      <c r="K3" s="41">
        <v>10</v>
      </c>
      <c r="L3" s="191">
        <v>1</v>
      </c>
      <c r="N3" s="189">
        <v>4</v>
      </c>
      <c r="O3">
        <f>SUMIF($C$4:$K$12,N3,$C$17:$K$25)</f>
        <v>5.9171597633136093E-3</v>
      </c>
      <c r="Q3">
        <v>12</v>
      </c>
      <c r="R3">
        <f>SUMIF($L$4:$L$13,Q3,$L$17:$L$26)+SUMIF($C$13:$K$13,Q3,$C$26:$K$26)</f>
        <v>5.9171597633136093E-3</v>
      </c>
    </row>
    <row r="4" spans="1:18" x14ac:dyDescent="0.2">
      <c r="A4" s="41">
        <v>2</v>
      </c>
      <c r="B4" s="41"/>
      <c r="C4" s="33">
        <f>SUM(C$3,$A4)</f>
        <v>4</v>
      </c>
      <c r="D4" s="33">
        <f t="shared" ref="D4:K4" si="0">SUM(D$3,$A4)</f>
        <v>5</v>
      </c>
      <c r="E4" s="33">
        <f t="shared" si="0"/>
        <v>6</v>
      </c>
      <c r="F4" s="33">
        <f t="shared" si="0"/>
        <v>7</v>
      </c>
      <c r="G4" s="33">
        <f t="shared" si="0"/>
        <v>8</v>
      </c>
      <c r="H4" s="33">
        <f t="shared" si="0"/>
        <v>9</v>
      </c>
      <c r="I4" s="33">
        <f t="shared" si="0"/>
        <v>10</v>
      </c>
      <c r="J4" s="33">
        <f t="shared" si="0"/>
        <v>11</v>
      </c>
      <c r="K4" s="33">
        <f t="shared" si="0"/>
        <v>12</v>
      </c>
      <c r="L4" s="33">
        <f>SUM(L$3,$A4)+10</f>
        <v>13</v>
      </c>
      <c r="N4" s="190">
        <v>5</v>
      </c>
      <c r="O4">
        <f t="shared" ref="O4:O19" si="1">SUMIF($C$4:$K$12,N4,$C$17:$K$25)</f>
        <v>1.183431952662722E-2</v>
      </c>
      <c r="Q4">
        <v>13</v>
      </c>
      <c r="R4">
        <f>SUMIF($L$4:$L$13,Q4,$L$17:$L$26)+SUMIF($C$13:$K$13,Q4,$C$26:$K$26)</f>
        <v>1.183431952662722E-2</v>
      </c>
    </row>
    <row r="5" spans="1:18" x14ac:dyDescent="0.2">
      <c r="A5" s="41">
        <v>3</v>
      </c>
      <c r="B5" s="41"/>
      <c r="C5" s="33">
        <f t="shared" ref="C5:K12" si="2">SUM(C$3,$A5)</f>
        <v>5</v>
      </c>
      <c r="D5" s="33">
        <f t="shared" si="2"/>
        <v>6</v>
      </c>
      <c r="E5" s="33">
        <f t="shared" si="2"/>
        <v>7</v>
      </c>
      <c r="F5" s="33">
        <f t="shared" si="2"/>
        <v>8</v>
      </c>
      <c r="G5" s="33">
        <f t="shared" si="2"/>
        <v>9</v>
      </c>
      <c r="H5" s="33">
        <f t="shared" si="2"/>
        <v>10</v>
      </c>
      <c r="I5" s="33">
        <f t="shared" si="2"/>
        <v>11</v>
      </c>
      <c r="J5" s="33">
        <f t="shared" si="2"/>
        <v>12</v>
      </c>
      <c r="K5" s="33">
        <f t="shared" si="2"/>
        <v>13</v>
      </c>
      <c r="L5" s="33">
        <f t="shared" ref="L5:L13" si="3">SUM(L$3,$A5)+10</f>
        <v>14</v>
      </c>
      <c r="N5" s="189">
        <v>6</v>
      </c>
      <c r="O5">
        <f t="shared" si="1"/>
        <v>1.7751479289940829E-2</v>
      </c>
      <c r="Q5">
        <v>14</v>
      </c>
      <c r="R5">
        <f t="shared" ref="R5:R12" si="4">SUMIF($L$4:$L$13,Q5,$L$17:$L$26)+SUMIF($C$13:$K$13,Q5,$C$26:$K$26)</f>
        <v>1.183431952662722E-2</v>
      </c>
    </row>
    <row r="6" spans="1:18" x14ac:dyDescent="0.2">
      <c r="A6" s="41">
        <v>4</v>
      </c>
      <c r="B6" s="41"/>
      <c r="C6" s="33">
        <f t="shared" si="2"/>
        <v>6</v>
      </c>
      <c r="D6" s="33">
        <f t="shared" si="2"/>
        <v>7</v>
      </c>
      <c r="E6" s="33">
        <f t="shared" si="2"/>
        <v>8</v>
      </c>
      <c r="F6" s="33">
        <f t="shared" si="2"/>
        <v>9</v>
      </c>
      <c r="G6" s="33">
        <f t="shared" si="2"/>
        <v>10</v>
      </c>
      <c r="H6" s="33">
        <f t="shared" si="2"/>
        <v>11</v>
      </c>
      <c r="I6" s="33">
        <f t="shared" si="2"/>
        <v>12</v>
      </c>
      <c r="J6" s="33">
        <f t="shared" si="2"/>
        <v>13</v>
      </c>
      <c r="K6" s="33">
        <f t="shared" si="2"/>
        <v>14</v>
      </c>
      <c r="L6" s="33">
        <f t="shared" si="3"/>
        <v>15</v>
      </c>
      <c r="N6" s="190">
        <v>7</v>
      </c>
      <c r="O6">
        <f t="shared" si="1"/>
        <v>2.3668639053254441E-2</v>
      </c>
      <c r="Q6">
        <v>15</v>
      </c>
      <c r="R6">
        <f t="shared" si="4"/>
        <v>1.183431952662722E-2</v>
      </c>
    </row>
    <row r="7" spans="1:18" x14ac:dyDescent="0.2">
      <c r="A7" s="41">
        <v>5</v>
      </c>
      <c r="B7" s="41"/>
      <c r="C7" s="33">
        <f t="shared" si="2"/>
        <v>7</v>
      </c>
      <c r="D7" s="33">
        <f t="shared" si="2"/>
        <v>8</v>
      </c>
      <c r="E7" s="33">
        <f t="shared" si="2"/>
        <v>9</v>
      </c>
      <c r="F7" s="33">
        <f t="shared" si="2"/>
        <v>10</v>
      </c>
      <c r="G7" s="33">
        <f t="shared" si="2"/>
        <v>11</v>
      </c>
      <c r="H7" s="33">
        <f t="shared" si="2"/>
        <v>12</v>
      </c>
      <c r="I7" s="33">
        <f t="shared" si="2"/>
        <v>13</v>
      </c>
      <c r="J7" s="33">
        <f t="shared" si="2"/>
        <v>14</v>
      </c>
      <c r="K7" s="33">
        <f t="shared" si="2"/>
        <v>15</v>
      </c>
      <c r="L7" s="33">
        <f t="shared" si="3"/>
        <v>16</v>
      </c>
      <c r="N7" s="189">
        <v>8</v>
      </c>
      <c r="O7">
        <f t="shared" si="1"/>
        <v>2.9585798816568053E-2</v>
      </c>
      <c r="Q7">
        <v>16</v>
      </c>
      <c r="R7">
        <f t="shared" si="4"/>
        <v>1.183431952662722E-2</v>
      </c>
    </row>
    <row r="8" spans="1:18" x14ac:dyDescent="0.2">
      <c r="A8" s="41">
        <v>6</v>
      </c>
      <c r="B8" s="41"/>
      <c r="C8" s="33">
        <f t="shared" si="2"/>
        <v>8</v>
      </c>
      <c r="D8" s="33">
        <f t="shared" si="2"/>
        <v>9</v>
      </c>
      <c r="E8" s="33">
        <f t="shared" si="2"/>
        <v>10</v>
      </c>
      <c r="F8" s="33">
        <f t="shared" si="2"/>
        <v>11</v>
      </c>
      <c r="G8" s="33">
        <f t="shared" si="2"/>
        <v>12</v>
      </c>
      <c r="H8" s="33">
        <f t="shared" si="2"/>
        <v>13</v>
      </c>
      <c r="I8" s="33">
        <f t="shared" si="2"/>
        <v>14</v>
      </c>
      <c r="J8" s="33">
        <f t="shared" si="2"/>
        <v>15</v>
      </c>
      <c r="K8" s="33">
        <f t="shared" si="2"/>
        <v>16</v>
      </c>
      <c r="L8" s="33">
        <f t="shared" si="3"/>
        <v>17</v>
      </c>
      <c r="N8" s="190">
        <v>9</v>
      </c>
      <c r="O8">
        <f t="shared" si="1"/>
        <v>3.5502958579881665E-2</v>
      </c>
      <c r="Q8">
        <v>17</v>
      </c>
      <c r="R8">
        <f t="shared" si="4"/>
        <v>1.183431952662722E-2</v>
      </c>
    </row>
    <row r="9" spans="1:18" x14ac:dyDescent="0.2">
      <c r="A9" s="41">
        <v>7</v>
      </c>
      <c r="B9" s="41"/>
      <c r="C9" s="33">
        <f t="shared" si="2"/>
        <v>9</v>
      </c>
      <c r="D9" s="33">
        <f t="shared" si="2"/>
        <v>10</v>
      </c>
      <c r="E9" s="33">
        <f t="shared" si="2"/>
        <v>11</v>
      </c>
      <c r="F9" s="33">
        <f t="shared" si="2"/>
        <v>12</v>
      </c>
      <c r="G9" s="33">
        <f t="shared" si="2"/>
        <v>13</v>
      </c>
      <c r="H9" s="33">
        <f t="shared" si="2"/>
        <v>14</v>
      </c>
      <c r="I9" s="33">
        <f t="shared" si="2"/>
        <v>15</v>
      </c>
      <c r="J9" s="33">
        <f t="shared" si="2"/>
        <v>16</v>
      </c>
      <c r="K9" s="33">
        <f t="shared" si="2"/>
        <v>17</v>
      </c>
      <c r="L9" s="33">
        <f t="shared" si="3"/>
        <v>18</v>
      </c>
      <c r="N9" s="189">
        <v>10</v>
      </c>
      <c r="O9">
        <f t="shared" si="1"/>
        <v>4.142011834319527E-2</v>
      </c>
      <c r="Q9">
        <v>18</v>
      </c>
      <c r="R9">
        <f t="shared" si="4"/>
        <v>1.183431952662722E-2</v>
      </c>
    </row>
    <row r="10" spans="1:18" x14ac:dyDescent="0.2">
      <c r="A10" s="41">
        <v>8</v>
      </c>
      <c r="B10" s="41"/>
      <c r="C10" s="33">
        <f t="shared" si="2"/>
        <v>10</v>
      </c>
      <c r="D10" s="33">
        <f t="shared" si="2"/>
        <v>11</v>
      </c>
      <c r="E10" s="33">
        <f t="shared" si="2"/>
        <v>12</v>
      </c>
      <c r="F10" s="33">
        <f t="shared" si="2"/>
        <v>13</v>
      </c>
      <c r="G10" s="33">
        <f t="shared" si="2"/>
        <v>14</v>
      </c>
      <c r="H10" s="33">
        <f t="shared" si="2"/>
        <v>15</v>
      </c>
      <c r="I10" s="33">
        <f t="shared" si="2"/>
        <v>16</v>
      </c>
      <c r="J10" s="33">
        <f t="shared" si="2"/>
        <v>17</v>
      </c>
      <c r="K10" s="33">
        <f t="shared" si="2"/>
        <v>18</v>
      </c>
      <c r="L10" s="33">
        <f t="shared" si="3"/>
        <v>19</v>
      </c>
      <c r="N10" s="190">
        <v>11</v>
      </c>
      <c r="O10">
        <f t="shared" si="1"/>
        <v>4.7337278106508889E-2</v>
      </c>
      <c r="Q10">
        <v>19</v>
      </c>
      <c r="R10">
        <f t="shared" si="4"/>
        <v>1.183431952662722E-2</v>
      </c>
    </row>
    <row r="11" spans="1:18" x14ac:dyDescent="0.2">
      <c r="A11" s="41">
        <v>9</v>
      </c>
      <c r="B11" s="41"/>
      <c r="C11" s="33">
        <f t="shared" si="2"/>
        <v>11</v>
      </c>
      <c r="D11" s="33">
        <f t="shared" si="2"/>
        <v>12</v>
      </c>
      <c r="E11" s="33">
        <f t="shared" si="2"/>
        <v>13</v>
      </c>
      <c r="F11" s="33">
        <f t="shared" si="2"/>
        <v>14</v>
      </c>
      <c r="G11" s="33">
        <f t="shared" si="2"/>
        <v>15</v>
      </c>
      <c r="H11" s="33">
        <f t="shared" si="2"/>
        <v>16</v>
      </c>
      <c r="I11" s="33">
        <f t="shared" si="2"/>
        <v>17</v>
      </c>
      <c r="J11" s="33">
        <f t="shared" si="2"/>
        <v>18</v>
      </c>
      <c r="K11" s="33">
        <f t="shared" si="2"/>
        <v>19</v>
      </c>
      <c r="L11" s="33">
        <f t="shared" si="3"/>
        <v>20</v>
      </c>
      <c r="N11" s="189">
        <v>12</v>
      </c>
      <c r="O11">
        <f t="shared" si="1"/>
        <v>8.8757396449704151E-2</v>
      </c>
      <c r="Q11">
        <v>20</v>
      </c>
      <c r="R11">
        <f t="shared" si="4"/>
        <v>1.183431952662722E-2</v>
      </c>
    </row>
    <row r="12" spans="1:18" x14ac:dyDescent="0.2">
      <c r="A12" s="41">
        <v>10</v>
      </c>
      <c r="B12" s="41"/>
      <c r="C12" s="33">
        <f t="shared" si="2"/>
        <v>12</v>
      </c>
      <c r="D12" s="33">
        <f t="shared" si="2"/>
        <v>13</v>
      </c>
      <c r="E12" s="33">
        <f t="shared" si="2"/>
        <v>14</v>
      </c>
      <c r="F12" s="33">
        <f t="shared" si="2"/>
        <v>15</v>
      </c>
      <c r="G12" s="33">
        <f t="shared" si="2"/>
        <v>16</v>
      </c>
      <c r="H12" s="33">
        <f t="shared" si="2"/>
        <v>17</v>
      </c>
      <c r="I12" s="33">
        <f t="shared" si="2"/>
        <v>18</v>
      </c>
      <c r="J12" s="33">
        <f t="shared" si="2"/>
        <v>19</v>
      </c>
      <c r="K12" s="33">
        <f t="shared" si="2"/>
        <v>20</v>
      </c>
      <c r="L12" s="33">
        <f t="shared" si="3"/>
        <v>21</v>
      </c>
      <c r="N12" s="190">
        <v>13</v>
      </c>
      <c r="O12">
        <f t="shared" si="1"/>
        <v>8.2840236686390553E-2</v>
      </c>
      <c r="Q12">
        <v>21</v>
      </c>
      <c r="R12">
        <f t="shared" si="4"/>
        <v>4.7337278106508882E-2</v>
      </c>
    </row>
    <row r="13" spans="1:18" x14ac:dyDescent="0.2">
      <c r="A13" s="41">
        <v>1</v>
      </c>
      <c r="B13" s="41"/>
      <c r="C13" s="33">
        <f t="shared" ref="C13:K13" si="5">SUM(C$3,$A13)+10</f>
        <v>13</v>
      </c>
      <c r="D13" s="33">
        <f t="shared" si="5"/>
        <v>14</v>
      </c>
      <c r="E13" s="33">
        <f t="shared" si="5"/>
        <v>15</v>
      </c>
      <c r="F13" s="33">
        <f t="shared" si="5"/>
        <v>16</v>
      </c>
      <c r="G13" s="33">
        <f t="shared" si="5"/>
        <v>17</v>
      </c>
      <c r="H13" s="33">
        <f t="shared" si="5"/>
        <v>18</v>
      </c>
      <c r="I13" s="33">
        <f t="shared" si="5"/>
        <v>19</v>
      </c>
      <c r="J13" s="33">
        <f t="shared" si="5"/>
        <v>20</v>
      </c>
      <c r="K13" s="33">
        <f t="shared" si="5"/>
        <v>21</v>
      </c>
      <c r="L13" s="33">
        <f t="shared" si="3"/>
        <v>12</v>
      </c>
      <c r="N13" s="189">
        <v>14</v>
      </c>
      <c r="O13">
        <f t="shared" si="1"/>
        <v>7.6923076923076941E-2</v>
      </c>
    </row>
    <row r="14" spans="1:18" x14ac:dyDescent="0.2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N14" s="190">
        <v>15</v>
      </c>
      <c r="O14">
        <f t="shared" si="1"/>
        <v>7.1005917159763329E-2</v>
      </c>
      <c r="R14">
        <f>SUM(R3:R13)</f>
        <v>0.14792899408284027</v>
      </c>
    </row>
    <row r="15" spans="1:18" x14ac:dyDescent="0.2">
      <c r="A15" s="33"/>
      <c r="B15" s="33"/>
      <c r="C15" s="40" t="s">
        <v>12</v>
      </c>
      <c r="D15" s="33"/>
      <c r="E15" s="33"/>
      <c r="F15" s="33"/>
      <c r="G15" s="33"/>
      <c r="H15" s="33"/>
      <c r="I15" s="33"/>
      <c r="J15" s="33"/>
      <c r="K15" s="33"/>
      <c r="N15" s="189">
        <v>16</v>
      </c>
      <c r="O15">
        <f t="shared" si="1"/>
        <v>6.5088757396449717E-2</v>
      </c>
      <c r="R15">
        <f>R14+O23</f>
        <v>1.0000000000000002</v>
      </c>
    </row>
    <row r="16" spans="1:18" x14ac:dyDescent="0.2">
      <c r="A16" s="41" t="s">
        <v>13</v>
      </c>
      <c r="B16" s="41"/>
      <c r="C16" s="41">
        <v>2</v>
      </c>
      <c r="D16" s="41">
        <v>3</v>
      </c>
      <c r="E16" s="41">
        <v>4</v>
      </c>
      <c r="F16" s="41">
        <v>5</v>
      </c>
      <c r="G16" s="41">
        <v>6</v>
      </c>
      <c r="H16" s="41">
        <v>7</v>
      </c>
      <c r="I16" s="41">
        <v>8</v>
      </c>
      <c r="J16" s="41">
        <v>9</v>
      </c>
      <c r="K16" s="41">
        <v>10</v>
      </c>
      <c r="L16" s="191">
        <v>1</v>
      </c>
      <c r="N16" s="190">
        <v>17</v>
      </c>
      <c r="O16">
        <f t="shared" si="1"/>
        <v>5.9171597633136105E-2</v>
      </c>
    </row>
    <row r="17" spans="1:32" x14ac:dyDescent="0.2">
      <c r="A17" s="41">
        <v>2</v>
      </c>
      <c r="B17" s="41"/>
      <c r="C17" s="33">
        <f>1/(9+Rules!$B$5)^2</f>
        <v>5.9171597633136093E-3</v>
      </c>
      <c r="D17" s="33">
        <f>(1/(9+Rules!$B$5))^2</f>
        <v>5.9171597633136102E-3</v>
      </c>
      <c r="E17" s="33">
        <f>(1/(9+Rules!$B$5))^2</f>
        <v>5.9171597633136102E-3</v>
      </c>
      <c r="F17" s="33">
        <f>(1/(9+Rules!$B$5))^2</f>
        <v>5.9171597633136102E-3</v>
      </c>
      <c r="G17" s="33">
        <f>(1/(9+Rules!$B$5))^2</f>
        <v>5.9171597633136102E-3</v>
      </c>
      <c r="H17" s="33">
        <f>(1/(9+Rules!$B$5))^2</f>
        <v>5.9171597633136102E-3</v>
      </c>
      <c r="I17" s="33">
        <f>(1/(9+Rules!$B$5))^2</f>
        <v>5.9171597633136102E-3</v>
      </c>
      <c r="J17" s="33">
        <f>(1/(9+Rules!$B$5))^2</f>
        <v>5.9171597633136102E-3</v>
      </c>
      <c r="K17" s="33">
        <f>(1/(9+Rules!$B$5))*(Rules!$B$5/(9+Rules!$B$5))</f>
        <v>2.3668639053254441E-2</v>
      </c>
      <c r="L17" s="33">
        <f>(1/(9+Rules!$B$5))^2</f>
        <v>5.9171597633136102E-3</v>
      </c>
      <c r="N17" s="189">
        <v>18</v>
      </c>
      <c r="O17">
        <f t="shared" si="1"/>
        <v>5.3254437869822494E-2</v>
      </c>
    </row>
    <row r="18" spans="1:32" x14ac:dyDescent="0.2">
      <c r="A18" s="41">
        <v>3</v>
      </c>
      <c r="B18" s="41"/>
      <c r="C18" s="33">
        <f>(1/(9+Rules!$B$5))^2</f>
        <v>5.9171597633136102E-3</v>
      </c>
      <c r="D18" s="33">
        <f>1/(9+Rules!$B$5)^2</f>
        <v>5.9171597633136093E-3</v>
      </c>
      <c r="E18" s="33">
        <f>(1/(9+Rules!$B$5))^2</f>
        <v>5.9171597633136102E-3</v>
      </c>
      <c r="F18" s="33">
        <f>(1/(9+Rules!$B$5))^2</f>
        <v>5.9171597633136102E-3</v>
      </c>
      <c r="G18" s="33">
        <f>(1/(9+Rules!$B$5))^2</f>
        <v>5.9171597633136102E-3</v>
      </c>
      <c r="H18" s="33">
        <f>(1/(9+Rules!$B$5))^2</f>
        <v>5.9171597633136102E-3</v>
      </c>
      <c r="I18" s="33">
        <f>(1/(9+Rules!$B$5))^2</f>
        <v>5.9171597633136102E-3</v>
      </c>
      <c r="J18" s="33">
        <f>(1/(9+Rules!$B$5))^2</f>
        <v>5.9171597633136102E-3</v>
      </c>
      <c r="K18" s="33">
        <f>(1/(9+Rules!$B$5))*(Rules!$B$5/(9+Rules!$B$5))</f>
        <v>2.3668639053254441E-2</v>
      </c>
      <c r="L18" s="33">
        <f>(1/(9+Rules!$B$5))^2</f>
        <v>5.9171597633136102E-3</v>
      </c>
      <c r="N18" s="190">
        <v>19</v>
      </c>
      <c r="O18">
        <f t="shared" si="1"/>
        <v>4.7337278106508882E-2</v>
      </c>
    </row>
    <row r="19" spans="1:32" x14ac:dyDescent="0.2">
      <c r="A19" s="41">
        <v>4</v>
      </c>
      <c r="B19" s="41"/>
      <c r="C19" s="33">
        <f>(1/(9+Rules!$B$5))^2</f>
        <v>5.9171597633136102E-3</v>
      </c>
      <c r="D19" s="33">
        <f>(1/(9+Rules!$B$5))^2</f>
        <v>5.9171597633136102E-3</v>
      </c>
      <c r="E19" s="33">
        <f>1/(9+Rules!$B$5)^2</f>
        <v>5.9171597633136093E-3</v>
      </c>
      <c r="F19" s="33">
        <f>(1/(9+Rules!$B$5))^2</f>
        <v>5.9171597633136102E-3</v>
      </c>
      <c r="G19" s="33">
        <f>(1/(9+Rules!$B$5))^2</f>
        <v>5.9171597633136102E-3</v>
      </c>
      <c r="H19" s="33">
        <f>(1/(9+Rules!$B$5))^2</f>
        <v>5.9171597633136102E-3</v>
      </c>
      <c r="I19" s="33">
        <f>(1/(9+Rules!$B$5))^2</f>
        <v>5.9171597633136102E-3</v>
      </c>
      <c r="J19" s="33">
        <f>(1/(9+Rules!$B$5))^2</f>
        <v>5.9171597633136102E-3</v>
      </c>
      <c r="K19" s="33">
        <f>(1/(9+Rules!$B$5))*(Rules!$B$5/(9+Rules!$B$5))</f>
        <v>2.3668639053254441E-2</v>
      </c>
      <c r="L19" s="33">
        <f>(1/(9+Rules!$B$5))^2</f>
        <v>5.9171597633136102E-3</v>
      </c>
      <c r="N19" s="189">
        <v>20</v>
      </c>
      <c r="O19">
        <f t="shared" si="1"/>
        <v>9.4674556213017763E-2</v>
      </c>
    </row>
    <row r="20" spans="1:32" x14ac:dyDescent="0.2">
      <c r="A20" s="41">
        <v>5</v>
      </c>
      <c r="B20" s="41"/>
      <c r="C20" s="33">
        <f>(1/(9+Rules!$B$5))^2</f>
        <v>5.9171597633136102E-3</v>
      </c>
      <c r="D20" s="33">
        <f>(1/(9+Rules!$B$5))^2</f>
        <v>5.9171597633136102E-3</v>
      </c>
      <c r="E20" s="33">
        <f>(1/(9+Rules!$B$5))^2</f>
        <v>5.9171597633136102E-3</v>
      </c>
      <c r="F20" s="33">
        <f>1/(9+Rules!$B$5)^2</f>
        <v>5.9171597633136093E-3</v>
      </c>
      <c r="G20" s="33">
        <f>(1/(9+Rules!$B$5))^2</f>
        <v>5.9171597633136102E-3</v>
      </c>
      <c r="H20" s="33">
        <f>(1/(9+Rules!$B$5))^2</f>
        <v>5.9171597633136102E-3</v>
      </c>
      <c r="I20" s="33">
        <f>(1/(9+Rules!$B$5))^2</f>
        <v>5.9171597633136102E-3</v>
      </c>
      <c r="J20" s="33">
        <f>(1/(9+Rules!$B$5))^2</f>
        <v>5.9171597633136102E-3</v>
      </c>
      <c r="K20" s="33">
        <f>(1/(9+Rules!$B$5))*(Rules!$B$5/(9+Rules!$B$5))</f>
        <v>2.3668639053254441E-2</v>
      </c>
      <c r="L20" s="33">
        <f>(1/(9+Rules!$B$5))^2</f>
        <v>5.9171597633136102E-3</v>
      </c>
    </row>
    <row r="21" spans="1:32" x14ac:dyDescent="0.2">
      <c r="A21" s="41">
        <v>6</v>
      </c>
      <c r="B21" s="41"/>
      <c r="C21" s="33">
        <f>(1/(9+Rules!$B$5))^2</f>
        <v>5.9171597633136102E-3</v>
      </c>
      <c r="D21" s="33">
        <f>(1/(9+Rules!$B$5))^2</f>
        <v>5.9171597633136102E-3</v>
      </c>
      <c r="E21" s="33">
        <f>(1/(9+Rules!$B$5))^2</f>
        <v>5.9171597633136102E-3</v>
      </c>
      <c r="F21" s="33">
        <f>(1/(9+Rules!$B$5))^2</f>
        <v>5.9171597633136102E-3</v>
      </c>
      <c r="G21" s="33">
        <f>1/(9+Rules!$B$5)^2</f>
        <v>5.9171597633136093E-3</v>
      </c>
      <c r="H21" s="33">
        <f>(1/(9+Rules!$B$5))^2</f>
        <v>5.9171597633136102E-3</v>
      </c>
      <c r="I21" s="33">
        <f>(1/(9+Rules!$B$5))^2</f>
        <v>5.9171597633136102E-3</v>
      </c>
      <c r="J21" s="33">
        <f>(1/(9+Rules!$B$5))^2</f>
        <v>5.9171597633136102E-3</v>
      </c>
      <c r="K21" s="33">
        <f>(1/(9+Rules!$B$5))*(Rules!$B$5/(9+Rules!$B$5))</f>
        <v>2.3668639053254441E-2</v>
      </c>
      <c r="L21" s="33">
        <f>(1/(9+Rules!$B$5))^2</f>
        <v>5.9171597633136102E-3</v>
      </c>
    </row>
    <row r="22" spans="1:32" x14ac:dyDescent="0.2">
      <c r="A22" s="41">
        <v>7</v>
      </c>
      <c r="B22" s="41"/>
      <c r="C22" s="33">
        <f>(1/(9+Rules!$B$5))^2</f>
        <v>5.9171597633136102E-3</v>
      </c>
      <c r="D22" s="33">
        <f>(1/(9+Rules!$B$5))^2</f>
        <v>5.9171597633136102E-3</v>
      </c>
      <c r="E22" s="33">
        <f>(1/(9+Rules!$B$5))^2</f>
        <v>5.9171597633136102E-3</v>
      </c>
      <c r="F22" s="33">
        <f>(1/(9+Rules!$B$5))^2</f>
        <v>5.9171597633136102E-3</v>
      </c>
      <c r="G22" s="33">
        <f>(1/(9+Rules!$B$5))^2</f>
        <v>5.9171597633136102E-3</v>
      </c>
      <c r="H22" s="33">
        <f>1/(9+Rules!$B$5)^2</f>
        <v>5.9171597633136093E-3</v>
      </c>
      <c r="I22" s="33">
        <f>(1/(9+Rules!$B$5))^2</f>
        <v>5.9171597633136102E-3</v>
      </c>
      <c r="J22" s="33">
        <f>(1/(9+Rules!$B$5))^2</f>
        <v>5.9171597633136102E-3</v>
      </c>
      <c r="K22" s="33">
        <f>(1/(9+Rules!$B$5))*(Rules!$B$5/(9+Rules!$B$5))</f>
        <v>2.3668639053254441E-2</v>
      </c>
      <c r="L22" s="33">
        <f>(1/(9+Rules!$B$5))^2</f>
        <v>5.9171597633136102E-3</v>
      </c>
    </row>
    <row r="23" spans="1:32" x14ac:dyDescent="0.2">
      <c r="A23" s="41">
        <v>8</v>
      </c>
      <c r="B23" s="41"/>
      <c r="C23" s="33">
        <f>(1/(9+Rules!$B$5))^2</f>
        <v>5.9171597633136102E-3</v>
      </c>
      <c r="D23" s="33">
        <f>(1/(9+Rules!$B$5))^2</f>
        <v>5.9171597633136102E-3</v>
      </c>
      <c r="E23" s="33">
        <f>(1/(9+Rules!$B$5))^2</f>
        <v>5.9171597633136102E-3</v>
      </c>
      <c r="F23" s="33">
        <f>(1/(9+Rules!$B$5))^2</f>
        <v>5.9171597633136102E-3</v>
      </c>
      <c r="G23" s="33">
        <f>(1/(9+Rules!$B$5))^2</f>
        <v>5.9171597633136102E-3</v>
      </c>
      <c r="H23" s="33">
        <f>(1/(9+Rules!$B$5))^2</f>
        <v>5.9171597633136102E-3</v>
      </c>
      <c r="I23" s="33">
        <f>1/(9+Rules!$B$5)^2</f>
        <v>5.9171597633136093E-3</v>
      </c>
      <c r="J23" s="33">
        <f>(1/(9+Rules!$B$5))^2</f>
        <v>5.9171597633136102E-3</v>
      </c>
      <c r="K23" s="33">
        <f>(1/(9+Rules!$B$5))*(Rules!$B$5/(9+Rules!$B$5))</f>
        <v>2.3668639053254441E-2</v>
      </c>
      <c r="L23" s="33">
        <f>(1/(9+Rules!$B$5))^2</f>
        <v>5.9171597633136102E-3</v>
      </c>
      <c r="O23">
        <f>SUM(O3:O22)</f>
        <v>0.8520710059171599</v>
      </c>
      <c r="S23" t="s">
        <v>102</v>
      </c>
      <c r="T23">
        <f>SUM(O16:O19,R10:R12)</f>
        <v>0.32544378698224863</v>
      </c>
    </row>
    <row r="24" spans="1:32" x14ac:dyDescent="0.2">
      <c r="A24" s="41">
        <v>9</v>
      </c>
      <c r="B24" s="41"/>
      <c r="C24" s="33">
        <f>(1/(9+Rules!$B$5))^2</f>
        <v>5.9171597633136102E-3</v>
      </c>
      <c r="D24" s="33">
        <f>(1/(9+Rules!$B$5))^2</f>
        <v>5.9171597633136102E-3</v>
      </c>
      <c r="E24" s="33">
        <f>(1/(9+Rules!$B$5))^2</f>
        <v>5.9171597633136102E-3</v>
      </c>
      <c r="F24" s="33">
        <f>(1/(9+Rules!$B$5))^2</f>
        <v>5.9171597633136102E-3</v>
      </c>
      <c r="G24" s="33">
        <f>(1/(9+Rules!$B$5))^2</f>
        <v>5.9171597633136102E-3</v>
      </c>
      <c r="H24" s="33">
        <f>(1/(9+Rules!$B$5))^2</f>
        <v>5.9171597633136102E-3</v>
      </c>
      <c r="I24" s="33">
        <f>(1/(9+Rules!$B$5))^2</f>
        <v>5.9171597633136102E-3</v>
      </c>
      <c r="J24" s="33">
        <f>1/(9+Rules!$B$5)^2</f>
        <v>5.9171597633136093E-3</v>
      </c>
      <c r="K24" s="33">
        <f>(1/(9+Rules!$B$5))*(Rules!$B$5/(9+Rules!$B$5))</f>
        <v>2.3668639053254441E-2</v>
      </c>
      <c r="L24" s="33">
        <f>(1/(9+Rules!$B$5))^2</f>
        <v>5.9171597633136102E-3</v>
      </c>
    </row>
    <row r="25" spans="1:32" x14ac:dyDescent="0.2">
      <c r="A25" s="41">
        <v>10</v>
      </c>
      <c r="B25" s="41"/>
      <c r="C25" s="33">
        <f>(1/(9+Rules!$B$5))*(Rules!$B$5/(9+Rules!$B$5))</f>
        <v>2.3668639053254441E-2</v>
      </c>
      <c r="D25" s="33">
        <f>(1/(9+Rules!$B$5))*(Rules!$B$5/(9+Rules!$B$5))</f>
        <v>2.3668639053254441E-2</v>
      </c>
      <c r="E25" s="33">
        <f>(1/(9+Rules!$B$5))*(Rules!$B$5/(9+Rules!$B$5))</f>
        <v>2.3668639053254441E-2</v>
      </c>
      <c r="F25" s="33">
        <f>(1/(9+Rules!$B$5))*(Rules!$B$5/(9+Rules!$B$5))</f>
        <v>2.3668639053254441E-2</v>
      </c>
      <c r="G25" s="33">
        <f>(1/(9+Rules!$B$5))*(Rules!$B$5/(9+Rules!$B$5))</f>
        <v>2.3668639053254441E-2</v>
      </c>
      <c r="H25" s="33">
        <f>(1/(9+Rules!$B$5))*(Rules!$B$5/(9+Rules!$B$5))</f>
        <v>2.3668639053254441E-2</v>
      </c>
      <c r="I25" s="33">
        <f>(1/(9+Rules!$B$5))*(Rules!$B$5/(9+Rules!$B$5))</f>
        <v>2.3668639053254441E-2</v>
      </c>
      <c r="J25" s="33">
        <f>(1/(9+Rules!$B$5))*(Rules!$B$5/(9+Rules!$B$5))</f>
        <v>2.3668639053254441E-2</v>
      </c>
      <c r="K25" s="33">
        <f>(Rules!$B$5/(9+Rules!$B$5))^2</f>
        <v>9.4674556213017763E-2</v>
      </c>
      <c r="L25" s="33">
        <f>(1/(9+Rules!$B$5))*(Rules!$B$5/(9+Rules!$B$5))</f>
        <v>2.3668639053254441E-2</v>
      </c>
    </row>
    <row r="26" spans="1:32" x14ac:dyDescent="0.2">
      <c r="A26" s="191">
        <v>1</v>
      </c>
      <c r="C26" s="33">
        <f>(1/(9+Rules!$B$5))^2</f>
        <v>5.9171597633136102E-3</v>
      </c>
      <c r="D26" s="33">
        <f>(1/(9+Rules!$B$5))^2</f>
        <v>5.9171597633136102E-3</v>
      </c>
      <c r="E26" s="33">
        <f>(1/(9+Rules!$B$5))^2</f>
        <v>5.9171597633136102E-3</v>
      </c>
      <c r="F26" s="33">
        <f>(1/(9+Rules!$B$5))^2</f>
        <v>5.9171597633136102E-3</v>
      </c>
      <c r="G26" s="33">
        <f>(1/(9+Rules!$B$5))^2</f>
        <v>5.9171597633136102E-3</v>
      </c>
      <c r="H26" s="33">
        <f>(1/(9+Rules!$B$5))^2</f>
        <v>5.9171597633136102E-3</v>
      </c>
      <c r="I26" s="33">
        <f>(1/(9+Rules!$B$5))^2</f>
        <v>5.9171597633136102E-3</v>
      </c>
      <c r="J26" s="33">
        <f>(1/(9+Rules!$B$5))^2</f>
        <v>5.9171597633136102E-3</v>
      </c>
      <c r="K26" s="33">
        <f>(1/(9+Rules!$B$5))*(Rules!$B$5/(9+Rules!$B$5))</f>
        <v>2.3668639053254441E-2</v>
      </c>
      <c r="L26" s="33">
        <f>1/(9+Rules!$B$5)^2</f>
        <v>5.9171597633136093E-3</v>
      </c>
    </row>
    <row r="29" spans="1:32" x14ac:dyDescent="0.2">
      <c r="B29" t="s">
        <v>14</v>
      </c>
      <c r="C29">
        <v>5</v>
      </c>
      <c r="D29">
        <v>6</v>
      </c>
      <c r="E29">
        <v>7</v>
      </c>
      <c r="F29">
        <v>8</v>
      </c>
      <c r="G29">
        <v>9</v>
      </c>
      <c r="H29">
        <v>10</v>
      </c>
      <c r="I29">
        <v>11</v>
      </c>
      <c r="J29">
        <v>12</v>
      </c>
      <c r="K29">
        <v>13</v>
      </c>
      <c r="L29">
        <v>14</v>
      </c>
      <c r="M29">
        <v>15</v>
      </c>
      <c r="N29">
        <v>16</v>
      </c>
      <c r="O29">
        <v>17</v>
      </c>
      <c r="P29">
        <v>18</v>
      </c>
      <c r="Q29">
        <v>19</v>
      </c>
      <c r="R29">
        <v>20</v>
      </c>
      <c r="S29">
        <v>21</v>
      </c>
      <c r="T29">
        <v>22</v>
      </c>
      <c r="U29">
        <v>23</v>
      </c>
      <c r="V29">
        <v>24</v>
      </c>
      <c r="W29">
        <v>25</v>
      </c>
      <c r="X29">
        <v>26</v>
      </c>
      <c r="Y29">
        <v>27</v>
      </c>
      <c r="Z29">
        <v>28</v>
      </c>
      <c r="AA29">
        <v>29</v>
      </c>
      <c r="AB29">
        <v>30</v>
      </c>
      <c r="AC29">
        <v>31</v>
      </c>
      <c r="AD29">
        <v>32</v>
      </c>
      <c r="AE29">
        <v>33</v>
      </c>
      <c r="AF29">
        <v>34</v>
      </c>
    </row>
    <row r="30" spans="1:32" x14ac:dyDescent="0.2">
      <c r="A30">
        <v>4</v>
      </c>
      <c r="B30">
        <f>O3</f>
        <v>5.9171597633136093E-3</v>
      </c>
      <c r="C30">
        <f>$B30*1/(9+Rules!$B$5)</f>
        <v>4.5516613563950843E-4</v>
      </c>
      <c r="D30">
        <f>$B30*1/(9+Rules!$B$5)</f>
        <v>4.5516613563950843E-4</v>
      </c>
      <c r="E30">
        <f>$B30*1/(9+Rules!$B$5)</f>
        <v>4.5516613563950843E-4</v>
      </c>
      <c r="F30">
        <f>$B30*1/(9+Rules!$B$5)</f>
        <v>4.5516613563950843E-4</v>
      </c>
      <c r="G30">
        <f>$B30*1/(9+Rules!$B$5)</f>
        <v>4.5516613563950843E-4</v>
      </c>
      <c r="H30">
        <f>$B30*1/(9+Rules!$B$5)</f>
        <v>4.5516613563950843E-4</v>
      </c>
      <c r="I30">
        <f>$B30*1/(9+Rules!$B$5)</f>
        <v>4.5516613563950843E-4</v>
      </c>
      <c r="J30">
        <f>$B30*1/(9+Rules!$B$5)</f>
        <v>4.5516613563950843E-4</v>
      </c>
      <c r="K30">
        <f>$B30*1/(9+Rules!$B$5)</f>
        <v>4.5516613563950843E-4</v>
      </c>
      <c r="L30">
        <f>$B30*Rules!$B$5/(9+Rules!$B$5)</f>
        <v>1.8206645425580337E-3</v>
      </c>
    </row>
    <row r="31" spans="1:32" x14ac:dyDescent="0.2">
      <c r="A31">
        <v>5</v>
      </c>
      <c r="B31">
        <f t="shared" ref="B31:B42" si="6">O4</f>
        <v>1.183431952662722E-2</v>
      </c>
      <c r="D31">
        <f>$B31*1/(9+Rules!$B$5)</f>
        <v>9.1033227127901696E-4</v>
      </c>
      <c r="E31">
        <f>$B31*1/(9+Rules!$B$5)</f>
        <v>9.1033227127901696E-4</v>
      </c>
      <c r="F31">
        <f>$B31*1/(9+Rules!$B$5)</f>
        <v>9.1033227127901696E-4</v>
      </c>
      <c r="G31">
        <f>$B31*1/(9+Rules!$B$5)</f>
        <v>9.1033227127901696E-4</v>
      </c>
      <c r="H31">
        <f>$B31*1/(9+Rules!$B$5)</f>
        <v>9.1033227127901696E-4</v>
      </c>
      <c r="I31">
        <f>$B31*1/(9+Rules!$B$5)</f>
        <v>9.1033227127901696E-4</v>
      </c>
      <c r="J31">
        <f>$B31*1/(9+Rules!$B$5)</f>
        <v>9.1033227127901696E-4</v>
      </c>
      <c r="K31">
        <f>$B31*1/(9+Rules!$B$5)</f>
        <v>9.1033227127901696E-4</v>
      </c>
      <c r="L31">
        <f>$B31*1/(9+Rules!$B$5)</f>
        <v>9.1033227127901696E-4</v>
      </c>
      <c r="M31">
        <f>$B31*Rules!$B$5/(9+Rules!$B$5)</f>
        <v>3.6413290851160678E-3</v>
      </c>
    </row>
    <row r="32" spans="1:32" x14ac:dyDescent="0.2">
      <c r="A32">
        <v>6</v>
      </c>
      <c r="B32">
        <f t="shared" si="6"/>
        <v>1.7751479289940829E-2</v>
      </c>
      <c r="E32">
        <f>$B32*1/(9+Rules!$B$5)</f>
        <v>1.3654984069185253E-3</v>
      </c>
      <c r="F32">
        <f>$B$32*1/(9+Rules!$B$5)</f>
        <v>1.3654984069185253E-3</v>
      </c>
      <c r="G32">
        <f>$B$32*1/(9+Rules!$B$5)</f>
        <v>1.3654984069185253E-3</v>
      </c>
      <c r="H32">
        <f>$B$32*1/(9+Rules!$B$5)</f>
        <v>1.3654984069185253E-3</v>
      </c>
      <c r="I32">
        <f>$B$32*1/(9+Rules!$B$5)</f>
        <v>1.3654984069185253E-3</v>
      </c>
      <c r="J32">
        <f>$B$32*1/(9+Rules!$B$5)</f>
        <v>1.3654984069185253E-3</v>
      </c>
      <c r="K32">
        <f>$B$32*1/(9+Rules!$B$5)</f>
        <v>1.3654984069185253E-3</v>
      </c>
      <c r="L32">
        <f>$B$32*1/(9+Rules!$B$5)</f>
        <v>1.3654984069185253E-3</v>
      </c>
      <c r="M32">
        <f>$B$32*1/(9+Rules!$B$5)</f>
        <v>1.3654984069185253E-3</v>
      </c>
      <c r="N32">
        <f>$B32*Rules!$B$5/(9+Rules!$B$5)</f>
        <v>5.4619936276741011E-3</v>
      </c>
    </row>
    <row r="33" spans="1:28" x14ac:dyDescent="0.2">
      <c r="A33">
        <v>7</v>
      </c>
      <c r="B33">
        <f t="shared" si="6"/>
        <v>2.3668639053254441E-2</v>
      </c>
      <c r="F33">
        <f>$B33*1/(9+Rules!$B$5)</f>
        <v>1.8206645425580339E-3</v>
      </c>
      <c r="G33">
        <f>$B33*1/(9+Rules!$B$5)</f>
        <v>1.8206645425580339E-3</v>
      </c>
      <c r="H33">
        <f>$B33*1/(9+Rules!$B$5)</f>
        <v>1.8206645425580339E-3</v>
      </c>
      <c r="I33">
        <f>$B33*1/(9+Rules!$B$5)</f>
        <v>1.8206645425580339E-3</v>
      </c>
      <c r="J33">
        <f>$B33*1/(9+Rules!$B$5)</f>
        <v>1.8206645425580339E-3</v>
      </c>
      <c r="K33">
        <f>$B33*1/(9+Rules!$B$5)</f>
        <v>1.8206645425580339E-3</v>
      </c>
      <c r="L33">
        <f>$B33*1/(9+Rules!$B$5)</f>
        <v>1.8206645425580339E-3</v>
      </c>
      <c r="M33">
        <f>$B33*1/(9+Rules!$B$5)</f>
        <v>1.8206645425580339E-3</v>
      </c>
      <c r="N33">
        <f>$B33*1/(9+Rules!$B$5)</f>
        <v>1.8206645425580339E-3</v>
      </c>
      <c r="O33">
        <f>$B33*Rules!$B$5/(9+Rules!$B$5)</f>
        <v>7.2826581702321357E-3</v>
      </c>
    </row>
    <row r="34" spans="1:28" x14ac:dyDescent="0.2">
      <c r="A34">
        <v>8</v>
      </c>
      <c r="B34">
        <f t="shared" si="6"/>
        <v>2.9585798816568053E-2</v>
      </c>
      <c r="G34">
        <f>$B34*1/(9+Rules!$B$5)</f>
        <v>2.2758306781975423E-3</v>
      </c>
      <c r="H34">
        <f>$B34*1/(9+Rules!$B$5)</f>
        <v>2.2758306781975423E-3</v>
      </c>
      <c r="I34">
        <f>$B34*1/(9+Rules!$B$5)</f>
        <v>2.2758306781975423E-3</v>
      </c>
      <c r="J34">
        <f>$B34*1/(9+Rules!$B$5)</f>
        <v>2.2758306781975423E-3</v>
      </c>
      <c r="K34">
        <f>$B34*1/(9+Rules!$B$5)</f>
        <v>2.2758306781975423E-3</v>
      </c>
      <c r="L34">
        <f>$B34*1/(9+Rules!$B$5)</f>
        <v>2.2758306781975423E-3</v>
      </c>
      <c r="M34">
        <f>$B34*1/(9+Rules!$B$5)</f>
        <v>2.2758306781975423E-3</v>
      </c>
      <c r="N34">
        <f>$B34*1/(9+Rules!$B$5)</f>
        <v>2.2758306781975423E-3</v>
      </c>
      <c r="O34">
        <f>$B34*1/(9+Rules!$B$5)</f>
        <v>2.2758306781975423E-3</v>
      </c>
      <c r="P34">
        <f>$B34*Rules!$B$5/(9+Rules!$B$5)</f>
        <v>9.1033227127901694E-3</v>
      </c>
    </row>
    <row r="35" spans="1:28" x14ac:dyDescent="0.2">
      <c r="A35">
        <v>9</v>
      </c>
      <c r="B35">
        <f t="shared" si="6"/>
        <v>3.5502958579881665E-2</v>
      </c>
      <c r="H35">
        <f>$B35*1/(9+Rules!$B$5)</f>
        <v>2.730996813837051E-3</v>
      </c>
      <c r="I35">
        <f>$B35*1/(9+Rules!$B$5)</f>
        <v>2.730996813837051E-3</v>
      </c>
      <c r="J35">
        <f>$B35*1/(9+Rules!$B$5)</f>
        <v>2.730996813837051E-3</v>
      </c>
      <c r="K35">
        <f>$B35*1/(9+Rules!$B$5)</f>
        <v>2.730996813837051E-3</v>
      </c>
      <c r="L35">
        <f>$B35*1/(9+Rules!$B$5)</f>
        <v>2.730996813837051E-3</v>
      </c>
      <c r="M35">
        <f>$B35*1/(9+Rules!$B$5)</f>
        <v>2.730996813837051E-3</v>
      </c>
      <c r="N35">
        <f>$B35*1/(9+Rules!$B$5)</f>
        <v>2.730996813837051E-3</v>
      </c>
      <c r="O35">
        <f>$B35*1/(9+Rules!$B$5)</f>
        <v>2.730996813837051E-3</v>
      </c>
      <c r="P35">
        <f>$B35*1/(9+Rules!$B$5)</f>
        <v>2.730996813837051E-3</v>
      </c>
      <c r="Q35">
        <f>$B35*Rules!$B$5/(9+Rules!$B$5)</f>
        <v>1.0923987255348204E-2</v>
      </c>
    </row>
    <row r="36" spans="1:28" x14ac:dyDescent="0.2">
      <c r="A36">
        <v>10</v>
      </c>
      <c r="B36">
        <f t="shared" si="6"/>
        <v>4.142011834319527E-2</v>
      </c>
      <c r="I36">
        <f>$B36*1/(9+Rules!$B$5)</f>
        <v>3.1861629494765592E-3</v>
      </c>
      <c r="J36">
        <f>$B36*1/(9+Rules!$B$5)</f>
        <v>3.1861629494765592E-3</v>
      </c>
      <c r="K36">
        <f>$B36*1/(9+Rules!$B$5)</f>
        <v>3.1861629494765592E-3</v>
      </c>
      <c r="L36">
        <f>$B36*1/(9+Rules!$B$5)</f>
        <v>3.1861629494765592E-3</v>
      </c>
      <c r="M36">
        <f>$B36*1/(9+Rules!$B$5)</f>
        <v>3.1861629494765592E-3</v>
      </c>
      <c r="N36">
        <f>$B36*1/(9+Rules!$B$5)</f>
        <v>3.1861629494765592E-3</v>
      </c>
      <c r="O36">
        <f>$B36*1/(9+Rules!$B$5)</f>
        <v>3.1861629494765592E-3</v>
      </c>
      <c r="P36">
        <f>$B36*1/(9+Rules!$B$5)</f>
        <v>3.1861629494765592E-3</v>
      </c>
      <c r="Q36">
        <f>$B36*1/(9+Rules!$B$5)</f>
        <v>3.1861629494765592E-3</v>
      </c>
      <c r="R36">
        <f>$B36*Rules!$B$5/(9+Rules!$B$5)</f>
        <v>1.2744651797906237E-2</v>
      </c>
    </row>
    <row r="37" spans="1:28" x14ac:dyDescent="0.2">
      <c r="A37">
        <v>11</v>
      </c>
      <c r="B37">
        <f t="shared" si="6"/>
        <v>4.7337278106508889E-2</v>
      </c>
      <c r="J37">
        <f>$B37*1/(9+Rules!$B$5)</f>
        <v>3.6413290851160683E-3</v>
      </c>
      <c r="K37">
        <f>$B37*1/(9+Rules!$B$5)</f>
        <v>3.6413290851160683E-3</v>
      </c>
      <c r="L37">
        <f>$B37*1/(9+Rules!$B$5)</f>
        <v>3.6413290851160683E-3</v>
      </c>
      <c r="M37">
        <f>$B37*1/(9+Rules!$B$5)</f>
        <v>3.6413290851160683E-3</v>
      </c>
      <c r="N37">
        <f>$B37*1/(9+Rules!$B$5)</f>
        <v>3.6413290851160683E-3</v>
      </c>
      <c r="O37">
        <f>$B37*1/(9+Rules!$B$5)</f>
        <v>3.6413290851160683E-3</v>
      </c>
      <c r="P37">
        <f>$B37*1/(9+Rules!$B$5)</f>
        <v>3.6413290851160683E-3</v>
      </c>
      <c r="Q37">
        <f>$B37*1/(9+Rules!$B$5)</f>
        <v>3.6413290851160683E-3</v>
      </c>
      <c r="R37">
        <f>$B37*1/(9+Rules!$B$5)</f>
        <v>3.6413290851160683E-3</v>
      </c>
      <c r="S37">
        <f>$B37*Rules!$B$5/(9+Rules!$B$5)</f>
        <v>1.4565316340464273E-2</v>
      </c>
    </row>
    <row r="38" spans="1:28" x14ac:dyDescent="0.2">
      <c r="A38">
        <v>12</v>
      </c>
      <c r="B38">
        <f t="shared" si="6"/>
        <v>8.8757396449704151E-2</v>
      </c>
      <c r="K38">
        <f>$B38*1/(9+Rules!$B$5)</f>
        <v>6.8274920345926266E-3</v>
      </c>
      <c r="L38">
        <f>$B38*1/(9+Rules!$B$5)</f>
        <v>6.8274920345926266E-3</v>
      </c>
      <c r="M38">
        <f>$B38*1/(9+Rules!$B$5)</f>
        <v>6.8274920345926266E-3</v>
      </c>
      <c r="N38">
        <f>$B38*1/(9+Rules!$B$5)</f>
        <v>6.8274920345926266E-3</v>
      </c>
      <c r="O38">
        <f>$B38*1/(9+Rules!$B$5)</f>
        <v>6.8274920345926266E-3</v>
      </c>
      <c r="P38">
        <f>$B38*1/(9+Rules!$B$5)</f>
        <v>6.8274920345926266E-3</v>
      </c>
      <c r="Q38">
        <f>$B38*1/(9+Rules!$B$5)</f>
        <v>6.8274920345926266E-3</v>
      </c>
      <c r="R38">
        <f>$B38*1/(9+Rules!$B$5)</f>
        <v>6.8274920345926266E-3</v>
      </c>
      <c r="S38">
        <f>$B38*1/(9+Rules!$B$5)</f>
        <v>6.8274920345926266E-3</v>
      </c>
      <c r="T38">
        <f>$B38*Rules!$B$5/(9+Rules!$B$5)</f>
        <v>2.7309968138370506E-2</v>
      </c>
    </row>
    <row r="39" spans="1:28" x14ac:dyDescent="0.2">
      <c r="A39">
        <v>13</v>
      </c>
      <c r="B39">
        <f t="shared" si="6"/>
        <v>8.2840236686390553E-2</v>
      </c>
      <c r="L39">
        <f>$B39*1/(9+Rules!$B$5)</f>
        <v>6.3723258989531193E-3</v>
      </c>
      <c r="M39">
        <f>$B39*1/(9+Rules!$B$5)</f>
        <v>6.3723258989531193E-3</v>
      </c>
      <c r="N39">
        <f>$B39*1/(9+Rules!$B$5)</f>
        <v>6.3723258989531193E-3</v>
      </c>
      <c r="O39">
        <f>$B39*1/(9+Rules!$B$5)</f>
        <v>6.3723258989531193E-3</v>
      </c>
      <c r="P39">
        <f>$B39*1/(9+Rules!$B$5)</f>
        <v>6.3723258989531193E-3</v>
      </c>
      <c r="Q39">
        <f>$B39*1/(9+Rules!$B$5)</f>
        <v>6.3723258989531193E-3</v>
      </c>
      <c r="R39">
        <f>$B39*1/(9+Rules!$B$5)</f>
        <v>6.3723258989531193E-3</v>
      </c>
      <c r="S39">
        <f>$B39*1/(9+Rules!$B$5)</f>
        <v>6.3723258989531193E-3</v>
      </c>
      <c r="T39">
        <f>$B39*1/(9+Rules!$B$5)</f>
        <v>6.3723258989531193E-3</v>
      </c>
      <c r="U39">
        <f>$B39*Rules!$B$5/(9+Rules!$B$5)</f>
        <v>2.5489303595812477E-2</v>
      </c>
    </row>
    <row r="40" spans="1:28" x14ac:dyDescent="0.2">
      <c r="A40">
        <v>14</v>
      </c>
      <c r="B40">
        <f t="shared" si="6"/>
        <v>7.6923076923076941E-2</v>
      </c>
      <c r="M40">
        <f>$B40*1/(9+Rules!$B$5)</f>
        <v>5.9171597633136111E-3</v>
      </c>
      <c r="N40">
        <f>$B40*1/(9+Rules!$B$5)</f>
        <v>5.9171597633136111E-3</v>
      </c>
      <c r="O40">
        <f>$B40*1/(9+Rules!$B$5)</f>
        <v>5.9171597633136111E-3</v>
      </c>
      <c r="P40">
        <f>$B40*1/(9+Rules!$B$5)</f>
        <v>5.9171597633136111E-3</v>
      </c>
      <c r="Q40">
        <f>$B40*1/(9+Rules!$B$5)</f>
        <v>5.9171597633136111E-3</v>
      </c>
      <c r="R40">
        <f>$B40*1/(9+Rules!$B$5)</f>
        <v>5.9171597633136111E-3</v>
      </c>
      <c r="S40">
        <f>$B40*1/(9+Rules!$B$5)</f>
        <v>5.9171597633136111E-3</v>
      </c>
      <c r="T40">
        <f>$B40*1/(9+Rules!$B$5)</f>
        <v>5.9171597633136111E-3</v>
      </c>
      <c r="U40">
        <f>$B40*1/(9+Rules!$B$5)</f>
        <v>5.9171597633136111E-3</v>
      </c>
      <c r="V40">
        <f>$B40*Rules!$B$5/(9+Rules!$B$5)</f>
        <v>2.3668639053254444E-2</v>
      </c>
    </row>
    <row r="41" spans="1:28" x14ac:dyDescent="0.2">
      <c r="A41">
        <v>15</v>
      </c>
      <c r="B41">
        <f t="shared" si="6"/>
        <v>7.1005917159763329E-2</v>
      </c>
      <c r="N41">
        <f>$B41*1/(9+Rules!$B$5)</f>
        <v>5.461993627674102E-3</v>
      </c>
      <c r="O41">
        <f>$B41*1/(9+Rules!$B$5)</f>
        <v>5.461993627674102E-3</v>
      </c>
      <c r="P41">
        <f>$B41*1/(9+Rules!$B$5)</f>
        <v>5.461993627674102E-3</v>
      </c>
      <c r="Q41">
        <f>$B41*1/(9+Rules!$B$5)</f>
        <v>5.461993627674102E-3</v>
      </c>
      <c r="R41">
        <f>$B41*1/(9+Rules!$B$5)</f>
        <v>5.461993627674102E-3</v>
      </c>
      <c r="S41">
        <f>$B41*1/(9+Rules!$B$5)</f>
        <v>5.461993627674102E-3</v>
      </c>
      <c r="T41">
        <f>$B41*1/(9+Rules!$B$5)</f>
        <v>5.461993627674102E-3</v>
      </c>
      <c r="U41">
        <f>$B41*1/(9+Rules!$B$5)</f>
        <v>5.461993627674102E-3</v>
      </c>
      <c r="V41">
        <f>$B41*1/(9+Rules!$B$5)</f>
        <v>5.461993627674102E-3</v>
      </c>
      <c r="W41">
        <f>$B41*Rules!$B$5/(9+Rules!$B$5)</f>
        <v>2.1847974510696408E-2</v>
      </c>
    </row>
    <row r="42" spans="1:28" x14ac:dyDescent="0.2">
      <c r="A42">
        <v>16</v>
      </c>
      <c r="B42">
        <f t="shared" si="6"/>
        <v>6.5088757396449717E-2</v>
      </c>
      <c r="O42">
        <f>$B42*1/(9+Rules!$B$5)</f>
        <v>5.0068274920345938E-3</v>
      </c>
      <c r="P42">
        <f>$B42*1/(9+Rules!$B$5)</f>
        <v>5.0068274920345938E-3</v>
      </c>
      <c r="Q42">
        <f>$B42*1/(9+Rules!$B$5)</f>
        <v>5.0068274920345938E-3</v>
      </c>
      <c r="R42">
        <f>$B42*1/(9+Rules!$B$5)</f>
        <v>5.0068274920345938E-3</v>
      </c>
      <c r="S42">
        <f>$B42*1/(9+Rules!$B$5)</f>
        <v>5.0068274920345938E-3</v>
      </c>
      <c r="T42">
        <f>$B42*1/(9+Rules!$B$5)</f>
        <v>5.0068274920345938E-3</v>
      </c>
      <c r="U42">
        <f>$B42*1/(9+Rules!$B$5)</f>
        <v>5.0068274920345938E-3</v>
      </c>
      <c r="V42">
        <f>$B42*1/(9+Rules!$B$5)</f>
        <v>5.0068274920345938E-3</v>
      </c>
      <c r="W42">
        <f>$B42*1/(9+Rules!$B$5)</f>
        <v>5.0068274920345938E-3</v>
      </c>
      <c r="X42">
        <f>$B42*Rules!$B$5/(9+Rules!$B$5)</f>
        <v>2.0027309968138375E-2</v>
      </c>
    </row>
    <row r="43" spans="1:28" x14ac:dyDescent="0.2">
      <c r="B43" t="s">
        <v>2</v>
      </c>
      <c r="C43">
        <f t="shared" ref="C43:AB43" si="7">SUM(C30:C42)</f>
        <v>4.5516613563950843E-4</v>
      </c>
      <c r="D43">
        <f t="shared" si="7"/>
        <v>1.3654984069185255E-3</v>
      </c>
      <c r="E43">
        <f t="shared" si="7"/>
        <v>2.730996813837051E-3</v>
      </c>
      <c r="F43">
        <f t="shared" si="7"/>
        <v>4.5516613563950847E-3</v>
      </c>
      <c r="G43">
        <f t="shared" si="7"/>
        <v>6.8274920345926266E-3</v>
      </c>
      <c r="H43">
        <f t="shared" si="7"/>
        <v>9.5584888484296776E-3</v>
      </c>
      <c r="I43">
        <f t="shared" si="7"/>
        <v>1.2744651797906237E-2</v>
      </c>
      <c r="J43">
        <f t="shared" si="7"/>
        <v>1.6385980883022306E-2</v>
      </c>
      <c r="K43">
        <f t="shared" si="7"/>
        <v>2.3213472917614934E-2</v>
      </c>
      <c r="L43">
        <f t="shared" si="7"/>
        <v>3.0951297223486572E-2</v>
      </c>
      <c r="M43">
        <f t="shared" si="7"/>
        <v>3.7778789258079204E-2</v>
      </c>
      <c r="N43">
        <f t="shared" si="7"/>
        <v>4.3695949021392816E-2</v>
      </c>
      <c r="O43">
        <f t="shared" si="7"/>
        <v>4.8702776513427408E-2</v>
      </c>
      <c r="P43">
        <f t="shared" si="7"/>
        <v>4.8247610377787901E-2</v>
      </c>
      <c r="Q43">
        <f t="shared" si="7"/>
        <v>4.7337278106508889E-2</v>
      </c>
      <c r="R43">
        <f t="shared" si="7"/>
        <v>4.5971779699590355E-2</v>
      </c>
      <c r="S43">
        <f t="shared" si="7"/>
        <v>4.4151115157032329E-2</v>
      </c>
      <c r="T43">
        <f t="shared" si="7"/>
        <v>5.0068274920345927E-2</v>
      </c>
      <c r="U43">
        <f t="shared" si="7"/>
        <v>4.1875284478834783E-2</v>
      </c>
      <c r="V43">
        <f t="shared" si="7"/>
        <v>3.4137460172963138E-2</v>
      </c>
      <c r="W43">
        <f t="shared" si="7"/>
        <v>2.6854802002731E-2</v>
      </c>
      <c r="X43">
        <f t="shared" si="7"/>
        <v>2.0027309968138375E-2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5" spans="1:28" x14ac:dyDescent="0.2">
      <c r="A45" t="s">
        <v>101</v>
      </c>
      <c r="C45">
        <v>13</v>
      </c>
      <c r="D45">
        <v>14</v>
      </c>
      <c r="E45">
        <v>15</v>
      </c>
      <c r="F45">
        <v>16</v>
      </c>
      <c r="G45">
        <v>17</v>
      </c>
      <c r="H45">
        <v>18</v>
      </c>
      <c r="I45">
        <v>19</v>
      </c>
      <c r="J45">
        <v>20</v>
      </c>
      <c r="K45">
        <v>21</v>
      </c>
      <c r="L45">
        <v>22</v>
      </c>
      <c r="M45">
        <v>23</v>
      </c>
      <c r="N45">
        <v>24</v>
      </c>
      <c r="O45">
        <v>25</v>
      </c>
      <c r="P45">
        <v>26</v>
      </c>
      <c r="Q45">
        <v>27</v>
      </c>
      <c r="R45">
        <v>28</v>
      </c>
      <c r="S45">
        <v>29</v>
      </c>
      <c r="T45">
        <v>30</v>
      </c>
      <c r="U45">
        <v>31</v>
      </c>
      <c r="V45">
        <v>32</v>
      </c>
    </row>
    <row r="46" spans="1:28" x14ac:dyDescent="0.2">
      <c r="A46">
        <v>12</v>
      </c>
      <c r="B46">
        <f t="shared" ref="B46:B52" si="8">R3</f>
        <v>5.9171597633136093E-3</v>
      </c>
      <c r="C46">
        <f>$B46*1/(9+Rules!$B$5)</f>
        <v>4.5516613563950843E-4</v>
      </c>
      <c r="D46">
        <f>$B46*1/(9+Rules!$B$5)</f>
        <v>4.5516613563950843E-4</v>
      </c>
      <c r="E46">
        <f>$B46*1/(9+Rules!$B$5)</f>
        <v>4.5516613563950843E-4</v>
      </c>
      <c r="F46">
        <f>$B46*1/(9+Rules!$B$5)</f>
        <v>4.5516613563950843E-4</v>
      </c>
      <c r="G46">
        <f>$B46*1/(9+Rules!$B$5)</f>
        <v>4.5516613563950843E-4</v>
      </c>
      <c r="H46">
        <f>$B46*1/(9+Rules!$B$5)</f>
        <v>4.5516613563950843E-4</v>
      </c>
      <c r="I46">
        <f>$B46*1/(9+Rules!$B$5)</f>
        <v>4.5516613563950843E-4</v>
      </c>
      <c r="J46">
        <f>$B46*1/(9+Rules!$B$5)</f>
        <v>4.5516613563950843E-4</v>
      </c>
      <c r="K46">
        <f>$B46*1/(9+Rules!$B$5)</f>
        <v>4.5516613563950843E-4</v>
      </c>
      <c r="L46">
        <f>$B46*Rules!$B$5/(9+Rules!$B$5)</f>
        <v>1.8206645425580337E-3</v>
      </c>
    </row>
    <row r="47" spans="1:28" x14ac:dyDescent="0.2">
      <c r="A47">
        <v>13</v>
      </c>
      <c r="B47">
        <f t="shared" si="8"/>
        <v>1.183431952662722E-2</v>
      </c>
      <c r="D47">
        <f>$B47*1/(9+Rules!$B$5)</f>
        <v>9.1033227127901696E-4</v>
      </c>
      <c r="E47">
        <f>$B47*1/(9+Rules!$B$5)</f>
        <v>9.1033227127901696E-4</v>
      </c>
      <c r="F47">
        <f>$B47*1/(9+Rules!$B$5)</f>
        <v>9.1033227127901696E-4</v>
      </c>
      <c r="G47">
        <f>$B47*1/(9+Rules!$B$5)</f>
        <v>9.1033227127901696E-4</v>
      </c>
      <c r="H47">
        <f>$B47*1/(9+Rules!$B$5)</f>
        <v>9.1033227127901696E-4</v>
      </c>
      <c r="I47">
        <f>$B47*1/(9+Rules!$B$5)</f>
        <v>9.1033227127901696E-4</v>
      </c>
      <c r="J47">
        <f>$B47*1/(9+Rules!$B$5)</f>
        <v>9.1033227127901696E-4</v>
      </c>
      <c r="K47">
        <f>$B47*1/(9+Rules!$B$5)</f>
        <v>9.1033227127901696E-4</v>
      </c>
      <c r="L47">
        <f>$B47*1/(9+Rules!$B$5)</f>
        <v>9.1033227127901696E-4</v>
      </c>
      <c r="M47">
        <f>$B47*Rules!$B$5/(9+Rules!$B$5)</f>
        <v>3.6413290851160678E-3</v>
      </c>
    </row>
    <row r="48" spans="1:28" x14ac:dyDescent="0.2">
      <c r="A48">
        <v>14</v>
      </c>
      <c r="B48">
        <f t="shared" si="8"/>
        <v>1.183431952662722E-2</v>
      </c>
      <c r="E48">
        <f>$B48*1/(9+Rules!$B$5)</f>
        <v>9.1033227127901696E-4</v>
      </c>
      <c r="F48">
        <f>$B48*1/(9+Rules!$B$5)</f>
        <v>9.1033227127901696E-4</v>
      </c>
      <c r="G48">
        <f>$B48*1/(9+Rules!$B$5)</f>
        <v>9.1033227127901696E-4</v>
      </c>
      <c r="H48">
        <f>$B48*1/(9+Rules!$B$5)</f>
        <v>9.1033227127901696E-4</v>
      </c>
      <c r="I48">
        <f>$B48*1/(9+Rules!$B$5)</f>
        <v>9.1033227127901696E-4</v>
      </c>
      <c r="J48">
        <f>$B48*1/(9+Rules!$B$5)</f>
        <v>9.1033227127901696E-4</v>
      </c>
      <c r="K48">
        <f>$B48*1/(9+Rules!$B$5)</f>
        <v>9.1033227127901696E-4</v>
      </c>
      <c r="L48">
        <f>$B48*1/(9+Rules!$B$5)</f>
        <v>9.1033227127901696E-4</v>
      </c>
      <c r="M48">
        <f>$B48*1/(9+Rules!$B$5)</f>
        <v>9.1033227127901696E-4</v>
      </c>
      <c r="N48">
        <f>$B48*Rules!$B$5/(9+Rules!$B$5)</f>
        <v>3.6413290851160678E-3</v>
      </c>
    </row>
    <row r="49" spans="1:30" x14ac:dyDescent="0.2">
      <c r="A49">
        <v>15</v>
      </c>
      <c r="B49">
        <f t="shared" si="8"/>
        <v>1.183431952662722E-2</v>
      </c>
      <c r="F49">
        <f>$B49*1/(9+Rules!$B$5)</f>
        <v>9.1033227127901696E-4</v>
      </c>
      <c r="G49">
        <f>$B49*1/(9+Rules!$B$5)</f>
        <v>9.1033227127901696E-4</v>
      </c>
      <c r="H49">
        <f>$B49*1/(9+Rules!$B$5)</f>
        <v>9.1033227127901696E-4</v>
      </c>
      <c r="I49">
        <f>$B49*1/(9+Rules!$B$5)</f>
        <v>9.1033227127901696E-4</v>
      </c>
      <c r="J49">
        <f>$B49*1/(9+Rules!$B$5)</f>
        <v>9.1033227127901696E-4</v>
      </c>
      <c r="K49">
        <f>$B49*1/(9+Rules!$B$5)</f>
        <v>9.1033227127901696E-4</v>
      </c>
      <c r="L49">
        <f>$B49*1/(9+Rules!$B$5)</f>
        <v>9.1033227127901696E-4</v>
      </c>
      <c r="M49">
        <f>$B49*1/(9+Rules!$B$5)</f>
        <v>9.1033227127901696E-4</v>
      </c>
      <c r="N49">
        <f>$B49*1/(9+Rules!$B$5)</f>
        <v>9.1033227127901696E-4</v>
      </c>
      <c r="O49">
        <f>$B49*Rules!$B$5/(9+Rules!$B$5)</f>
        <v>3.6413290851160678E-3</v>
      </c>
    </row>
    <row r="50" spans="1:30" x14ac:dyDescent="0.2">
      <c r="A50">
        <v>16</v>
      </c>
      <c r="B50">
        <f t="shared" si="8"/>
        <v>1.183431952662722E-2</v>
      </c>
      <c r="G50">
        <f>$B50*1/(9+Rules!$B$5)</f>
        <v>9.1033227127901696E-4</v>
      </c>
      <c r="H50">
        <f>$B50*1/(9+Rules!$B$5)</f>
        <v>9.1033227127901696E-4</v>
      </c>
      <c r="I50">
        <f>$B50*1/(9+Rules!$B$5)</f>
        <v>9.1033227127901696E-4</v>
      </c>
      <c r="J50">
        <f>$B50*1/(9+Rules!$B$5)</f>
        <v>9.1033227127901696E-4</v>
      </c>
      <c r="K50">
        <f>$B50*1/(9+Rules!$B$5)</f>
        <v>9.1033227127901696E-4</v>
      </c>
      <c r="L50">
        <f>$B50*1/(9+Rules!$B$5)</f>
        <v>9.1033227127901696E-4</v>
      </c>
      <c r="M50">
        <f>$B50*1/(9+Rules!$B$5)</f>
        <v>9.1033227127901696E-4</v>
      </c>
      <c r="N50">
        <f>$B50*1/(9+Rules!$B$5)</f>
        <v>9.1033227127901696E-4</v>
      </c>
      <c r="O50">
        <f>$B50*1/(9+Rules!$B$5)</f>
        <v>9.1033227127901696E-4</v>
      </c>
      <c r="P50">
        <f>$B50*Rules!$B$5/(9+Rules!$B$5)</f>
        <v>3.6413290851160678E-3</v>
      </c>
    </row>
    <row r="51" spans="1:30" x14ac:dyDescent="0.2">
      <c r="A51">
        <v>17</v>
      </c>
      <c r="B51">
        <f t="shared" si="8"/>
        <v>1.183431952662722E-2</v>
      </c>
      <c r="H51">
        <f>$B51*1/(9+Rules!$B$5)</f>
        <v>9.1033227127901696E-4</v>
      </c>
      <c r="I51">
        <f>$B51*1/(9+Rules!$B$5)</f>
        <v>9.1033227127901696E-4</v>
      </c>
      <c r="J51">
        <f>$B51*1/(9+Rules!$B$5)</f>
        <v>9.1033227127901696E-4</v>
      </c>
      <c r="K51">
        <f>$B51*1/(9+Rules!$B$5)</f>
        <v>9.1033227127901696E-4</v>
      </c>
      <c r="L51">
        <f>$B51*1/(9+Rules!$B$5)</f>
        <v>9.1033227127901696E-4</v>
      </c>
      <c r="M51">
        <f>$B51*1/(9+Rules!$B$5)</f>
        <v>9.1033227127901696E-4</v>
      </c>
      <c r="N51">
        <f>$B51*1/(9+Rules!$B$5)</f>
        <v>9.1033227127901696E-4</v>
      </c>
      <c r="O51">
        <f>$B51*1/(9+Rules!$B$5)</f>
        <v>9.1033227127901696E-4</v>
      </c>
      <c r="P51">
        <f>$B51*1/(9+Rules!$B$5)</f>
        <v>9.1033227127901696E-4</v>
      </c>
      <c r="Q51">
        <f>$B51*Rules!$B$5/(9+Rules!$B$5)</f>
        <v>3.6413290851160678E-3</v>
      </c>
    </row>
    <row r="52" spans="1:30" x14ac:dyDescent="0.2">
      <c r="A52">
        <v>18</v>
      </c>
      <c r="B52">
        <f t="shared" si="8"/>
        <v>1.183431952662722E-2</v>
      </c>
      <c r="I52">
        <f>$B52*1/(9+Rules!$B$5)</f>
        <v>9.1033227127901696E-4</v>
      </c>
      <c r="J52">
        <f>$B52*1/(9+Rules!$B$5)</f>
        <v>9.1033227127901696E-4</v>
      </c>
      <c r="K52">
        <f>$B52*1/(9+Rules!$B$5)</f>
        <v>9.1033227127901696E-4</v>
      </c>
      <c r="L52">
        <f>$B52*1/(9+Rules!$B$5)</f>
        <v>9.1033227127901696E-4</v>
      </c>
      <c r="M52">
        <f>$B52*1/(9+Rules!$B$5)</f>
        <v>9.1033227127901696E-4</v>
      </c>
      <c r="N52">
        <f>$B52*1/(9+Rules!$B$5)</f>
        <v>9.1033227127901696E-4</v>
      </c>
      <c r="O52">
        <f>$B52*1/(9+Rules!$B$5)</f>
        <v>9.1033227127901696E-4</v>
      </c>
      <c r="P52">
        <f>$B52*1/(9+Rules!$B$5)</f>
        <v>9.1033227127901696E-4</v>
      </c>
      <c r="Q52">
        <f>$B52*1/(9+Rules!$B$5)</f>
        <v>9.1033227127901696E-4</v>
      </c>
      <c r="R52">
        <f>$B52*Rules!$B$5/(9+Rules!$B$5)</f>
        <v>3.6413290851160678E-3</v>
      </c>
    </row>
    <row r="53" spans="1:30" x14ac:dyDescent="0.2">
      <c r="B53" t="s">
        <v>2</v>
      </c>
      <c r="C53">
        <f t="shared" ref="C53:U53" si="9">SUM(C46:C52)</f>
        <v>4.5516613563950843E-4</v>
      </c>
      <c r="D53">
        <f t="shared" si="9"/>
        <v>1.3654984069185255E-3</v>
      </c>
      <c r="E53">
        <f t="shared" si="9"/>
        <v>2.2758306781975423E-3</v>
      </c>
      <c r="F53">
        <f t="shared" si="9"/>
        <v>3.1861629494765592E-3</v>
      </c>
      <c r="G53">
        <f t="shared" si="9"/>
        <v>4.0964952207555765E-3</v>
      </c>
      <c r="H53">
        <f t="shared" si="9"/>
        <v>5.0068274920345938E-3</v>
      </c>
      <c r="I53">
        <f t="shared" si="9"/>
        <v>5.9171597633136111E-3</v>
      </c>
      <c r="J53">
        <f t="shared" si="9"/>
        <v>5.9171597633136111E-3</v>
      </c>
      <c r="K53">
        <f t="shared" si="9"/>
        <v>5.9171597633136111E-3</v>
      </c>
      <c r="L53">
        <f t="shared" si="9"/>
        <v>7.2826581702321366E-3</v>
      </c>
      <c r="M53">
        <f t="shared" si="9"/>
        <v>8.192990441511153E-3</v>
      </c>
      <c r="N53">
        <f t="shared" si="9"/>
        <v>7.2826581702321366E-3</v>
      </c>
      <c r="O53">
        <f t="shared" si="9"/>
        <v>6.3723258989531193E-3</v>
      </c>
      <c r="P53">
        <f t="shared" si="9"/>
        <v>5.461993627674102E-3</v>
      </c>
      <c r="Q53">
        <f t="shared" si="9"/>
        <v>4.5516613563950847E-3</v>
      </c>
      <c r="R53">
        <f t="shared" si="9"/>
        <v>3.6413290851160678E-3</v>
      </c>
      <c r="S53">
        <f t="shared" si="9"/>
        <v>0</v>
      </c>
      <c r="T53">
        <f t="shared" si="9"/>
        <v>0</v>
      </c>
      <c r="U53">
        <f t="shared" si="9"/>
        <v>0</v>
      </c>
    </row>
    <row r="55" spans="1:30" x14ac:dyDescent="0.2">
      <c r="B55" t="s">
        <v>97</v>
      </c>
      <c r="C55">
        <v>5</v>
      </c>
      <c r="D55">
        <v>6</v>
      </c>
      <c r="E55">
        <v>7</v>
      </c>
      <c r="F55">
        <v>8</v>
      </c>
      <c r="G55">
        <v>9</v>
      </c>
      <c r="H55">
        <v>10</v>
      </c>
      <c r="I55">
        <v>11</v>
      </c>
      <c r="J55">
        <v>12</v>
      </c>
      <c r="K55">
        <v>13</v>
      </c>
      <c r="L55">
        <v>14</v>
      </c>
      <c r="M55">
        <v>15</v>
      </c>
      <c r="N55">
        <v>16</v>
      </c>
      <c r="O55">
        <v>17</v>
      </c>
      <c r="P55">
        <v>18</v>
      </c>
      <c r="Q55">
        <v>19</v>
      </c>
      <c r="R55">
        <v>20</v>
      </c>
      <c r="S55">
        <v>21</v>
      </c>
      <c r="T55" t="s">
        <v>93</v>
      </c>
      <c r="U55" t="s">
        <v>2</v>
      </c>
      <c r="V55" t="s">
        <v>102</v>
      </c>
      <c r="W55" t="s">
        <v>115</v>
      </c>
    </row>
    <row r="56" spans="1:30" x14ac:dyDescent="0.2">
      <c r="B56" t="s">
        <v>103</v>
      </c>
      <c r="C56">
        <f t="shared" ref="C56:S56" ca="1" si="10">SUMIF($C$29:$AF$29,C55,$C$43:$AB$43)+SUMIF($L$45:$V$45,C55+10,$L$53:$V$53)</f>
        <v>4.5516613563950843E-4</v>
      </c>
      <c r="D56">
        <f t="shared" ca="1" si="10"/>
        <v>1.3654984069185255E-3</v>
      </c>
      <c r="E56">
        <f t="shared" ca="1" si="10"/>
        <v>2.730996813837051E-3</v>
      </c>
      <c r="F56">
        <f t="shared" ca="1" si="10"/>
        <v>4.5516613563950847E-3</v>
      </c>
      <c r="G56">
        <f t="shared" ca="1" si="10"/>
        <v>6.8274920345926266E-3</v>
      </c>
      <c r="H56">
        <f t="shared" ca="1" si="10"/>
        <v>9.5584888484296776E-3</v>
      </c>
      <c r="I56">
        <f t="shared" ca="1" si="10"/>
        <v>1.2744651797906237E-2</v>
      </c>
      <c r="J56">
        <f t="shared" ca="1" si="10"/>
        <v>2.3668639053254441E-2</v>
      </c>
      <c r="K56">
        <f t="shared" ca="1" si="10"/>
        <v>3.1406463359126086E-2</v>
      </c>
      <c r="L56">
        <f t="shared" ca="1" si="10"/>
        <v>3.823395539371871E-2</v>
      </c>
      <c r="M56">
        <f t="shared" ca="1" si="10"/>
        <v>4.4151115157032322E-2</v>
      </c>
      <c r="N56">
        <f t="shared" ca="1" si="10"/>
        <v>4.9157942649066921E-2</v>
      </c>
      <c r="O56">
        <f t="shared" ca="1" si="10"/>
        <v>5.3254437869822494E-2</v>
      </c>
      <c r="P56">
        <f t="shared" ca="1" si="10"/>
        <v>5.1888939462903967E-2</v>
      </c>
      <c r="Q56">
        <f t="shared" ca="1" si="10"/>
        <v>4.7337278106508889E-2</v>
      </c>
      <c r="R56">
        <f t="shared" ca="1" si="10"/>
        <v>4.5971779699590355E-2</v>
      </c>
      <c r="S56">
        <f t="shared" ca="1" si="10"/>
        <v>4.4151115157032329E-2</v>
      </c>
      <c r="T56">
        <f ca="1">SUMIF($C$29:$AF$29,"&gt;21",$C$43:$AB$43)</f>
        <v>0.17296313154301321</v>
      </c>
      <c r="U56">
        <f ca="1">SUM(C56:T56)</f>
        <v>0.64041875284478844</v>
      </c>
      <c r="V56">
        <f ca="1">T56+SUM(O56:S56,Q57:S57)</f>
        <v>0.43331816112881205</v>
      </c>
      <c r="W56">
        <f>T23</f>
        <v>0.32544378698224863</v>
      </c>
    </row>
    <row r="57" spans="1:30" x14ac:dyDescent="0.2">
      <c r="B57" t="s">
        <v>104</v>
      </c>
      <c r="C57">
        <f t="shared" ref="C57:S57" si="11">SUMIF($C$45:$K$45,C55,$C$53:$K$53)</f>
        <v>0</v>
      </c>
      <c r="D57">
        <f t="shared" si="11"/>
        <v>0</v>
      </c>
      <c r="E57">
        <f t="shared" si="11"/>
        <v>0</v>
      </c>
      <c r="F57">
        <f t="shared" si="11"/>
        <v>0</v>
      </c>
      <c r="G57">
        <f t="shared" si="11"/>
        <v>0</v>
      </c>
      <c r="H57">
        <f t="shared" si="11"/>
        <v>0</v>
      </c>
      <c r="I57">
        <f t="shared" si="11"/>
        <v>0</v>
      </c>
      <c r="J57">
        <f t="shared" si="11"/>
        <v>0</v>
      </c>
      <c r="K57">
        <f t="shared" si="11"/>
        <v>4.5516613563950843E-4</v>
      </c>
      <c r="L57">
        <f t="shared" si="11"/>
        <v>1.3654984069185255E-3</v>
      </c>
      <c r="M57">
        <f t="shared" si="11"/>
        <v>2.2758306781975423E-3</v>
      </c>
      <c r="N57">
        <f t="shared" si="11"/>
        <v>3.1861629494765592E-3</v>
      </c>
      <c r="O57">
        <f t="shared" si="11"/>
        <v>4.0964952207555765E-3</v>
      </c>
      <c r="P57">
        <f t="shared" si="11"/>
        <v>5.0068274920345938E-3</v>
      </c>
      <c r="Q57">
        <f t="shared" si="11"/>
        <v>5.9171597633136111E-3</v>
      </c>
      <c r="R57">
        <f t="shared" si="11"/>
        <v>5.9171597633136111E-3</v>
      </c>
      <c r="S57">
        <f t="shared" si="11"/>
        <v>5.9171597633136111E-3</v>
      </c>
      <c r="U57">
        <f>SUM(C57:S57)</f>
        <v>3.4137460172963138E-2</v>
      </c>
    </row>
    <row r="58" spans="1:30" x14ac:dyDescent="0.2">
      <c r="U58">
        <f ca="1">SUM(U56:U57)+W56</f>
        <v>1.0000000000000002</v>
      </c>
    </row>
    <row r="60" spans="1:30" x14ac:dyDescent="0.2">
      <c r="B60" t="s">
        <v>14</v>
      </c>
      <c r="C60">
        <v>6</v>
      </c>
      <c r="D60">
        <v>7</v>
      </c>
      <c r="E60">
        <v>8</v>
      </c>
      <c r="F60">
        <v>9</v>
      </c>
      <c r="G60">
        <v>10</v>
      </c>
      <c r="H60">
        <v>11</v>
      </c>
      <c r="I60">
        <v>12</v>
      </c>
      <c r="J60">
        <v>13</v>
      </c>
      <c r="K60">
        <v>14</v>
      </c>
      <c r="L60">
        <v>15</v>
      </c>
      <c r="M60">
        <v>16</v>
      </c>
      <c r="N60">
        <v>17</v>
      </c>
      <c r="O60">
        <v>18</v>
      </c>
      <c r="P60">
        <v>19</v>
      </c>
      <c r="Q60">
        <v>20</v>
      </c>
      <c r="R60">
        <v>21</v>
      </c>
      <c r="S60">
        <v>22</v>
      </c>
      <c r="T60">
        <v>23</v>
      </c>
      <c r="U60">
        <v>24</v>
      </c>
      <c r="V60">
        <v>25</v>
      </c>
      <c r="W60">
        <v>26</v>
      </c>
      <c r="X60">
        <v>27</v>
      </c>
      <c r="Y60">
        <v>28</v>
      </c>
      <c r="Z60">
        <v>29</v>
      </c>
      <c r="AA60">
        <v>30</v>
      </c>
      <c r="AB60">
        <v>31</v>
      </c>
      <c r="AC60">
        <v>32</v>
      </c>
      <c r="AD60">
        <v>33</v>
      </c>
    </row>
    <row r="61" spans="1:30" x14ac:dyDescent="0.2">
      <c r="A61">
        <v>5</v>
      </c>
      <c r="B61">
        <f ca="1">C56</f>
        <v>4.5516613563950843E-4</v>
      </c>
      <c r="C61">
        <f ca="1">$B61*1/(9+Rules!$B$5)</f>
        <v>3.5012779664577572E-5</v>
      </c>
      <c r="D61">
        <f ca="1">$B61*1/(9+Rules!$B$5)</f>
        <v>3.5012779664577572E-5</v>
      </c>
      <c r="E61">
        <f ca="1">$B61*1/(9+Rules!$B$5)</f>
        <v>3.5012779664577572E-5</v>
      </c>
      <c r="F61">
        <f ca="1">$B61*1/(9+Rules!$B$5)</f>
        <v>3.5012779664577572E-5</v>
      </c>
      <c r="G61">
        <f ca="1">$B61*1/(9+Rules!$B$5)</f>
        <v>3.5012779664577572E-5</v>
      </c>
      <c r="H61">
        <f ca="1">$B61*1/(9+Rules!$B$5)</f>
        <v>3.5012779664577572E-5</v>
      </c>
      <c r="I61">
        <f ca="1">$B61*1/(9+Rules!$B$5)</f>
        <v>3.5012779664577572E-5</v>
      </c>
      <c r="J61">
        <f ca="1">$B61*1/(9+Rules!$B$5)</f>
        <v>3.5012779664577572E-5</v>
      </c>
      <c r="K61">
        <f ca="1">$B61*1/(9+Rules!$B$5)</f>
        <v>3.5012779664577572E-5</v>
      </c>
      <c r="L61">
        <f ca="1">$B61*Rules!$B$5/(9+Rules!$B$5)</f>
        <v>1.4005111865831029E-4</v>
      </c>
    </row>
    <row r="62" spans="1:30" x14ac:dyDescent="0.2">
      <c r="A62">
        <v>6</v>
      </c>
      <c r="B62">
        <f ca="1">D56</f>
        <v>1.3654984069185255E-3</v>
      </c>
      <c r="D62">
        <f ca="1">$B62*1/(9+Rules!$B$5)</f>
        <v>1.0503833899373274E-4</v>
      </c>
      <c r="E62">
        <f ca="1">$B62*1/(9+Rules!$B$5)</f>
        <v>1.0503833899373274E-4</v>
      </c>
      <c r="F62">
        <f ca="1">$B62*1/(9+Rules!$B$5)</f>
        <v>1.0503833899373274E-4</v>
      </c>
      <c r="G62">
        <f ca="1">$B62*1/(9+Rules!$B$5)</f>
        <v>1.0503833899373274E-4</v>
      </c>
      <c r="H62">
        <f ca="1">$B62*1/(9+Rules!$B$5)</f>
        <v>1.0503833899373274E-4</v>
      </c>
      <c r="I62">
        <f ca="1">$B62*1/(9+Rules!$B$5)</f>
        <v>1.0503833899373274E-4</v>
      </c>
      <c r="J62">
        <f ca="1">$B62*1/(9+Rules!$B$5)</f>
        <v>1.0503833899373274E-4</v>
      </c>
      <c r="K62">
        <f ca="1">$B62*1/(9+Rules!$B$5)</f>
        <v>1.0503833899373274E-4</v>
      </c>
      <c r="L62">
        <f ca="1">$B62*1/(9+Rules!$B$5)</f>
        <v>1.0503833899373274E-4</v>
      </c>
      <c r="M62">
        <f ca="1">$B62*Rules!$B$5/(9+Rules!$B$5)</f>
        <v>4.2015335597493094E-4</v>
      </c>
    </row>
    <row r="63" spans="1:30" x14ac:dyDescent="0.2">
      <c r="A63">
        <v>7</v>
      </c>
      <c r="B63">
        <f ca="1">E56</f>
        <v>2.730996813837051E-3</v>
      </c>
      <c r="E63">
        <f ca="1">$B63*1/(9+Rules!$B$5)</f>
        <v>2.1007667798746547E-4</v>
      </c>
      <c r="F63">
        <f ca="1">$B63*1/(9+Rules!$B$5)</f>
        <v>2.1007667798746547E-4</v>
      </c>
      <c r="G63">
        <f ca="1">$B63*1/(9+Rules!$B$5)</f>
        <v>2.1007667798746547E-4</v>
      </c>
      <c r="H63">
        <f ca="1">$B63*1/(9+Rules!$B$5)</f>
        <v>2.1007667798746547E-4</v>
      </c>
      <c r="I63">
        <f ca="1">$B63*1/(9+Rules!$B$5)</f>
        <v>2.1007667798746547E-4</v>
      </c>
      <c r="J63">
        <f ca="1">$B63*1/(9+Rules!$B$5)</f>
        <v>2.1007667798746547E-4</v>
      </c>
      <c r="K63">
        <f ca="1">$B63*1/(9+Rules!$B$5)</f>
        <v>2.1007667798746547E-4</v>
      </c>
      <c r="L63">
        <f ca="1">$B63*1/(9+Rules!$B$5)</f>
        <v>2.1007667798746547E-4</v>
      </c>
      <c r="M63">
        <f ca="1">$B63*1/(9+Rules!$B$5)</f>
        <v>2.1007667798746547E-4</v>
      </c>
      <c r="N63">
        <f ca="1">$B63*Rules!$B$5/(9+Rules!$B$5)</f>
        <v>8.4030671194986189E-4</v>
      </c>
    </row>
    <row r="64" spans="1:30" x14ac:dyDescent="0.2">
      <c r="A64">
        <v>8</v>
      </c>
      <c r="B64">
        <f ca="1">F56</f>
        <v>4.5516613563950847E-3</v>
      </c>
      <c r="F64">
        <f ca="1">$B64*1/(9+Rules!$B$5)</f>
        <v>3.5012779664577576E-4</v>
      </c>
      <c r="G64">
        <f ca="1">$B64*1/(9+Rules!$B$5)</f>
        <v>3.5012779664577576E-4</v>
      </c>
      <c r="H64">
        <f ca="1">$B64*1/(9+Rules!$B$5)</f>
        <v>3.5012779664577576E-4</v>
      </c>
      <c r="I64">
        <f ca="1">$B64*1/(9+Rules!$B$5)</f>
        <v>3.5012779664577576E-4</v>
      </c>
      <c r="J64">
        <f ca="1">$B64*1/(9+Rules!$B$5)</f>
        <v>3.5012779664577576E-4</v>
      </c>
      <c r="K64">
        <f ca="1">$B64*1/(9+Rules!$B$5)</f>
        <v>3.5012779664577576E-4</v>
      </c>
      <c r="L64">
        <f ca="1">$B64*1/(9+Rules!$B$5)</f>
        <v>3.5012779664577576E-4</v>
      </c>
      <c r="M64">
        <f ca="1">$B64*1/(9+Rules!$B$5)</f>
        <v>3.5012779664577576E-4</v>
      </c>
      <c r="N64">
        <f ca="1">$B64*1/(9+Rules!$B$5)</f>
        <v>3.5012779664577576E-4</v>
      </c>
      <c r="O64">
        <f ca="1">$B64*Rules!$B$5/(9+Rules!$B$5)</f>
        <v>1.400511186583103E-3</v>
      </c>
    </row>
    <row r="65" spans="1:28" x14ac:dyDescent="0.2">
      <c r="A65">
        <v>9</v>
      </c>
      <c r="B65">
        <f ca="1">G56</f>
        <v>6.8274920345926266E-3</v>
      </c>
      <c r="G65">
        <f ca="1">$B65*1/(9+Rules!$B$5)</f>
        <v>5.2519169496866361E-4</v>
      </c>
      <c r="H65">
        <f ca="1">$B65*1/(9+Rules!$B$5)</f>
        <v>5.2519169496866361E-4</v>
      </c>
      <c r="I65">
        <f ca="1">$B65*1/(9+Rules!$B$5)</f>
        <v>5.2519169496866361E-4</v>
      </c>
      <c r="J65">
        <f ca="1">$B65*1/(9+Rules!$B$5)</f>
        <v>5.2519169496866361E-4</v>
      </c>
      <c r="K65">
        <f ca="1">$B65*1/(9+Rules!$B$5)</f>
        <v>5.2519169496866361E-4</v>
      </c>
      <c r="L65">
        <f ca="1">$B65*1/(9+Rules!$B$5)</f>
        <v>5.2519169496866361E-4</v>
      </c>
      <c r="M65">
        <f ca="1">$B65*1/(9+Rules!$B$5)</f>
        <v>5.2519169496866361E-4</v>
      </c>
      <c r="N65">
        <f ca="1">$B65*1/(9+Rules!$B$5)</f>
        <v>5.2519169496866361E-4</v>
      </c>
      <c r="O65">
        <f ca="1">$B65*1/(9+Rules!$B$5)</f>
        <v>5.2519169496866361E-4</v>
      </c>
      <c r="P65">
        <f ca="1">$B65*Rules!$B$5/(9+Rules!$B$5)</f>
        <v>2.1007667798746544E-3</v>
      </c>
    </row>
    <row r="66" spans="1:28" x14ac:dyDescent="0.2">
      <c r="A66">
        <v>10</v>
      </c>
      <c r="B66">
        <f ca="1">H56</f>
        <v>9.5584888484296776E-3</v>
      </c>
      <c r="H66">
        <f ca="1">$B66*1/(9+Rules!$B$5)</f>
        <v>7.3526837295612906E-4</v>
      </c>
      <c r="I66">
        <f ca="1">$B66*1/(9+Rules!$B$5)</f>
        <v>7.3526837295612906E-4</v>
      </c>
      <c r="J66">
        <f ca="1">$B66*1/(9+Rules!$B$5)</f>
        <v>7.3526837295612906E-4</v>
      </c>
      <c r="K66">
        <f ca="1">$B66*1/(9+Rules!$B$5)</f>
        <v>7.3526837295612906E-4</v>
      </c>
      <c r="L66">
        <f ca="1">$B66*1/(9+Rules!$B$5)</f>
        <v>7.3526837295612906E-4</v>
      </c>
      <c r="M66">
        <f ca="1">$B66*1/(9+Rules!$B$5)</f>
        <v>7.3526837295612906E-4</v>
      </c>
      <c r="N66">
        <f ca="1">$B66*1/(9+Rules!$B$5)</f>
        <v>7.3526837295612906E-4</v>
      </c>
      <c r="O66">
        <f ca="1">$B66*1/(9+Rules!$B$5)</f>
        <v>7.3526837295612906E-4</v>
      </c>
      <c r="P66">
        <f ca="1">$B66*1/(9+Rules!$B$5)</f>
        <v>7.3526837295612906E-4</v>
      </c>
      <c r="Q66">
        <f ca="1">$B66*Rules!$B$5/(9+Rules!$B$5)</f>
        <v>2.9410734918245162E-3</v>
      </c>
    </row>
    <row r="67" spans="1:28" x14ac:dyDescent="0.2">
      <c r="A67">
        <v>11</v>
      </c>
      <c r="B67">
        <f ca="1">I56</f>
        <v>1.2744651797906237E-2</v>
      </c>
      <c r="I67">
        <f ca="1">$B67*1/(9+Rules!$B$5)</f>
        <v>9.8035783060817215E-4</v>
      </c>
      <c r="J67">
        <f ca="1">$B67*1/(9+Rules!$B$5)</f>
        <v>9.8035783060817215E-4</v>
      </c>
      <c r="K67">
        <f ca="1">$B67*1/(9+Rules!$B$5)</f>
        <v>9.8035783060817215E-4</v>
      </c>
      <c r="L67">
        <f ca="1">$B67*1/(9+Rules!$B$5)</f>
        <v>9.8035783060817215E-4</v>
      </c>
      <c r="M67">
        <f ca="1">$B67*1/(9+Rules!$B$5)</f>
        <v>9.8035783060817215E-4</v>
      </c>
      <c r="N67">
        <f ca="1">$B67*1/(9+Rules!$B$5)</f>
        <v>9.8035783060817215E-4</v>
      </c>
      <c r="O67">
        <f ca="1">$B67*1/(9+Rules!$B$5)</f>
        <v>9.8035783060817215E-4</v>
      </c>
      <c r="P67">
        <f ca="1">$B67*1/(9+Rules!$B$5)</f>
        <v>9.8035783060817215E-4</v>
      </c>
      <c r="Q67">
        <f ca="1">$B67*1/(9+Rules!$B$5)</f>
        <v>9.8035783060817215E-4</v>
      </c>
      <c r="R67">
        <f ca="1">$B67*Rules!$B$5/(9+Rules!$B$5)</f>
        <v>3.9214313224326886E-3</v>
      </c>
    </row>
    <row r="68" spans="1:28" x14ac:dyDescent="0.2">
      <c r="A68">
        <v>12</v>
      </c>
      <c r="B68">
        <f ca="1">J56</f>
        <v>2.3668639053254441E-2</v>
      </c>
      <c r="J68">
        <f ca="1">$B68*1/(9+Rules!$B$5)</f>
        <v>1.8206645425580339E-3</v>
      </c>
      <c r="K68">
        <f ca="1">$B68*1/(9+Rules!$B$5)</f>
        <v>1.8206645425580339E-3</v>
      </c>
      <c r="L68">
        <f ca="1">$B68*1/(9+Rules!$B$5)</f>
        <v>1.8206645425580339E-3</v>
      </c>
      <c r="M68">
        <f ca="1">$B68*1/(9+Rules!$B$5)</f>
        <v>1.8206645425580339E-3</v>
      </c>
      <c r="N68">
        <f ca="1">$B68*1/(9+Rules!$B$5)</f>
        <v>1.8206645425580339E-3</v>
      </c>
      <c r="O68">
        <f ca="1">$B68*1/(9+Rules!$B$5)</f>
        <v>1.8206645425580339E-3</v>
      </c>
      <c r="P68">
        <f ca="1">$B68*1/(9+Rules!$B$5)</f>
        <v>1.8206645425580339E-3</v>
      </c>
      <c r="Q68">
        <f ca="1">$B68*1/(9+Rules!$B$5)</f>
        <v>1.8206645425580339E-3</v>
      </c>
      <c r="R68">
        <f ca="1">$B68*1/(9+Rules!$B$5)</f>
        <v>1.8206645425580339E-3</v>
      </c>
      <c r="S68">
        <f ca="1">$B68*Rules!$B$5/(9+Rules!$B$5)</f>
        <v>7.2826581702321357E-3</v>
      </c>
    </row>
    <row r="69" spans="1:28" x14ac:dyDescent="0.2">
      <c r="A69">
        <v>13</v>
      </c>
      <c r="B69">
        <f ca="1">K56</f>
        <v>3.1406463359126086E-2</v>
      </c>
      <c r="K69">
        <f ca="1">$B69*1/(9+Rules!$B$5)</f>
        <v>2.4158817968558529E-3</v>
      </c>
      <c r="L69">
        <f ca="1">$B69*1/(9+Rules!$B$5)</f>
        <v>2.4158817968558529E-3</v>
      </c>
      <c r="M69">
        <f ca="1">$B69*1/(9+Rules!$B$5)</f>
        <v>2.4158817968558529E-3</v>
      </c>
      <c r="N69">
        <f ca="1">$B69*1/(9+Rules!$B$5)</f>
        <v>2.4158817968558529E-3</v>
      </c>
      <c r="O69">
        <f ca="1">$B69*1/(9+Rules!$B$5)</f>
        <v>2.4158817968558529E-3</v>
      </c>
      <c r="P69">
        <f ca="1">$B69*1/(9+Rules!$B$5)</f>
        <v>2.4158817968558529E-3</v>
      </c>
      <c r="Q69">
        <f ca="1">$B69*1/(9+Rules!$B$5)</f>
        <v>2.4158817968558529E-3</v>
      </c>
      <c r="R69">
        <f ca="1">$B69*1/(9+Rules!$B$5)</f>
        <v>2.4158817968558529E-3</v>
      </c>
      <c r="S69">
        <f ca="1">$B69*1/(9+Rules!$B$5)</f>
        <v>2.4158817968558529E-3</v>
      </c>
      <c r="T69">
        <f ca="1">$B69*Rules!$B$5/(9+Rules!$B$5)</f>
        <v>9.6635271874234117E-3</v>
      </c>
    </row>
    <row r="70" spans="1:28" x14ac:dyDescent="0.2">
      <c r="A70">
        <v>14</v>
      </c>
      <c r="B70">
        <f ca="1">L56</f>
        <v>3.823395539371871E-2</v>
      </c>
      <c r="L70">
        <f ca="1">$B70*1/(9+Rules!$B$5)</f>
        <v>2.9410734918245162E-3</v>
      </c>
      <c r="M70">
        <f ca="1">$B70*1/(9+Rules!$B$5)</f>
        <v>2.9410734918245162E-3</v>
      </c>
      <c r="N70">
        <f ca="1">$B70*1/(9+Rules!$B$5)</f>
        <v>2.9410734918245162E-3</v>
      </c>
      <c r="O70">
        <f ca="1">$B70*1/(9+Rules!$B$5)</f>
        <v>2.9410734918245162E-3</v>
      </c>
      <c r="P70">
        <f ca="1">$B70*1/(9+Rules!$B$5)</f>
        <v>2.9410734918245162E-3</v>
      </c>
      <c r="Q70">
        <f ca="1">$B70*1/(9+Rules!$B$5)</f>
        <v>2.9410734918245162E-3</v>
      </c>
      <c r="R70">
        <f ca="1">$B70*1/(9+Rules!$B$5)</f>
        <v>2.9410734918245162E-3</v>
      </c>
      <c r="S70">
        <f ca="1">$B70*1/(9+Rules!$B$5)</f>
        <v>2.9410734918245162E-3</v>
      </c>
      <c r="T70">
        <f ca="1">$B70*1/(9+Rules!$B$5)</f>
        <v>2.9410734918245162E-3</v>
      </c>
      <c r="U70">
        <f ca="1">$B70*Rules!$B$5/(9+Rules!$B$5)</f>
        <v>1.1764293967298065E-2</v>
      </c>
    </row>
    <row r="71" spans="1:28" x14ac:dyDescent="0.2">
      <c r="A71">
        <v>15</v>
      </c>
      <c r="B71">
        <f ca="1">M56</f>
        <v>4.4151115157032322E-2</v>
      </c>
      <c r="M71">
        <f ca="1">$B71*1/(9+Rules!$B$5)</f>
        <v>3.3962396274640249E-3</v>
      </c>
      <c r="N71">
        <f ca="1">$B71*1/(9+Rules!$B$5)</f>
        <v>3.3962396274640249E-3</v>
      </c>
      <c r="O71">
        <f ca="1">$B71*1/(9+Rules!$B$5)</f>
        <v>3.3962396274640249E-3</v>
      </c>
      <c r="P71">
        <f ca="1">$B71*1/(9+Rules!$B$5)</f>
        <v>3.3962396274640249E-3</v>
      </c>
      <c r="Q71">
        <f ca="1">$B71*1/(9+Rules!$B$5)</f>
        <v>3.3962396274640249E-3</v>
      </c>
      <c r="R71">
        <f ca="1">$B71*1/(9+Rules!$B$5)</f>
        <v>3.3962396274640249E-3</v>
      </c>
      <c r="S71">
        <f ca="1">$B71*1/(9+Rules!$B$5)</f>
        <v>3.3962396274640249E-3</v>
      </c>
      <c r="T71">
        <f ca="1">$B71*1/(9+Rules!$B$5)</f>
        <v>3.3962396274640249E-3</v>
      </c>
      <c r="U71">
        <f ca="1">$B71*1/(9+Rules!$B$5)</f>
        <v>3.3962396274640249E-3</v>
      </c>
      <c r="V71">
        <f ca="1">$B71*Rules!$B$5/(9+Rules!$B$5)</f>
        <v>1.3584958509856099E-2</v>
      </c>
    </row>
    <row r="72" spans="1:28" x14ac:dyDescent="0.2">
      <c r="A72">
        <v>16</v>
      </c>
      <c r="B72">
        <f ca="1">N56</f>
        <v>4.9157942649066921E-2</v>
      </c>
      <c r="N72">
        <f ca="1">$B72*1/(9+Rules!$B$5)</f>
        <v>3.7813802037743784E-3</v>
      </c>
      <c r="O72">
        <f ca="1">$B72*1/(9+Rules!$B$5)</f>
        <v>3.7813802037743784E-3</v>
      </c>
      <c r="P72">
        <f ca="1">$B72*1/(9+Rules!$B$5)</f>
        <v>3.7813802037743784E-3</v>
      </c>
      <c r="Q72">
        <f ca="1">$B72*1/(9+Rules!$B$5)</f>
        <v>3.7813802037743784E-3</v>
      </c>
      <c r="R72">
        <f ca="1">$B72*1/(9+Rules!$B$5)</f>
        <v>3.7813802037743784E-3</v>
      </c>
      <c r="S72">
        <f ca="1">$B72*1/(9+Rules!$B$5)</f>
        <v>3.7813802037743784E-3</v>
      </c>
      <c r="T72">
        <f ca="1">$B72*1/(9+Rules!$B$5)</f>
        <v>3.7813802037743784E-3</v>
      </c>
      <c r="U72">
        <f ca="1">$B72*1/(9+Rules!$B$5)</f>
        <v>3.7813802037743784E-3</v>
      </c>
      <c r="V72">
        <f ca="1">$B72*1/(9+Rules!$B$5)</f>
        <v>3.7813802037743784E-3</v>
      </c>
      <c r="W72">
        <f ca="1">$B72*Rules!$B$5/(9+Rules!$B$5)</f>
        <v>1.5125520815097514E-2</v>
      </c>
    </row>
    <row r="73" spans="1:28" x14ac:dyDescent="0.2">
      <c r="B73" t="s">
        <v>2</v>
      </c>
      <c r="C73">
        <f t="shared" ref="C73:AB73" ca="1" si="12">SUM(C61:C72)</f>
        <v>3.5012779664577572E-5</v>
      </c>
      <c r="D73">
        <f t="shared" ca="1" si="12"/>
        <v>1.4005111865831031E-4</v>
      </c>
      <c r="E73">
        <f t="shared" ca="1" si="12"/>
        <v>3.5012779664577581E-4</v>
      </c>
      <c r="F73">
        <f t="shared" ca="1" si="12"/>
        <v>7.0025559329155163E-4</v>
      </c>
      <c r="G73">
        <f t="shared" ca="1" si="12"/>
        <v>1.2254472882602153E-3</v>
      </c>
      <c r="H73">
        <f t="shared" ca="1" si="12"/>
        <v>1.9607156612163443E-3</v>
      </c>
      <c r="I73">
        <f t="shared" ca="1" si="12"/>
        <v>2.9410734918245167E-3</v>
      </c>
      <c r="J73">
        <f t="shared" ca="1" si="12"/>
        <v>4.7617380343825504E-3</v>
      </c>
      <c r="K73">
        <f t="shared" ca="1" si="12"/>
        <v>7.1776198312384033E-3</v>
      </c>
      <c r="L73">
        <f t="shared" ca="1" si="12"/>
        <v>1.0223731662056652E-2</v>
      </c>
      <c r="M73">
        <f t="shared" ca="1" si="12"/>
        <v>1.3795035187843564E-2</v>
      </c>
      <c r="N73">
        <f t="shared" ca="1" si="12"/>
        <v>1.7786492069605406E-2</v>
      </c>
      <c r="O73">
        <f t="shared" ca="1" si="12"/>
        <v>1.7996568747592874E-2</v>
      </c>
      <c r="P73">
        <f t="shared" ca="1" si="12"/>
        <v>1.8171632645915758E-2</v>
      </c>
      <c r="Q73">
        <f t="shared" ca="1" si="12"/>
        <v>1.8276670984909496E-2</v>
      </c>
      <c r="R73">
        <f t="shared" ca="1" si="12"/>
        <v>1.8276670984909496E-2</v>
      </c>
      <c r="S73">
        <f t="shared" ca="1" si="12"/>
        <v>1.9817233290150907E-2</v>
      </c>
      <c r="T73">
        <f t="shared" ca="1" si="12"/>
        <v>1.978222051048633E-2</v>
      </c>
      <c r="U73">
        <f t="shared" ca="1" si="12"/>
        <v>1.8941913798536471E-2</v>
      </c>
      <c r="V73">
        <f t="shared" ca="1" si="12"/>
        <v>1.7366338713630476E-2</v>
      </c>
      <c r="W73">
        <f t="shared" ca="1" si="12"/>
        <v>1.5125520815097514E-2</v>
      </c>
      <c r="X73">
        <f t="shared" si="12"/>
        <v>0</v>
      </c>
      <c r="Y73">
        <f t="shared" si="12"/>
        <v>0</v>
      </c>
      <c r="Z73">
        <f t="shared" si="12"/>
        <v>0</v>
      </c>
      <c r="AA73">
        <f t="shared" si="12"/>
        <v>0</v>
      </c>
      <c r="AB73">
        <f t="shared" si="12"/>
        <v>0</v>
      </c>
    </row>
    <row r="75" spans="1:28" x14ac:dyDescent="0.2">
      <c r="A75" t="s">
        <v>100</v>
      </c>
      <c r="C75">
        <v>14</v>
      </c>
      <c r="D75">
        <v>15</v>
      </c>
      <c r="E75">
        <v>16</v>
      </c>
      <c r="F75">
        <v>17</v>
      </c>
      <c r="G75">
        <v>18</v>
      </c>
      <c r="H75">
        <v>19</v>
      </c>
      <c r="I75">
        <v>20</v>
      </c>
      <c r="J75">
        <v>21</v>
      </c>
      <c r="K75">
        <v>22</v>
      </c>
      <c r="L75">
        <v>23</v>
      </c>
      <c r="M75">
        <v>24</v>
      </c>
      <c r="N75">
        <v>25</v>
      </c>
      <c r="O75">
        <v>26</v>
      </c>
      <c r="P75">
        <v>27</v>
      </c>
      <c r="Q75">
        <v>28</v>
      </c>
      <c r="R75">
        <v>29</v>
      </c>
      <c r="S75">
        <v>30</v>
      </c>
      <c r="T75">
        <v>31</v>
      </c>
      <c r="U75">
        <v>32</v>
      </c>
    </row>
    <row r="76" spans="1:28" x14ac:dyDescent="0.2">
      <c r="A76">
        <v>13</v>
      </c>
      <c r="B76">
        <f>K57</f>
        <v>4.5516613563950843E-4</v>
      </c>
      <c r="C76">
        <f>$B76*1/(9+Rules!$B$5)</f>
        <v>3.5012779664577572E-5</v>
      </c>
      <c r="D76">
        <f>$B76*1/(9+Rules!$B$5)</f>
        <v>3.5012779664577572E-5</v>
      </c>
      <c r="E76">
        <f>$B76*1/(9+Rules!$B$5)</f>
        <v>3.5012779664577572E-5</v>
      </c>
      <c r="F76">
        <f>$B76*1/(9+Rules!$B$5)</f>
        <v>3.5012779664577572E-5</v>
      </c>
      <c r="G76">
        <f>$B76*1/(9+Rules!$B$5)</f>
        <v>3.5012779664577572E-5</v>
      </c>
      <c r="H76">
        <f>$B76*1/(9+Rules!$B$5)</f>
        <v>3.5012779664577572E-5</v>
      </c>
      <c r="I76">
        <f>$B76*1/(9+Rules!$B$5)</f>
        <v>3.5012779664577572E-5</v>
      </c>
      <c r="J76">
        <f>$B76*1/(9+Rules!$B$5)</f>
        <v>3.5012779664577572E-5</v>
      </c>
      <c r="K76">
        <f>$B76*1/(9+Rules!$B$5)</f>
        <v>3.5012779664577572E-5</v>
      </c>
      <c r="L76">
        <f>$B76*Rules!$B$5/(9+Rules!$B$5)</f>
        <v>1.4005111865831029E-4</v>
      </c>
    </row>
    <row r="77" spans="1:28" x14ac:dyDescent="0.2">
      <c r="A77">
        <v>14</v>
      </c>
      <c r="B77">
        <f>L57</f>
        <v>1.3654984069185255E-3</v>
      </c>
      <c r="D77">
        <f>$B77*1/(9+Rules!$B$5)</f>
        <v>1.0503833899373274E-4</v>
      </c>
      <c r="E77">
        <f>$B77*1/(9+Rules!$B$5)</f>
        <v>1.0503833899373274E-4</v>
      </c>
      <c r="F77">
        <f>$B77*1/(9+Rules!$B$5)</f>
        <v>1.0503833899373274E-4</v>
      </c>
      <c r="G77">
        <f>$B77*1/(9+Rules!$B$5)</f>
        <v>1.0503833899373274E-4</v>
      </c>
      <c r="H77">
        <f>$B77*1/(9+Rules!$B$5)</f>
        <v>1.0503833899373274E-4</v>
      </c>
      <c r="I77">
        <f>$B77*1/(9+Rules!$B$5)</f>
        <v>1.0503833899373274E-4</v>
      </c>
      <c r="J77">
        <f>$B77*1/(9+Rules!$B$5)</f>
        <v>1.0503833899373274E-4</v>
      </c>
      <c r="K77">
        <f>$B77*1/(9+Rules!$B$5)</f>
        <v>1.0503833899373274E-4</v>
      </c>
      <c r="L77">
        <f>$B77*1/(9+Rules!$B$5)</f>
        <v>1.0503833899373274E-4</v>
      </c>
      <c r="M77">
        <f>$B77*Rules!$B$5/(9+Rules!$B$5)</f>
        <v>4.2015335597493094E-4</v>
      </c>
    </row>
    <row r="78" spans="1:28" x14ac:dyDescent="0.2">
      <c r="A78">
        <v>15</v>
      </c>
      <c r="B78">
        <f>M57</f>
        <v>2.2758306781975423E-3</v>
      </c>
      <c r="E78">
        <f>$B78*1/(9+Rules!$B$5)</f>
        <v>1.7506389832288788E-4</v>
      </c>
      <c r="F78">
        <f>$B78*1/(9+Rules!$B$5)</f>
        <v>1.7506389832288788E-4</v>
      </c>
      <c r="G78">
        <f>$B78*1/(9+Rules!$B$5)</f>
        <v>1.7506389832288788E-4</v>
      </c>
      <c r="H78">
        <f>$B78*1/(9+Rules!$B$5)</f>
        <v>1.7506389832288788E-4</v>
      </c>
      <c r="I78">
        <f>$B78*1/(9+Rules!$B$5)</f>
        <v>1.7506389832288788E-4</v>
      </c>
      <c r="J78">
        <f>$B78*1/(9+Rules!$B$5)</f>
        <v>1.7506389832288788E-4</v>
      </c>
      <c r="K78">
        <f>$B78*1/(9+Rules!$B$5)</f>
        <v>1.7506389832288788E-4</v>
      </c>
      <c r="L78">
        <f>$B78*1/(9+Rules!$B$5)</f>
        <v>1.7506389832288788E-4</v>
      </c>
      <c r="M78">
        <f>$B78*1/(9+Rules!$B$5)</f>
        <v>1.7506389832288788E-4</v>
      </c>
      <c r="N78">
        <f>$B78*Rules!$B$5/(9+Rules!$B$5)</f>
        <v>7.0025559329155152E-4</v>
      </c>
    </row>
    <row r="79" spans="1:28" x14ac:dyDescent="0.2">
      <c r="A79">
        <v>16</v>
      </c>
      <c r="B79">
        <f>N57</f>
        <v>3.1861629494765592E-3</v>
      </c>
      <c r="F79">
        <f>$B79*1/(9+Rules!$B$5)</f>
        <v>2.4508945765204304E-4</v>
      </c>
      <c r="G79">
        <f>$B79*1/(9+Rules!$B$5)</f>
        <v>2.4508945765204304E-4</v>
      </c>
      <c r="H79">
        <f>$B79*1/(9+Rules!$B$5)</f>
        <v>2.4508945765204304E-4</v>
      </c>
      <c r="I79">
        <f>$B79*1/(9+Rules!$B$5)</f>
        <v>2.4508945765204304E-4</v>
      </c>
      <c r="J79">
        <f>$B79*1/(9+Rules!$B$5)</f>
        <v>2.4508945765204304E-4</v>
      </c>
      <c r="K79">
        <f>$B79*1/(9+Rules!$B$5)</f>
        <v>2.4508945765204304E-4</v>
      </c>
      <c r="L79">
        <f>$B79*1/(9+Rules!$B$5)</f>
        <v>2.4508945765204304E-4</v>
      </c>
      <c r="M79">
        <f>$B79*1/(9+Rules!$B$5)</f>
        <v>2.4508945765204304E-4</v>
      </c>
      <c r="N79">
        <f>$B79*1/(9+Rules!$B$5)</f>
        <v>2.4508945765204304E-4</v>
      </c>
      <c r="O79">
        <f>$B79*Rules!$B$5/(9+Rules!$B$5)</f>
        <v>9.8035783060817215E-4</v>
      </c>
    </row>
    <row r="80" spans="1:28" x14ac:dyDescent="0.2">
      <c r="A80">
        <v>17</v>
      </c>
      <c r="B80">
        <f>O57</f>
        <v>4.0964952207555765E-3</v>
      </c>
      <c r="G80">
        <f>$B80*1/(9+Rules!$B$5)</f>
        <v>3.1511501698119817E-4</v>
      </c>
      <c r="H80">
        <f>$B80*1/(9+Rules!$B$5)</f>
        <v>3.1511501698119817E-4</v>
      </c>
      <c r="I80">
        <f>$B80*1/(9+Rules!$B$5)</f>
        <v>3.1511501698119817E-4</v>
      </c>
      <c r="J80">
        <f>$B80*1/(9+Rules!$B$5)</f>
        <v>3.1511501698119817E-4</v>
      </c>
      <c r="K80">
        <f>$B80*1/(9+Rules!$B$5)</f>
        <v>3.1511501698119817E-4</v>
      </c>
      <c r="L80">
        <f>$B80*1/(9+Rules!$B$5)</f>
        <v>3.1511501698119817E-4</v>
      </c>
      <c r="M80">
        <f>$B80*1/(9+Rules!$B$5)</f>
        <v>3.1511501698119817E-4</v>
      </c>
      <c r="N80">
        <f>$B80*1/(9+Rules!$B$5)</f>
        <v>3.1511501698119817E-4</v>
      </c>
      <c r="O80">
        <f>$B80*1/(9+Rules!$B$5)</f>
        <v>3.1511501698119817E-4</v>
      </c>
      <c r="P80">
        <f>$B80*Rules!$B$5/(9+Rules!$B$5)</f>
        <v>1.2604600679247927E-3</v>
      </c>
    </row>
    <row r="81" spans="1:30" x14ac:dyDescent="0.2">
      <c r="A81">
        <v>18</v>
      </c>
      <c r="B81">
        <f>P57</f>
        <v>5.0068274920345938E-3</v>
      </c>
      <c r="H81">
        <f>$B81*1/(9+Rules!$B$5)</f>
        <v>3.8514057631035335E-4</v>
      </c>
      <c r="I81">
        <f>$B81*1/(9+Rules!$B$5)</f>
        <v>3.8514057631035335E-4</v>
      </c>
      <c r="J81">
        <f>$B81*1/(9+Rules!$B$5)</f>
        <v>3.8514057631035335E-4</v>
      </c>
      <c r="K81">
        <f>$B81*1/(9+Rules!$B$5)</f>
        <v>3.8514057631035335E-4</v>
      </c>
      <c r="L81">
        <f>$B81*1/(9+Rules!$B$5)</f>
        <v>3.8514057631035335E-4</v>
      </c>
      <c r="M81">
        <f>$B81*1/(9+Rules!$B$5)</f>
        <v>3.8514057631035335E-4</v>
      </c>
      <c r="N81">
        <f>$B81*1/(9+Rules!$B$5)</f>
        <v>3.8514057631035335E-4</v>
      </c>
      <c r="O81">
        <f>$B81*1/(9+Rules!$B$5)</f>
        <v>3.8514057631035335E-4</v>
      </c>
      <c r="P81">
        <f>$B81*1/(9+Rules!$B$5)</f>
        <v>3.8514057631035335E-4</v>
      </c>
      <c r="Q81">
        <f>$B81*Rules!$B$5/(9+Rules!$B$5)</f>
        <v>1.5405623052414134E-3</v>
      </c>
    </row>
    <row r="82" spans="1:30" x14ac:dyDescent="0.2">
      <c r="B82" t="s">
        <v>2</v>
      </c>
      <c r="C82">
        <f t="shared" ref="C82:T82" si="13">SUM(C76:C81)</f>
        <v>3.5012779664577572E-5</v>
      </c>
      <c r="D82">
        <f t="shared" si="13"/>
        <v>1.4005111865831031E-4</v>
      </c>
      <c r="E82">
        <f t="shared" si="13"/>
        <v>3.1511501698119817E-4</v>
      </c>
      <c r="F82">
        <f t="shared" si="13"/>
        <v>5.6020447463324126E-4</v>
      </c>
      <c r="G82">
        <f t="shared" si="13"/>
        <v>8.7531949161443942E-4</v>
      </c>
      <c r="H82">
        <f t="shared" si="13"/>
        <v>1.2604600679247927E-3</v>
      </c>
      <c r="I82">
        <f t="shared" si="13"/>
        <v>1.2604600679247927E-3</v>
      </c>
      <c r="J82">
        <f t="shared" si="13"/>
        <v>1.2604600679247927E-3</v>
      </c>
      <c r="K82">
        <f t="shared" si="13"/>
        <v>1.2604600679247927E-3</v>
      </c>
      <c r="L82">
        <f t="shared" si="13"/>
        <v>1.3654984069185253E-3</v>
      </c>
      <c r="M82">
        <f t="shared" si="13"/>
        <v>1.5405623052414132E-3</v>
      </c>
      <c r="N82">
        <f t="shared" si="13"/>
        <v>1.645600644235146E-3</v>
      </c>
      <c r="O82">
        <f t="shared" si="13"/>
        <v>1.6806134238997238E-3</v>
      </c>
      <c r="P82">
        <f t="shared" si="13"/>
        <v>1.645600644235146E-3</v>
      </c>
      <c r="Q82">
        <f t="shared" si="13"/>
        <v>1.5405623052414134E-3</v>
      </c>
      <c r="R82">
        <f t="shared" si="13"/>
        <v>0</v>
      </c>
      <c r="S82">
        <f t="shared" si="13"/>
        <v>0</v>
      </c>
      <c r="T82">
        <f t="shared" si="13"/>
        <v>0</v>
      </c>
    </row>
    <row r="84" spans="1:30" x14ac:dyDescent="0.2">
      <c r="B84" t="s">
        <v>98</v>
      </c>
      <c r="C84">
        <v>6</v>
      </c>
      <c r="D84">
        <v>7</v>
      </c>
      <c r="E84">
        <v>8</v>
      </c>
      <c r="F84">
        <v>9</v>
      </c>
      <c r="G84">
        <v>10</v>
      </c>
      <c r="H84">
        <v>11</v>
      </c>
      <c r="I84">
        <v>12</v>
      </c>
      <c r="J84">
        <v>13</v>
      </c>
      <c r="K84">
        <v>14</v>
      </c>
      <c r="L84">
        <v>15</v>
      </c>
      <c r="M84">
        <v>16</v>
      </c>
      <c r="N84">
        <v>17</v>
      </c>
      <c r="O84">
        <v>18</v>
      </c>
      <c r="P84">
        <v>19</v>
      </c>
      <c r="Q84">
        <v>20</v>
      </c>
      <c r="R84">
        <v>21</v>
      </c>
      <c r="S84" t="s">
        <v>93</v>
      </c>
      <c r="T84" t="s">
        <v>2</v>
      </c>
      <c r="U84" t="s">
        <v>102</v>
      </c>
      <c r="V84" t="s">
        <v>115</v>
      </c>
      <c r="W84" t="s">
        <v>105</v>
      </c>
    </row>
    <row r="85" spans="1:30" x14ac:dyDescent="0.2">
      <c r="B85" t="s">
        <v>103</v>
      </c>
      <c r="C85">
        <f t="shared" ref="C85:R85" ca="1" si="14">SUMIF($C$60:$AD$60,C84,$C$73:$AD$73)+SUMIF($K$75:$U$75,C84+10,$K$82:$U$82)</f>
        <v>3.5012779664577572E-5</v>
      </c>
      <c r="D85">
        <f t="shared" ca="1" si="14"/>
        <v>1.4005111865831031E-4</v>
      </c>
      <c r="E85">
        <f t="shared" ca="1" si="14"/>
        <v>3.5012779664577581E-4</v>
      </c>
      <c r="F85">
        <f t="shared" ca="1" si="14"/>
        <v>7.0025559329155163E-4</v>
      </c>
      <c r="G85">
        <f t="shared" ca="1" si="14"/>
        <v>1.2254472882602153E-3</v>
      </c>
      <c r="H85">
        <f t="shared" ca="1" si="14"/>
        <v>1.9607156612163443E-3</v>
      </c>
      <c r="I85">
        <f t="shared" ca="1" si="14"/>
        <v>4.2015335597493098E-3</v>
      </c>
      <c r="J85">
        <f t="shared" ca="1" si="14"/>
        <v>6.1272364413010759E-3</v>
      </c>
      <c r="K85">
        <f t="shared" ca="1" si="14"/>
        <v>8.7181821364798167E-3</v>
      </c>
      <c r="L85">
        <f t="shared" ca="1" si="14"/>
        <v>1.1869332306291799E-2</v>
      </c>
      <c r="M85">
        <f t="shared" ca="1" si="14"/>
        <v>1.5475648611743288E-2</v>
      </c>
      <c r="N85">
        <f t="shared" ca="1" si="14"/>
        <v>1.9432092713840551E-2</v>
      </c>
      <c r="O85">
        <f t="shared" ca="1" si="14"/>
        <v>1.9537131052834288E-2</v>
      </c>
      <c r="P85">
        <f t="shared" ca="1" si="14"/>
        <v>1.8171632645915758E-2</v>
      </c>
      <c r="Q85">
        <f t="shared" ca="1" si="14"/>
        <v>1.8276670984909496E-2</v>
      </c>
      <c r="R85">
        <f t="shared" ca="1" si="14"/>
        <v>1.8276670984909496E-2</v>
      </c>
      <c r="S85">
        <f ca="1">SUMIF($C$60:$AD$60,"&gt;21",$C$73:$AD$73)</f>
        <v>9.1033227127901711E-2</v>
      </c>
      <c r="T85">
        <f ca="1">SUM(C85:S85)</f>
        <v>0.23553096880361338</v>
      </c>
      <c r="U85">
        <f ca="1">S85+SUM(N85:R85,P86:R86)</f>
        <v>0.18850880571408568</v>
      </c>
      <c r="V85">
        <f>W56</f>
        <v>0.32544378698224863</v>
      </c>
      <c r="W85">
        <f ca="1">V56</f>
        <v>0.43331816112881205</v>
      </c>
    </row>
    <row r="86" spans="1:30" x14ac:dyDescent="0.2">
      <c r="B86" t="s">
        <v>104</v>
      </c>
      <c r="C86">
        <f t="shared" ref="C86:R86" si="15">SUMIF($C$75:$J$75,C84,$C$82:$J$82)</f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  <c r="H86">
        <f t="shared" si="15"/>
        <v>0</v>
      </c>
      <c r="I86">
        <f t="shared" si="15"/>
        <v>0</v>
      </c>
      <c r="J86">
        <f t="shared" si="15"/>
        <v>0</v>
      </c>
      <c r="K86">
        <f t="shared" si="15"/>
        <v>3.5012779664577572E-5</v>
      </c>
      <c r="L86">
        <f t="shared" si="15"/>
        <v>1.4005111865831031E-4</v>
      </c>
      <c r="M86">
        <f t="shared" si="15"/>
        <v>3.1511501698119817E-4</v>
      </c>
      <c r="N86">
        <f t="shared" si="15"/>
        <v>5.6020447463324126E-4</v>
      </c>
      <c r="O86">
        <f t="shared" si="15"/>
        <v>8.7531949161443942E-4</v>
      </c>
      <c r="P86">
        <f t="shared" si="15"/>
        <v>1.2604600679247927E-3</v>
      </c>
      <c r="Q86">
        <f t="shared" si="15"/>
        <v>1.2604600679247927E-3</v>
      </c>
      <c r="R86">
        <f t="shared" si="15"/>
        <v>1.2604600679247927E-3</v>
      </c>
      <c r="S86">
        <f>SUMIF($C$60:$AD$60,S84,$C$73:$AD$73)+SUMIF($C$75:$J$75,S84,$C$82:$J$82)+SUMIF($K$75:$U$75,S84+10,$K$82:$U$82)</f>
        <v>0</v>
      </c>
      <c r="T86">
        <f>SUM(C86:S86)</f>
        <v>5.7070830853261454E-3</v>
      </c>
      <c r="W86" t="s">
        <v>99</v>
      </c>
    </row>
    <row r="87" spans="1:30" x14ac:dyDescent="0.2">
      <c r="S87" t="s">
        <v>2</v>
      </c>
      <c r="T87">
        <f ca="1">SUM(T85:T86)</f>
        <v>0.24123805188893951</v>
      </c>
      <c r="W87">
        <f ca="1">T87+W85+V85</f>
        <v>1.0000000000000002</v>
      </c>
    </row>
    <row r="90" spans="1:30" x14ac:dyDescent="0.2">
      <c r="B90" t="s">
        <v>14</v>
      </c>
      <c r="C90">
        <v>7</v>
      </c>
      <c r="D90">
        <v>8</v>
      </c>
      <c r="E90">
        <v>9</v>
      </c>
      <c r="F90">
        <v>10</v>
      </c>
      <c r="G90">
        <v>11</v>
      </c>
      <c r="H90">
        <v>12</v>
      </c>
      <c r="I90">
        <v>13</v>
      </c>
      <c r="J90">
        <v>14</v>
      </c>
      <c r="K90">
        <v>15</v>
      </c>
      <c r="L90">
        <v>16</v>
      </c>
      <c r="M90">
        <v>17</v>
      </c>
      <c r="N90">
        <v>18</v>
      </c>
      <c r="O90">
        <v>19</v>
      </c>
      <c r="P90">
        <v>20</v>
      </c>
      <c r="Q90">
        <v>21</v>
      </c>
      <c r="R90">
        <v>22</v>
      </c>
      <c r="S90">
        <v>23</v>
      </c>
      <c r="T90">
        <v>24</v>
      </c>
      <c r="U90">
        <v>25</v>
      </c>
      <c r="V90">
        <v>26</v>
      </c>
      <c r="W90">
        <v>27</v>
      </c>
      <c r="X90">
        <v>28</v>
      </c>
      <c r="Y90">
        <v>29</v>
      </c>
      <c r="Z90">
        <v>30</v>
      </c>
      <c r="AA90">
        <v>31</v>
      </c>
      <c r="AB90">
        <v>32</v>
      </c>
      <c r="AC90">
        <v>33</v>
      </c>
      <c r="AD90">
        <v>34</v>
      </c>
    </row>
    <row r="91" spans="1:30" x14ac:dyDescent="0.2">
      <c r="A91">
        <v>6</v>
      </c>
      <c r="B91">
        <f ca="1">C85</f>
        <v>3.5012779664577572E-5</v>
      </c>
      <c r="C91">
        <f ca="1">$B91*1/(9+Rules!$B$5)</f>
        <v>2.6932907434290439E-6</v>
      </c>
      <c r="D91">
        <f ca="1">$B91*1/(9+Rules!$B$5)</f>
        <v>2.6932907434290439E-6</v>
      </c>
      <c r="E91">
        <f ca="1">$B91*1/(9+Rules!$B$5)</f>
        <v>2.6932907434290439E-6</v>
      </c>
      <c r="F91">
        <f ca="1">$B91*1/(9+Rules!$B$5)</f>
        <v>2.6932907434290439E-6</v>
      </c>
      <c r="G91">
        <f ca="1">$B91*1/(9+Rules!$B$5)</f>
        <v>2.6932907434290439E-6</v>
      </c>
      <c r="H91">
        <f ca="1">$B91*1/(9+Rules!$B$5)</f>
        <v>2.6932907434290439E-6</v>
      </c>
      <c r="I91">
        <f ca="1">$B91*1/(9+Rules!$B$5)</f>
        <v>2.6932907434290439E-6</v>
      </c>
      <c r="J91">
        <f ca="1">$B91*1/(9+Rules!$B$5)</f>
        <v>2.6932907434290439E-6</v>
      </c>
      <c r="K91">
        <f ca="1">$B91*1/(9+Rules!$B$5)</f>
        <v>2.6932907434290439E-6</v>
      </c>
      <c r="L91">
        <f ca="1">$B91*Rules!$B$5/(9+Rules!$B$5)</f>
        <v>1.0773162973716176E-5</v>
      </c>
    </row>
    <row r="92" spans="1:30" x14ac:dyDescent="0.2">
      <c r="A92">
        <v>7</v>
      </c>
      <c r="B92">
        <f ca="1">D85</f>
        <v>1.4005111865831031E-4</v>
      </c>
      <c r="D92">
        <f ca="1">$B92*1/(9+Rules!$B$5)</f>
        <v>1.0773162973716177E-5</v>
      </c>
      <c r="E92">
        <f ca="1">$B92*1/(9+Rules!$B$5)</f>
        <v>1.0773162973716177E-5</v>
      </c>
      <c r="F92">
        <f ca="1">$B92*1/(9+Rules!$B$5)</f>
        <v>1.0773162973716177E-5</v>
      </c>
      <c r="G92">
        <f ca="1">$B92*1/(9+Rules!$B$5)</f>
        <v>1.0773162973716177E-5</v>
      </c>
      <c r="H92">
        <f ca="1">$B92*1/(9+Rules!$B$5)</f>
        <v>1.0773162973716177E-5</v>
      </c>
      <c r="I92">
        <f ca="1">$B92*1/(9+Rules!$B$5)</f>
        <v>1.0773162973716177E-5</v>
      </c>
      <c r="J92">
        <f ca="1">$B92*1/(9+Rules!$B$5)</f>
        <v>1.0773162973716177E-5</v>
      </c>
      <c r="K92">
        <f ca="1">$B92*1/(9+Rules!$B$5)</f>
        <v>1.0773162973716177E-5</v>
      </c>
      <c r="L92">
        <f ca="1">$B92*1/(9+Rules!$B$5)</f>
        <v>1.0773162973716177E-5</v>
      </c>
      <c r="M92">
        <f ca="1">$B92*Rules!$B$5/(9+Rules!$B$5)</f>
        <v>4.3092651894864709E-5</v>
      </c>
    </row>
    <row r="93" spans="1:30" x14ac:dyDescent="0.2">
      <c r="A93">
        <v>8</v>
      </c>
      <c r="B93">
        <f ca="1">E85</f>
        <v>3.5012779664577581E-4</v>
      </c>
      <c r="E93">
        <f ca="1">$B93*1/(9+Rules!$B$5)</f>
        <v>2.6932907434290448E-5</v>
      </c>
      <c r="F93">
        <f ca="1">$B93*1/(9+Rules!$B$5)</f>
        <v>2.6932907434290448E-5</v>
      </c>
      <c r="G93">
        <f ca="1">$B93*1/(9+Rules!$B$5)</f>
        <v>2.6932907434290448E-5</v>
      </c>
      <c r="H93">
        <f ca="1">$B93*1/(9+Rules!$B$5)</f>
        <v>2.6932907434290448E-5</v>
      </c>
      <c r="I93">
        <f ca="1">$B93*1/(9+Rules!$B$5)</f>
        <v>2.6932907434290448E-5</v>
      </c>
      <c r="J93">
        <f ca="1">$B93*1/(9+Rules!$B$5)</f>
        <v>2.6932907434290448E-5</v>
      </c>
      <c r="K93">
        <f ca="1">$B93*1/(9+Rules!$B$5)</f>
        <v>2.6932907434290448E-5</v>
      </c>
      <c r="L93">
        <f ca="1">$B93*1/(9+Rules!$B$5)</f>
        <v>2.6932907434290448E-5</v>
      </c>
      <c r="M93">
        <f ca="1">$B93*1/(9+Rules!$B$5)</f>
        <v>2.6932907434290448E-5</v>
      </c>
      <c r="N93">
        <f ca="1">$B93*Rules!$B$5/(9+Rules!$B$5)</f>
        <v>1.0773162973716179E-4</v>
      </c>
    </row>
    <row r="94" spans="1:30" x14ac:dyDescent="0.2">
      <c r="A94">
        <v>9</v>
      </c>
      <c r="B94">
        <f ca="1">F$85</f>
        <v>7.0025559329155163E-4</v>
      </c>
      <c r="F94">
        <f ca="1">$B94*1/(9+Rules!$B$5)</f>
        <v>5.3865814868580896E-5</v>
      </c>
      <c r="G94">
        <f ca="1">$B94*1/(9+Rules!$B$5)</f>
        <v>5.3865814868580896E-5</v>
      </c>
      <c r="H94">
        <f ca="1">$B94*1/(9+Rules!$B$5)</f>
        <v>5.3865814868580896E-5</v>
      </c>
      <c r="I94">
        <f ca="1">$B94*1/(9+Rules!$B$5)</f>
        <v>5.3865814868580896E-5</v>
      </c>
      <c r="J94">
        <f ca="1">$B94*1/(9+Rules!$B$5)</f>
        <v>5.3865814868580896E-5</v>
      </c>
      <c r="K94">
        <f ca="1">$B94*1/(9+Rules!$B$5)</f>
        <v>5.3865814868580896E-5</v>
      </c>
      <c r="L94">
        <f ca="1">$B94*1/(9+Rules!$B$5)</f>
        <v>5.3865814868580896E-5</v>
      </c>
      <c r="M94">
        <f ca="1">$B94*1/(9+Rules!$B$5)</f>
        <v>5.3865814868580896E-5</v>
      </c>
      <c r="N94">
        <f ca="1">$B94*1/(9+Rules!$B$5)</f>
        <v>5.3865814868580896E-5</v>
      </c>
      <c r="O94">
        <f ca="1">$B94*Rules!$B$5/(9+Rules!$B$5)</f>
        <v>2.1546325947432359E-4</v>
      </c>
    </row>
    <row r="95" spans="1:30" x14ac:dyDescent="0.2">
      <c r="A95">
        <v>10</v>
      </c>
      <c r="B95">
        <f ca="1">G$85</f>
        <v>1.2254472882602153E-3</v>
      </c>
      <c r="G95">
        <f ca="1">$B95*1/(9+Rules!$B$5)</f>
        <v>9.4265176020016562E-5</v>
      </c>
      <c r="H95">
        <f ca="1">$B95*1/(9+Rules!$B$5)</f>
        <v>9.4265176020016562E-5</v>
      </c>
      <c r="I95">
        <f ca="1">$B95*1/(9+Rules!$B$5)</f>
        <v>9.4265176020016562E-5</v>
      </c>
      <c r="J95">
        <f ca="1">$B95*1/(9+Rules!$B$5)</f>
        <v>9.4265176020016562E-5</v>
      </c>
      <c r="K95">
        <f ca="1">$B95*1/(9+Rules!$B$5)</f>
        <v>9.4265176020016562E-5</v>
      </c>
      <c r="L95">
        <f ca="1">$B95*1/(9+Rules!$B$5)</f>
        <v>9.4265176020016562E-5</v>
      </c>
      <c r="M95">
        <f ca="1">$B95*1/(9+Rules!$B$5)</f>
        <v>9.4265176020016562E-5</v>
      </c>
      <c r="N95">
        <f ca="1">$B95*1/(9+Rules!$B$5)</f>
        <v>9.4265176020016562E-5</v>
      </c>
      <c r="O95">
        <f ca="1">$B95*1/(9+Rules!$B$5)</f>
        <v>9.4265176020016562E-5</v>
      </c>
      <c r="P95">
        <f ca="1">$B95*Rules!$B$5/(9+Rules!$B$5)</f>
        <v>3.7706070408006625E-4</v>
      </c>
    </row>
    <row r="96" spans="1:30" x14ac:dyDescent="0.2">
      <c r="A96">
        <v>11</v>
      </c>
      <c r="B96">
        <f ca="1">H$85</f>
        <v>1.9607156612163443E-3</v>
      </c>
      <c r="H96">
        <f ca="1">$B96*1/(9+Rules!$B$5)</f>
        <v>1.5082428163202649E-4</v>
      </c>
      <c r="I96">
        <f ca="1">$B96*1/(9+Rules!$B$5)</f>
        <v>1.5082428163202649E-4</v>
      </c>
      <c r="J96">
        <f ca="1">$B96*1/(9+Rules!$B$5)</f>
        <v>1.5082428163202649E-4</v>
      </c>
      <c r="K96">
        <f ca="1">$B96*1/(9+Rules!$B$5)</f>
        <v>1.5082428163202649E-4</v>
      </c>
      <c r="L96">
        <f ca="1">$B96*1/(9+Rules!$B$5)</f>
        <v>1.5082428163202649E-4</v>
      </c>
      <c r="M96">
        <f ca="1">$B96*1/(9+Rules!$B$5)</f>
        <v>1.5082428163202649E-4</v>
      </c>
      <c r="N96">
        <f ca="1">$B96*1/(9+Rules!$B$5)</f>
        <v>1.5082428163202649E-4</v>
      </c>
      <c r="O96">
        <f ca="1">$B96*1/(9+Rules!$B$5)</f>
        <v>1.5082428163202649E-4</v>
      </c>
      <c r="P96">
        <f ca="1">$B96*1/(9+Rules!$B$5)</f>
        <v>1.5082428163202649E-4</v>
      </c>
      <c r="Q96">
        <f ca="1">$B96*Rules!$B$5/(9+Rules!$B$5)</f>
        <v>6.0329712652810595E-4</v>
      </c>
    </row>
    <row r="97" spans="1:28" x14ac:dyDescent="0.2">
      <c r="A97">
        <v>12</v>
      </c>
      <c r="B97">
        <f ca="1">I$85</f>
        <v>4.2015335597493098E-3</v>
      </c>
      <c r="I97">
        <f ca="1">$B97*1/(9+Rules!$B$5)</f>
        <v>3.2319488921148538E-4</v>
      </c>
      <c r="J97">
        <f ca="1">$B97*1/(9+Rules!$B$5)</f>
        <v>3.2319488921148538E-4</v>
      </c>
      <c r="K97">
        <f ca="1">$B97*1/(9+Rules!$B$5)</f>
        <v>3.2319488921148538E-4</v>
      </c>
      <c r="L97">
        <f ca="1">$B97*1/(9+Rules!$B$5)</f>
        <v>3.2319488921148538E-4</v>
      </c>
      <c r="M97">
        <f ca="1">$B97*1/(9+Rules!$B$5)</f>
        <v>3.2319488921148538E-4</v>
      </c>
      <c r="N97">
        <f ca="1">$B97*1/(9+Rules!$B$5)</f>
        <v>3.2319488921148538E-4</v>
      </c>
      <c r="O97">
        <f ca="1">$B97*1/(9+Rules!$B$5)</f>
        <v>3.2319488921148538E-4</v>
      </c>
      <c r="P97">
        <f ca="1">$B97*1/(9+Rules!$B$5)</f>
        <v>3.2319488921148538E-4</v>
      </c>
      <c r="Q97">
        <f ca="1">$B97*1/(9+Rules!$B$5)</f>
        <v>3.2319488921148538E-4</v>
      </c>
      <c r="R97">
        <f ca="1">$B97*Rules!$B$5/(9+Rules!$B$5)</f>
        <v>1.2927795568459415E-3</v>
      </c>
    </row>
    <row r="98" spans="1:28" x14ac:dyDescent="0.2">
      <c r="A98">
        <v>13</v>
      </c>
      <c r="B98">
        <f ca="1">J$85</f>
        <v>6.1272364413010759E-3</v>
      </c>
      <c r="J98">
        <f ca="1">$B98*1/(9+Rules!$B$5)</f>
        <v>4.7132588010008274E-4</v>
      </c>
      <c r="K98">
        <f ca="1">$B98*1/(9+Rules!$B$5)</f>
        <v>4.7132588010008274E-4</v>
      </c>
      <c r="L98">
        <f ca="1">$B98*1/(9+Rules!$B$5)</f>
        <v>4.7132588010008274E-4</v>
      </c>
      <c r="M98">
        <f ca="1">$B98*1/(9+Rules!$B$5)</f>
        <v>4.7132588010008274E-4</v>
      </c>
      <c r="N98">
        <f ca="1">$B98*1/(9+Rules!$B$5)</f>
        <v>4.7132588010008274E-4</v>
      </c>
      <c r="O98">
        <f ca="1">$B98*1/(9+Rules!$B$5)</f>
        <v>4.7132588010008274E-4</v>
      </c>
      <c r="P98">
        <f ca="1">$B98*1/(9+Rules!$B$5)</f>
        <v>4.7132588010008274E-4</v>
      </c>
      <c r="Q98">
        <f ca="1">$B98*1/(9+Rules!$B$5)</f>
        <v>4.7132588010008274E-4</v>
      </c>
      <c r="R98">
        <f ca="1">$B98*1/(9+Rules!$B$5)</f>
        <v>4.7132588010008274E-4</v>
      </c>
      <c r="S98">
        <f ca="1">$B98*Rules!$B$5/(9+Rules!$B$5)</f>
        <v>1.885303520400331E-3</v>
      </c>
    </row>
    <row r="99" spans="1:28" x14ac:dyDescent="0.2">
      <c r="A99">
        <v>14</v>
      </c>
      <c r="B99">
        <f ca="1">K$85</f>
        <v>8.7181821364798167E-3</v>
      </c>
      <c r="K99">
        <f ca="1">$B99*1/(9+Rules!$B$5)</f>
        <v>6.7062939511383201E-4</v>
      </c>
      <c r="L99">
        <f ca="1">$B99*1/(9+Rules!$B$5)</f>
        <v>6.7062939511383201E-4</v>
      </c>
      <c r="M99">
        <f ca="1">$B99*1/(9+Rules!$B$5)</f>
        <v>6.7062939511383201E-4</v>
      </c>
      <c r="N99">
        <f ca="1">$B99*1/(9+Rules!$B$5)</f>
        <v>6.7062939511383201E-4</v>
      </c>
      <c r="O99">
        <f ca="1">$B99*1/(9+Rules!$B$5)</f>
        <v>6.7062939511383201E-4</v>
      </c>
      <c r="P99">
        <f ca="1">$B99*1/(9+Rules!$B$5)</f>
        <v>6.7062939511383201E-4</v>
      </c>
      <c r="Q99">
        <f ca="1">$B99*1/(9+Rules!$B$5)</f>
        <v>6.7062939511383201E-4</v>
      </c>
      <c r="R99">
        <f ca="1">$B99*1/(9+Rules!$B$5)</f>
        <v>6.7062939511383201E-4</v>
      </c>
      <c r="S99">
        <f ca="1">$B99*1/(9+Rules!$B$5)</f>
        <v>6.7062939511383201E-4</v>
      </c>
      <c r="T99">
        <f ca="1">$B99*Rules!$B$5/(9+Rules!$B$5)</f>
        <v>2.682517580455328E-3</v>
      </c>
    </row>
    <row r="100" spans="1:28" x14ac:dyDescent="0.2">
      <c r="A100">
        <v>15</v>
      </c>
      <c r="B100">
        <f ca="1">L$85</f>
        <v>1.1869332306291799E-2</v>
      </c>
      <c r="L100">
        <f ca="1">$B100*1/(9+Rules!$B$5)</f>
        <v>9.1302556202244609E-4</v>
      </c>
      <c r="M100">
        <f ca="1">$B100*1/(9+Rules!$B$5)</f>
        <v>9.1302556202244609E-4</v>
      </c>
      <c r="N100">
        <f ca="1">$B100*1/(9+Rules!$B$5)</f>
        <v>9.1302556202244609E-4</v>
      </c>
      <c r="O100">
        <f ca="1">$B100*1/(9+Rules!$B$5)</f>
        <v>9.1302556202244609E-4</v>
      </c>
      <c r="P100">
        <f ca="1">$B100*1/(9+Rules!$B$5)</f>
        <v>9.1302556202244609E-4</v>
      </c>
      <c r="Q100">
        <f ca="1">$B100*1/(9+Rules!$B$5)</f>
        <v>9.1302556202244609E-4</v>
      </c>
      <c r="R100">
        <f ca="1">$B100*1/(9+Rules!$B$5)</f>
        <v>9.1302556202244609E-4</v>
      </c>
      <c r="S100">
        <f ca="1">$B100*1/(9+Rules!$B$5)</f>
        <v>9.1302556202244609E-4</v>
      </c>
      <c r="T100">
        <f ca="1">$B100*1/(9+Rules!$B$5)</f>
        <v>9.1302556202244609E-4</v>
      </c>
      <c r="U100">
        <f ca="1">$B100*Rules!$B$5/(9+Rules!$B$5)</f>
        <v>3.6521022480897843E-3</v>
      </c>
    </row>
    <row r="101" spans="1:28" x14ac:dyDescent="0.2">
      <c r="A101">
        <v>16</v>
      </c>
      <c r="B101">
        <f ca="1">M$85</f>
        <v>1.5475648611743288E-2</v>
      </c>
      <c r="M101">
        <f ca="1">$B101*1/(9+Rules!$B$5)</f>
        <v>1.1904345085956376E-3</v>
      </c>
      <c r="N101">
        <f ca="1">$B101*1/(9+Rules!$B$5)</f>
        <v>1.1904345085956376E-3</v>
      </c>
      <c r="O101">
        <f ca="1">$B101*1/(9+Rules!$B$5)</f>
        <v>1.1904345085956376E-3</v>
      </c>
      <c r="P101">
        <f ca="1">$B101*1/(9+Rules!$B$5)</f>
        <v>1.1904345085956376E-3</v>
      </c>
      <c r="Q101">
        <f ca="1">$B101*1/(9+Rules!$B$5)</f>
        <v>1.1904345085956376E-3</v>
      </c>
      <c r="R101">
        <f ca="1">$B101*1/(9+Rules!$B$5)</f>
        <v>1.1904345085956376E-3</v>
      </c>
      <c r="S101">
        <f ca="1">$B101*1/(9+Rules!$B$5)</f>
        <v>1.1904345085956376E-3</v>
      </c>
      <c r="T101">
        <f ca="1">$B101*1/(9+Rules!$B$5)</f>
        <v>1.1904345085956376E-3</v>
      </c>
      <c r="U101">
        <f ca="1">$B101*1/(9+Rules!$B$5)</f>
        <v>1.1904345085956376E-3</v>
      </c>
      <c r="V101">
        <f ca="1">$B101*Rules!$B$5/(9+Rules!$B$5)</f>
        <v>4.7617380343825504E-3</v>
      </c>
    </row>
    <row r="102" spans="1:28" x14ac:dyDescent="0.2">
      <c r="B102" t="s">
        <v>2</v>
      </c>
      <c r="C102">
        <f t="shared" ref="C102:AB102" ca="1" si="16">SUM(C91:C101)</f>
        <v>2.6932907434290439E-6</v>
      </c>
      <c r="D102">
        <f t="shared" ca="1" si="16"/>
        <v>1.3466453717145221E-5</v>
      </c>
      <c r="E102">
        <f t="shared" ca="1" si="16"/>
        <v>4.0399361151435666E-5</v>
      </c>
      <c r="F102">
        <f t="shared" ca="1" si="16"/>
        <v>9.4265176020016562E-5</v>
      </c>
      <c r="G102">
        <f t="shared" ca="1" si="16"/>
        <v>1.8853035204003312E-4</v>
      </c>
      <c r="H102">
        <f t="shared" ca="1" si="16"/>
        <v>3.3935463367205964E-4</v>
      </c>
      <c r="I102">
        <f t="shared" ca="1" si="16"/>
        <v>6.6254952288354496E-4</v>
      </c>
      <c r="J102">
        <f t="shared" ca="1" si="16"/>
        <v>1.1338754029836277E-3</v>
      </c>
      <c r="K102">
        <f t="shared" ca="1" si="16"/>
        <v>1.8045047980974598E-3</v>
      </c>
      <c r="L102">
        <f t="shared" ca="1" si="16"/>
        <v>2.7256102323501927E-3</v>
      </c>
      <c r="M102">
        <f t="shared" ca="1" si="16"/>
        <v>3.9375910668932625E-3</v>
      </c>
      <c r="N102">
        <f t="shared" ca="1" si="16"/>
        <v>3.9752971373012693E-3</v>
      </c>
      <c r="O102">
        <f t="shared" ca="1" si="16"/>
        <v>4.029162952169851E-3</v>
      </c>
      <c r="P102">
        <f t="shared" ca="1" si="16"/>
        <v>4.0964952207555765E-3</v>
      </c>
      <c r="Q102">
        <f t="shared" ca="1" si="16"/>
        <v>4.1719073615715894E-3</v>
      </c>
      <c r="R102">
        <f t="shared" ca="1" si="16"/>
        <v>4.5381949026779399E-3</v>
      </c>
      <c r="S102">
        <f t="shared" ca="1" si="16"/>
        <v>4.6593929861322471E-3</v>
      </c>
      <c r="T102">
        <f t="shared" ca="1" si="16"/>
        <v>4.7859776510734116E-3</v>
      </c>
      <c r="U102">
        <f t="shared" ca="1" si="16"/>
        <v>4.8425367566854224E-3</v>
      </c>
      <c r="V102">
        <f t="shared" ca="1" si="16"/>
        <v>4.7617380343825504E-3</v>
      </c>
      <c r="W102">
        <f t="shared" si="16"/>
        <v>0</v>
      </c>
      <c r="X102">
        <f t="shared" si="16"/>
        <v>0</v>
      </c>
      <c r="Y102">
        <f t="shared" si="16"/>
        <v>0</v>
      </c>
      <c r="Z102">
        <f t="shared" si="16"/>
        <v>0</v>
      </c>
      <c r="AA102">
        <f t="shared" si="16"/>
        <v>0</v>
      </c>
      <c r="AB102">
        <f t="shared" si="16"/>
        <v>0</v>
      </c>
    </row>
    <row r="104" spans="1:28" x14ac:dyDescent="0.2">
      <c r="A104" t="s">
        <v>100</v>
      </c>
      <c r="C104">
        <v>15</v>
      </c>
      <c r="D104">
        <v>16</v>
      </c>
      <c r="E104">
        <v>17</v>
      </c>
      <c r="F104">
        <v>18</v>
      </c>
      <c r="G104">
        <v>19</v>
      </c>
      <c r="H104">
        <v>20</v>
      </c>
      <c r="I104">
        <v>21</v>
      </c>
      <c r="J104">
        <v>22</v>
      </c>
      <c r="K104">
        <v>23</v>
      </c>
      <c r="L104">
        <v>24</v>
      </c>
      <c r="M104">
        <v>25</v>
      </c>
      <c r="N104">
        <v>26</v>
      </c>
      <c r="O104">
        <v>27</v>
      </c>
      <c r="P104">
        <v>28</v>
      </c>
      <c r="Q104">
        <v>29</v>
      </c>
      <c r="R104">
        <v>30</v>
      </c>
      <c r="S104">
        <v>31</v>
      </c>
      <c r="T104">
        <v>32</v>
      </c>
      <c r="U104">
        <v>33</v>
      </c>
    </row>
    <row r="105" spans="1:28" x14ac:dyDescent="0.2">
      <c r="A105">
        <v>14</v>
      </c>
      <c r="B105">
        <f>K$86</f>
        <v>3.5012779664577572E-5</v>
      </c>
      <c r="C105">
        <f>$B105*1/(9+Rules!$B$5)</f>
        <v>2.6932907434290439E-6</v>
      </c>
      <c r="D105">
        <f>$B105*1/(9+Rules!$B$5)</f>
        <v>2.6932907434290439E-6</v>
      </c>
      <c r="E105">
        <f>$B105*1/(9+Rules!$B$5)</f>
        <v>2.6932907434290439E-6</v>
      </c>
      <c r="F105">
        <f>$B105*1/(9+Rules!$B$5)</f>
        <v>2.6932907434290439E-6</v>
      </c>
      <c r="G105">
        <f>$B105*1/(9+Rules!$B$5)</f>
        <v>2.6932907434290439E-6</v>
      </c>
      <c r="H105">
        <f>$B105*1/(9+Rules!$B$5)</f>
        <v>2.6932907434290439E-6</v>
      </c>
      <c r="I105">
        <f>$B105*1/(9+Rules!$B$5)</f>
        <v>2.6932907434290439E-6</v>
      </c>
      <c r="J105">
        <f>$B105*1/(9+Rules!$B$5)</f>
        <v>2.6932907434290439E-6</v>
      </c>
      <c r="K105">
        <f>$B105*1/(9+Rules!$B$5)</f>
        <v>2.6932907434290439E-6</v>
      </c>
      <c r="L105">
        <f>$B105*Rules!$B$5/(9+Rules!$B$5)</f>
        <v>1.0773162973716176E-5</v>
      </c>
    </row>
    <row r="106" spans="1:28" x14ac:dyDescent="0.2">
      <c r="A106">
        <v>15</v>
      </c>
      <c r="B106">
        <f>L$86</f>
        <v>1.4005111865831031E-4</v>
      </c>
      <c r="D106">
        <f>$B106*1/(9+Rules!$B$5)</f>
        <v>1.0773162973716177E-5</v>
      </c>
      <c r="E106">
        <f>$B106*1/(9+Rules!$B$5)</f>
        <v>1.0773162973716177E-5</v>
      </c>
      <c r="F106">
        <f>$B106*1/(9+Rules!$B$5)</f>
        <v>1.0773162973716177E-5</v>
      </c>
      <c r="G106">
        <f>$B106*1/(9+Rules!$B$5)</f>
        <v>1.0773162973716177E-5</v>
      </c>
      <c r="H106">
        <f>$B106*1/(9+Rules!$B$5)</f>
        <v>1.0773162973716177E-5</v>
      </c>
      <c r="I106">
        <f>$B106*1/(9+Rules!$B$5)</f>
        <v>1.0773162973716177E-5</v>
      </c>
      <c r="J106">
        <f>$B106*1/(9+Rules!$B$5)</f>
        <v>1.0773162973716177E-5</v>
      </c>
      <c r="K106">
        <f>$B106*1/(9+Rules!$B$5)</f>
        <v>1.0773162973716177E-5</v>
      </c>
      <c r="L106">
        <f>$B106*1/(9+Rules!$B$5)</f>
        <v>1.0773162973716177E-5</v>
      </c>
      <c r="M106">
        <f>$B106*Rules!$B$5/(9+Rules!$B$5)</f>
        <v>4.3092651894864709E-5</v>
      </c>
    </row>
    <row r="107" spans="1:28" x14ac:dyDescent="0.2">
      <c r="A107">
        <v>16</v>
      </c>
      <c r="B107">
        <f>M$86</f>
        <v>3.1511501698119817E-4</v>
      </c>
      <c r="E107">
        <f>$B107*1/(9+Rules!$B$5)</f>
        <v>2.4239616690861398E-5</v>
      </c>
      <c r="F107">
        <f>$B107*1/(9+Rules!$B$5)</f>
        <v>2.4239616690861398E-5</v>
      </c>
      <c r="G107">
        <f>$B107*1/(9+Rules!$B$5)</f>
        <v>2.4239616690861398E-5</v>
      </c>
      <c r="H107">
        <f>$B107*1/(9+Rules!$B$5)</f>
        <v>2.4239616690861398E-5</v>
      </c>
      <c r="I107">
        <f>$B107*1/(9+Rules!$B$5)</f>
        <v>2.4239616690861398E-5</v>
      </c>
      <c r="J107">
        <f>$B107*1/(9+Rules!$B$5)</f>
        <v>2.4239616690861398E-5</v>
      </c>
      <c r="K107">
        <f>$B107*1/(9+Rules!$B$5)</f>
        <v>2.4239616690861398E-5</v>
      </c>
      <c r="L107">
        <f>$B107*1/(9+Rules!$B$5)</f>
        <v>2.4239616690861398E-5</v>
      </c>
      <c r="M107">
        <f>$B107*1/(9+Rules!$B$5)</f>
        <v>2.4239616690861398E-5</v>
      </c>
      <c r="N107">
        <f>$B107*Rules!$B$5/(9+Rules!$B$5)</f>
        <v>9.6958466763445592E-5</v>
      </c>
    </row>
    <row r="108" spans="1:28" x14ac:dyDescent="0.2">
      <c r="A108">
        <v>17</v>
      </c>
      <c r="B108">
        <f>N$86</f>
        <v>5.6020447463324126E-4</v>
      </c>
      <c r="F108">
        <f>$B108*1/(9+Rules!$B$5)</f>
        <v>4.3092651894864709E-5</v>
      </c>
      <c r="G108">
        <f>$B108*1/(9+Rules!$B$5)</f>
        <v>4.3092651894864709E-5</v>
      </c>
      <c r="H108">
        <f>$B108*1/(9+Rules!$B$5)</f>
        <v>4.3092651894864709E-5</v>
      </c>
      <c r="I108">
        <f>$B108*1/(9+Rules!$B$5)</f>
        <v>4.3092651894864709E-5</v>
      </c>
      <c r="J108">
        <f>$B108*1/(9+Rules!$B$5)</f>
        <v>4.3092651894864709E-5</v>
      </c>
      <c r="K108">
        <f>$B108*1/(9+Rules!$B$5)</f>
        <v>4.3092651894864709E-5</v>
      </c>
      <c r="L108">
        <f>$B108*1/(9+Rules!$B$5)</f>
        <v>4.3092651894864709E-5</v>
      </c>
      <c r="M108">
        <f>$B108*1/(9+Rules!$B$5)</f>
        <v>4.3092651894864709E-5</v>
      </c>
      <c r="N108">
        <f>$B108*1/(9+Rules!$B$5)</f>
        <v>4.3092651894864709E-5</v>
      </c>
      <c r="O108">
        <f>$B108*Rules!$B$5/(9+Rules!$B$5)</f>
        <v>1.7237060757945884E-4</v>
      </c>
    </row>
    <row r="109" spans="1:28" x14ac:dyDescent="0.2">
      <c r="A109">
        <v>18</v>
      </c>
      <c r="B109">
        <f>O$86</f>
        <v>8.7531949161443942E-4</v>
      </c>
      <c r="G109">
        <f>$B109*1/(9+Rules!$B$5)</f>
        <v>6.7332268585726114E-5</v>
      </c>
      <c r="H109">
        <f>$B109*1/(9+Rules!$B$5)</f>
        <v>6.7332268585726114E-5</v>
      </c>
      <c r="I109">
        <f>$B109*1/(9+Rules!$B$5)</f>
        <v>6.7332268585726114E-5</v>
      </c>
      <c r="J109">
        <f>$B109*1/(9+Rules!$B$5)</f>
        <v>6.7332268585726114E-5</v>
      </c>
      <c r="K109">
        <f>$B109*1/(9+Rules!$B$5)</f>
        <v>6.7332268585726114E-5</v>
      </c>
      <c r="L109">
        <f>$B109*1/(9+Rules!$B$5)</f>
        <v>6.7332268585726114E-5</v>
      </c>
      <c r="M109">
        <f>$B109*1/(9+Rules!$B$5)</f>
        <v>6.7332268585726114E-5</v>
      </c>
      <c r="N109">
        <f>$B109*1/(9+Rules!$B$5)</f>
        <v>6.7332268585726114E-5</v>
      </c>
      <c r="O109">
        <f>$B109*1/(9+Rules!$B$5)</f>
        <v>6.7332268585726114E-5</v>
      </c>
      <c r="P109">
        <f>$B109*Rules!$B$5/(9+Rules!$B$5)</f>
        <v>2.6932907434290445E-4</v>
      </c>
    </row>
    <row r="110" spans="1:28" x14ac:dyDescent="0.2">
      <c r="B110" t="s">
        <v>2</v>
      </c>
      <c r="C110">
        <f t="shared" ref="C110:T110" si="17">SUM(C105:C109)</f>
        <v>2.6932907434290439E-6</v>
      </c>
      <c r="D110">
        <f t="shared" si="17"/>
        <v>1.3466453717145221E-5</v>
      </c>
      <c r="E110">
        <f t="shared" si="17"/>
        <v>3.7706070408006622E-5</v>
      </c>
      <c r="F110">
        <f t="shared" si="17"/>
        <v>8.0798722302871331E-5</v>
      </c>
      <c r="G110">
        <f t="shared" si="17"/>
        <v>1.4813099088859744E-4</v>
      </c>
      <c r="H110">
        <f t="shared" si="17"/>
        <v>1.4813099088859744E-4</v>
      </c>
      <c r="I110">
        <f t="shared" si="17"/>
        <v>1.4813099088859744E-4</v>
      </c>
      <c r="J110">
        <f t="shared" si="17"/>
        <v>1.4813099088859744E-4</v>
      </c>
      <c r="K110">
        <f t="shared" si="17"/>
        <v>1.4813099088859744E-4</v>
      </c>
      <c r="L110">
        <f t="shared" si="17"/>
        <v>1.5621086311888458E-4</v>
      </c>
      <c r="M110">
        <f t="shared" si="17"/>
        <v>1.7775718906631692E-4</v>
      </c>
      <c r="N110">
        <f t="shared" si="17"/>
        <v>2.0738338724403643E-4</v>
      </c>
      <c r="O110">
        <f t="shared" si="17"/>
        <v>2.3970287616518495E-4</v>
      </c>
      <c r="P110">
        <f t="shared" si="17"/>
        <v>2.6932907434290445E-4</v>
      </c>
      <c r="Q110">
        <f t="shared" si="17"/>
        <v>0</v>
      </c>
      <c r="R110">
        <f t="shared" si="17"/>
        <v>0</v>
      </c>
      <c r="S110">
        <f t="shared" si="17"/>
        <v>0</v>
      </c>
      <c r="T110">
        <f t="shared" si="17"/>
        <v>0</v>
      </c>
    </row>
    <row r="112" spans="1:28" x14ac:dyDescent="0.2">
      <c r="B112" t="s">
        <v>107</v>
      </c>
      <c r="C112">
        <v>7</v>
      </c>
      <c r="D112">
        <v>8</v>
      </c>
      <c r="E112">
        <v>9</v>
      </c>
      <c r="F112">
        <v>10</v>
      </c>
      <c r="G112">
        <v>11</v>
      </c>
      <c r="H112">
        <v>12</v>
      </c>
      <c r="I112">
        <v>13</v>
      </c>
      <c r="J112">
        <v>14</v>
      </c>
      <c r="K112">
        <v>15</v>
      </c>
      <c r="L112">
        <v>16</v>
      </c>
      <c r="M112">
        <v>17</v>
      </c>
      <c r="N112">
        <v>18</v>
      </c>
      <c r="O112">
        <v>19</v>
      </c>
      <c r="P112">
        <v>20</v>
      </c>
      <c r="Q112">
        <v>21</v>
      </c>
      <c r="R112" t="s">
        <v>93</v>
      </c>
      <c r="S112" t="s">
        <v>2</v>
      </c>
      <c r="T112" t="s">
        <v>102</v>
      </c>
      <c r="U112" t="s">
        <v>115</v>
      </c>
      <c r="V112" t="s">
        <v>105</v>
      </c>
      <c r="W112" t="s">
        <v>106</v>
      </c>
    </row>
    <row r="113" spans="2:24" x14ac:dyDescent="0.2">
      <c r="B113" t="s">
        <v>103</v>
      </c>
      <c r="C113">
        <f t="shared" ref="C113:Q113" ca="1" si="18">SUMIF($C$90:$AD$90,C112,$C$102:$AD$102)+SUMIF($J$104:$U$104,C112+10,$J$110:$U$110)</f>
        <v>2.6932907434290439E-6</v>
      </c>
      <c r="D113">
        <f t="shared" ca="1" si="18"/>
        <v>1.3466453717145221E-5</v>
      </c>
      <c r="E113">
        <f t="shared" ca="1" si="18"/>
        <v>4.0399361151435666E-5</v>
      </c>
      <c r="F113">
        <f t="shared" ca="1" si="18"/>
        <v>9.4265176020016562E-5</v>
      </c>
      <c r="G113">
        <f t="shared" ca="1" si="18"/>
        <v>1.8853035204003312E-4</v>
      </c>
      <c r="H113">
        <f t="shared" ca="1" si="18"/>
        <v>4.8748562456065706E-4</v>
      </c>
      <c r="I113">
        <f t="shared" ca="1" si="18"/>
        <v>8.1068051377214238E-4</v>
      </c>
      <c r="J113">
        <f t="shared" ca="1" si="18"/>
        <v>1.2900862661025122E-3</v>
      </c>
      <c r="K113">
        <f t="shared" ca="1" si="18"/>
        <v>1.9822619871637769E-3</v>
      </c>
      <c r="L113">
        <f t="shared" ca="1" si="18"/>
        <v>2.9329936195942293E-3</v>
      </c>
      <c r="M113">
        <f t="shared" ca="1" si="18"/>
        <v>4.1772939430584476E-3</v>
      </c>
      <c r="N113">
        <f t="shared" ca="1" si="18"/>
        <v>4.244626211644174E-3</v>
      </c>
      <c r="O113">
        <f t="shared" ca="1" si="18"/>
        <v>4.029162952169851E-3</v>
      </c>
      <c r="P113">
        <f t="shared" ca="1" si="18"/>
        <v>4.0964952207555765E-3</v>
      </c>
      <c r="Q113">
        <f t="shared" ca="1" si="18"/>
        <v>4.1719073615715894E-3</v>
      </c>
      <c r="R113">
        <f ca="1">SUMIF($C$90:$AD$90,"&gt;21",$C$102:$AD$102)</f>
        <v>2.3587840330951574E-2</v>
      </c>
      <c r="S113">
        <f ca="1">SUM(C113:R113)</f>
        <v>5.2150188665016597E-2</v>
      </c>
      <c r="T113">
        <f ca="1">R113</f>
        <v>2.3587840330951574E-2</v>
      </c>
      <c r="U113">
        <f>V85</f>
        <v>0.32544378698224863</v>
      </c>
      <c r="V113">
        <f ca="1">W85</f>
        <v>0.43331816112881205</v>
      </c>
      <c r="W113">
        <f ca="1">U85</f>
        <v>0.18850880571408568</v>
      </c>
    </row>
    <row r="114" spans="2:24" x14ac:dyDescent="0.2">
      <c r="B114" t="s">
        <v>104</v>
      </c>
      <c r="C114">
        <f t="shared" ref="C114:Q114" si="19">SUMIF($C$104:$I$104,C112,$C$110:$I$110)</f>
        <v>0</v>
      </c>
      <c r="D114">
        <f t="shared" si="19"/>
        <v>0</v>
      </c>
      <c r="E114">
        <f t="shared" si="19"/>
        <v>0</v>
      </c>
      <c r="F114">
        <f t="shared" si="19"/>
        <v>0</v>
      </c>
      <c r="G114">
        <f t="shared" si="19"/>
        <v>0</v>
      </c>
      <c r="H114">
        <f t="shared" si="19"/>
        <v>0</v>
      </c>
      <c r="I114">
        <f t="shared" si="19"/>
        <v>0</v>
      </c>
      <c r="J114">
        <f t="shared" si="19"/>
        <v>0</v>
      </c>
      <c r="K114">
        <f t="shared" si="19"/>
        <v>2.6932907434290439E-6</v>
      </c>
      <c r="L114">
        <f t="shared" si="19"/>
        <v>1.3466453717145221E-5</v>
      </c>
      <c r="M114">
        <f t="shared" si="19"/>
        <v>3.7706070408006622E-5</v>
      </c>
      <c r="N114">
        <f t="shared" si="19"/>
        <v>8.0798722302871331E-5</v>
      </c>
      <c r="O114">
        <f t="shared" si="19"/>
        <v>1.4813099088859744E-4</v>
      </c>
      <c r="P114">
        <f t="shared" si="19"/>
        <v>1.4813099088859744E-4</v>
      </c>
      <c r="Q114">
        <f t="shared" si="19"/>
        <v>1.4813099088859744E-4</v>
      </c>
      <c r="R114">
        <f>SUMIF($C$60:$AD$60,R112,$C$73:$AD$73)+SUMIF($C$75:$J$75,R112,$C$82:$J$82)+SUMIF($K$75:$U$75,R112+10,$K$82:$U$82)</f>
        <v>0</v>
      </c>
      <c r="S114">
        <f>SUM(C114:R114)</f>
        <v>5.7905750983724448E-4</v>
      </c>
      <c r="X114" t="s">
        <v>99</v>
      </c>
    </row>
    <row r="115" spans="2:24" x14ac:dyDescent="0.2">
      <c r="R115" t="s">
        <v>2</v>
      </c>
      <c r="S115">
        <f ca="1">SUM(S113:S114)</f>
        <v>5.272924617485384E-2</v>
      </c>
      <c r="X115">
        <f ca="1">S115+W113+V113+U113</f>
        <v>1.0000000000000002</v>
      </c>
    </row>
    <row r="116" spans="2:24" ht="17" thickBot="1" x14ac:dyDescent="0.25"/>
    <row r="117" spans="2:24" ht="17" thickBot="1" x14ac:dyDescent="0.25">
      <c r="D117" s="123"/>
      <c r="E117" s="21" t="s">
        <v>113</v>
      </c>
      <c r="F117" s="19" t="s">
        <v>112</v>
      </c>
      <c r="G117" s="19" t="s">
        <v>114</v>
      </c>
      <c r="H117" s="20" t="s">
        <v>99</v>
      </c>
    </row>
    <row r="118" spans="2:24" x14ac:dyDescent="0.2">
      <c r="D118" s="115" t="s">
        <v>108</v>
      </c>
      <c r="E118" s="22">
        <f>U113</f>
        <v>0.32544378698224863</v>
      </c>
      <c r="F118" s="2">
        <v>0</v>
      </c>
      <c r="G118" s="2">
        <f>1-E118-F118</f>
        <v>0.67455621301775137</v>
      </c>
      <c r="H118" s="8">
        <f>SUM(E118:G118)</f>
        <v>1</v>
      </c>
    </row>
    <row r="119" spans="2:24" x14ac:dyDescent="0.2">
      <c r="D119" s="116" t="s">
        <v>109</v>
      </c>
      <c r="E119" s="194">
        <f ca="1">V56-T56</f>
        <v>0.26035502958579881</v>
      </c>
      <c r="F119" s="1">
        <f ca="1">T56</f>
        <v>0.17296313154301321</v>
      </c>
      <c r="G119" s="1">
        <f ca="1">G118-F119-E119</f>
        <v>0.24123805188893932</v>
      </c>
      <c r="H119" s="9">
        <f ca="1">SUM(E119:G119)</f>
        <v>0.67455621301775137</v>
      </c>
    </row>
    <row r="120" spans="2:24" x14ac:dyDescent="0.2">
      <c r="D120" s="116" t="s">
        <v>110</v>
      </c>
      <c r="E120" s="194">
        <f ca="1">U85-S85</f>
        <v>9.747557858618397E-2</v>
      </c>
      <c r="F120" s="1">
        <f ca="1">S85</f>
        <v>9.1033227127901711E-2</v>
      </c>
      <c r="G120" s="1">
        <f ca="1">G119-F120-E120</f>
        <v>5.2729246174853639E-2</v>
      </c>
      <c r="H120" s="9">
        <f ca="1">SUM(E120:G120)</f>
        <v>0.24123805188893932</v>
      </c>
    </row>
    <row r="121" spans="2:24" x14ac:dyDescent="0.2">
      <c r="D121" s="116" t="s">
        <v>111</v>
      </c>
      <c r="E121" s="194"/>
      <c r="F121" s="1">
        <f ca="1">R113</f>
        <v>2.3587840330951574E-2</v>
      </c>
      <c r="G121" s="1">
        <f ca="1">G120-F121</f>
        <v>2.9141405843902065E-2</v>
      </c>
      <c r="H121" s="9">
        <f ca="1">SUM(E121:G121)</f>
        <v>5.2729246174853639E-2</v>
      </c>
    </row>
    <row r="122" spans="2:24" ht="17" thickBot="1" x14ac:dyDescent="0.25">
      <c r="D122" s="195" t="s">
        <v>2</v>
      </c>
      <c r="E122" s="196">
        <f ca="1">SUM(E118:E121)</f>
        <v>0.68327439515423138</v>
      </c>
      <c r="F122" s="131">
        <f ca="1">SUM(F118:F121)</f>
        <v>0.28758419900186649</v>
      </c>
      <c r="G122" s="131">
        <f ca="1">G121</f>
        <v>2.9141405843902065E-2</v>
      </c>
      <c r="H122" s="10">
        <f ca="1">SUM(E122:G122)</f>
        <v>0.99999999999999989</v>
      </c>
    </row>
  </sheetData>
  <sheetProtection sheet="1" objects="1" scenarios="1"/>
  <conditionalFormatting sqref="C2">
    <cfRule type="containsText" dxfId="813" priority="7" operator="containsText" text="R">
      <formula>NOT(ISERROR(SEARCH("R",C2)))</formula>
    </cfRule>
    <cfRule type="containsText" dxfId="812" priority="8" operator="containsText" text="D">
      <formula>NOT(ISERROR(SEARCH("D",C2)))</formula>
    </cfRule>
    <cfRule type="containsText" dxfId="811" priority="9" operator="containsText" text="S">
      <formula>NOT(ISERROR(SEARCH("S",C2)))</formula>
    </cfRule>
    <cfRule type="containsText" dxfId="810" priority="10" operator="containsText" text="H">
      <formula>NOT(ISERROR(SEARCH("H",C2)))</formula>
    </cfRule>
  </conditionalFormatting>
  <conditionalFormatting sqref="C2">
    <cfRule type="containsText" dxfId="809" priority="6" operator="containsText" text="P">
      <formula>NOT(ISERROR(SEARCH("P",C2)))</formula>
    </cfRule>
  </conditionalFormatting>
  <conditionalFormatting sqref="C15">
    <cfRule type="containsText" dxfId="808" priority="2" operator="containsText" text="R">
      <formula>NOT(ISERROR(SEARCH("R",C15)))</formula>
    </cfRule>
    <cfRule type="containsText" dxfId="807" priority="3" operator="containsText" text="D">
      <formula>NOT(ISERROR(SEARCH("D",C15)))</formula>
    </cfRule>
    <cfRule type="containsText" dxfId="806" priority="4" operator="containsText" text="S">
      <formula>NOT(ISERROR(SEARCH("S",C15)))</formula>
    </cfRule>
    <cfRule type="containsText" dxfId="805" priority="5" operator="containsText" text="H">
      <formula>NOT(ISERROR(SEARCH("H",C15)))</formula>
    </cfRule>
  </conditionalFormatting>
  <conditionalFormatting sqref="C15">
    <cfRule type="containsText" dxfId="804" priority="1" operator="containsText" text="P">
      <formula>NOT(ISERROR(SEARCH("P",C15)))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"/>
  <sheetViews>
    <sheetView workbookViewId="0">
      <selection activeCell="D2" sqref="D2"/>
    </sheetView>
  </sheetViews>
  <sheetFormatPr baseColWidth="10" defaultColWidth="11" defaultRowHeight="16" x14ac:dyDescent="0.2"/>
  <cols>
    <col min="1" max="1" width="9.1640625" customWidth="1"/>
  </cols>
  <sheetData>
    <row r="1" spans="1:4" x14ac:dyDescent="0.2">
      <c r="B1" t="s">
        <v>123</v>
      </c>
      <c r="C1" t="s">
        <v>120</v>
      </c>
      <c r="D1" t="s">
        <v>121</v>
      </c>
    </row>
    <row r="2" spans="1:4" x14ac:dyDescent="0.2">
      <c r="A2" t="s">
        <v>122</v>
      </c>
      <c r="B2">
        <f>1/13</f>
        <v>7.6923076923076927E-2</v>
      </c>
      <c r="C2">
        <f>2*B2^2</f>
        <v>1.183431952662722E-2</v>
      </c>
      <c r="D2">
        <f>3*B2^3</f>
        <v>1.3654984069185255E-3</v>
      </c>
    </row>
  </sheetData>
  <sheetProtection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K45"/>
  <sheetViews>
    <sheetView workbookViewId="0">
      <selection activeCell="B29" sqref="B29:K38"/>
    </sheetView>
  </sheetViews>
  <sheetFormatPr baseColWidth="10" defaultColWidth="8.83203125" defaultRowHeight="15" x14ac:dyDescent="0.2"/>
  <cols>
    <col min="1" max="2" width="8.83203125" style="33"/>
    <col min="3" max="3" width="8" style="33" customWidth="1"/>
    <col min="4" max="16384" width="8.83203125" style="33"/>
  </cols>
  <sheetData>
    <row r="1" spans="1:11" ht="25" thickBot="1" x14ac:dyDescent="0.35">
      <c r="A1" s="302" t="s">
        <v>138</v>
      </c>
      <c r="B1" s="303"/>
      <c r="C1" s="303"/>
      <c r="D1" s="303"/>
      <c r="E1" s="303"/>
      <c r="F1" s="303"/>
      <c r="G1" s="303"/>
      <c r="H1" s="303"/>
      <c r="I1" s="303"/>
      <c r="J1" s="303"/>
      <c r="K1" s="304"/>
    </row>
    <row r="2" spans="1:11" x14ac:dyDescent="0.2">
      <c r="A2" s="230" t="s">
        <v>9</v>
      </c>
      <c r="B2" s="230" t="s">
        <v>1</v>
      </c>
      <c r="C2" s="230">
        <v>2</v>
      </c>
      <c r="D2" s="230">
        <v>3</v>
      </c>
      <c r="E2" s="230">
        <v>4</v>
      </c>
      <c r="F2" s="230">
        <v>5</v>
      </c>
      <c r="G2" s="230">
        <v>6</v>
      </c>
      <c r="H2" s="230">
        <v>7</v>
      </c>
      <c r="I2" s="230">
        <v>8</v>
      </c>
      <c r="J2" s="230">
        <v>9</v>
      </c>
      <c r="K2" s="230">
        <v>10</v>
      </c>
    </row>
    <row r="3" spans="1:11" x14ac:dyDescent="0.2">
      <c r="A3" s="32">
        <v>5</v>
      </c>
      <c r="B3" s="34">
        <f>HSDR!B5</f>
        <v>-0.27857459755181968</v>
      </c>
      <c r="C3" s="34">
        <f>HSDR!C5</f>
        <v>-0.12821556706374745</v>
      </c>
      <c r="D3" s="34">
        <f>HSDR!D5</f>
        <v>-9.5310227261489883E-2</v>
      </c>
      <c r="E3" s="34">
        <f>HSDR!E5</f>
        <v>-6.1479464199694238E-2</v>
      </c>
      <c r="F3" s="34">
        <f>HSDR!F5</f>
        <v>-2.397897039185962E-2</v>
      </c>
      <c r="G3" s="34">
        <f>HSDR!G5</f>
        <v>-1.1863378384401623E-3</v>
      </c>
      <c r="H3" s="34">
        <f>HSDR!H5</f>
        <v>-0.11944744188414852</v>
      </c>
      <c r="I3" s="34">
        <f>HSDR!I5</f>
        <v>-0.18809330390318524</v>
      </c>
      <c r="J3" s="34">
        <f>HSDR!J5</f>
        <v>-0.26661505335795899</v>
      </c>
      <c r="K3" s="34">
        <f>HSDR!K5</f>
        <v>-0.31341164336497107</v>
      </c>
    </row>
    <row r="4" spans="1:11" x14ac:dyDescent="0.2">
      <c r="A4" s="32">
        <v>6</v>
      </c>
      <c r="B4" s="34">
        <f>HSDR!B6</f>
        <v>-0.30414663097569933</v>
      </c>
      <c r="C4" s="34">
        <f>HSDR!C6</f>
        <v>-0.14075911746001987</v>
      </c>
      <c r="D4" s="34">
        <f>HSDR!D6</f>
        <v>-0.10729107800860836</v>
      </c>
      <c r="E4" s="34">
        <f>HSDR!E6</f>
        <v>-7.2917141926387305E-2</v>
      </c>
      <c r="F4" s="34">
        <f>HSDR!F6</f>
        <v>-3.4915973330102178E-2</v>
      </c>
      <c r="G4" s="34">
        <f>HSDR!G6</f>
        <v>-1.3005835529874294E-2</v>
      </c>
      <c r="H4" s="34">
        <f>HSDR!H6</f>
        <v>-0.15193270723669944</v>
      </c>
      <c r="I4" s="34">
        <f>HSDR!I6</f>
        <v>-0.21724188132078476</v>
      </c>
      <c r="J4" s="34">
        <f>HSDR!J6</f>
        <v>-0.29264070019772598</v>
      </c>
      <c r="K4" s="34">
        <f>HSDR!K6</f>
        <v>-0.33774944037840804</v>
      </c>
    </row>
    <row r="5" spans="1:11" x14ac:dyDescent="0.2">
      <c r="A5" s="32">
        <v>7</v>
      </c>
      <c r="B5" s="34">
        <f>HSDR!B7</f>
        <v>-0.31007165033163697</v>
      </c>
      <c r="C5" s="34">
        <f>HSDR!C7</f>
        <v>-0.10918342786661633</v>
      </c>
      <c r="D5" s="34">
        <f>HSDR!D7</f>
        <v>-7.658298190446361E-2</v>
      </c>
      <c r="E5" s="34">
        <f>HSDR!E7</f>
        <v>-4.3021794004341876E-2</v>
      </c>
      <c r="F5" s="34">
        <f>HSDR!F7</f>
        <v>-7.2713609029408845E-3</v>
      </c>
      <c r="G5" s="34">
        <f>HSDR!G7</f>
        <v>2.9185342353860864E-2</v>
      </c>
      <c r="H5" s="34">
        <f>HSDR!H7</f>
        <v>-6.8807799580427764E-2</v>
      </c>
      <c r="I5" s="34">
        <f>HSDR!I7</f>
        <v>-0.21060476872434969</v>
      </c>
      <c r="J5" s="34">
        <f>HSDR!J7</f>
        <v>-0.28536544048687656</v>
      </c>
      <c r="K5" s="34">
        <f>HSDR!K7</f>
        <v>-0.31905479139833842</v>
      </c>
    </row>
    <row r="6" spans="1:11" x14ac:dyDescent="0.2">
      <c r="A6" s="32">
        <v>8</v>
      </c>
      <c r="B6" s="34">
        <f>HSDR!B8</f>
        <v>-0.1970288105741636</v>
      </c>
      <c r="C6" s="34">
        <f>HSDR!C8</f>
        <v>-2.1798188008805668E-2</v>
      </c>
      <c r="D6" s="34">
        <f>HSDR!D8</f>
        <v>8.0052625306546825E-3</v>
      </c>
      <c r="E6" s="34">
        <f>HSDR!E8</f>
        <v>3.8784473277208811E-2</v>
      </c>
      <c r="F6" s="34">
        <f>HSDR!F8</f>
        <v>7.0804635983033826E-2</v>
      </c>
      <c r="G6" s="34">
        <f>HSDR!G8</f>
        <v>0.11496015009622321</v>
      </c>
      <c r="H6" s="34">
        <f>HSDR!H8</f>
        <v>8.2207439363742862E-2</v>
      </c>
      <c r="I6" s="34">
        <f>HSDR!I8</f>
        <v>-5.9898275658656304E-2</v>
      </c>
      <c r="J6" s="34">
        <f>HSDR!J8</f>
        <v>-0.21018633199821757</v>
      </c>
      <c r="K6" s="34">
        <f>HSDR!K8</f>
        <v>-0.24937508055334259</v>
      </c>
    </row>
    <row r="7" spans="1:11" x14ac:dyDescent="0.2">
      <c r="A7" s="32">
        <v>9</v>
      </c>
      <c r="B7" s="34">
        <f>HSDR!B9</f>
        <v>-6.5680778778066204E-2</v>
      </c>
      <c r="C7" s="34">
        <f>HSDR!C9</f>
        <v>7.4446037576340524E-2</v>
      </c>
      <c r="D7" s="34">
        <f>HSDR!D9</f>
        <v>0.12081635332999649</v>
      </c>
      <c r="E7" s="34">
        <f>HSDR!E9</f>
        <v>0.18194893405242166</v>
      </c>
      <c r="F7" s="34">
        <f>HSDR!F9</f>
        <v>0.24305722487303633</v>
      </c>
      <c r="G7" s="34">
        <f>HSDR!G9</f>
        <v>0.31705474570166692</v>
      </c>
      <c r="H7" s="34">
        <f>HSDR!H9</f>
        <v>0.17186785993695267</v>
      </c>
      <c r="I7" s="34">
        <f>HSDR!I9</f>
        <v>9.8376217435392516E-2</v>
      </c>
      <c r="J7" s="34">
        <f>HSDR!J9</f>
        <v>-5.2178053462651669E-2</v>
      </c>
      <c r="K7" s="34">
        <f>HSDR!K9</f>
        <v>-0.15295298487455075</v>
      </c>
    </row>
    <row r="8" spans="1:11" x14ac:dyDescent="0.2">
      <c r="A8" s="32">
        <v>10</v>
      </c>
      <c r="B8" s="34">
        <f>HSDR!B10</f>
        <v>8.1449707945275923E-2</v>
      </c>
      <c r="C8" s="34">
        <f>HSDR!C10</f>
        <v>0.3589394124422991</v>
      </c>
      <c r="D8" s="34">
        <f>HSDR!D10</f>
        <v>0.40932067017593915</v>
      </c>
      <c r="E8" s="34">
        <f>HSDR!E10</f>
        <v>0.460940243794354</v>
      </c>
      <c r="F8" s="34">
        <f>HSDR!F10</f>
        <v>0.51251710900326775</v>
      </c>
      <c r="G8" s="34">
        <f>HSDR!G10</f>
        <v>0.57559016859776857</v>
      </c>
      <c r="H8" s="34">
        <f>HSDR!H10</f>
        <v>0.39241245528243773</v>
      </c>
      <c r="I8" s="34">
        <f>HSDR!I10</f>
        <v>0.28663571688628381</v>
      </c>
      <c r="J8" s="34">
        <f>HSDR!J10</f>
        <v>0.1443283683807712</v>
      </c>
      <c r="K8" s="34">
        <f>HSDR!K10</f>
        <v>2.5308523040868145E-2</v>
      </c>
    </row>
    <row r="9" spans="1:11" x14ac:dyDescent="0.2">
      <c r="A9" s="32">
        <v>11</v>
      </c>
      <c r="B9" s="34">
        <f>HSDR!B11</f>
        <v>0.14300128216153027</v>
      </c>
      <c r="C9" s="34">
        <f>HSDR!C11</f>
        <v>0.47064092333946889</v>
      </c>
      <c r="D9" s="34">
        <f>HSDR!D11</f>
        <v>0.51779525312221675</v>
      </c>
      <c r="E9" s="34">
        <f>HSDR!E11</f>
        <v>0.56604055041797607</v>
      </c>
      <c r="F9" s="34">
        <f>HSDR!F11</f>
        <v>0.61469901790902803</v>
      </c>
      <c r="G9" s="34">
        <f>HSDR!G11</f>
        <v>0.66738009490756944</v>
      </c>
      <c r="H9" s="34">
        <f>HSDR!H11</f>
        <v>0.46288894886429077</v>
      </c>
      <c r="I9" s="34">
        <f>HSDR!I11</f>
        <v>0.35069259087031501</v>
      </c>
      <c r="J9" s="34">
        <f>HSDR!J11</f>
        <v>0.22778342315245487</v>
      </c>
      <c r="K9" s="34">
        <f>HSDR!K11</f>
        <v>0.1796887274111463</v>
      </c>
    </row>
    <row r="10" spans="1:11" x14ac:dyDescent="0.2">
      <c r="A10" s="32">
        <v>12</v>
      </c>
      <c r="B10" s="34">
        <f>HSDR!B12</f>
        <v>-0.35054034044008009</v>
      </c>
      <c r="C10" s="34">
        <f>HSDR!C12</f>
        <v>-0.25338998596663809</v>
      </c>
      <c r="D10" s="34">
        <f>HSDR!D12</f>
        <v>-0.2336908997980866</v>
      </c>
      <c r="E10" s="34">
        <f>HSDR!E12</f>
        <v>-0.21106310899491437</v>
      </c>
      <c r="F10" s="34">
        <f>HSDR!F12</f>
        <v>-0.16719266083547524</v>
      </c>
      <c r="G10" s="34">
        <f>HSDR!G12</f>
        <v>-0.1536990158300045</v>
      </c>
      <c r="H10" s="34">
        <f>HSDR!H12</f>
        <v>-0.21284771451731424</v>
      </c>
      <c r="I10" s="34">
        <f>HSDR!I12</f>
        <v>-0.27157480502428616</v>
      </c>
      <c r="J10" s="34">
        <f>HSDR!J12</f>
        <v>-0.3400132806089356</v>
      </c>
      <c r="K10" s="34">
        <f>HSDR!K12</f>
        <v>-0.38104299284808768</v>
      </c>
    </row>
    <row r="11" spans="1:11" x14ac:dyDescent="0.2">
      <c r="A11" s="32">
        <v>13</v>
      </c>
      <c r="B11" s="34">
        <f>HSDR!B13</f>
        <v>-0.3969303161229315</v>
      </c>
      <c r="C11" s="34">
        <f>HSDR!C13</f>
        <v>-0.29278372720927726</v>
      </c>
      <c r="D11" s="34">
        <f>HSDR!D13</f>
        <v>-0.2522502292357135</v>
      </c>
      <c r="E11" s="34">
        <f>HSDR!E13</f>
        <v>-0.21106310899491437</v>
      </c>
      <c r="F11" s="34">
        <f>HSDR!F13</f>
        <v>-0.16719266083547524</v>
      </c>
      <c r="G11" s="34">
        <f>HSDR!G13</f>
        <v>-0.1536990158300045</v>
      </c>
      <c r="H11" s="34">
        <f>HSDR!H13</f>
        <v>-0.26907287776607752</v>
      </c>
      <c r="I11" s="34">
        <f>HSDR!I13</f>
        <v>-0.32360517609397998</v>
      </c>
      <c r="J11" s="34">
        <f>HSDR!J13</f>
        <v>-0.38715518913686875</v>
      </c>
      <c r="K11" s="34">
        <f>HSDR!K13</f>
        <v>-0.42525420764465277</v>
      </c>
    </row>
    <row r="12" spans="1:11" x14ac:dyDescent="0.2">
      <c r="A12" s="32">
        <v>14</v>
      </c>
      <c r="B12" s="34">
        <f>HSDR!B14</f>
        <v>-0.44000672211415065</v>
      </c>
      <c r="C12" s="34">
        <f>HSDR!C14</f>
        <v>-0.29278372720927726</v>
      </c>
      <c r="D12" s="34">
        <f>HSDR!D14</f>
        <v>-0.2522502292357135</v>
      </c>
      <c r="E12" s="34">
        <f>HSDR!E14</f>
        <v>-0.21106310899491437</v>
      </c>
      <c r="F12" s="34">
        <f>HSDR!F14</f>
        <v>-0.16719266083547524</v>
      </c>
      <c r="G12" s="34">
        <f>HSDR!G14</f>
        <v>-0.1536990158300045</v>
      </c>
      <c r="H12" s="34">
        <f>HSDR!H14</f>
        <v>-0.3212819579256434</v>
      </c>
      <c r="I12" s="34">
        <f>HSDR!I14</f>
        <v>-0.37191909208726714</v>
      </c>
      <c r="J12" s="34">
        <f>HSDR!J14</f>
        <v>-0.43092981848423528</v>
      </c>
      <c r="K12" s="34">
        <f>HSDR!K14</f>
        <v>-0.46630747852717758</v>
      </c>
    </row>
    <row r="13" spans="1:11" x14ac:dyDescent="0.2">
      <c r="A13" s="32">
        <v>15</v>
      </c>
      <c r="B13" s="34">
        <f>HSDR!B15</f>
        <v>-0.4800062419631399</v>
      </c>
      <c r="C13" s="34">
        <f>HSDR!C15</f>
        <v>-0.29278372720927726</v>
      </c>
      <c r="D13" s="34">
        <f>HSDR!D15</f>
        <v>-0.2522502292357135</v>
      </c>
      <c r="E13" s="34">
        <f>HSDR!E15</f>
        <v>-0.21106310899491437</v>
      </c>
      <c r="F13" s="34">
        <f>HSDR!F15</f>
        <v>-0.16719266083547524</v>
      </c>
      <c r="G13" s="34">
        <f>HSDR!G15</f>
        <v>-0.1536990158300045</v>
      </c>
      <c r="H13" s="34">
        <f>HSDR!H15</f>
        <v>-0.36976181807381175</v>
      </c>
      <c r="I13" s="34">
        <f>HSDR!I15</f>
        <v>-0.41678201408103371</v>
      </c>
      <c r="J13" s="34">
        <f>HSDR!J15</f>
        <v>-0.47157768859250415</v>
      </c>
      <c r="K13" s="34">
        <f>HSDR!K15</f>
        <v>-0.5</v>
      </c>
    </row>
    <row r="14" spans="1:11" x14ac:dyDescent="0.2">
      <c r="A14" s="32">
        <v>16</v>
      </c>
      <c r="B14" s="34">
        <f>HSDR!B16</f>
        <v>-0.51714865325148707</v>
      </c>
      <c r="C14" s="34">
        <f>HSDR!C16</f>
        <v>-0.29278372720927726</v>
      </c>
      <c r="D14" s="34">
        <f>HSDR!D16</f>
        <v>-0.2522502292357135</v>
      </c>
      <c r="E14" s="34">
        <f>HSDR!E16</f>
        <v>-0.21106310899491437</v>
      </c>
      <c r="F14" s="34">
        <f>HSDR!F16</f>
        <v>-0.16719266083547524</v>
      </c>
      <c r="G14" s="34">
        <f>HSDR!G16</f>
        <v>-0.1536990158300045</v>
      </c>
      <c r="H14" s="34">
        <f>HSDR!H16</f>
        <v>-0.41477883106853947</v>
      </c>
      <c r="I14" s="34">
        <f>HSDR!I16</f>
        <v>-0.45844044164667419</v>
      </c>
      <c r="J14" s="34">
        <f>HSDR!J16</f>
        <v>-0.5</v>
      </c>
      <c r="K14" s="34">
        <f>HSDR!K16</f>
        <v>-0.5</v>
      </c>
    </row>
    <row r="15" spans="1:11" x14ac:dyDescent="0.2">
      <c r="A15" s="32">
        <v>17</v>
      </c>
      <c r="B15" s="34">
        <f>HSDR!B17</f>
        <v>-0.47803347499473703</v>
      </c>
      <c r="C15" s="34">
        <f>HSDR!C17</f>
        <v>-0.15297458768154204</v>
      </c>
      <c r="D15" s="34">
        <f>HSDR!D17</f>
        <v>-0.11721624142457365</v>
      </c>
      <c r="E15" s="34">
        <f>HSDR!E17</f>
        <v>-8.0573373145316152E-2</v>
      </c>
      <c r="F15" s="34">
        <f>HSDR!F17</f>
        <v>-4.4941375564924446E-2</v>
      </c>
      <c r="G15" s="34">
        <f>HSDR!G17</f>
        <v>1.1739160673341853E-2</v>
      </c>
      <c r="H15" s="34">
        <f>HSDR!H17</f>
        <v>-0.10680898948269468</v>
      </c>
      <c r="I15" s="34">
        <f>HSDR!I17</f>
        <v>-0.38195097104844711</v>
      </c>
      <c r="J15" s="34">
        <f>HSDR!J17</f>
        <v>-0.42315423964521737</v>
      </c>
      <c r="K15" s="34">
        <f>HSDR!K17</f>
        <v>-0.41972063392881986</v>
      </c>
    </row>
    <row r="16" spans="1:11" x14ac:dyDescent="0.2">
      <c r="A16" s="32">
        <v>18</v>
      </c>
      <c r="B16" s="34">
        <f>HSDR!B18</f>
        <v>-0.10019887561319057</v>
      </c>
      <c r="C16" s="34">
        <f>HSDR!C18</f>
        <v>0.12174190222088771</v>
      </c>
      <c r="D16" s="34">
        <f>HSDR!D18</f>
        <v>0.14830007284131119</v>
      </c>
      <c r="E16" s="34">
        <f>HSDR!E18</f>
        <v>0.17585443719748528</v>
      </c>
      <c r="F16" s="34">
        <f>HSDR!F18</f>
        <v>0.19956119497617719</v>
      </c>
      <c r="G16" s="34">
        <f>HSDR!G18</f>
        <v>0.28344391604689856</v>
      </c>
      <c r="H16" s="34">
        <f>HSDR!H18</f>
        <v>0.3995541673365518</v>
      </c>
      <c r="I16" s="34">
        <f>HSDR!I18</f>
        <v>0.10595134861912359</v>
      </c>
      <c r="J16" s="34">
        <f>HSDR!J18</f>
        <v>-0.18316335667343331</v>
      </c>
      <c r="K16" s="34">
        <f>HSDR!K18</f>
        <v>-0.17830123379648949</v>
      </c>
    </row>
    <row r="17" spans="1:11" x14ac:dyDescent="0.2">
      <c r="A17" s="32">
        <v>19</v>
      </c>
      <c r="B17" s="34">
        <f>HSDR!B19</f>
        <v>0.27763572376835594</v>
      </c>
      <c r="C17" s="34">
        <f>HSDR!C19</f>
        <v>0.38630468602058993</v>
      </c>
      <c r="D17" s="34">
        <f>HSDR!D19</f>
        <v>0.4043629365977599</v>
      </c>
      <c r="E17" s="34">
        <f>HSDR!E19</f>
        <v>0.42317892482749653</v>
      </c>
      <c r="F17" s="34">
        <f>HSDR!F19</f>
        <v>0.43951210416088371</v>
      </c>
      <c r="G17" s="34">
        <f>HSDR!G19</f>
        <v>0.49597707378731914</v>
      </c>
      <c r="H17" s="34">
        <f>HSDR!H19</f>
        <v>0.6159764957534315</v>
      </c>
      <c r="I17" s="34">
        <f>HSDR!I19</f>
        <v>0.59385366828669439</v>
      </c>
      <c r="J17" s="34">
        <f>HSDR!J19</f>
        <v>0.28759675706758148</v>
      </c>
      <c r="K17" s="34">
        <f>HSDR!K19</f>
        <v>6.3118166335840831E-2</v>
      </c>
    </row>
    <row r="18" spans="1:11" x14ac:dyDescent="0.2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1" x14ac:dyDescent="0.2">
      <c r="A19" s="32">
        <v>13</v>
      </c>
      <c r="B19" s="34">
        <f>HSDR!B36</f>
        <v>-5.7308046666810254E-2</v>
      </c>
      <c r="C19" s="34">
        <f>HSDR!C36</f>
        <v>4.6636132695309578E-2</v>
      </c>
      <c r="D19" s="34">
        <f>HSDR!D36</f>
        <v>7.4118813392744051E-2</v>
      </c>
      <c r="E19" s="34">
        <f>HSDR!E36</f>
        <v>0.10247714687203523</v>
      </c>
      <c r="F19" s="34">
        <f>HSDR!F36</f>
        <v>0.13336273848321728</v>
      </c>
      <c r="G19" s="34">
        <f>HSDR!G36</f>
        <v>0.17974820582791512</v>
      </c>
      <c r="H19" s="34">
        <f>HSDR!H36</f>
        <v>0.12238569517899196</v>
      </c>
      <c r="I19" s="34">
        <f>HSDR!I36</f>
        <v>5.4057070196311299E-2</v>
      </c>
      <c r="J19" s="34">
        <f>HSDR!J36</f>
        <v>-3.7694688127479885E-2</v>
      </c>
      <c r="K19" s="34">
        <f>HSDR!K36</f>
        <v>-0.10485135840627779</v>
      </c>
    </row>
    <row r="20" spans="1:11" x14ac:dyDescent="0.2">
      <c r="A20" s="32">
        <v>14</v>
      </c>
      <c r="B20" s="34">
        <f>HSDR!B37</f>
        <v>-9.3874324768310105E-2</v>
      </c>
      <c r="C20" s="34">
        <f>HSDR!C37</f>
        <v>2.2391856987839083E-2</v>
      </c>
      <c r="D20" s="34">
        <f>HSDR!D37</f>
        <v>5.0806738919282814E-2</v>
      </c>
      <c r="E20" s="34">
        <f>HSDR!E37</f>
        <v>8.0081414310110233E-2</v>
      </c>
      <c r="F20" s="34">
        <f>HSDR!F37</f>
        <v>0.12595448524867925</v>
      </c>
      <c r="G20" s="34">
        <f>HSDR!G37</f>
        <v>0.17974820582791512</v>
      </c>
      <c r="H20" s="34">
        <f>HSDR!H37</f>
        <v>7.9507488494468148E-2</v>
      </c>
      <c r="I20" s="34">
        <f>HSDR!I37</f>
        <v>1.3277219463208444E-2</v>
      </c>
      <c r="J20" s="34">
        <f>HSDR!J37</f>
        <v>-7.516318944168382E-2</v>
      </c>
      <c r="K20" s="34">
        <f>HSDR!K37</f>
        <v>-0.13946678217545452</v>
      </c>
    </row>
    <row r="21" spans="1:11" x14ac:dyDescent="0.2">
      <c r="A21" s="32">
        <v>15</v>
      </c>
      <c r="B21" s="34">
        <f>HSDR!B38</f>
        <v>-0.13002650167843849</v>
      </c>
      <c r="C21" s="34">
        <f>HSDR!C38</f>
        <v>-1.2068474052636583E-4</v>
      </c>
      <c r="D21" s="34">
        <f>HSDR!D38</f>
        <v>2.9159812622497363E-2</v>
      </c>
      <c r="E21" s="34">
        <f>HSDR!E38</f>
        <v>5.9285376931179926E-2</v>
      </c>
      <c r="F21" s="34">
        <f>HSDR!F38</f>
        <v>0.12595448524867925</v>
      </c>
      <c r="G21" s="34">
        <f>HSDR!G38</f>
        <v>0.17974820582791512</v>
      </c>
      <c r="H21" s="34">
        <f>HSDR!H38</f>
        <v>3.7028282279269235E-2</v>
      </c>
      <c r="I21" s="34">
        <f>HSDR!I38</f>
        <v>-2.7054780502901672E-2</v>
      </c>
      <c r="J21" s="34">
        <f>HSDR!J38</f>
        <v>-0.11218876868994289</v>
      </c>
      <c r="K21" s="34">
        <f>HSDR!K38</f>
        <v>-0.17370423031226784</v>
      </c>
    </row>
    <row r="22" spans="1:11" x14ac:dyDescent="0.2">
      <c r="A22" s="32">
        <v>16</v>
      </c>
      <c r="B22" s="34">
        <f>HSDR!B39</f>
        <v>-0.16563717206687348</v>
      </c>
      <c r="C22" s="34">
        <f>HSDR!C39</f>
        <v>-2.1025187774008566E-2</v>
      </c>
      <c r="D22" s="34">
        <f>HSDR!D39</f>
        <v>9.0590953469108244E-3</v>
      </c>
      <c r="E22" s="34">
        <f>HSDR!E39</f>
        <v>5.8426518743744951E-2</v>
      </c>
      <c r="F22" s="34">
        <f>HSDR!F39</f>
        <v>0.12595448524867925</v>
      </c>
      <c r="G22" s="34">
        <f>HSDR!G39</f>
        <v>0.17974820582791512</v>
      </c>
      <c r="H22" s="34">
        <f>HSDR!H39</f>
        <v>-4.8901571730158942E-3</v>
      </c>
      <c r="I22" s="34">
        <f>HSDR!I39</f>
        <v>-6.6794847920094103E-2</v>
      </c>
      <c r="J22" s="34">
        <f>HSDR!J39</f>
        <v>-0.14864353463007471</v>
      </c>
      <c r="K22" s="34">
        <f>HSDR!K39</f>
        <v>-0.20744109003068206</v>
      </c>
    </row>
    <row r="23" spans="1:11" x14ac:dyDescent="0.2">
      <c r="A23" s="32">
        <v>17</v>
      </c>
      <c r="B23" s="34">
        <f>HSDR!B40</f>
        <v>-0.17956936979241733</v>
      </c>
      <c r="C23" s="34">
        <f>HSDR!C40</f>
        <v>-4.9104358288912882E-4</v>
      </c>
      <c r="D23" s="34">
        <f>HSDR!D40</f>
        <v>5.5095284479298338E-2</v>
      </c>
      <c r="E23" s="34">
        <f>HSDR!E40</f>
        <v>0.11865255067432869</v>
      </c>
      <c r="F23" s="34">
        <f>HSDR!F40</f>
        <v>0.18237815537354879</v>
      </c>
      <c r="G23" s="34">
        <f>HSDR!G40</f>
        <v>0.2561042872909981</v>
      </c>
      <c r="H23" s="34">
        <f>HSDR!H40</f>
        <v>5.3823463716116654E-2</v>
      </c>
      <c r="I23" s="34">
        <f>HSDR!I40</f>
        <v>-7.2915398729642075E-2</v>
      </c>
      <c r="J23" s="34">
        <f>HSDR!J40</f>
        <v>-0.1497868921821332</v>
      </c>
      <c r="K23" s="34">
        <f>HSDR!K40</f>
        <v>-0.19686697623363469</v>
      </c>
    </row>
    <row r="24" spans="1:11" x14ac:dyDescent="0.2">
      <c r="A24" s="32">
        <v>18</v>
      </c>
      <c r="B24" s="34">
        <f>HSDR!B41</f>
        <v>-9.2935491769284034E-2</v>
      </c>
      <c r="C24" s="34">
        <f>HSDR!C41</f>
        <v>0.12174190222088771</v>
      </c>
      <c r="D24" s="34">
        <f>HSDR!D41</f>
        <v>0.17764127567893753</v>
      </c>
      <c r="E24" s="34">
        <f>HSDR!E41</f>
        <v>0.23700384775562167</v>
      </c>
      <c r="F24" s="34">
        <f>HSDR!F41</f>
        <v>0.29522549562328804</v>
      </c>
      <c r="G24" s="34">
        <f>HSDR!G41</f>
        <v>0.38150648207879345</v>
      </c>
      <c r="H24" s="34">
        <f>HSDR!H41</f>
        <v>0.3995541673365518</v>
      </c>
      <c r="I24" s="34">
        <f>HSDR!I41</f>
        <v>0.10595134861912359</v>
      </c>
      <c r="J24" s="34">
        <f>HSDR!J41</f>
        <v>-0.10074430758041522</v>
      </c>
      <c r="K24" s="34">
        <f>HSDR!K41</f>
        <v>-0.14380812317405353</v>
      </c>
    </row>
    <row r="25" spans="1:11" x14ac:dyDescent="0.2">
      <c r="A25" s="32">
        <v>19</v>
      </c>
      <c r="B25" s="34">
        <f>HSDR!B42</f>
        <v>0.27763572376835594</v>
      </c>
      <c r="C25" s="34">
        <f>HSDR!C42</f>
        <v>0.38630468602058993</v>
      </c>
      <c r="D25" s="34">
        <f>HSDR!D42</f>
        <v>0.4043629365977599</v>
      </c>
      <c r="E25" s="34">
        <f>HSDR!E42</f>
        <v>0.42317892482749653</v>
      </c>
      <c r="F25" s="34">
        <f>HSDR!F42</f>
        <v>0.43951210416088371</v>
      </c>
      <c r="G25" s="34">
        <f>HSDR!G42</f>
        <v>0.49597707378731914</v>
      </c>
      <c r="H25" s="34">
        <f>HSDR!H42</f>
        <v>0.6159764957534315</v>
      </c>
      <c r="I25" s="34">
        <f>HSDR!I42</f>
        <v>0.59385366828669439</v>
      </c>
      <c r="J25" s="34">
        <f>HSDR!J42</f>
        <v>0.28759675706758148</v>
      </c>
      <c r="K25" s="34">
        <f>HSDR!K42</f>
        <v>6.3118166335840831E-2</v>
      </c>
    </row>
    <row r="26" spans="1:11" x14ac:dyDescent="0.2">
      <c r="A26" s="32">
        <v>20</v>
      </c>
      <c r="B26" s="34">
        <f>HSDR!B43</f>
        <v>0.65547032314990239</v>
      </c>
      <c r="C26" s="34">
        <f>HSDR!C43</f>
        <v>0.63998657521683877</v>
      </c>
      <c r="D26" s="34">
        <f>HSDR!D43</f>
        <v>0.65027209425148136</v>
      </c>
      <c r="E26" s="34">
        <f>HSDR!E43</f>
        <v>0.66104996194807186</v>
      </c>
      <c r="F26" s="34">
        <f>HSDR!F43</f>
        <v>0.67035969063279999</v>
      </c>
      <c r="G26" s="34">
        <f>HSDR!G43</f>
        <v>0.70395857017134467</v>
      </c>
      <c r="H26" s="34">
        <f>HSDR!H43</f>
        <v>0.77322722653717491</v>
      </c>
      <c r="I26" s="34">
        <f>HSDR!I43</f>
        <v>0.79181515955189841</v>
      </c>
      <c r="J26" s="34">
        <f>HSDR!J43</f>
        <v>0.75835687080859626</v>
      </c>
      <c r="K26" s="34">
        <f>HSDR!K43</f>
        <v>0.55453756646817121</v>
      </c>
    </row>
    <row r="27" spans="1:11" x14ac:dyDescent="0.2">
      <c r="A27" s="32">
        <v>21</v>
      </c>
      <c r="B27" s="34">
        <f>IF(Rules!$B$3=Rules!$E$3,1.5,IF(Rules!$B$3=Rules!$F$3,1.2,1))</f>
        <v>1.5</v>
      </c>
      <c r="C27" s="34">
        <f>IF(Rules!$B$3=Rules!$E$3,1.5,IF(Rules!$B$3=Rules!$F$3,1.2,1))</f>
        <v>1.5</v>
      </c>
      <c r="D27" s="34">
        <f>IF(Rules!$B$3=Rules!$E$3,1.5,IF(Rules!$B$3=Rules!$F$3,1.2,1))</f>
        <v>1.5</v>
      </c>
      <c r="E27" s="34">
        <f>IF(Rules!$B$3=Rules!$E$3,1.5,IF(Rules!$B$3=Rules!$F$3,1.2,1))</f>
        <v>1.5</v>
      </c>
      <c r="F27" s="34">
        <f>IF(Rules!$B$3=Rules!$E$3,1.5,IF(Rules!$B$3=Rules!$F$3,1.2,1))</f>
        <v>1.5</v>
      </c>
      <c r="G27" s="34">
        <f>IF(Rules!$B$3=Rules!$E$3,1.5,IF(Rules!$B$3=Rules!$F$3,1.2,1))</f>
        <v>1.5</v>
      </c>
      <c r="H27" s="34">
        <f>IF(Rules!$B$3=Rules!$E$3,1.5,IF(Rules!$B$3=Rules!$F$3,1.2,1))</f>
        <v>1.5</v>
      </c>
      <c r="I27" s="34">
        <f>IF(Rules!$B$3=Rules!$E$3,1.5,IF(Rules!$B$3=Rules!$F$3,1.2,1))</f>
        <v>1.5</v>
      </c>
      <c r="J27" s="34">
        <f>IF(Rules!$B$3=Rules!$E$3,1.5,IF(Rules!$B$3=Rules!$F$3,1.2,1))</f>
        <v>1.5</v>
      </c>
      <c r="K27" s="34">
        <f>IF(Rules!$B$3=Rules!$E$3,1.5,IF(Rules!$B$3=Rules!$F$3,1.2,1))</f>
        <v>1.5</v>
      </c>
    </row>
    <row r="28" spans="1:11" x14ac:dyDescent="0.2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1" x14ac:dyDescent="0.2">
      <c r="A29" s="32" t="s">
        <v>1</v>
      </c>
      <c r="B29" s="34">
        <f>Pair!B54</f>
        <v>0.22844717277365195</v>
      </c>
      <c r="C29" s="34">
        <f>Pair!C54</f>
        <v>0.58809086957773749</v>
      </c>
      <c r="D29" s="34">
        <f>Pair!D54</f>
        <v>0.63626378886959067</v>
      </c>
      <c r="E29" s="34">
        <f>Pair!E54</f>
        <v>0.68559495955842076</v>
      </c>
      <c r="F29" s="34">
        <f>Pair!F54</f>
        <v>0.73499004540818236</v>
      </c>
      <c r="G29" s="34">
        <f>Pair!G54</f>
        <v>0.79369995809796545</v>
      </c>
      <c r="H29" s="34">
        <f>Pair!H54</f>
        <v>0.60723727688601759</v>
      </c>
      <c r="I29" s="34">
        <f>Pair!I54</f>
        <v>0.48318645338845845</v>
      </c>
      <c r="J29" s="34">
        <f>Pair!J54</f>
        <v>0.34638851611915705</v>
      </c>
      <c r="K29" s="34">
        <f>Pair!K54</f>
        <v>0.29047627531978187</v>
      </c>
    </row>
    <row r="30" spans="1:11" x14ac:dyDescent="0.2">
      <c r="A30" s="32">
        <v>2</v>
      </c>
      <c r="B30" s="34">
        <f>Pair!B55</f>
        <v>-0.25307699440390863</v>
      </c>
      <c r="C30" s="34">
        <f>Pair!C55</f>
        <v>-8.4267225502711041E-2</v>
      </c>
      <c r="D30" s="34">
        <f>Pair!D55</f>
        <v>-1.5498287197501173E-2</v>
      </c>
      <c r="E30" s="34">
        <f>Pair!E55</f>
        <v>5.9333738978653974E-2</v>
      </c>
      <c r="F30" s="34">
        <f>Pair!F55</f>
        <v>0.15203616947891799</v>
      </c>
      <c r="G30" s="34">
        <f>Pair!G55</f>
        <v>0.22737886696191317</v>
      </c>
      <c r="H30" s="34">
        <f>Pair!H55</f>
        <v>6.958050045595748E-3</v>
      </c>
      <c r="I30" s="34">
        <f>Pair!I55</f>
        <v>-0.15933415266020512</v>
      </c>
      <c r="J30" s="34">
        <f>Pair!J55</f>
        <v>-0.24066617915336547</v>
      </c>
      <c r="K30" s="34">
        <f>Pair!K55</f>
        <v>-0.28919791448567511</v>
      </c>
    </row>
    <row r="31" spans="1:11" x14ac:dyDescent="0.2">
      <c r="A31" s="32">
        <v>3</v>
      </c>
      <c r="B31" s="34">
        <f>Pair!B56</f>
        <v>-0.30414663097569933</v>
      </c>
      <c r="C31" s="34">
        <f>Pair!C56</f>
        <v>-0.13992944417761496</v>
      </c>
      <c r="D31" s="34">
        <f>Pair!D56</f>
        <v>-5.8284696427541714E-2</v>
      </c>
      <c r="E31" s="34">
        <f>Pair!E56</f>
        <v>2.8134517976885209E-2</v>
      </c>
      <c r="F31" s="34">
        <f>Pair!F56</f>
        <v>0.12470784634060185</v>
      </c>
      <c r="G31" s="34">
        <f>Pair!G56</f>
        <v>0.19970541230483627</v>
      </c>
      <c r="H31" s="34">
        <f>Pair!H56</f>
        <v>-5.8585254727766593E-2</v>
      </c>
      <c r="I31" s="34">
        <f>Pair!I56</f>
        <v>-0.21724188132078476</v>
      </c>
      <c r="J31" s="34">
        <f>Pair!J56</f>
        <v>-0.29264070019772598</v>
      </c>
      <c r="K31" s="34">
        <f>Pair!K56</f>
        <v>-0.33774944037840804</v>
      </c>
    </row>
    <row r="32" spans="1:11" x14ac:dyDescent="0.2">
      <c r="A32" s="32">
        <v>4</v>
      </c>
      <c r="B32" s="34">
        <f>Pair!B57</f>
        <v>-0.1970288105741636</v>
      </c>
      <c r="C32" s="34">
        <f>Pair!C57</f>
        <v>-2.1798188008805668E-2</v>
      </c>
      <c r="D32" s="34">
        <f>Pair!D57</f>
        <v>8.0052625306546825E-3</v>
      </c>
      <c r="E32" s="34">
        <f>Pair!E57</f>
        <v>3.8784473277208811E-2</v>
      </c>
      <c r="F32" s="34">
        <f>Pair!F57</f>
        <v>0.10070528937626665</v>
      </c>
      <c r="G32" s="34">
        <f>Pair!G57</f>
        <v>0.17417494269127992</v>
      </c>
      <c r="H32" s="34">
        <f>Pair!H57</f>
        <v>8.2207439363742862E-2</v>
      </c>
      <c r="I32" s="34">
        <f>Pair!I57</f>
        <v>-5.9898275658656304E-2</v>
      </c>
      <c r="J32" s="34">
        <f>Pair!J57</f>
        <v>-0.21018633199821757</v>
      </c>
      <c r="K32" s="34">
        <f>Pair!K57</f>
        <v>-0.24937508055334259</v>
      </c>
    </row>
    <row r="33" spans="1:11" x14ac:dyDescent="0.2">
      <c r="A33" s="32">
        <v>5</v>
      </c>
      <c r="B33" s="34">
        <f>Pair!B58</f>
        <v>8.1449707945275923E-2</v>
      </c>
      <c r="C33" s="34">
        <f>Pair!C58</f>
        <v>0.3589394124422991</v>
      </c>
      <c r="D33" s="34">
        <f>Pair!D58</f>
        <v>0.40932067017593915</v>
      </c>
      <c r="E33" s="34">
        <f>Pair!E58</f>
        <v>0.460940243794354</v>
      </c>
      <c r="F33" s="34">
        <f>Pair!F58</f>
        <v>0.51251710900326775</v>
      </c>
      <c r="G33" s="34">
        <f>Pair!G58</f>
        <v>0.57559016859776857</v>
      </c>
      <c r="H33" s="34">
        <f>Pair!H58</f>
        <v>0.39241245528243773</v>
      </c>
      <c r="I33" s="34">
        <f>Pair!I58</f>
        <v>0.28663571688628381</v>
      </c>
      <c r="J33" s="34">
        <f>Pair!J58</f>
        <v>0.1443283683807712</v>
      </c>
      <c r="K33" s="34">
        <f>Pair!K58</f>
        <v>2.5308523040868145E-2</v>
      </c>
    </row>
    <row r="34" spans="1:11" x14ac:dyDescent="0.2">
      <c r="A34" s="32">
        <v>6</v>
      </c>
      <c r="B34" s="34">
        <f>Pair!B59</f>
        <v>-0.35054034044008009</v>
      </c>
      <c r="C34" s="34">
        <f>Pair!C59</f>
        <v>-0.25338998596663809</v>
      </c>
      <c r="D34" s="34">
        <f>Pair!D59</f>
        <v>-0.16236190502927889</v>
      </c>
      <c r="E34" s="34">
        <f>Pair!E59</f>
        <v>-6.5242110257549266E-2</v>
      </c>
      <c r="F34" s="34">
        <f>Pair!F59</f>
        <v>3.9226356320867399E-2</v>
      </c>
      <c r="G34" s="34">
        <f>Pair!G59</f>
        <v>0.10667340682942227</v>
      </c>
      <c r="H34" s="34">
        <f>Pair!H59</f>
        <v>-0.21284771451731424</v>
      </c>
      <c r="I34" s="34">
        <f>Pair!I59</f>
        <v>-0.27157480502428616</v>
      </c>
      <c r="J34" s="34">
        <f>Pair!J59</f>
        <v>-0.3400132806089356</v>
      </c>
      <c r="K34" s="34">
        <f>Pair!K59</f>
        <v>-0.38104299284808768</v>
      </c>
    </row>
    <row r="35" spans="1:11" x14ac:dyDescent="0.2">
      <c r="A35" s="32">
        <v>7</v>
      </c>
      <c r="B35" s="34">
        <f>Pair!B60</f>
        <v>-0.44000672211415065</v>
      </c>
      <c r="C35" s="34">
        <f>Pair!C60</f>
        <v>-0.1963016079632402</v>
      </c>
      <c r="D35" s="34">
        <f>Pair!D60</f>
        <v>-0.10948552726048816</v>
      </c>
      <c r="E35" s="34">
        <f>Pair!E60</f>
        <v>-1.9921218921965758E-2</v>
      </c>
      <c r="F35" s="34">
        <f>Pair!F60</f>
        <v>7.4563567868088848E-2</v>
      </c>
      <c r="G35" s="34">
        <f>Pair!G60</f>
        <v>0.16472730313989489</v>
      </c>
      <c r="H35" s="34">
        <f>Pair!H60</f>
        <v>-0.13707521359511174</v>
      </c>
      <c r="I35" s="34">
        <f>Pair!I60</f>
        <v>-0.37191909208726714</v>
      </c>
      <c r="J35" s="34">
        <f>Pair!J60</f>
        <v>-0.43092981848423528</v>
      </c>
      <c r="K35" s="34">
        <f>Pair!K60</f>
        <v>-0.46630747852717758</v>
      </c>
    </row>
    <row r="36" spans="1:11" x14ac:dyDescent="0.2">
      <c r="A36" s="32">
        <v>8</v>
      </c>
      <c r="B36" s="34">
        <f>Pair!B61</f>
        <v>-0.47846720619452893</v>
      </c>
      <c r="C36" s="34">
        <f>Pair!C61</f>
        <v>-4.10085652565544E-2</v>
      </c>
      <c r="D36" s="34">
        <f>Pair!D61</f>
        <v>2.9651267038439212E-2</v>
      </c>
      <c r="E36" s="34">
        <f>Pair!E61</f>
        <v>0.10253679913733912</v>
      </c>
      <c r="F36" s="34">
        <f>Pair!F61</f>
        <v>0.17786869518456505</v>
      </c>
      <c r="G36" s="34">
        <f>Pair!G61</f>
        <v>0.28114462143026464</v>
      </c>
      <c r="H36" s="34">
        <f>Pair!H61</f>
        <v>0.17942021385705018</v>
      </c>
      <c r="I36" s="34">
        <f>Pair!I61</f>
        <v>-0.15401156627741791</v>
      </c>
      <c r="J36" s="34">
        <f>Pair!J61</f>
        <v>-0.5</v>
      </c>
      <c r="K36" s="34">
        <f>Pair!K61</f>
        <v>-0.5</v>
      </c>
    </row>
    <row r="37" spans="1:11" x14ac:dyDescent="0.2">
      <c r="A37" s="32">
        <v>9</v>
      </c>
      <c r="B37" s="34">
        <f>Pair!B62</f>
        <v>-0.10019887561319057</v>
      </c>
      <c r="C37" s="34">
        <f>Pair!C62</f>
        <v>0.13385768207672508</v>
      </c>
      <c r="D37" s="34">
        <f>Pair!D62</f>
        <v>0.19320731563116447</v>
      </c>
      <c r="E37" s="34">
        <f>Pair!E62</f>
        <v>0.25454407563811315</v>
      </c>
      <c r="F37" s="34">
        <f>Pair!F62</f>
        <v>0.31872977328281132</v>
      </c>
      <c r="G37" s="34">
        <f>Pair!G62</f>
        <v>0.40361032143368897</v>
      </c>
      <c r="H37" s="34">
        <f>Pair!H62</f>
        <v>0.3995541673365518</v>
      </c>
      <c r="I37" s="34">
        <f>Pair!I62</f>
        <v>0.19129321615782191</v>
      </c>
      <c r="J37" s="34">
        <f>Pair!J62</f>
        <v>-0.15072067108588086</v>
      </c>
      <c r="K37" s="34">
        <f>Pair!K62</f>
        <v>-0.17830123379648949</v>
      </c>
    </row>
    <row r="38" spans="1:11" x14ac:dyDescent="0.2">
      <c r="A38" s="32">
        <v>10</v>
      </c>
      <c r="B38" s="34">
        <f>Pair!B63</f>
        <v>0.65547032314990239</v>
      </c>
      <c r="C38" s="34">
        <f>Pair!C63</f>
        <v>0.63998657521683877</v>
      </c>
      <c r="D38" s="34">
        <f>Pair!D63</f>
        <v>0.65027209425148136</v>
      </c>
      <c r="E38" s="34">
        <f>Pair!E63</f>
        <v>0.66104996194807186</v>
      </c>
      <c r="F38" s="34">
        <f>Pair!F63</f>
        <v>0.67035969063279999</v>
      </c>
      <c r="G38" s="34">
        <f>Pair!G63</f>
        <v>0.70504978713524302</v>
      </c>
      <c r="H38" s="34">
        <f>Pair!H63</f>
        <v>0.77322722653717491</v>
      </c>
      <c r="I38" s="34">
        <f>Pair!I63</f>
        <v>0.79181515955189841</v>
      </c>
      <c r="J38" s="34">
        <f>Pair!J63</f>
        <v>0.75835687080859626</v>
      </c>
      <c r="K38" s="34">
        <f>Pair!K63</f>
        <v>0.55453756646817121</v>
      </c>
    </row>
    <row r="39" spans="1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1" x14ac:dyDescent="0.2">
      <c r="A40" s="37" t="s">
        <v>11</v>
      </c>
      <c r="B40" s="38"/>
      <c r="C40" s="39">
        <v>-1</v>
      </c>
    </row>
    <row r="42" spans="1:11" x14ac:dyDescent="0.2">
      <c r="B42" s="33" t="s">
        <v>46</v>
      </c>
      <c r="C42" s="33">
        <f>SUMIF($B$3:$K$17,"&gt;0")+SUMIF($B$19:$K$27,"&gt;0")+SUMIF($B$29:$K$38,"&gt;0")</f>
        <v>64.48806085583584</v>
      </c>
      <c r="D42" s="33">
        <f>COUNTIF($B$3:$K$17,"&gt;0")+COUNTIF($B$19:$K$27,"&gt;0")+COUNTIF($B$29:$K$38,"&gt;0")</f>
        <v>174</v>
      </c>
      <c r="E42" s="33">
        <f>AVERAGEIF($B$3:$K$17,"&gt;0")+AVERAGEIF($B$19:$K$27,"&gt;0")+AVERAGEIF($B$29:$K$38,"&gt;0")</f>
        <v>1.0897586173306226</v>
      </c>
    </row>
    <row r="43" spans="1:11" x14ac:dyDescent="0.2">
      <c r="B43" s="33" t="s">
        <v>47</v>
      </c>
      <c r="C43" s="33">
        <f>SUMIF($B$3:$K$17,"&lt;0")+SUMIF($B$19:$K$27,"&lt;0")+SUMIF($B$29:$K$38,"&lt;0")+C40</f>
        <v>-36.602557651576262</v>
      </c>
      <c r="D43" s="33">
        <f>COUNTIF($B$3:$K$17,"&lt;0")+COUNTIF($B$19:$K$27,"&lt;0")+COUNTIF($B$29:$K$38,"&lt;0")</f>
        <v>166</v>
      </c>
      <c r="E43" s="33">
        <f>AVERAGEIF($B$3:$K$17,"&lt;0")+AVERAGEIF($B$19:$K$27,"&lt;0")+AVERAGEIF($B$29:$K$38,"&lt;0")</f>
        <v>-0.56469779529476372</v>
      </c>
    </row>
    <row r="44" spans="1:11" x14ac:dyDescent="0.2">
      <c r="B44" s="33" t="s">
        <v>48</v>
      </c>
      <c r="C44" s="33">
        <f>C42-C43</f>
        <v>101.0906185074121</v>
      </c>
      <c r="D44" s="33">
        <f>COUNT($B$3:$K$17,$B$19:$K$27,$B$29:$K$38)</f>
        <v>340</v>
      </c>
      <c r="E44" s="33">
        <f>AVERAGE($B$3:$K$17,$B$19:$K$27,$B$29:$K$38)</f>
        <v>8.4957362365469385E-2</v>
      </c>
    </row>
    <row r="45" spans="1:11" x14ac:dyDescent="0.2">
      <c r="C45" s="33">
        <f>SUM($B$3:$K$17,$B$19:$K$27,$B$29:$K$38)</f>
        <v>28.885503204259589</v>
      </c>
    </row>
  </sheetData>
  <sheetProtection sheet="1" objects="1" scenarios="1"/>
  <mergeCells count="1">
    <mergeCell ref="A1:K1"/>
  </mergeCells>
  <phoneticPr fontId="14" type="noConversion"/>
  <conditionalFormatting sqref="B39:K39">
    <cfRule type="containsText" dxfId="803" priority="42" operator="containsText" text="R">
      <formula>NOT(ISERROR(SEARCH("R",B39)))</formula>
    </cfRule>
    <cfRule type="containsText" dxfId="802" priority="43" operator="containsText" text="D">
      <formula>NOT(ISERROR(SEARCH("D",B39)))</formula>
    </cfRule>
    <cfRule type="containsText" dxfId="801" priority="44" operator="containsText" text="S">
      <formula>NOT(ISERROR(SEARCH("S",B39)))</formula>
    </cfRule>
    <cfRule type="containsText" dxfId="800" priority="45" operator="containsText" text="H">
      <formula>NOT(ISERROR(SEARCH("H",B39)))</formula>
    </cfRule>
  </conditionalFormatting>
  <conditionalFormatting sqref="B39:K39">
    <cfRule type="containsText" dxfId="799" priority="41" operator="containsText" text="P">
      <formula>NOT(ISERROR(SEARCH("P",B39)))</formula>
    </cfRule>
  </conditionalFormatting>
  <conditionalFormatting sqref="B3:K17">
    <cfRule type="containsText" dxfId="798" priority="27" operator="containsText" text="R">
      <formula>NOT(ISERROR(SEARCH("R",B3)))</formula>
    </cfRule>
    <cfRule type="containsText" dxfId="797" priority="28" operator="containsText" text="D">
      <formula>NOT(ISERROR(SEARCH("D",B3)))</formula>
    </cfRule>
    <cfRule type="containsText" dxfId="796" priority="29" operator="containsText" text="S">
      <formula>NOT(ISERROR(SEARCH("S",B3)))</formula>
    </cfRule>
    <cfRule type="containsText" dxfId="795" priority="30" operator="containsText" text="H">
      <formula>NOT(ISERROR(SEARCH("H",B3)))</formula>
    </cfRule>
  </conditionalFormatting>
  <conditionalFormatting sqref="B3:K17">
    <cfRule type="containsText" dxfId="794" priority="26" operator="containsText" text="P">
      <formula>NOT(ISERROR(SEARCH("P",B3)))</formula>
    </cfRule>
  </conditionalFormatting>
  <conditionalFormatting sqref="B3:K17">
    <cfRule type="colorScale" priority="25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9:K27">
    <cfRule type="containsText" dxfId="793" priority="9" operator="containsText" text="R">
      <formula>NOT(ISERROR(SEARCH("R",B19)))</formula>
    </cfRule>
    <cfRule type="containsText" dxfId="792" priority="10" operator="containsText" text="D">
      <formula>NOT(ISERROR(SEARCH("D",B19)))</formula>
    </cfRule>
    <cfRule type="containsText" dxfId="791" priority="11" operator="containsText" text="S">
      <formula>NOT(ISERROR(SEARCH("S",B19)))</formula>
    </cfRule>
    <cfRule type="containsText" dxfId="790" priority="12" operator="containsText" text="H">
      <formula>NOT(ISERROR(SEARCH("H",B19)))</formula>
    </cfRule>
  </conditionalFormatting>
  <conditionalFormatting sqref="B19:K27">
    <cfRule type="containsText" dxfId="789" priority="8" operator="containsText" text="P">
      <formula>NOT(ISERROR(SEARCH("P",B19)))</formula>
    </cfRule>
  </conditionalFormatting>
  <conditionalFormatting sqref="B19:K27">
    <cfRule type="colorScale" priority="7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29:K38">
    <cfRule type="containsText" dxfId="788" priority="3" operator="containsText" text="R">
      <formula>NOT(ISERROR(SEARCH("R",B29)))</formula>
    </cfRule>
    <cfRule type="containsText" dxfId="787" priority="4" operator="containsText" text="D">
      <formula>NOT(ISERROR(SEARCH("D",B29)))</formula>
    </cfRule>
    <cfRule type="containsText" dxfId="786" priority="5" operator="containsText" text="S">
      <formula>NOT(ISERROR(SEARCH("S",B29)))</formula>
    </cfRule>
    <cfRule type="containsText" dxfId="785" priority="6" operator="containsText" text="H">
      <formula>NOT(ISERROR(SEARCH("H",B29)))</formula>
    </cfRule>
  </conditionalFormatting>
  <conditionalFormatting sqref="B29:K38">
    <cfRule type="containsText" dxfId="784" priority="2" operator="containsText" text="P">
      <formula>NOT(ISERROR(SEARCH("P",B29)))</formula>
    </cfRule>
  </conditionalFormatting>
  <conditionalFormatting sqref="B29:K38">
    <cfRule type="colorScale" priority="1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pageMargins left="0.25" right="0.25" top="0.75" bottom="0.75" header="0.3" footer="0.3"/>
  <pageSetup paperSize="9" scale="96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L38"/>
  <sheetViews>
    <sheetView topLeftCell="A13" workbookViewId="0">
      <selection activeCell="C3" sqref="C3"/>
    </sheetView>
  </sheetViews>
  <sheetFormatPr baseColWidth="10" defaultColWidth="8.83203125" defaultRowHeight="16" x14ac:dyDescent="0.2"/>
  <cols>
    <col min="2" max="2" width="5.5" style="31" bestFit="1" customWidth="1"/>
    <col min="3" max="12" width="4" style="31" customWidth="1"/>
    <col min="14" max="14" width="24.5" customWidth="1"/>
  </cols>
  <sheetData>
    <row r="1" spans="2:12" ht="21" x14ac:dyDescent="0.25">
      <c r="B1" s="305" t="s">
        <v>23</v>
      </c>
      <c r="C1" s="305"/>
      <c r="D1" s="305"/>
      <c r="E1" s="305"/>
      <c r="F1" s="305"/>
      <c r="G1" s="305"/>
      <c r="H1" s="305"/>
      <c r="I1" s="305"/>
      <c r="J1" s="305"/>
      <c r="K1" s="305"/>
      <c r="L1" s="305"/>
    </row>
    <row r="2" spans="2:12" x14ac:dyDescent="0.2">
      <c r="B2" s="49" t="s">
        <v>9</v>
      </c>
      <c r="C2" s="49" t="s">
        <v>22</v>
      </c>
      <c r="D2" s="49">
        <v>2</v>
      </c>
      <c r="E2" s="49">
        <v>3</v>
      </c>
      <c r="F2" s="49">
        <v>4</v>
      </c>
      <c r="G2" s="49">
        <v>5</v>
      </c>
      <c r="H2" s="49">
        <v>6</v>
      </c>
      <c r="I2" s="49">
        <v>7</v>
      </c>
      <c r="J2" s="49">
        <v>8</v>
      </c>
      <c r="K2" s="49">
        <v>9</v>
      </c>
      <c r="L2" s="49">
        <v>10</v>
      </c>
    </row>
    <row r="3" spans="2:12" x14ac:dyDescent="0.2">
      <c r="B3" s="49" t="s">
        <v>20</v>
      </c>
      <c r="C3" s="50" t="str">
        <f>HSDR!O8</f>
        <v>H</v>
      </c>
      <c r="D3" s="50" t="str">
        <f>HSDR!P8</f>
        <v>H</v>
      </c>
      <c r="E3" s="50" t="str">
        <f>HSDR!Q8</f>
        <v>H</v>
      </c>
      <c r="F3" s="50" t="str">
        <f>HSDR!R8</f>
        <v>H</v>
      </c>
      <c r="G3" s="50" t="str">
        <f>HSDR!S8</f>
        <v>H</v>
      </c>
      <c r="H3" s="50" t="str">
        <f>HSDR!T8</f>
        <v>H</v>
      </c>
      <c r="I3" s="50" t="str">
        <f>HSDR!U8</f>
        <v>H</v>
      </c>
      <c r="J3" s="50" t="str">
        <f>HSDR!V8</f>
        <v>H</v>
      </c>
      <c r="K3" s="50" t="str">
        <f>HSDR!W8</f>
        <v>H</v>
      </c>
      <c r="L3" s="50" t="str">
        <f>HSDR!X8</f>
        <v>H</v>
      </c>
    </row>
    <row r="4" spans="2:12" x14ac:dyDescent="0.2">
      <c r="B4" s="49">
        <v>9</v>
      </c>
      <c r="C4" s="50" t="str">
        <f>HSDR!O9</f>
        <v>H</v>
      </c>
      <c r="D4" s="50" t="str">
        <f>HSDR!P9</f>
        <v>H</v>
      </c>
      <c r="E4" s="50" t="str">
        <f>HSDR!Q9</f>
        <v>D</v>
      </c>
      <c r="F4" s="50" t="str">
        <f>HSDR!R9</f>
        <v>D</v>
      </c>
      <c r="G4" s="50" t="str">
        <f>HSDR!S9</f>
        <v>D</v>
      </c>
      <c r="H4" s="50" t="str">
        <f>HSDR!T9</f>
        <v>D</v>
      </c>
      <c r="I4" s="50" t="str">
        <f>HSDR!U9</f>
        <v>H</v>
      </c>
      <c r="J4" s="50" t="str">
        <f>HSDR!V9</f>
        <v>H</v>
      </c>
      <c r="K4" s="50" t="str">
        <f>HSDR!W9</f>
        <v>H</v>
      </c>
      <c r="L4" s="50" t="str">
        <f>HSDR!X9</f>
        <v>H</v>
      </c>
    </row>
    <row r="5" spans="2:12" x14ac:dyDescent="0.2">
      <c r="B5" s="49">
        <v>10</v>
      </c>
      <c r="C5" s="50" t="str">
        <f>HSDR!O10</f>
        <v>H</v>
      </c>
      <c r="D5" s="50" t="str">
        <f>HSDR!P10</f>
        <v>D</v>
      </c>
      <c r="E5" s="50" t="str">
        <f>HSDR!Q10</f>
        <v>D</v>
      </c>
      <c r="F5" s="50" t="str">
        <f>HSDR!R10</f>
        <v>D</v>
      </c>
      <c r="G5" s="50" t="str">
        <f>HSDR!S10</f>
        <v>D</v>
      </c>
      <c r="H5" s="50" t="str">
        <f>HSDR!T10</f>
        <v>D</v>
      </c>
      <c r="I5" s="50" t="str">
        <f>HSDR!U10</f>
        <v>D</v>
      </c>
      <c r="J5" s="50" t="str">
        <f>HSDR!V10</f>
        <v>D</v>
      </c>
      <c r="K5" s="50" t="str">
        <f>HSDR!W10</f>
        <v>D</v>
      </c>
      <c r="L5" s="50" t="str">
        <f>HSDR!X10</f>
        <v>H</v>
      </c>
    </row>
    <row r="6" spans="2:12" x14ac:dyDescent="0.2">
      <c r="B6" s="49">
        <v>11</v>
      </c>
      <c r="C6" s="50" t="str">
        <f>HSDR!O11</f>
        <v>H</v>
      </c>
      <c r="D6" s="50" t="str">
        <f>HSDR!P11</f>
        <v>D</v>
      </c>
      <c r="E6" s="50" t="str">
        <f>HSDR!Q11</f>
        <v>D</v>
      </c>
      <c r="F6" s="50" t="str">
        <f>HSDR!R11</f>
        <v>D</v>
      </c>
      <c r="G6" s="50" t="str">
        <f>HSDR!S11</f>
        <v>D</v>
      </c>
      <c r="H6" s="50" t="str">
        <f>HSDR!T11</f>
        <v>D</v>
      </c>
      <c r="I6" s="50" t="str">
        <f>HSDR!U11</f>
        <v>D</v>
      </c>
      <c r="J6" s="50" t="str">
        <f>HSDR!V11</f>
        <v>D</v>
      </c>
      <c r="K6" s="50" t="str">
        <f>HSDR!W11</f>
        <v>D</v>
      </c>
      <c r="L6" s="50" t="str">
        <f>HSDR!X11</f>
        <v>D</v>
      </c>
    </row>
    <row r="7" spans="2:12" x14ac:dyDescent="0.2">
      <c r="B7" s="49">
        <v>12</v>
      </c>
      <c r="C7" s="50" t="str">
        <f>HSDR!O12</f>
        <v>H</v>
      </c>
      <c r="D7" s="50" t="str">
        <f>HSDR!P12</f>
        <v>H</v>
      </c>
      <c r="E7" s="50" t="str">
        <f>HSDR!Q12</f>
        <v>H</v>
      </c>
      <c r="F7" s="50" t="str">
        <f>HSDR!R12</f>
        <v>S</v>
      </c>
      <c r="G7" s="50" t="str">
        <f>HSDR!S12</f>
        <v>S</v>
      </c>
      <c r="H7" s="50" t="str">
        <f>HSDR!T12</f>
        <v>S</v>
      </c>
      <c r="I7" s="50" t="str">
        <f>HSDR!U12</f>
        <v>H</v>
      </c>
      <c r="J7" s="50" t="str">
        <f>HSDR!V12</f>
        <v>H</v>
      </c>
      <c r="K7" s="50" t="str">
        <f>HSDR!W12</f>
        <v>H</v>
      </c>
      <c r="L7" s="50" t="str">
        <f>HSDR!X12</f>
        <v>H</v>
      </c>
    </row>
    <row r="8" spans="2:12" x14ac:dyDescent="0.2">
      <c r="B8" s="49">
        <v>13</v>
      </c>
      <c r="C8" s="50" t="str">
        <f>HSDR!O13</f>
        <v>H</v>
      </c>
      <c r="D8" s="50" t="str">
        <f>HSDR!P13</f>
        <v>S</v>
      </c>
      <c r="E8" s="50" t="str">
        <f>HSDR!Q13</f>
        <v>S</v>
      </c>
      <c r="F8" s="50" t="str">
        <f>HSDR!R13</f>
        <v>S</v>
      </c>
      <c r="G8" s="50" t="str">
        <f>HSDR!S13</f>
        <v>S</v>
      </c>
      <c r="H8" s="50" t="str">
        <f>HSDR!T13</f>
        <v>S</v>
      </c>
      <c r="I8" s="50" t="str">
        <f>HSDR!U13</f>
        <v>H</v>
      </c>
      <c r="J8" s="50" t="str">
        <f>HSDR!V13</f>
        <v>H</v>
      </c>
      <c r="K8" s="50" t="str">
        <f>HSDR!W13</f>
        <v>H</v>
      </c>
      <c r="L8" s="50" t="str">
        <f>HSDR!X13</f>
        <v>H</v>
      </c>
    </row>
    <row r="9" spans="2:12" x14ac:dyDescent="0.2">
      <c r="B9" s="49">
        <v>14</v>
      </c>
      <c r="C9" s="50" t="str">
        <f>HSDR!O14</f>
        <v>H</v>
      </c>
      <c r="D9" s="50" t="str">
        <f>HSDR!P14</f>
        <v>S</v>
      </c>
      <c r="E9" s="50" t="str">
        <f>HSDR!Q14</f>
        <v>S</v>
      </c>
      <c r="F9" s="50" t="str">
        <f>HSDR!R14</f>
        <v>S</v>
      </c>
      <c r="G9" s="50" t="str">
        <f>HSDR!S14</f>
        <v>S</v>
      </c>
      <c r="H9" s="50" t="str">
        <f>HSDR!T14</f>
        <v>S</v>
      </c>
      <c r="I9" s="50" t="str">
        <f>HSDR!U14</f>
        <v>H</v>
      </c>
      <c r="J9" s="50" t="str">
        <f>HSDR!V14</f>
        <v>H</v>
      </c>
      <c r="K9" s="50" t="str">
        <f>HSDR!W14</f>
        <v>H</v>
      </c>
      <c r="L9" s="50" t="str">
        <f>HSDR!X14</f>
        <v>H</v>
      </c>
    </row>
    <row r="10" spans="2:12" x14ac:dyDescent="0.2">
      <c r="B10" s="49">
        <v>15</v>
      </c>
      <c r="C10" s="50" t="str">
        <f>HSDR!O15</f>
        <v>H</v>
      </c>
      <c r="D10" s="50" t="str">
        <f>HSDR!P15</f>
        <v>S</v>
      </c>
      <c r="E10" s="50" t="str">
        <f>HSDR!Q15</f>
        <v>S</v>
      </c>
      <c r="F10" s="50" t="str">
        <f>HSDR!R15</f>
        <v>S</v>
      </c>
      <c r="G10" s="50" t="str">
        <f>HSDR!S15</f>
        <v>S</v>
      </c>
      <c r="H10" s="50" t="str">
        <f>HSDR!T15</f>
        <v>S</v>
      </c>
      <c r="I10" s="50" t="str">
        <f>HSDR!U15</f>
        <v>H</v>
      </c>
      <c r="J10" s="50" t="str">
        <f>HSDR!V15</f>
        <v>H</v>
      </c>
      <c r="K10" s="50" t="str">
        <f>HSDR!W15</f>
        <v>H</v>
      </c>
      <c r="L10" s="50" t="str">
        <f>HSDR!X15</f>
        <v>R</v>
      </c>
    </row>
    <row r="11" spans="2:12" x14ac:dyDescent="0.2">
      <c r="B11" s="49">
        <v>16</v>
      </c>
      <c r="C11" s="50" t="str">
        <f>HSDR!O16</f>
        <v>H</v>
      </c>
      <c r="D11" s="50" t="str">
        <f>HSDR!P16</f>
        <v>S</v>
      </c>
      <c r="E11" s="50" t="str">
        <f>HSDR!Q16</f>
        <v>S</v>
      </c>
      <c r="F11" s="50" t="str">
        <f>HSDR!R16</f>
        <v>S</v>
      </c>
      <c r="G11" s="50" t="str">
        <f>HSDR!S16</f>
        <v>S</v>
      </c>
      <c r="H11" s="50" t="str">
        <f>HSDR!T16</f>
        <v>S</v>
      </c>
      <c r="I11" s="50" t="str">
        <f>HSDR!U16</f>
        <v>H</v>
      </c>
      <c r="J11" s="50" t="str">
        <f>HSDR!V16</f>
        <v>H</v>
      </c>
      <c r="K11" s="50" t="str">
        <f>HSDR!W16</f>
        <v>R</v>
      </c>
      <c r="L11" s="50" t="str">
        <f>HSDR!X16</f>
        <v>R</v>
      </c>
    </row>
    <row r="12" spans="2:12" x14ac:dyDescent="0.2">
      <c r="B12" s="49" t="s">
        <v>21</v>
      </c>
      <c r="C12" s="50" t="str">
        <f>HSDR!O17</f>
        <v>S</v>
      </c>
      <c r="D12" s="50" t="str">
        <f>HSDR!P17</f>
        <v>S</v>
      </c>
      <c r="E12" s="50" t="str">
        <f>HSDR!Q17</f>
        <v>S</v>
      </c>
      <c r="F12" s="50" t="str">
        <f>HSDR!R17</f>
        <v>S</v>
      </c>
      <c r="G12" s="50" t="str">
        <f>HSDR!S17</f>
        <v>S</v>
      </c>
      <c r="H12" s="50" t="str">
        <f>HSDR!T17</f>
        <v>S</v>
      </c>
      <c r="I12" s="50" t="str">
        <f>HSDR!U17</f>
        <v>S</v>
      </c>
      <c r="J12" s="50" t="str">
        <f>HSDR!V17</f>
        <v>S</v>
      </c>
      <c r="K12" s="50" t="str">
        <f>HSDR!W17</f>
        <v>S</v>
      </c>
      <c r="L12" s="50" t="str">
        <f>HSDR!X17</f>
        <v>S</v>
      </c>
    </row>
    <row r="13" spans="2:12" x14ac:dyDescent="0.2">
      <c r="B13" s="49" t="s">
        <v>4</v>
      </c>
      <c r="C13" s="49" t="s">
        <v>22</v>
      </c>
      <c r="D13" s="49">
        <v>2</v>
      </c>
      <c r="E13" s="49">
        <v>3</v>
      </c>
      <c r="F13" s="49">
        <v>4</v>
      </c>
      <c r="G13" s="49">
        <v>5</v>
      </c>
      <c r="H13" s="49">
        <v>6</v>
      </c>
      <c r="I13" s="49">
        <v>7</v>
      </c>
      <c r="J13" s="49">
        <v>8</v>
      </c>
      <c r="K13" s="49">
        <v>9</v>
      </c>
      <c r="L13" s="49">
        <v>10</v>
      </c>
    </row>
    <row r="14" spans="2:12" x14ac:dyDescent="0.2">
      <c r="B14" s="49">
        <v>13</v>
      </c>
      <c r="C14" s="50" t="str">
        <f>HSDR!O36</f>
        <v>H</v>
      </c>
      <c r="D14" s="50" t="str">
        <f>HSDR!P36</f>
        <v>H</v>
      </c>
      <c r="E14" s="50" t="str">
        <f>HSDR!Q36</f>
        <v>H</v>
      </c>
      <c r="F14" s="50" t="str">
        <f>HSDR!R36</f>
        <v>H</v>
      </c>
      <c r="G14" s="50" t="str">
        <f>HSDR!S36</f>
        <v>H</v>
      </c>
      <c r="H14" s="50" t="str">
        <f>HSDR!T36</f>
        <v>D</v>
      </c>
      <c r="I14" s="50" t="str">
        <f>HSDR!U36</f>
        <v>H</v>
      </c>
      <c r="J14" s="50" t="str">
        <f>HSDR!V36</f>
        <v>H</v>
      </c>
      <c r="K14" s="50" t="str">
        <f>HSDR!W36</f>
        <v>H</v>
      </c>
      <c r="L14" s="50" t="str">
        <f>HSDR!X36</f>
        <v>H</v>
      </c>
    </row>
    <row r="15" spans="2:12" x14ac:dyDescent="0.2">
      <c r="B15" s="49">
        <v>14</v>
      </c>
      <c r="C15" s="50" t="str">
        <f>HSDR!O37</f>
        <v>H</v>
      </c>
      <c r="D15" s="50" t="str">
        <f>HSDR!P37</f>
        <v>H</v>
      </c>
      <c r="E15" s="50" t="str">
        <f>HSDR!Q37</f>
        <v>H</v>
      </c>
      <c r="F15" s="50" t="str">
        <f>HSDR!R37</f>
        <v>H</v>
      </c>
      <c r="G15" s="50" t="str">
        <f>HSDR!S37</f>
        <v>D</v>
      </c>
      <c r="H15" s="50" t="str">
        <f>HSDR!T37</f>
        <v>D</v>
      </c>
      <c r="I15" s="50" t="str">
        <f>HSDR!U37</f>
        <v>H</v>
      </c>
      <c r="J15" s="50" t="str">
        <f>HSDR!V37</f>
        <v>H</v>
      </c>
      <c r="K15" s="50" t="str">
        <f>HSDR!W37</f>
        <v>H</v>
      </c>
      <c r="L15" s="50" t="str">
        <f>HSDR!X37</f>
        <v>H</v>
      </c>
    </row>
    <row r="16" spans="2:12" x14ac:dyDescent="0.2">
      <c r="B16" s="49">
        <v>15</v>
      </c>
      <c r="C16" s="50" t="str">
        <f>HSDR!O38</f>
        <v>H</v>
      </c>
      <c r="D16" s="50" t="str">
        <f>HSDR!P38</f>
        <v>H</v>
      </c>
      <c r="E16" s="50" t="str">
        <f>HSDR!Q38</f>
        <v>H</v>
      </c>
      <c r="F16" s="50" t="str">
        <f>HSDR!R38</f>
        <v>H</v>
      </c>
      <c r="G16" s="50" t="str">
        <f>HSDR!S38</f>
        <v>D</v>
      </c>
      <c r="H16" s="50" t="str">
        <f>HSDR!T38</f>
        <v>D</v>
      </c>
      <c r="I16" s="50" t="str">
        <f>HSDR!U38</f>
        <v>H</v>
      </c>
      <c r="J16" s="50" t="str">
        <f>HSDR!V38</f>
        <v>H</v>
      </c>
      <c r="K16" s="50" t="str">
        <f>HSDR!W38</f>
        <v>H</v>
      </c>
      <c r="L16" s="50" t="str">
        <f>HSDR!X38</f>
        <v>H</v>
      </c>
    </row>
    <row r="17" spans="2:12" x14ac:dyDescent="0.2">
      <c r="B17" s="49">
        <v>16</v>
      </c>
      <c r="C17" s="50" t="str">
        <f>HSDR!O39</f>
        <v>H</v>
      </c>
      <c r="D17" s="50" t="str">
        <f>HSDR!P39</f>
        <v>H</v>
      </c>
      <c r="E17" s="50" t="str">
        <f>HSDR!Q39</f>
        <v>H</v>
      </c>
      <c r="F17" s="50" t="str">
        <f>HSDR!R39</f>
        <v>D</v>
      </c>
      <c r="G17" s="50" t="str">
        <f>HSDR!S39</f>
        <v>D</v>
      </c>
      <c r="H17" s="50" t="str">
        <f>HSDR!T39</f>
        <v>D</v>
      </c>
      <c r="I17" s="50" t="str">
        <f>HSDR!U39</f>
        <v>H</v>
      </c>
      <c r="J17" s="50" t="str">
        <f>HSDR!V39</f>
        <v>H</v>
      </c>
      <c r="K17" s="50" t="str">
        <f>HSDR!W39</f>
        <v>H</v>
      </c>
      <c r="L17" s="50" t="str">
        <f>HSDR!X39</f>
        <v>H</v>
      </c>
    </row>
    <row r="18" spans="2:12" x14ac:dyDescent="0.2">
      <c r="B18" s="49">
        <v>17</v>
      </c>
      <c r="C18" s="50" t="str">
        <f>HSDR!O40</f>
        <v>H</v>
      </c>
      <c r="D18" s="50" t="str">
        <f>HSDR!P40</f>
        <v>H</v>
      </c>
      <c r="E18" s="50" t="str">
        <f>HSDR!Q40</f>
        <v>D</v>
      </c>
      <c r="F18" s="50" t="str">
        <f>HSDR!R40</f>
        <v>D</v>
      </c>
      <c r="G18" s="50" t="str">
        <f>HSDR!S40</f>
        <v>D</v>
      </c>
      <c r="H18" s="50" t="str">
        <f>HSDR!T40</f>
        <v>D</v>
      </c>
      <c r="I18" s="50" t="str">
        <f>HSDR!U40</f>
        <v>H</v>
      </c>
      <c r="J18" s="50" t="str">
        <f>HSDR!V40</f>
        <v>H</v>
      </c>
      <c r="K18" s="50" t="str">
        <f>HSDR!W40</f>
        <v>H</v>
      </c>
      <c r="L18" s="50" t="str">
        <f>HSDR!X40</f>
        <v>H</v>
      </c>
    </row>
    <row r="19" spans="2:12" x14ac:dyDescent="0.2">
      <c r="B19" s="49">
        <v>18</v>
      </c>
      <c r="C19" s="50" t="str">
        <f>HSDR!O41</f>
        <v>H</v>
      </c>
      <c r="D19" s="50" t="str">
        <f>HSDR!P41</f>
        <v>S</v>
      </c>
      <c r="E19" s="50" t="str">
        <f>HSDR!Q41</f>
        <v>D</v>
      </c>
      <c r="F19" s="50" t="str">
        <f>HSDR!R41</f>
        <v>D</v>
      </c>
      <c r="G19" s="50" t="str">
        <f>HSDR!S41</f>
        <v>D</v>
      </c>
      <c r="H19" s="50" t="str">
        <f>HSDR!T41</f>
        <v>D</v>
      </c>
      <c r="I19" s="50" t="str">
        <f>HSDR!U41</f>
        <v>S</v>
      </c>
      <c r="J19" s="50" t="str">
        <f>HSDR!V41</f>
        <v>S</v>
      </c>
      <c r="K19" s="50" t="str">
        <f>HSDR!W41</f>
        <v>H</v>
      </c>
      <c r="L19" s="50" t="str">
        <f>HSDR!X41</f>
        <v>H</v>
      </c>
    </row>
    <row r="20" spans="2:12" x14ac:dyDescent="0.2">
      <c r="B20" s="49">
        <v>19</v>
      </c>
      <c r="C20" s="50" t="str">
        <f>HSDR!O42</f>
        <v>S</v>
      </c>
      <c r="D20" s="50" t="str">
        <f>HSDR!P42</f>
        <v>S</v>
      </c>
      <c r="E20" s="50" t="str">
        <f>HSDR!Q42</f>
        <v>S</v>
      </c>
      <c r="F20" s="50" t="str">
        <f>HSDR!R42</f>
        <v>S</v>
      </c>
      <c r="G20" s="50" t="str">
        <f>HSDR!S42</f>
        <v>S</v>
      </c>
      <c r="H20" s="50" t="str">
        <f>HSDR!T42</f>
        <v>S</v>
      </c>
      <c r="I20" s="50" t="str">
        <f>HSDR!U42</f>
        <v>S</v>
      </c>
      <c r="J20" s="50" t="str">
        <f>HSDR!V42</f>
        <v>S</v>
      </c>
      <c r="K20" s="50" t="str">
        <f>HSDR!W42</f>
        <v>S</v>
      </c>
      <c r="L20" s="50" t="str">
        <f>HSDR!X42</f>
        <v>S</v>
      </c>
    </row>
    <row r="21" spans="2:12" x14ac:dyDescent="0.2">
      <c r="B21" s="49" t="s">
        <v>10</v>
      </c>
      <c r="C21" s="49" t="s">
        <v>22</v>
      </c>
      <c r="D21" s="49">
        <v>2</v>
      </c>
      <c r="E21" s="49">
        <v>3</v>
      </c>
      <c r="F21" s="49">
        <v>4</v>
      </c>
      <c r="G21" s="49">
        <v>5</v>
      </c>
      <c r="H21" s="49">
        <v>6</v>
      </c>
      <c r="I21" s="49">
        <v>7</v>
      </c>
      <c r="J21" s="49">
        <v>8</v>
      </c>
      <c r="K21" s="49">
        <v>9</v>
      </c>
      <c r="L21" s="49">
        <v>10</v>
      </c>
    </row>
    <row r="22" spans="2:12" x14ac:dyDescent="0.2">
      <c r="B22" s="49" t="s">
        <v>22</v>
      </c>
      <c r="C22" s="50" t="str">
        <f>Pair!O2</f>
        <v>P</v>
      </c>
      <c r="D22" s="50" t="str">
        <f>Pair!P2</f>
        <v>P</v>
      </c>
      <c r="E22" s="50" t="str">
        <f>Pair!Q2</f>
        <v>P</v>
      </c>
      <c r="F22" s="50" t="str">
        <f>Pair!R2</f>
        <v>P</v>
      </c>
      <c r="G22" s="50" t="str">
        <f>Pair!S2</f>
        <v>P</v>
      </c>
      <c r="H22" s="50" t="str">
        <f>Pair!T2</f>
        <v>P</v>
      </c>
      <c r="I22" s="50" t="str">
        <f>Pair!U2</f>
        <v>P</v>
      </c>
      <c r="J22" s="50" t="str">
        <f>Pair!V2</f>
        <v>P</v>
      </c>
      <c r="K22" s="50" t="str">
        <f>Pair!W2</f>
        <v>P</v>
      </c>
      <c r="L22" s="50" t="str">
        <f>Pair!X2</f>
        <v>P</v>
      </c>
    </row>
    <row r="23" spans="2:12" x14ac:dyDescent="0.2">
      <c r="B23" s="49">
        <v>2</v>
      </c>
      <c r="C23" s="50" t="str">
        <f>Pair!O3</f>
        <v>H</v>
      </c>
      <c r="D23" s="50" t="str">
        <f>Pair!P3</f>
        <v>P</v>
      </c>
      <c r="E23" s="50" t="str">
        <f>Pair!Q3</f>
        <v>P</v>
      </c>
      <c r="F23" s="50" t="str">
        <f>Pair!R3</f>
        <v>P</v>
      </c>
      <c r="G23" s="50" t="str">
        <f>Pair!S3</f>
        <v>P</v>
      </c>
      <c r="H23" s="50" t="str">
        <f>Pair!T3</f>
        <v>P</v>
      </c>
      <c r="I23" s="50" t="str">
        <f>Pair!U3</f>
        <v>P</v>
      </c>
      <c r="J23" s="50" t="str">
        <f>Pair!V3</f>
        <v>H</v>
      </c>
      <c r="K23" s="50" t="str">
        <f>Pair!W3</f>
        <v>H</v>
      </c>
      <c r="L23" s="50" t="str">
        <f>Pair!X3</f>
        <v>H</v>
      </c>
    </row>
    <row r="24" spans="2:12" x14ac:dyDescent="0.2">
      <c r="B24" s="49">
        <v>3</v>
      </c>
      <c r="C24" s="50" t="str">
        <f>Pair!O4</f>
        <v>H</v>
      </c>
      <c r="D24" s="50" t="str">
        <f>Pair!P4</f>
        <v>P</v>
      </c>
      <c r="E24" s="50" t="str">
        <f>Pair!Q4</f>
        <v>P</v>
      </c>
      <c r="F24" s="50" t="str">
        <f>Pair!R4</f>
        <v>P</v>
      </c>
      <c r="G24" s="50" t="str">
        <f>Pair!S4</f>
        <v>P</v>
      </c>
      <c r="H24" s="50" t="str">
        <f>Pair!T4</f>
        <v>P</v>
      </c>
      <c r="I24" s="50" t="str">
        <f>Pair!U4</f>
        <v>P</v>
      </c>
      <c r="J24" s="50" t="str">
        <f>Pair!V4</f>
        <v>H</v>
      </c>
      <c r="K24" s="50" t="str">
        <f>Pair!W4</f>
        <v>H</v>
      </c>
      <c r="L24" s="50" t="str">
        <f>Pair!X4</f>
        <v>H</v>
      </c>
    </row>
    <row r="25" spans="2:12" x14ac:dyDescent="0.2">
      <c r="B25" s="49">
        <v>4</v>
      </c>
      <c r="C25" s="50" t="str">
        <f>Pair!O5</f>
        <v>H</v>
      </c>
      <c r="D25" s="50" t="str">
        <f>Pair!P5</f>
        <v>H</v>
      </c>
      <c r="E25" s="50" t="str">
        <f>Pair!Q5</f>
        <v>H</v>
      </c>
      <c r="F25" s="50" t="str">
        <f>Pair!R5</f>
        <v>H</v>
      </c>
      <c r="G25" s="50" t="str">
        <f>Pair!S5</f>
        <v>P</v>
      </c>
      <c r="H25" s="50" t="str">
        <f>Pair!T5</f>
        <v>P</v>
      </c>
      <c r="I25" s="50" t="str">
        <f>Pair!U5</f>
        <v>H</v>
      </c>
      <c r="J25" s="50" t="str">
        <f>Pair!V5</f>
        <v>H</v>
      </c>
      <c r="K25" s="50" t="str">
        <f>Pair!W5</f>
        <v>H</v>
      </c>
      <c r="L25" s="50" t="str">
        <f>Pair!X5</f>
        <v>H</v>
      </c>
    </row>
    <row r="26" spans="2:12" x14ac:dyDescent="0.2">
      <c r="B26" s="49">
        <v>5</v>
      </c>
      <c r="C26" s="50" t="str">
        <f>Pair!O6</f>
        <v>H</v>
      </c>
      <c r="D26" s="50" t="str">
        <f>Pair!P6</f>
        <v>D</v>
      </c>
      <c r="E26" s="50" t="str">
        <f>Pair!Q6</f>
        <v>D</v>
      </c>
      <c r="F26" s="50" t="str">
        <f>Pair!R6</f>
        <v>D</v>
      </c>
      <c r="G26" s="50" t="str">
        <f>Pair!S6</f>
        <v>D</v>
      </c>
      <c r="H26" s="50" t="str">
        <f>Pair!T6</f>
        <v>D</v>
      </c>
      <c r="I26" s="50" t="str">
        <f>Pair!U6</f>
        <v>D</v>
      </c>
      <c r="J26" s="50" t="str">
        <f>Pair!V6</f>
        <v>D</v>
      </c>
      <c r="K26" s="50" t="str">
        <f>Pair!W6</f>
        <v>D</v>
      </c>
      <c r="L26" s="50" t="str">
        <f>Pair!X6</f>
        <v>H</v>
      </c>
    </row>
    <row r="27" spans="2:12" x14ac:dyDescent="0.2">
      <c r="B27" s="49">
        <v>6</v>
      </c>
      <c r="C27" s="50" t="str">
        <f>Pair!O7</f>
        <v>H</v>
      </c>
      <c r="D27" s="50" t="str">
        <f>Pair!P7</f>
        <v>H</v>
      </c>
      <c r="E27" s="50" t="str">
        <f>Pair!Q7</f>
        <v>P</v>
      </c>
      <c r="F27" s="50" t="str">
        <f>Pair!R7</f>
        <v>P</v>
      </c>
      <c r="G27" s="50" t="str">
        <f>Pair!S7</f>
        <v>P</v>
      </c>
      <c r="H27" s="50" t="str">
        <f>Pair!T7</f>
        <v>P</v>
      </c>
      <c r="I27" s="50" t="str">
        <f>Pair!U7</f>
        <v>H</v>
      </c>
      <c r="J27" s="50" t="str">
        <f>Pair!V7</f>
        <v>H</v>
      </c>
      <c r="K27" s="50" t="str">
        <f>Pair!W7</f>
        <v>H</v>
      </c>
      <c r="L27" s="50" t="str">
        <f>Pair!X7</f>
        <v>H</v>
      </c>
    </row>
    <row r="28" spans="2:12" x14ac:dyDescent="0.2">
      <c r="B28" s="49">
        <v>7</v>
      </c>
      <c r="C28" s="50" t="str">
        <f>Pair!O8</f>
        <v>H</v>
      </c>
      <c r="D28" s="50" t="str">
        <f>Pair!P8</f>
        <v>P</v>
      </c>
      <c r="E28" s="50" t="str">
        <f>Pair!Q8</f>
        <v>P</v>
      </c>
      <c r="F28" s="50" t="str">
        <f>Pair!R8</f>
        <v>P</v>
      </c>
      <c r="G28" s="50" t="str">
        <f>Pair!S8</f>
        <v>P</v>
      </c>
      <c r="H28" s="50" t="str">
        <f>Pair!T8</f>
        <v>P</v>
      </c>
      <c r="I28" s="50" t="str">
        <f>Pair!U8</f>
        <v>P</v>
      </c>
      <c r="J28" s="50" t="str">
        <f>Pair!V8</f>
        <v>H</v>
      </c>
      <c r="K28" s="50" t="str">
        <f>Pair!W8</f>
        <v>H</v>
      </c>
      <c r="L28" s="50" t="str">
        <f>Pair!X8</f>
        <v>H</v>
      </c>
    </row>
    <row r="29" spans="2:12" x14ac:dyDescent="0.2">
      <c r="B29" s="49">
        <v>8</v>
      </c>
      <c r="C29" s="50" t="str">
        <f>Pair!O9</f>
        <v>P</v>
      </c>
      <c r="D29" s="50" t="str">
        <f>Pair!P9</f>
        <v>P</v>
      </c>
      <c r="E29" s="50" t="str">
        <f>Pair!Q9</f>
        <v>P</v>
      </c>
      <c r="F29" s="50" t="str">
        <f>Pair!R9</f>
        <v>P</v>
      </c>
      <c r="G29" s="50" t="str">
        <f>Pair!S9</f>
        <v>P</v>
      </c>
      <c r="H29" s="50" t="str">
        <f>Pair!T9</f>
        <v>P</v>
      </c>
      <c r="I29" s="50" t="str">
        <f>Pair!U9</f>
        <v>P</v>
      </c>
      <c r="J29" s="50" t="str">
        <f>Pair!V9</f>
        <v>P</v>
      </c>
      <c r="K29" s="50" t="str">
        <f>Pair!W9</f>
        <v>R</v>
      </c>
      <c r="L29" s="50" t="str">
        <f>Pair!X9</f>
        <v>R</v>
      </c>
    </row>
    <row r="30" spans="2:12" x14ac:dyDescent="0.2">
      <c r="B30" s="49">
        <v>9</v>
      </c>
      <c r="C30" s="50" t="str">
        <f>Pair!O10</f>
        <v>S</v>
      </c>
      <c r="D30" s="50" t="str">
        <f>Pair!P10</f>
        <v>P</v>
      </c>
      <c r="E30" s="50" t="str">
        <f>Pair!Q10</f>
        <v>P</v>
      </c>
      <c r="F30" s="50" t="str">
        <f>Pair!R10</f>
        <v>P</v>
      </c>
      <c r="G30" s="50" t="str">
        <f>Pair!S10</f>
        <v>P</v>
      </c>
      <c r="H30" s="50" t="str">
        <f>Pair!T10</f>
        <v>P</v>
      </c>
      <c r="I30" s="50" t="str">
        <f>Pair!U10</f>
        <v>S</v>
      </c>
      <c r="J30" s="50" t="str">
        <f>Pair!V10</f>
        <v>P</v>
      </c>
      <c r="K30" s="50" t="str">
        <f>Pair!W10</f>
        <v>P</v>
      </c>
      <c r="L30" s="50" t="str">
        <f>Pair!X10</f>
        <v>S</v>
      </c>
    </row>
    <row r="31" spans="2:12" x14ac:dyDescent="0.2">
      <c r="B31" s="49">
        <v>10</v>
      </c>
      <c r="C31" s="50" t="str">
        <f>Pair!O11</f>
        <v>S</v>
      </c>
      <c r="D31" s="50" t="str">
        <f>Pair!P11</f>
        <v>S</v>
      </c>
      <c r="E31" s="50" t="str">
        <f>Pair!Q11</f>
        <v>S</v>
      </c>
      <c r="F31" s="50" t="str">
        <f>Pair!R11</f>
        <v>S</v>
      </c>
      <c r="G31" s="50" t="str">
        <f>Pair!S11</f>
        <v>S</v>
      </c>
      <c r="H31" s="50" t="str">
        <f>Pair!T11</f>
        <v>P</v>
      </c>
      <c r="I31" s="50" t="str">
        <f>Pair!U11</f>
        <v>S</v>
      </c>
      <c r="J31" s="50" t="str">
        <f>Pair!V11</f>
        <v>S</v>
      </c>
      <c r="K31" s="50" t="str">
        <f>Pair!W11</f>
        <v>S</v>
      </c>
      <c r="L31" s="50" t="str">
        <f>Pair!X11</f>
        <v>S</v>
      </c>
    </row>
    <row r="32" spans="2:12" x14ac:dyDescent="0.2">
      <c r="B32" s="290" t="str">
        <f>"EV = " &amp; EV!$H$46</f>
        <v>EV = -0.00463632541025039</v>
      </c>
      <c r="C32" s="290"/>
      <c r="D32" s="290"/>
      <c r="E32" s="290"/>
      <c r="F32" s="290"/>
      <c r="G32" s="290"/>
      <c r="H32" s="290"/>
      <c r="I32" s="290"/>
      <c r="J32" s="290"/>
      <c r="K32" s="290"/>
      <c r="L32" s="290"/>
    </row>
    <row r="33" spans="2:12" x14ac:dyDescent="0.2">
      <c r="B33" s="290" t="str">
        <f>"EV = " &amp; EV!H46*100 &amp; " %"</f>
        <v>EV = -0.463632541025039 %</v>
      </c>
      <c r="C33" s="290"/>
      <c r="D33" s="290"/>
      <c r="E33" s="290"/>
      <c r="F33" s="290"/>
      <c r="G33" s="290"/>
      <c r="H33" s="290"/>
      <c r="I33" s="290"/>
      <c r="J33" s="290"/>
      <c r="K33" s="290"/>
      <c r="L33" s="290"/>
    </row>
    <row r="34" spans="2:12" x14ac:dyDescent="0.2">
      <c r="B34" s="291" t="s">
        <v>24</v>
      </c>
      <c r="C34" s="291"/>
      <c r="D34" s="291"/>
      <c r="E34" s="291"/>
      <c r="F34" s="291"/>
      <c r="G34" s="291"/>
      <c r="H34" s="291"/>
      <c r="I34" s="291"/>
      <c r="J34" s="291"/>
      <c r="K34" s="291"/>
      <c r="L34" s="291"/>
    </row>
    <row r="35" spans="2:12" x14ac:dyDescent="0.2">
      <c r="B35" s="292" t="s">
        <v>25</v>
      </c>
      <c r="C35" s="292"/>
      <c r="D35" s="292"/>
      <c r="E35" s="292"/>
      <c r="F35" s="292"/>
      <c r="G35" s="292"/>
      <c r="H35" s="292"/>
      <c r="I35" s="292"/>
      <c r="J35" s="292"/>
      <c r="K35" s="292"/>
      <c r="L35" s="292"/>
    </row>
    <row r="36" spans="2:12" x14ac:dyDescent="0.2">
      <c r="B36" s="284" t="s">
        <v>26</v>
      </c>
      <c r="C36" s="284"/>
      <c r="D36" s="284"/>
      <c r="E36" s="284"/>
      <c r="F36" s="284"/>
      <c r="G36" s="284"/>
      <c r="H36" s="284"/>
      <c r="I36" s="284"/>
      <c r="J36" s="284"/>
      <c r="K36" s="284"/>
      <c r="L36" s="284"/>
    </row>
    <row r="37" spans="2:12" x14ac:dyDescent="0.2">
      <c r="B37" s="285" t="s">
        <v>27</v>
      </c>
      <c r="C37" s="285"/>
      <c r="D37" s="285"/>
      <c r="E37" s="285"/>
      <c r="F37" s="285"/>
      <c r="G37" s="285"/>
      <c r="H37" s="285"/>
      <c r="I37" s="285"/>
      <c r="J37" s="285"/>
      <c r="K37" s="285"/>
      <c r="L37" s="285"/>
    </row>
    <row r="38" spans="2:12" x14ac:dyDescent="0.2">
      <c r="B38" s="283" t="s">
        <v>28</v>
      </c>
      <c r="C38" s="283"/>
      <c r="D38" s="283"/>
      <c r="E38" s="283"/>
      <c r="F38" s="283"/>
      <c r="G38" s="283"/>
      <c r="H38" s="283"/>
      <c r="I38" s="283"/>
      <c r="J38" s="283"/>
      <c r="K38" s="283"/>
      <c r="L38" s="283"/>
    </row>
  </sheetData>
  <sheetProtection sheet="1" objects="1" scenarios="1"/>
  <mergeCells count="8">
    <mergeCell ref="B37:L37"/>
    <mergeCell ref="B38:L38"/>
    <mergeCell ref="B1:L1"/>
    <mergeCell ref="B32:L32"/>
    <mergeCell ref="B34:L34"/>
    <mergeCell ref="B35:L35"/>
    <mergeCell ref="B36:L36"/>
    <mergeCell ref="B33:L33"/>
  </mergeCells>
  <phoneticPr fontId="14" type="noConversion"/>
  <conditionalFormatting sqref="C3:L12 C22:L31 C14:L20">
    <cfRule type="containsText" dxfId="783" priority="4" operator="containsText" text="S">
      <formula>NOT(ISERROR(SEARCH("S",C3)))</formula>
    </cfRule>
    <cfRule type="containsText" dxfId="782" priority="5" operator="containsText" text="H">
      <formula>NOT(ISERROR(SEARCH("H",C3)))</formula>
    </cfRule>
  </conditionalFormatting>
  <conditionalFormatting sqref="C3:L12 C22:L31 C14:L20">
    <cfRule type="containsText" dxfId="781" priority="3" operator="containsText" text="D">
      <formula>NOT(ISERROR(SEARCH("D",C3)))</formula>
    </cfRule>
  </conditionalFormatting>
  <conditionalFormatting sqref="C3:L12 C22:L31 C14:L20">
    <cfRule type="containsText" dxfId="780" priority="2" operator="containsText" text="R">
      <formula>NOT(ISERROR(SEARCH("R",C3)))</formula>
    </cfRule>
  </conditionalFormatting>
  <conditionalFormatting sqref="C3:L12 C22:L31 C14:L20">
    <cfRule type="containsText" dxfId="779" priority="1" operator="containsText" text="P">
      <formula>NOT(ISERROR(SEARCH("P",C3)))</formula>
    </cfRule>
  </conditionalFormatting>
  <pageMargins left="0.25" right="0.25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L47"/>
  <sheetViews>
    <sheetView topLeftCell="A28" workbookViewId="0">
      <selection sqref="A1:L47"/>
    </sheetView>
  </sheetViews>
  <sheetFormatPr baseColWidth="10" defaultColWidth="8.83203125" defaultRowHeight="15" x14ac:dyDescent="0.2"/>
  <cols>
    <col min="1" max="1" width="5" style="33" bestFit="1" customWidth="1"/>
    <col min="2" max="12" width="11.6640625" style="33" customWidth="1"/>
    <col min="13" max="16384" width="8.83203125" style="33"/>
  </cols>
  <sheetData>
    <row r="1" spans="1:12" ht="22" thickBot="1" x14ac:dyDescent="0.3">
      <c r="A1" s="306" t="s">
        <v>136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8"/>
    </row>
    <row r="2" spans="1:12" x14ac:dyDescent="0.2">
      <c r="A2" s="43" t="s">
        <v>9</v>
      </c>
      <c r="B2" s="44" t="s">
        <v>1</v>
      </c>
      <c r="C2" s="44">
        <v>2</v>
      </c>
      <c r="D2" s="44">
        <v>3</v>
      </c>
      <c r="E2" s="44">
        <v>4</v>
      </c>
      <c r="F2" s="44">
        <v>5</v>
      </c>
      <c r="G2" s="44">
        <v>6</v>
      </c>
      <c r="H2" s="44">
        <v>7</v>
      </c>
      <c r="I2" s="44">
        <v>8</v>
      </c>
      <c r="J2" s="44">
        <v>9</v>
      </c>
      <c r="K2" s="45">
        <v>10</v>
      </c>
      <c r="L2" s="45" t="s">
        <v>2</v>
      </c>
    </row>
    <row r="3" spans="1:12" x14ac:dyDescent="0.2">
      <c r="A3" s="46">
        <v>5</v>
      </c>
      <c r="B3" s="34">
        <f>Prob!B3*ER!B3</f>
        <v>-1.755660780761442E-4</v>
      </c>
      <c r="C3" s="34">
        <f>Prob!C3*ER!C3</f>
        <v>-1.1671876837846834E-4</v>
      </c>
      <c r="D3" s="34">
        <f>Prob!D3*ER!D3</f>
        <v>-8.6763975659071366E-5</v>
      </c>
      <c r="E3" s="34">
        <f>Prob!E3*ER!E3</f>
        <v>-5.5966740281924667E-5</v>
      </c>
      <c r="F3" s="34">
        <f>Prob!F3*ER!F3</f>
        <v>-2.1828830579753868E-5</v>
      </c>
      <c r="G3" s="34">
        <f>Prob!G3*ER!G3</f>
        <v>-1.0799616189714724E-6</v>
      </c>
      <c r="H3" s="34">
        <f>Prob!H3*ER!H3</f>
        <v>-1.0873686106886531E-4</v>
      </c>
      <c r="I3" s="34">
        <f>Prob!I3*ER!I3</f>
        <v>-1.71227404554561E-4</v>
      </c>
      <c r="J3" s="34">
        <f>Prob!J3*ER!J3</f>
        <v>-2.4270828708052711E-4</v>
      </c>
      <c r="K3" s="47">
        <f>Prob!K3*ER!K3</f>
        <v>-1.0534476300912863E-3</v>
      </c>
      <c r="L3" s="47">
        <f>SUM(B3:K3)</f>
        <v>-2.0340445373895734E-3</v>
      </c>
    </row>
    <row r="4" spans="1:12" x14ac:dyDescent="0.2">
      <c r="A4" s="46">
        <v>6</v>
      </c>
      <c r="B4" s="34">
        <f>Prob!B4*ER!B4</f>
        <v>-1.9168234156936341E-4</v>
      </c>
      <c r="C4" s="34">
        <f>Prob!C4*ER!C4</f>
        <v>-1.2813756710060984E-4</v>
      </c>
      <c r="D4" s="34">
        <f>Prob!D4*ER!D4</f>
        <v>-9.7670530731550645E-5</v>
      </c>
      <c r="E4" s="34">
        <f>Prob!E4*ER!E4</f>
        <v>-6.6378827425022589E-5</v>
      </c>
      <c r="F4" s="34">
        <f>Prob!F4*ER!F4</f>
        <v>-3.17851373055095E-5</v>
      </c>
      <c r="G4" s="34">
        <f>Prob!G4*ER!G4</f>
        <v>-1.1839631797791804E-5</v>
      </c>
      <c r="H4" s="34">
        <f>Prob!H4*ER!H4</f>
        <v>-1.3830924646035455E-4</v>
      </c>
      <c r="I4" s="34">
        <f>Prob!I4*ER!I4</f>
        <v>-1.9776229523967663E-4</v>
      </c>
      <c r="J4" s="34">
        <f>Prob!J4*ER!J4</f>
        <v>-2.6640027327967777E-4</v>
      </c>
      <c r="K4" s="47">
        <f>Prob!K4*ER!K4</f>
        <v>-1.1352524868291438E-3</v>
      </c>
      <c r="L4" s="47">
        <f t="shared" ref="L4:L38" si="0">SUM(B4:K4)</f>
        <v>-2.2652183377387006E-3</v>
      </c>
    </row>
    <row r="5" spans="1:12" x14ac:dyDescent="0.2">
      <c r="A5" s="46">
        <v>7</v>
      </c>
      <c r="B5" s="34">
        <f>Prob!B5*ER!B5</f>
        <v>-3.9083293343856768E-4</v>
      </c>
      <c r="C5" s="34">
        <f>Prob!C5*ER!C5</f>
        <v>-1.9878639575169113E-4</v>
      </c>
      <c r="D5" s="34">
        <f>Prob!D5*ER!D5</f>
        <v>-1.3943191971682042E-4</v>
      </c>
      <c r="E5" s="34">
        <f>Prob!E5*ER!E5</f>
        <v>-7.8328254900941066E-5</v>
      </c>
      <c r="F5" s="34">
        <f>Prob!F5*ER!F5</f>
        <v>-1.3238708972127238E-5</v>
      </c>
      <c r="G5" s="34">
        <f>Prob!G5*ER!G5</f>
        <v>5.3136717986091704E-5</v>
      </c>
      <c r="H5" s="34">
        <f>Prob!H5*ER!H5</f>
        <v>-1.252759209475244E-4</v>
      </c>
      <c r="I5" s="34">
        <f>Prob!I5*ER!I5</f>
        <v>-3.8344063491005864E-4</v>
      </c>
      <c r="J5" s="34">
        <f>Prob!J5*ER!J5</f>
        <v>-5.1955473916591097E-4</v>
      </c>
      <c r="K5" s="47">
        <f>Prob!K5*ER!K5</f>
        <v>-2.1448310615342948E-3</v>
      </c>
      <c r="L5" s="47">
        <f t="shared" si="0"/>
        <v>-3.940583851351845E-3</v>
      </c>
    </row>
    <row r="6" spans="1:12" x14ac:dyDescent="0.2">
      <c r="A6" s="46">
        <v>8</v>
      </c>
      <c r="B6" s="34">
        <f>Prob!B6*ER!B6</f>
        <v>-2.4834694795945137E-4</v>
      </c>
      <c r="C6" s="34">
        <f>Prob!C6*ER!C6</f>
        <v>-3.9687187999646193E-5</v>
      </c>
      <c r="D6" s="34">
        <f>Prob!D6*ER!D6</f>
        <v>1.4574897643431377E-5</v>
      </c>
      <c r="E6" s="34">
        <f>Prob!E6*ER!E6</f>
        <v>7.0613515297603669E-5</v>
      </c>
      <c r="F6" s="34">
        <f>Prob!F6*ER!F6</f>
        <v>1.2891149018303839E-4</v>
      </c>
      <c r="G6" s="34">
        <f>Prob!G6*ER!G6</f>
        <v>2.0930386908734315E-4</v>
      </c>
      <c r="H6" s="34">
        <f>Prob!H6*ER!H6</f>
        <v>1.4967216998405621E-4</v>
      </c>
      <c r="I6" s="34">
        <f>Prob!I6*ER!I6</f>
        <v>-1.090546666520825E-4</v>
      </c>
      <c r="J6" s="34">
        <f>Prob!J6*ER!J6</f>
        <v>-3.8267880199948582E-4</v>
      </c>
      <c r="K6" s="47">
        <f>Prob!K6*ER!K6</f>
        <v>-1.6764124318560901E-3</v>
      </c>
      <c r="L6" s="47">
        <f t="shared" si="0"/>
        <v>-1.8831040942712833E-3</v>
      </c>
    </row>
    <row r="7" spans="1:12" x14ac:dyDescent="0.2">
      <c r="A7" s="46">
        <v>9</v>
      </c>
      <c r="B7" s="34">
        <f>Prob!B7*ER!B7</f>
        <v>-1.2418199831993191E-4</v>
      </c>
      <c r="C7" s="34">
        <f>Prob!C7*ER!C7</f>
        <v>2.0331189142377935E-4</v>
      </c>
      <c r="D7" s="34">
        <f>Prob!D7*ER!D7</f>
        <v>3.2994907600363178E-4</v>
      </c>
      <c r="E7" s="34">
        <f>Prob!E7*ER!E7</f>
        <v>4.9690195917821125E-4</v>
      </c>
      <c r="F7" s="34">
        <f>Prob!F7*ER!F7</f>
        <v>6.6378850670833784E-4</v>
      </c>
      <c r="G7" s="34">
        <f>Prob!G7*ER!G7</f>
        <v>8.6587550032316875E-4</v>
      </c>
      <c r="H7" s="34">
        <f>Prob!H7*ER!H7</f>
        <v>4.6937057788881025E-4</v>
      </c>
      <c r="I7" s="34">
        <f>Prob!I7*ER!I7</f>
        <v>2.6866513637339789E-4</v>
      </c>
      <c r="J7" s="34">
        <f>Prob!J7*ER!J7</f>
        <v>-1.42498097758721E-4</v>
      </c>
      <c r="K7" s="47">
        <f>Prob!K7*ER!K7</f>
        <v>-1.5423290376342085E-3</v>
      </c>
      <c r="L7" s="47">
        <f t="shared" si="0"/>
        <v>1.488853514186476E-3</v>
      </c>
    </row>
    <row r="8" spans="1:12" x14ac:dyDescent="0.2">
      <c r="A8" s="46">
        <v>10</v>
      </c>
      <c r="B8" s="34">
        <f>Prob!B8*ER!B8</f>
        <v>1.5399615661373551E-4</v>
      </c>
      <c r="C8" s="34">
        <f>Prob!C8*ER!C8</f>
        <v>9.8026239174046187E-4</v>
      </c>
      <c r="D8" s="34">
        <f>Prob!D8*ER!D8</f>
        <v>1.1178534460881363E-3</v>
      </c>
      <c r="E8" s="34">
        <f>Prob!E8*ER!E8</f>
        <v>1.2588263371716543E-3</v>
      </c>
      <c r="F8" s="34">
        <f>Prob!F8*ER!F8</f>
        <v>1.3996825917249008E-3</v>
      </c>
      <c r="G8" s="34">
        <f>Prob!G8*ER!G8</f>
        <v>1.5719349165164371E-3</v>
      </c>
      <c r="H8" s="34">
        <f>Prob!H8*ER!H8</f>
        <v>1.0716771650863116E-3</v>
      </c>
      <c r="I8" s="34">
        <f>Prob!I8*ER!I8</f>
        <v>7.8280122954834004E-4</v>
      </c>
      <c r="J8" s="34">
        <f>Prob!J8*ER!J8</f>
        <v>3.9416031419418635E-4</v>
      </c>
      <c r="K8" s="47">
        <f>Prob!K8*ER!K8</f>
        <v>2.5520306136935081E-4</v>
      </c>
      <c r="L8" s="47">
        <f t="shared" si="0"/>
        <v>8.9863976100535148E-3</v>
      </c>
    </row>
    <row r="9" spans="1:12" x14ac:dyDescent="0.2">
      <c r="A9" s="46">
        <v>11</v>
      </c>
      <c r="B9" s="34">
        <f>Prob!B9*ER!B9</f>
        <v>3.6049481165330982E-4</v>
      </c>
      <c r="C9" s="34">
        <f>Prob!C9*ER!C9</f>
        <v>1.71375848280189E-3</v>
      </c>
      <c r="D9" s="34">
        <f>Prob!D9*ER!D9</f>
        <v>1.8854629153289646E-3</v>
      </c>
      <c r="E9" s="34">
        <f>Prob!E9*ER!E9</f>
        <v>2.0611399195920844E-3</v>
      </c>
      <c r="F9" s="34">
        <f>Prob!F9*ER!F9</f>
        <v>2.2383214125044266E-3</v>
      </c>
      <c r="G9" s="34">
        <f>Prob!G9*ER!G9</f>
        <v>2.4301505504144547E-3</v>
      </c>
      <c r="H9" s="34">
        <f>Prob!H9*ER!H9</f>
        <v>1.6855309926783464E-3</v>
      </c>
      <c r="I9" s="34">
        <f>Prob!I9*ER!I9</f>
        <v>1.2769871310707877E-3</v>
      </c>
      <c r="J9" s="34">
        <f>Prob!J9*ER!J9</f>
        <v>8.2943440383233475E-4</v>
      </c>
      <c r="K9" s="47">
        <f>Prob!K9*ER!K9</f>
        <v>2.4158982992850461E-3</v>
      </c>
      <c r="L9" s="47">
        <f t="shared" si="0"/>
        <v>1.6897178919161645E-2</v>
      </c>
    </row>
    <row r="10" spans="1:12" x14ac:dyDescent="0.2">
      <c r="A10" s="46">
        <v>12</v>
      </c>
      <c r="B10" s="34">
        <f>Prob!B10*ER!B10</f>
        <v>-1.5464473546251917E-3</v>
      </c>
      <c r="C10" s="34">
        <f>Prob!C10*ER!C10</f>
        <v>-1.6146835701105753E-3</v>
      </c>
      <c r="D10" s="34">
        <f>Prob!D10*ER!D10</f>
        <v>-1.4891545731330056E-3</v>
      </c>
      <c r="E10" s="34">
        <f>Prob!E10*ER!E10</f>
        <v>-1.3449629157618579E-3</v>
      </c>
      <c r="F10" s="34">
        <f>Prob!F10*ER!F10</f>
        <v>-1.0654061227567838E-3</v>
      </c>
      <c r="G10" s="34">
        <f>Prob!G10*ER!G10</f>
        <v>-9.7942021921714308E-4</v>
      </c>
      <c r="H10" s="34">
        <f>Prob!H10*ER!H10</f>
        <v>-1.3563350037516613E-3</v>
      </c>
      <c r="I10" s="34">
        <f>Prob!I10*ER!I10</f>
        <v>-1.7305631635594024E-3</v>
      </c>
      <c r="J10" s="34">
        <f>Prob!J10*ER!J10</f>
        <v>-2.1666754340123346E-3</v>
      </c>
      <c r="K10" s="47">
        <f>Prob!K10*ER!K10</f>
        <v>-8.9654035640879173E-3</v>
      </c>
      <c r="L10" s="47">
        <f t="shared" si="0"/>
        <v>-2.2259051921015873E-2</v>
      </c>
    </row>
    <row r="11" spans="1:12" x14ac:dyDescent="0.2">
      <c r="A11" s="46">
        <v>13</v>
      </c>
      <c r="B11" s="34">
        <f>Prob!B11*ER!B11</f>
        <v>-1.751101846276019E-3</v>
      </c>
      <c r="C11" s="34">
        <f>Prob!C11*ER!C11</f>
        <v>-1.8657133276877025E-3</v>
      </c>
      <c r="D11" s="34">
        <f>Prob!D11*ER!D11</f>
        <v>-1.6074206687755985E-3</v>
      </c>
      <c r="E11" s="34">
        <f>Prob!E11*ER!E11</f>
        <v>-1.3449629157618579E-3</v>
      </c>
      <c r="F11" s="34">
        <f>Prob!F11*ER!F11</f>
        <v>-1.0654061227567838E-3</v>
      </c>
      <c r="G11" s="34">
        <f>Prob!G11*ER!G11</f>
        <v>-9.7942021921714308E-4</v>
      </c>
      <c r="H11" s="34">
        <f>Prob!H11*ER!H11</f>
        <v>-1.7146200676946227E-3</v>
      </c>
      <c r="I11" s="34">
        <f>Prob!I11*ER!I11</f>
        <v>-2.0621176446589534E-3</v>
      </c>
      <c r="J11" s="34">
        <f>Prob!J11*ER!J11</f>
        <v>-2.4670790386509623E-3</v>
      </c>
      <c r="K11" s="47">
        <f>Prob!K11*ER!K11</f>
        <v>-1.0005631019124215E-2</v>
      </c>
      <c r="L11" s="47">
        <f t="shared" si="0"/>
        <v>-2.4863472870603857E-2</v>
      </c>
    </row>
    <row r="12" spans="1:12" x14ac:dyDescent="0.2">
      <c r="A12" s="46">
        <v>14</v>
      </c>
      <c r="B12" s="34">
        <f>Prob!B12*ER!B12</f>
        <v>-1.6638327085301031E-3</v>
      </c>
      <c r="C12" s="34">
        <f>Prob!C12*ER!C12</f>
        <v>-1.5991828523037449E-3</v>
      </c>
      <c r="D12" s="34">
        <f>Prob!D12*ER!D12</f>
        <v>-1.3777891446647985E-3</v>
      </c>
      <c r="E12" s="34">
        <f>Prob!E12*ER!E12</f>
        <v>-1.1528253563673067E-3</v>
      </c>
      <c r="F12" s="34">
        <f>Prob!F12*ER!F12</f>
        <v>-9.1320524807724315E-4</v>
      </c>
      <c r="G12" s="34">
        <f>Prob!G12*ER!G12</f>
        <v>-8.3950304504326557E-4</v>
      </c>
      <c r="H12" s="34">
        <f>Prob!H12*ER!H12</f>
        <v>-1.7548400068765231E-3</v>
      </c>
      <c r="I12" s="34">
        <f>Prob!I12*ER!I12</f>
        <v>-2.0314197109909905E-3</v>
      </c>
      <c r="J12" s="34">
        <f>Prob!J12*ER!J12</f>
        <v>-2.3537359225356508E-3</v>
      </c>
      <c r="K12" s="47">
        <f>Prob!K12*ER!K12</f>
        <v>-9.4041912969312826E-3</v>
      </c>
      <c r="L12" s="47">
        <f t="shared" si="0"/>
        <v>-2.3090525292320911E-2</v>
      </c>
    </row>
    <row r="13" spans="1:12" x14ac:dyDescent="0.2">
      <c r="A13" s="46">
        <v>15</v>
      </c>
      <c r="B13" s="34">
        <f>Prob!B13*ER!B13</f>
        <v>-1.8150861010475514E-3</v>
      </c>
      <c r="C13" s="34">
        <f>Prob!C13*ER!C13</f>
        <v>-1.5991828523037449E-3</v>
      </c>
      <c r="D13" s="34">
        <f>Prob!D13*ER!D13</f>
        <v>-1.3777891446647985E-3</v>
      </c>
      <c r="E13" s="34">
        <f>Prob!E13*ER!E13</f>
        <v>-1.1528253563673067E-3</v>
      </c>
      <c r="F13" s="34">
        <f>Prob!F13*ER!F13</f>
        <v>-9.1320524807724315E-4</v>
      </c>
      <c r="G13" s="34">
        <f>Prob!G13*ER!G13</f>
        <v>-8.3950304504326557E-4</v>
      </c>
      <c r="H13" s="34">
        <f>Prob!H13*ER!H13</f>
        <v>-2.0196366940763502E-3</v>
      </c>
      <c r="I13" s="34">
        <f>Prob!I13*ER!I13</f>
        <v>-2.276460705039784E-3</v>
      </c>
      <c r="J13" s="34">
        <f>Prob!J13*ER!J13</f>
        <v>-2.5757543300455399E-3</v>
      </c>
      <c r="K13" s="47">
        <f>Prob!K13*ER!K13</f>
        <v>-1.0083680543398343E-2</v>
      </c>
      <c r="L13" s="47">
        <f t="shared" si="0"/>
        <v>-2.4653124020063928E-2</v>
      </c>
    </row>
    <row r="14" spans="1:12" x14ac:dyDescent="0.2">
      <c r="A14" s="46">
        <v>16</v>
      </c>
      <c r="B14" s="34">
        <f>Prob!B14*ER!B14</f>
        <v>-1.6296130665114611E-3</v>
      </c>
      <c r="C14" s="34">
        <f>Prob!C14*ER!C14</f>
        <v>-1.3326523769197874E-3</v>
      </c>
      <c r="D14" s="34">
        <f>Prob!D14*ER!D14</f>
        <v>-1.1481576205539987E-3</v>
      </c>
      <c r="E14" s="34">
        <f>Prob!E14*ER!E14</f>
        <v>-9.6068779697275558E-4</v>
      </c>
      <c r="F14" s="34">
        <f>Prob!F14*ER!F14</f>
        <v>-7.6100437339770254E-4</v>
      </c>
      <c r="G14" s="34">
        <f>Prob!G14*ER!G14</f>
        <v>-6.9958587086938785E-4</v>
      </c>
      <c r="H14" s="34">
        <f>Prob!H14*ER!H14</f>
        <v>-1.887932776825396E-3</v>
      </c>
      <c r="I14" s="34">
        <f>Prob!I14*ER!I14</f>
        <v>-2.0866656424518627E-3</v>
      </c>
      <c r="J14" s="34">
        <f>Prob!J14*ER!J14</f>
        <v>-2.2758306781975423E-3</v>
      </c>
      <c r="K14" s="47">
        <f>Prob!K14*ER!K14</f>
        <v>-8.4030671194986178E-3</v>
      </c>
      <c r="L14" s="47">
        <f t="shared" si="0"/>
        <v>-2.1185197322198514E-2</v>
      </c>
    </row>
    <row r="15" spans="1:12" x14ac:dyDescent="0.2">
      <c r="A15" s="46">
        <v>17</v>
      </c>
      <c r="B15" s="34">
        <f>Prob!B15*ER!B15</f>
        <v>-1.5063552659054771E-3</v>
      </c>
      <c r="C15" s="34">
        <f>Prob!C15*ER!C15</f>
        <v>-6.9628851926054644E-4</v>
      </c>
      <c r="D15" s="34">
        <f>Prob!D15*ER!D15</f>
        <v>-5.3352863643410867E-4</v>
      </c>
      <c r="E15" s="34">
        <f>Prob!E15*ER!E15</f>
        <v>-3.66742708899937E-4</v>
      </c>
      <c r="F15" s="34">
        <f>Prob!F15*ER!F15</f>
        <v>-2.0455792246210493E-4</v>
      </c>
      <c r="G15" s="34">
        <f>Prob!G15*ER!G15</f>
        <v>5.3432683993363013E-5</v>
      </c>
      <c r="H15" s="34">
        <f>Prob!H15*ER!H15</f>
        <v>-4.8615834994399044E-4</v>
      </c>
      <c r="I15" s="34">
        <f>Prob!I15*ER!I15</f>
        <v>-1.7385114749587944E-3</v>
      </c>
      <c r="J15" s="34">
        <f>Prob!J15*ER!J15</f>
        <v>-1.9260548003878807E-3</v>
      </c>
      <c r="K15" s="47">
        <f>Prob!K15*ER!K15</f>
        <v>-7.053881316684764E-3</v>
      </c>
      <c r="L15" s="47">
        <f t="shared" si="0"/>
        <v>-1.4458646310944241E-2</v>
      </c>
    </row>
    <row r="16" spans="1:12" x14ac:dyDescent="0.2">
      <c r="A16" s="46">
        <v>18</v>
      </c>
      <c r="B16" s="34">
        <f>Prob!B16*ER!B16</f>
        <v>-2.5259336312278007E-4</v>
      </c>
      <c r="C16" s="34">
        <f>Prob!C16*ER!C16</f>
        <v>4.4330232943427485E-4</v>
      </c>
      <c r="D16" s="34">
        <f>Prob!D16*ER!D16</f>
        <v>5.4000936856189795E-4</v>
      </c>
      <c r="E16" s="34">
        <f>Prob!E16*ER!E16</f>
        <v>6.4034387691392009E-4</v>
      </c>
      <c r="F16" s="34">
        <f>Prob!F16*ER!F16</f>
        <v>7.266679835272725E-4</v>
      </c>
      <c r="G16" s="34">
        <f>Prob!G16*ER!G16</f>
        <v>1.0321125755007687E-3</v>
      </c>
      <c r="H16" s="34">
        <f>Prob!H16*ER!H16</f>
        <v>1.4549082106019185E-3</v>
      </c>
      <c r="I16" s="34">
        <f>Prob!I16*ER!I16</f>
        <v>3.8580372733408683E-4</v>
      </c>
      <c r="J16" s="34">
        <f>Prob!J16*ER!J16</f>
        <v>-6.6695805798246089E-4</v>
      </c>
      <c r="K16" s="47">
        <f>Prob!K16*ER!K16</f>
        <v>-2.3972435761301066E-3</v>
      </c>
      <c r="L16" s="47">
        <f t="shared" si="0"/>
        <v>1.9063530746387921E-3</v>
      </c>
    </row>
    <row r="17" spans="1:12" x14ac:dyDescent="0.2">
      <c r="A17" s="46">
        <v>19</v>
      </c>
      <c r="B17" s="34">
        <f>Prob!B17*ER!B17</f>
        <v>6.9989748647882174E-4</v>
      </c>
      <c r="C17" s="34">
        <f>Prob!C17*ER!C17</f>
        <v>1.4066624889234045E-3</v>
      </c>
      <c r="D17" s="34">
        <f>Prob!D17*ER!D17</f>
        <v>1.4724185219763676E-3</v>
      </c>
      <c r="E17" s="34">
        <f>Prob!E17*ER!E17</f>
        <v>1.5409337271825093E-3</v>
      </c>
      <c r="F17" s="34">
        <f>Prob!F17*ER!F17</f>
        <v>1.6004082081415886E-3</v>
      </c>
      <c r="G17" s="34">
        <f>Prob!G17*ER!G17</f>
        <v>1.8060157443325234E-3</v>
      </c>
      <c r="H17" s="34">
        <f>Prob!H17*ER!H17</f>
        <v>2.2429731297348441E-3</v>
      </c>
      <c r="I17" s="34">
        <f>Prob!I17*ER!I17</f>
        <v>2.1624166346352097E-3</v>
      </c>
      <c r="J17" s="34">
        <f>Prob!J17*ER!J17</f>
        <v>1.0472344362952445E-3</v>
      </c>
      <c r="K17" s="47">
        <f>Prob!K17*ER!K17</f>
        <v>8.4861790108759795E-4</v>
      </c>
      <c r="L17" s="47">
        <f t="shared" si="0"/>
        <v>1.482757827878811E-2</v>
      </c>
    </row>
    <row r="18" spans="1:12" x14ac:dyDescent="0.2">
      <c r="A18" s="46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48">
        <v>10</v>
      </c>
      <c r="L18" s="48" t="s">
        <v>2</v>
      </c>
    </row>
    <row r="19" spans="1:12" x14ac:dyDescent="0.2">
      <c r="A19" s="46">
        <v>13</v>
      </c>
      <c r="B19" s="34">
        <f>Prob!B19*ER!B19</f>
        <v>-3.6117252197142422E-5</v>
      </c>
      <c r="C19" s="34">
        <f>Prob!C19*ER!C19</f>
        <v>4.2454376600190788E-5</v>
      </c>
      <c r="D19" s="34">
        <f>Prob!D19*ER!D19</f>
        <v>6.7472747740322317E-5</v>
      </c>
      <c r="E19" s="34">
        <f>Prob!E19*ER!E19</f>
        <v>9.328825386621324E-5</v>
      </c>
      <c r="F19" s="34">
        <f>Prob!F19*ER!F19</f>
        <v>1.2140440462741674E-4</v>
      </c>
      <c r="G19" s="34">
        <f>Prob!G19*ER!G19</f>
        <v>1.6363059246965421E-4</v>
      </c>
      <c r="H19" s="34">
        <f>Prob!H19*ER!H19</f>
        <v>1.114116478643532E-4</v>
      </c>
      <c r="I19" s="34">
        <f>Prob!I19*ER!I19</f>
        <v>4.9209895490497323E-5</v>
      </c>
      <c r="J19" s="34">
        <f>Prob!J19*ER!J19</f>
        <v>-3.4314691058242955E-5</v>
      </c>
      <c r="K19" s="47">
        <f>Prob!K19*ER!K19</f>
        <v>-3.5242920090342321E-4</v>
      </c>
      <c r="L19" s="47">
        <f t="shared" si="0"/>
        <v>2.2601077449983911E-4</v>
      </c>
    </row>
    <row r="20" spans="1:12" x14ac:dyDescent="0.2">
      <c r="A20" s="46">
        <v>14</v>
      </c>
      <c r="B20" s="34">
        <f>Prob!B20*ER!B20</f>
        <v>-5.9162418886929097E-5</v>
      </c>
      <c r="C20" s="34">
        <f>Prob!C20*ER!C20</f>
        <v>2.0384030029894478E-5</v>
      </c>
      <c r="D20" s="34">
        <f>Prob!D20*ER!D20</f>
        <v>4.6251014036670753E-5</v>
      </c>
      <c r="E20" s="34">
        <f>Prob!E20*ER!E20</f>
        <v>7.2900695776158622E-5</v>
      </c>
      <c r="F20" s="34">
        <f>Prob!F20*ER!F20</f>
        <v>1.1466043263420962E-4</v>
      </c>
      <c r="G20" s="34">
        <f>Prob!G20*ER!G20</f>
        <v>1.6363059246965421E-4</v>
      </c>
      <c r="H20" s="34">
        <f>Prob!H20*ER!H20</f>
        <v>7.2378232584859498E-5</v>
      </c>
      <c r="I20" s="34">
        <f>Prob!I20*ER!I20</f>
        <v>1.2086681350212513E-5</v>
      </c>
      <c r="J20" s="34">
        <f>Prob!J20*ER!J20</f>
        <v>-6.8423476961023064E-5</v>
      </c>
      <c r="K20" s="47">
        <f>Prob!K20*ER!K20</f>
        <v>-4.6877949262433521E-4</v>
      </c>
      <c r="L20" s="47">
        <f t="shared" si="0"/>
        <v>-9.4073709590627758E-5</v>
      </c>
    </row>
    <row r="21" spans="1:12" x14ac:dyDescent="0.2">
      <c r="A21" s="46">
        <v>15</v>
      </c>
      <c r="B21" s="34">
        <f>Prob!B21*ER!B21</f>
        <v>-8.1946606568813872E-5</v>
      </c>
      <c r="C21" s="34">
        <f>Prob!C21*ER!C21</f>
        <v>-1.0986321395208543E-7</v>
      </c>
      <c r="D21" s="34">
        <f>Prob!D21*ER!D21</f>
        <v>2.6545118454708574E-5</v>
      </c>
      <c r="E21" s="34">
        <f>Prob!E21*ER!E21</f>
        <v>5.3969391835393658E-5</v>
      </c>
      <c r="F21" s="34">
        <f>Prob!F21*ER!F21</f>
        <v>1.1466043263420962E-4</v>
      </c>
      <c r="G21" s="34">
        <f>Prob!G21*ER!G21</f>
        <v>1.6363059246965421E-4</v>
      </c>
      <c r="H21" s="34">
        <f>Prob!H21*ER!H21</f>
        <v>3.3708040308847741E-5</v>
      </c>
      <c r="I21" s="34">
        <f>Prob!I21*ER!I21</f>
        <v>-2.4628839784161744E-5</v>
      </c>
      <c r="J21" s="34">
        <f>Prob!J21*ER!J21</f>
        <v>-1.0212905661351197E-4</v>
      </c>
      <c r="K21" s="47">
        <f>Prob!K21*ER!K21</f>
        <v>-5.838593225019333E-4</v>
      </c>
      <c r="L21" s="47">
        <f t="shared" si="0"/>
        <v>-4.0016011297955913E-4</v>
      </c>
    </row>
    <row r="22" spans="1:12" x14ac:dyDescent="0.2">
      <c r="A22" s="46">
        <v>16</v>
      </c>
      <c r="B22" s="34">
        <f>Prob!B22*ER!B22</f>
        <v>-1.0438952057714096E-4</v>
      </c>
      <c r="C22" s="34">
        <f>Prob!C22*ER!C22</f>
        <v>-1.9139906940381036E-5</v>
      </c>
      <c r="D22" s="34">
        <f>Prob!D22*ER!D22</f>
        <v>8.2467868428865046E-6</v>
      </c>
      <c r="E22" s="34">
        <f>Prob!E22*ER!E22</f>
        <v>5.31875455109194E-5</v>
      </c>
      <c r="F22" s="34">
        <f>Prob!F22*ER!F22</f>
        <v>1.1466043263420962E-4</v>
      </c>
      <c r="G22" s="34">
        <f>Prob!G22*ER!G22</f>
        <v>1.6363059246965421E-4</v>
      </c>
      <c r="H22" s="34">
        <f>Prob!H22*ER!H22</f>
        <v>-4.4516678862229355E-6</v>
      </c>
      <c r="I22" s="34">
        <f>Prob!I22*ER!I22</f>
        <v>-6.0805505616835785E-5</v>
      </c>
      <c r="J22" s="34">
        <f>Prob!J22*ER!J22</f>
        <v>-1.3531500649073712E-4</v>
      </c>
      <c r="K22" s="47">
        <f>Prob!K22*ER!K22</f>
        <v>-6.9725656114791085E-4</v>
      </c>
      <c r="L22" s="47">
        <f t="shared" si="0"/>
        <v>-6.8163281120155899E-4</v>
      </c>
    </row>
    <row r="23" spans="1:12" x14ac:dyDescent="0.2">
      <c r="A23" s="46">
        <v>17</v>
      </c>
      <c r="B23" s="34">
        <f>Prob!B23*ER!B23</f>
        <v>-1.1317001002288128E-4</v>
      </c>
      <c r="C23" s="34">
        <f>Prob!C23*ER!C23</f>
        <v>-4.4701282010844689E-7</v>
      </c>
      <c r="D23" s="34">
        <f>Prob!D23*ER!D23</f>
        <v>5.0155015456803226E-5</v>
      </c>
      <c r="E23" s="34">
        <f>Prob!E23*ER!E23</f>
        <v>1.0801324594841029E-4</v>
      </c>
      <c r="F23" s="34">
        <f>Prob!F23*ER!F23</f>
        <v>1.6602472041288012E-4</v>
      </c>
      <c r="G23" s="34">
        <f>Prob!G23*ER!G23</f>
        <v>2.3313999753390817E-4</v>
      </c>
      <c r="H23" s="34">
        <f>Prob!H23*ER!H23</f>
        <v>4.8997235972796233E-5</v>
      </c>
      <c r="I23" s="34">
        <f>Prob!I23*ER!I23</f>
        <v>-6.6377240536770221E-5</v>
      </c>
      <c r="J23" s="34">
        <f>Prob!J23*ER!J23</f>
        <v>-1.3635584176798654E-4</v>
      </c>
      <c r="K23" s="47">
        <f>Prob!K23*ER!K23</f>
        <v>-6.6171456596158867E-4</v>
      </c>
      <c r="L23" s="47">
        <f t="shared" si="0"/>
        <v>-3.7173445578453709E-4</v>
      </c>
    </row>
    <row r="24" spans="1:12" x14ac:dyDescent="0.2">
      <c r="A24" s="46">
        <v>18</v>
      </c>
      <c r="B24" s="34">
        <f>Prob!B24*ER!B24</f>
        <v>-5.8570738134067882E-5</v>
      </c>
      <c r="C24" s="34">
        <f>Prob!C24*ER!C24</f>
        <v>1.1082558235856871E-4</v>
      </c>
      <c r="D24" s="34">
        <f>Prob!D24*ER!D24</f>
        <v>1.6171258596170919E-4</v>
      </c>
      <c r="E24" s="34">
        <f>Prob!E24*ER!E24</f>
        <v>2.1575225102924141E-4</v>
      </c>
      <c r="F24" s="34">
        <f>Prob!F24*ER!F24</f>
        <v>2.6875329597022131E-4</v>
      </c>
      <c r="G24" s="34">
        <f>Prob!G24*ER!G24</f>
        <v>3.4729766233845561E-4</v>
      </c>
      <c r="H24" s="34">
        <f>Prob!H24*ER!H24</f>
        <v>3.6372705265047962E-4</v>
      </c>
      <c r="I24" s="34">
        <f>Prob!I24*ER!I24</f>
        <v>9.6450931833521708E-5</v>
      </c>
      <c r="J24" s="34">
        <f>Prob!J24*ER!J24</f>
        <v>-9.171079433811128E-5</v>
      </c>
      <c r="K24" s="47">
        <f>Prob!K24*ER!K24</f>
        <v>-4.8337172454427865E-4</v>
      </c>
      <c r="L24" s="47">
        <f t="shared" si="0"/>
        <v>9.3086610512573985E-4</v>
      </c>
    </row>
    <row r="25" spans="1:12" x14ac:dyDescent="0.2">
      <c r="A25" s="46">
        <v>19</v>
      </c>
      <c r="B25" s="34">
        <f>Prob!B25*ER!B25</f>
        <v>1.7497437161970544E-4</v>
      </c>
      <c r="C25" s="34">
        <f>Prob!C25*ER!C25</f>
        <v>3.5166562223085113E-4</v>
      </c>
      <c r="D25" s="34">
        <f>Prob!D25*ER!D25</f>
        <v>3.681046304940919E-4</v>
      </c>
      <c r="E25" s="34">
        <f>Prob!E25*ER!E25</f>
        <v>3.8523343179562732E-4</v>
      </c>
      <c r="F25" s="34">
        <f>Prob!F25*ER!F25</f>
        <v>4.0010205203539715E-4</v>
      </c>
      <c r="G25" s="34">
        <f>Prob!G25*ER!G25</f>
        <v>4.5150393608313084E-4</v>
      </c>
      <c r="H25" s="34">
        <f>Prob!H25*ER!H25</f>
        <v>5.6074328243371102E-4</v>
      </c>
      <c r="I25" s="34">
        <f>Prob!I25*ER!I25</f>
        <v>5.4060415865880243E-4</v>
      </c>
      <c r="J25" s="34">
        <f>Prob!J25*ER!J25</f>
        <v>2.6180860907381112E-4</v>
      </c>
      <c r="K25" s="47">
        <f>Prob!K25*ER!K25</f>
        <v>2.1215447527189949E-4</v>
      </c>
      <c r="L25" s="47">
        <f t="shared" si="0"/>
        <v>3.7068945696970275E-3</v>
      </c>
    </row>
    <row r="26" spans="1:12" x14ac:dyDescent="0.2">
      <c r="A26" s="46">
        <v>20</v>
      </c>
      <c r="B26" s="34">
        <f>Prob!B26*ER!B26</f>
        <v>4.1309708402010589E-4</v>
      </c>
      <c r="C26" s="34">
        <f>Prob!C26*ER!C26</f>
        <v>5.8260043260522428E-4</v>
      </c>
      <c r="D26" s="34">
        <f>Prob!D26*ER!D26</f>
        <v>5.9196367250931401E-4</v>
      </c>
      <c r="E26" s="34">
        <f>Prob!E26*ER!E26</f>
        <v>6.0177511328909602E-4</v>
      </c>
      <c r="F26" s="34">
        <f>Prob!F26*ER!F26</f>
        <v>6.1025005974765594E-4</v>
      </c>
      <c r="G26" s="34">
        <f>Prob!G26*ER!G26</f>
        <v>6.4083620407040943E-4</v>
      </c>
      <c r="H26" s="34">
        <f>Prob!H26*ER!H26</f>
        <v>7.0389369734836138E-4</v>
      </c>
      <c r="I26" s="34">
        <f>Prob!I26*ER!I26</f>
        <v>7.2081489262803688E-4</v>
      </c>
      <c r="J26" s="34">
        <f>Prob!J26*ER!J26</f>
        <v>6.9035673264323746E-4</v>
      </c>
      <c r="K26" s="47">
        <f>Prob!K26*ER!K26</f>
        <v>1.8639265565261877E-3</v>
      </c>
      <c r="L26" s="47">
        <f t="shared" si="0"/>
        <v>7.4195144453876281E-3</v>
      </c>
    </row>
    <row r="27" spans="1:12" x14ac:dyDescent="0.2">
      <c r="A27" s="46">
        <v>21</v>
      </c>
      <c r="B27" s="34">
        <f>Prob!B27*ER!B27</f>
        <v>3.781380203774378E-3</v>
      </c>
      <c r="C27" s="34">
        <f>Prob!C27*ER!C27</f>
        <v>5.461993627674102E-3</v>
      </c>
      <c r="D27" s="34">
        <f>Prob!D27*ER!D27</f>
        <v>5.461993627674102E-3</v>
      </c>
      <c r="E27" s="34">
        <f>Prob!E27*ER!E27</f>
        <v>5.461993627674102E-3</v>
      </c>
      <c r="F27" s="34">
        <f>Prob!F27*ER!F27</f>
        <v>5.461993627674102E-3</v>
      </c>
      <c r="G27" s="34">
        <f>Prob!G27*ER!G27</f>
        <v>5.461993627674102E-3</v>
      </c>
      <c r="H27" s="34">
        <f>Prob!H27*ER!H27</f>
        <v>5.461993627674102E-3</v>
      </c>
      <c r="I27" s="34">
        <f>Prob!I27*ER!I27</f>
        <v>5.461993627674102E-3</v>
      </c>
      <c r="J27" s="34">
        <f>Prob!J27*ER!J27</f>
        <v>5.461993627674102E-3</v>
      </c>
      <c r="K27" s="47">
        <f>Prob!K27*ER!K27</f>
        <v>2.0167361086796686E-2</v>
      </c>
      <c r="L27" s="47">
        <f t="shared" si="0"/>
        <v>6.7644690311963893E-2</v>
      </c>
    </row>
    <row r="28" spans="1:12" x14ac:dyDescent="0.2">
      <c r="A28" s="46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48">
        <v>10</v>
      </c>
      <c r="L28" s="48" t="s">
        <v>2</v>
      </c>
    </row>
    <row r="29" spans="1:12" x14ac:dyDescent="0.2">
      <c r="A29" s="46" t="s">
        <v>1</v>
      </c>
      <c r="B29" s="34">
        <f>Prob!B29*ER!B29</f>
        <v>7.1987134727876046E-5</v>
      </c>
      <c r="C29" s="34">
        <f>Prob!C29*ER!C29</f>
        <v>2.6767904851057695E-4</v>
      </c>
      <c r="D29" s="34">
        <f>Prob!D29*ER!D29</f>
        <v>2.8960573002712368E-4</v>
      </c>
      <c r="E29" s="34">
        <f>Prob!E29*ER!E29</f>
        <v>3.1205960835613148E-4</v>
      </c>
      <c r="F29" s="34">
        <f>Prob!F29*ER!F29</f>
        <v>3.3454257870194922E-4</v>
      </c>
      <c r="G29" s="34">
        <f>Prob!G29*ER!G29</f>
        <v>3.6126534278469076E-4</v>
      </c>
      <c r="H29" s="34">
        <f>Prob!H29*ER!H29</f>
        <v>2.7639384473646686E-4</v>
      </c>
      <c r="I29" s="34">
        <f>Prob!I29*ER!I29</f>
        <v>2.1993011078218412E-4</v>
      </c>
      <c r="J29" s="34">
        <f>Prob!J29*ER!J29</f>
        <v>1.5766432231186032E-4</v>
      </c>
      <c r="K29" s="47">
        <f>Prob!K29*ER!K29</f>
        <v>4.8817832762681747E-4</v>
      </c>
      <c r="L29" s="47">
        <f t="shared" si="0"/>
        <v>2.7793060485656767E-3</v>
      </c>
    </row>
    <row r="30" spans="1:12" x14ac:dyDescent="0.2">
      <c r="A30" s="46">
        <v>2</v>
      </c>
      <c r="B30" s="34">
        <f>Prob!B30*ER!B30</f>
        <v>-7.9748361389138256E-5</v>
      </c>
      <c r="C30" s="34">
        <f>Prob!C30*ER!C30</f>
        <v>-3.835558739313202E-5</v>
      </c>
      <c r="D30" s="34">
        <f>Prob!D30*ER!D30</f>
        <v>-7.0542954927178762E-6</v>
      </c>
      <c r="E30" s="34">
        <f>Prob!E30*ER!E30</f>
        <v>2.7006708683957206E-5</v>
      </c>
      <c r="F30" s="34">
        <f>Prob!F30*ER!F30</f>
        <v>6.9201715739152479E-5</v>
      </c>
      <c r="G30" s="34">
        <f>Prob!G30*ER!G30</f>
        <v>1.0349516020114392E-4</v>
      </c>
      <c r="H30" s="34">
        <f>Prob!H30*ER!H30</f>
        <v>3.1670687508401225E-6</v>
      </c>
      <c r="I30" s="34">
        <f>Prob!I30*ER!I30</f>
        <v>-7.2523510541741069E-5</v>
      </c>
      <c r="J30" s="34">
        <f>Prob!J30*ER!J30</f>
        <v>-1.0954309474436299E-4</v>
      </c>
      <c r="K30" s="47">
        <f>Prob!K30*ER!K30</f>
        <v>-4.8602989724842998E-4</v>
      </c>
      <c r="L30" s="47">
        <f t="shared" si="0"/>
        <v>-5.9038409343442849E-4</v>
      </c>
    </row>
    <row r="31" spans="1:12" x14ac:dyDescent="0.2">
      <c r="A31" s="46">
        <v>3</v>
      </c>
      <c r="B31" s="34">
        <f>Prob!B31*ER!B31</f>
        <v>-9.5841170784681705E-5</v>
      </c>
      <c r="C31" s="34">
        <f>Prob!C31*ER!C31</f>
        <v>-6.3691144368509318E-5</v>
      </c>
      <c r="D31" s="34">
        <f>Prob!D31*ER!D31</f>
        <v>-2.6529220039846027E-5</v>
      </c>
      <c r="E31" s="34">
        <f>Prob!E31*ER!E31</f>
        <v>1.2805879825619122E-5</v>
      </c>
      <c r="F31" s="34">
        <f>Prob!F31*ER!F31</f>
        <v>5.6762788502777363E-5</v>
      </c>
      <c r="G31" s="34">
        <f>Prob!G31*ER!G31</f>
        <v>9.0899140785087064E-5</v>
      </c>
      <c r="H31" s="34">
        <f>Prob!H31*ER!H31</f>
        <v>-2.6666023999893766E-5</v>
      </c>
      <c r="I31" s="34">
        <f>Prob!I31*ER!I31</f>
        <v>-9.8881147619838314E-5</v>
      </c>
      <c r="J31" s="34">
        <f>Prob!J31*ER!J31</f>
        <v>-1.3320013663983889E-4</v>
      </c>
      <c r="K31" s="47">
        <f>Prob!K31*ER!K31</f>
        <v>-5.6762624341457192E-4</v>
      </c>
      <c r="L31" s="47">
        <f t="shared" si="0"/>
        <v>-8.5196727775369637E-4</v>
      </c>
    </row>
    <row r="32" spans="1:12" x14ac:dyDescent="0.2">
      <c r="A32" s="46">
        <v>4</v>
      </c>
      <c r="B32" s="34">
        <f>Prob!B32*ER!B32</f>
        <v>-6.2086736989862843E-5</v>
      </c>
      <c r="C32" s="34">
        <f>Prob!C32*ER!C32</f>
        <v>-9.9217969999115483E-6</v>
      </c>
      <c r="D32" s="34">
        <f>Prob!D32*ER!D32</f>
        <v>3.6437244108578442E-6</v>
      </c>
      <c r="E32" s="34">
        <f>Prob!E32*ER!E32</f>
        <v>1.7653378824400917E-5</v>
      </c>
      <c r="F32" s="34">
        <f>Prob!F32*ER!F32</f>
        <v>4.583763740385374E-5</v>
      </c>
      <c r="G32" s="34">
        <f>Prob!G32*ER!G32</f>
        <v>7.9278535590022726E-5</v>
      </c>
      <c r="H32" s="34">
        <f>Prob!H32*ER!H32</f>
        <v>3.7418042496014052E-5</v>
      </c>
      <c r="I32" s="34">
        <f>Prob!I32*ER!I32</f>
        <v>-2.7263666663020625E-5</v>
      </c>
      <c r="J32" s="34">
        <f>Prob!J32*ER!J32</f>
        <v>-9.5669700499871456E-5</v>
      </c>
      <c r="K32" s="47">
        <f>Prob!K32*ER!K32</f>
        <v>-4.1910310796402253E-4</v>
      </c>
      <c r="L32" s="47">
        <f t="shared" si="0"/>
        <v>-4.3021369039153976E-4</v>
      </c>
    </row>
    <row r="33" spans="1:12" x14ac:dyDescent="0.2">
      <c r="A33" s="46">
        <v>5</v>
      </c>
      <c r="B33" s="34">
        <f>Prob!B33*ER!B33</f>
        <v>2.5666026102289253E-5</v>
      </c>
      <c r="C33" s="34">
        <f>Prob!C33*ER!C33</f>
        <v>1.6337706529007698E-4</v>
      </c>
      <c r="D33" s="34">
        <f>Prob!D33*ER!D33</f>
        <v>1.8630890768135604E-4</v>
      </c>
      <c r="E33" s="34">
        <f>Prob!E33*ER!E33</f>
        <v>2.0980438952860903E-4</v>
      </c>
      <c r="F33" s="34">
        <f>Prob!F33*ER!F33</f>
        <v>2.3328043195415012E-4</v>
      </c>
      <c r="G33" s="34">
        <f>Prob!G33*ER!G33</f>
        <v>2.6198915275273951E-4</v>
      </c>
      <c r="H33" s="34">
        <f>Prob!H33*ER!H33</f>
        <v>1.7861286084771861E-4</v>
      </c>
      <c r="I33" s="34">
        <f>Prob!I33*ER!I33</f>
        <v>1.3046687159139E-4</v>
      </c>
      <c r="J33" s="34">
        <f>Prob!J33*ER!J33</f>
        <v>6.5693385699031059E-5</v>
      </c>
      <c r="K33" s="47">
        <f>Prob!K33*ER!K33</f>
        <v>4.2533843561558463E-5</v>
      </c>
      <c r="L33" s="47">
        <f t="shared" si="0"/>
        <v>1.4977329350089193E-3</v>
      </c>
    </row>
    <row r="34" spans="1:12" x14ac:dyDescent="0.2">
      <c r="A34" s="46">
        <v>6</v>
      </c>
      <c r="B34" s="34">
        <f>Prob!B34*ER!B34</f>
        <v>-1.1046052533037082E-4</v>
      </c>
      <c r="C34" s="34">
        <f>Prob!C34*ER!C34</f>
        <v>-1.1533454072218394E-4</v>
      </c>
      <c r="D34" s="34">
        <f>Prob!D34*ER!D34</f>
        <v>-7.3901640887245748E-5</v>
      </c>
      <c r="E34" s="34">
        <f>Prob!E34*ER!E34</f>
        <v>-2.9695999206895436E-5</v>
      </c>
      <c r="F34" s="34">
        <f>Prob!F34*ER!F34</f>
        <v>1.785450902178762E-5</v>
      </c>
      <c r="G34" s="34">
        <f>Prob!G34*ER!G34</f>
        <v>4.8554122362049288E-5</v>
      </c>
      <c r="H34" s="34">
        <f>Prob!H34*ER!H34</f>
        <v>-9.6881071696547228E-5</v>
      </c>
      <c r="I34" s="34">
        <f>Prob!I34*ER!I34</f>
        <v>-1.2361165453995732E-4</v>
      </c>
      <c r="J34" s="34">
        <f>Prob!J34*ER!J34</f>
        <v>-1.5476253100088104E-4</v>
      </c>
      <c r="K34" s="47">
        <f>Prob!K34*ER!K34</f>
        <v>-6.4038596886342258E-4</v>
      </c>
      <c r="L34" s="47">
        <f t="shared" si="0"/>
        <v>-1.2786253008636671E-3</v>
      </c>
    </row>
    <row r="35" spans="1:12" x14ac:dyDescent="0.2">
      <c r="A35" s="46">
        <v>7</v>
      </c>
      <c r="B35" s="34">
        <f>Prob!B35*ER!B35</f>
        <v>-1.3865272571084194E-4</v>
      </c>
      <c r="C35" s="34">
        <f>Prob!C35*ER!C35</f>
        <v>-8.9349844316449805E-5</v>
      </c>
      <c r="D35" s="34">
        <f>Prob!D35*ER!D35</f>
        <v>-4.9834104351610453E-5</v>
      </c>
      <c r="E35" s="34">
        <f>Prob!E35*ER!E35</f>
        <v>-9.0674642339398095E-6</v>
      </c>
      <c r="F35" s="34">
        <f>Prob!F35*ER!F35</f>
        <v>3.3938811046012223E-5</v>
      </c>
      <c r="G35" s="34">
        <f>Prob!G35*ER!G35</f>
        <v>7.4978290004503836E-5</v>
      </c>
      <c r="H35" s="34">
        <f>Prob!H35*ER!H35</f>
        <v>-6.2391995264047222E-5</v>
      </c>
      <c r="I35" s="34">
        <f>Prob!I35*ER!I35</f>
        <v>-1.6928497591591588E-4</v>
      </c>
      <c r="J35" s="34">
        <f>Prob!J35*ER!J35</f>
        <v>-1.961446602113042E-4</v>
      </c>
      <c r="K35" s="47">
        <f>Prob!K35*ER!K35</f>
        <v>-7.8368260807760678E-4</v>
      </c>
      <c r="L35" s="47">
        <f t="shared" si="0"/>
        <v>-1.3894912770312001E-3</v>
      </c>
    </row>
    <row r="36" spans="1:12" x14ac:dyDescent="0.2">
      <c r="A36" s="46">
        <v>8</v>
      </c>
      <c r="B36" s="34">
        <f>Prob!B36*ER!B36</f>
        <v>-1.5077220180493542E-4</v>
      </c>
      <c r="C36" s="34">
        <f>Prob!C36*ER!C36</f>
        <v>-1.8665710175946474E-5</v>
      </c>
      <c r="D36" s="34">
        <f>Prob!D36*ER!D36</f>
        <v>1.349625263470151E-5</v>
      </c>
      <c r="E36" s="34">
        <f>Prob!E36*ER!E36</f>
        <v>4.6671278624187139E-5</v>
      </c>
      <c r="F36" s="34">
        <f>Prob!F36*ER!F36</f>
        <v>8.0959806638400127E-5</v>
      </c>
      <c r="G36" s="34">
        <f>Prob!G36*ER!G36</f>
        <v>1.2796751089224609E-4</v>
      </c>
      <c r="H36" s="34">
        <f>Prob!H36*ER!H36</f>
        <v>8.1666005396927724E-5</v>
      </c>
      <c r="I36" s="34">
        <f>Prob!I36*ER!I36</f>
        <v>-7.0100849466280354E-5</v>
      </c>
      <c r="J36" s="34">
        <f>Prob!J36*ER!J36</f>
        <v>-2.2758306781975424E-4</v>
      </c>
      <c r="K36" s="47">
        <f>Prob!K36*ER!K36</f>
        <v>-8.4030671194986189E-4</v>
      </c>
      <c r="L36" s="47">
        <f t="shared" si="0"/>
        <v>-9.566676870303158E-4</v>
      </c>
    </row>
    <row r="37" spans="1:12" x14ac:dyDescent="0.2">
      <c r="A37" s="46">
        <v>9</v>
      </c>
      <c r="B37" s="34">
        <f>Prob!B37*ER!B37</f>
        <v>-3.1574170390347508E-5</v>
      </c>
      <c r="C37" s="34">
        <f>Prob!C37*ER!C37</f>
        <v>6.0927483876524848E-5</v>
      </c>
      <c r="D37" s="34">
        <f>Prob!D37*ER!D37</f>
        <v>8.7941427233119939E-5</v>
      </c>
      <c r="E37" s="34">
        <f>Prob!E37*ER!E37</f>
        <v>1.1585984325813071E-4</v>
      </c>
      <c r="F37" s="34">
        <f>Prob!F37*ER!F37</f>
        <v>1.4507499921839387E-4</v>
      </c>
      <c r="G37" s="34">
        <f>Prob!G37*ER!G37</f>
        <v>1.8370975031119208E-4</v>
      </c>
      <c r="H37" s="34">
        <f>Prob!H37*ER!H37</f>
        <v>1.8186352632523981E-4</v>
      </c>
      <c r="I37" s="34">
        <f>Prob!I37*ER!I37</f>
        <v>8.707019397260899E-5</v>
      </c>
      <c r="J37" s="34">
        <f>Prob!J37*ER!J37</f>
        <v>-6.860294541915379E-5</v>
      </c>
      <c r="K37" s="47">
        <f>Prob!K37*ER!K37</f>
        <v>-2.9965544701626332E-4</v>
      </c>
      <c r="L37" s="47">
        <f t="shared" si="0"/>
        <v>4.6261466136944551E-4</v>
      </c>
    </row>
    <row r="38" spans="1:12" ht="16" thickBot="1" x14ac:dyDescent="0.25">
      <c r="A38" s="69">
        <v>10</v>
      </c>
      <c r="B38" s="70">
        <f>Prob!B38*ER!B38</f>
        <v>3.3047766721608471E-3</v>
      </c>
      <c r="C38" s="70">
        <f>Prob!C38*ER!C38</f>
        <v>4.6608034608417942E-3</v>
      </c>
      <c r="D38" s="70">
        <f>Prob!D38*ER!D38</f>
        <v>4.7357093800745121E-3</v>
      </c>
      <c r="E38" s="70">
        <f>Prob!E38*ER!E38</f>
        <v>4.8142009063127681E-3</v>
      </c>
      <c r="F38" s="70">
        <f>Prob!F38*ER!F38</f>
        <v>4.8820004779812475E-3</v>
      </c>
      <c r="G38" s="70">
        <f>Prob!G38*ER!G38</f>
        <v>5.1346365927009054E-3</v>
      </c>
      <c r="H38" s="70">
        <f>Prob!H38*ER!H38</f>
        <v>5.631149578786891E-3</v>
      </c>
      <c r="I38" s="70">
        <f>Prob!I38*ER!I38</f>
        <v>5.766519141024295E-3</v>
      </c>
      <c r="J38" s="70">
        <f>Prob!J38*ER!J38</f>
        <v>5.5228538611458997E-3</v>
      </c>
      <c r="K38" s="228">
        <f>Prob!K38*ER!K38</f>
        <v>1.4911412452209501E-2</v>
      </c>
      <c r="L38" s="228">
        <f t="shared" si="0"/>
        <v>5.9364062523238656E-2</v>
      </c>
    </row>
    <row r="39" spans="1:12" ht="16" thickBot="1" x14ac:dyDescent="0.25">
      <c r="A39" s="229" t="s">
        <v>2</v>
      </c>
      <c r="B39" s="71">
        <f>SUM(B3:B17,B19:B27,B29:B38)</f>
        <v>-3.4318624970181241E-3</v>
      </c>
      <c r="C39" s="71">
        <f t="shared" ref="C39:K39" si="1">SUM(C3:C17,C19:C27,C29:C38)</f>
        <v>6.9239594895745228E-3</v>
      </c>
      <c r="D39" s="71">
        <f t="shared" si="1"/>
        <v>9.4443933717295384E-3</v>
      </c>
      <c r="E39" s="71">
        <f t="shared" si="1"/>
        <v>1.2108490549295203E-2</v>
      </c>
      <c r="F39" s="71">
        <f t="shared" si="1"/>
        <v>1.504010569298234E-2</v>
      </c>
      <c r="G39" s="71">
        <f t="shared" si="1"/>
        <v>1.7927677961310388E-2</v>
      </c>
      <c r="H39" s="71">
        <f t="shared" si="1"/>
        <v>1.1039020303659896E-2</v>
      </c>
      <c r="I39" s="71">
        <f t="shared" si="1"/>
        <v>4.461119630266787E-3</v>
      </c>
      <c r="J39" s="71">
        <f t="shared" si="1"/>
        <v>-3.1084837717917672E-3</v>
      </c>
      <c r="K39" s="72">
        <f t="shared" si="1"/>
        <v>-2.9944285932283276E-2</v>
      </c>
      <c r="L39" s="72">
        <f>SUM(L3:L17,L19:L27,L29:L38)</f>
        <v>4.0460134797725533E-2</v>
      </c>
    </row>
    <row r="40" spans="1:12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1:12" x14ac:dyDescent="0.2">
      <c r="F41" s="309" t="s">
        <v>11</v>
      </c>
      <c r="G41" s="310"/>
      <c r="H41" s="39">
        <f>Blackjack!C3*ER!C40</f>
        <v>-4.5096460207975919E-2</v>
      </c>
    </row>
    <row r="42" spans="1:12" ht="16" thickBot="1" x14ac:dyDescent="0.25"/>
    <row r="43" spans="1:12" x14ac:dyDescent="0.2">
      <c r="B43" s="314" t="s">
        <v>16</v>
      </c>
      <c r="C43" s="315"/>
      <c r="D43" s="136">
        <f>SUM(B3:K17)</f>
        <v>-9.6526607161070171E-2</v>
      </c>
      <c r="F43" s="225" t="s">
        <v>29</v>
      </c>
      <c r="G43" s="226"/>
      <c r="H43" s="51">
        <f>H41</f>
        <v>-4.5096460207975919E-2</v>
      </c>
      <c r="J43" s="311">
        <f>SUM(D43:D45)</f>
        <v>4.0460134797725533E-2</v>
      </c>
      <c r="K43" s="132" t="s">
        <v>71</v>
      </c>
      <c r="L43" s="136">
        <f>SUMIF($B$3:$K$17,"&gt;0")+SUMIF($B$19:$K$27,"&gt;0")+ SUMIF($B$29:$K$38,"&gt;0")</f>
        <v>0.19831396740601101</v>
      </c>
    </row>
    <row r="44" spans="1:12" ht="16" thickBot="1" x14ac:dyDescent="0.25">
      <c r="B44" s="316" t="s">
        <v>17</v>
      </c>
      <c r="C44" s="317"/>
      <c r="D44" s="227">
        <f>SUM(B19:K27)</f>
        <v>7.8380375117117845E-2</v>
      </c>
      <c r="F44" s="197" t="s">
        <v>119</v>
      </c>
      <c r="G44" s="198"/>
      <c r="H44" s="51">
        <f>IF(Rules!$B$15=Rules!$E$15,'Three 7 Cards'!$D$2,IF(Rules!$B$15=Rules!$F$15,2*'Three 7 Cards'!$D$2,0))</f>
        <v>0</v>
      </c>
      <c r="J44" s="312"/>
      <c r="K44" s="133" t="s">
        <v>72</v>
      </c>
      <c r="L44" s="137">
        <f>SUMIF($B$3:$K$17,"&lt;0")+SUMIF($B$19:$K$27,"&lt;0")+ SUMIF($B$29:$K$38,"&lt;0")+H41</f>
        <v>-0.20295029281626137</v>
      </c>
    </row>
    <row r="45" spans="1:12" ht="16" thickBot="1" x14ac:dyDescent="0.25">
      <c r="B45" s="318" t="s">
        <v>18</v>
      </c>
      <c r="C45" s="319"/>
      <c r="D45" s="137">
        <f>SUM(B29:K38)</f>
        <v>5.8606366841677859E-2</v>
      </c>
      <c r="F45" s="197" t="s">
        <v>116</v>
      </c>
      <c r="G45" s="198"/>
      <c r="H45" s="51">
        <f>IF(Rules!$B$16=Rules!$E$16,'5 Cards'!$G$122,IF(Rules!$B$16=Rules!$F$16,2*'5 Cards'!$G$122,0))</f>
        <v>0</v>
      </c>
      <c r="J45" s="313"/>
      <c r="K45" s="133" t="s">
        <v>2</v>
      </c>
      <c r="L45" s="137">
        <f>L43+L44</f>
        <v>-4.6363254102503582E-3</v>
      </c>
    </row>
    <row r="46" spans="1:12" ht="16" thickBot="1" x14ac:dyDescent="0.25">
      <c r="F46" s="223" t="s">
        <v>19</v>
      </c>
      <c r="G46" s="224"/>
      <c r="H46" s="52">
        <f>SUM(D43:D45,H43:H45)</f>
        <v>-4.6363254102503859E-3</v>
      </c>
    </row>
    <row r="47" spans="1:12" ht="16" thickBot="1" x14ac:dyDescent="0.25">
      <c r="H47" s="111">
        <f>H46</f>
        <v>-4.6363254102503859E-3</v>
      </c>
    </row>
  </sheetData>
  <sheetProtection sheet="1" objects="1" scenarios="1"/>
  <mergeCells count="6">
    <mergeCell ref="A1:L1"/>
    <mergeCell ref="F41:G41"/>
    <mergeCell ref="J43:J45"/>
    <mergeCell ref="B43:C43"/>
    <mergeCell ref="B44:C44"/>
    <mergeCell ref="B45:C45"/>
  </mergeCells>
  <phoneticPr fontId="14" type="noConversion"/>
  <conditionalFormatting sqref="B29:K40 B19:L27 L29:L39 B3:L17">
    <cfRule type="containsText" dxfId="778" priority="15" operator="containsText" text="R">
      <formula>NOT(ISERROR(SEARCH("R",B3)))</formula>
    </cfRule>
    <cfRule type="containsText" dxfId="777" priority="16" operator="containsText" text="D">
      <formula>NOT(ISERROR(SEARCH("D",B3)))</formula>
    </cfRule>
    <cfRule type="containsText" dxfId="776" priority="17" operator="containsText" text="S">
      <formula>NOT(ISERROR(SEARCH("S",B3)))</formula>
    </cfRule>
    <cfRule type="containsText" dxfId="775" priority="18" operator="containsText" text="H">
      <formula>NOT(ISERROR(SEARCH("H",B3)))</formula>
    </cfRule>
  </conditionalFormatting>
  <conditionalFormatting sqref="B29:K40 B19:L27 L29:L39 B3:L17">
    <cfRule type="containsText" dxfId="774" priority="14" operator="containsText" text="P">
      <formula>NOT(ISERROR(SEARCH("P",B3)))</formula>
    </cfRule>
  </conditionalFormatting>
  <conditionalFormatting sqref="B3:L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L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L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6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48"/>
  <sheetViews>
    <sheetView workbookViewId="0">
      <selection activeCell="D2" sqref="D2"/>
    </sheetView>
  </sheetViews>
  <sheetFormatPr baseColWidth="10" defaultColWidth="8.83203125" defaultRowHeight="15" x14ac:dyDescent="0.2"/>
  <cols>
    <col min="1" max="2" width="8.83203125" style="33"/>
    <col min="3" max="3" width="8.83203125" style="33" customWidth="1"/>
    <col min="4" max="15" width="8.83203125" style="33"/>
    <col min="16" max="16" width="9.6640625" style="33" bestFit="1" customWidth="1"/>
    <col min="17" max="17" width="8.6640625" style="33" bestFit="1" customWidth="1"/>
    <col min="18" max="16384" width="8.83203125" style="33"/>
  </cols>
  <sheetData>
    <row r="1" spans="1:18" x14ac:dyDescent="0.2">
      <c r="A1" s="43" t="s">
        <v>9</v>
      </c>
      <c r="B1" s="44" t="s">
        <v>1</v>
      </c>
      <c r="C1" s="44">
        <v>2</v>
      </c>
      <c r="D1" s="44">
        <v>3</v>
      </c>
      <c r="E1" s="44">
        <v>4</v>
      </c>
      <c r="F1" s="44">
        <v>5</v>
      </c>
      <c r="G1" s="44">
        <v>6</v>
      </c>
      <c r="H1" s="44">
        <v>7</v>
      </c>
      <c r="I1" s="44">
        <v>8</v>
      </c>
      <c r="J1" s="44">
        <v>9</v>
      </c>
      <c r="K1" s="45">
        <v>10</v>
      </c>
    </row>
    <row r="2" spans="1:18" ht="16" thickBot="1" x14ac:dyDescent="0.25">
      <c r="A2" s="46">
        <v>5</v>
      </c>
      <c r="B2" s="34">
        <f>IF(EV!B3&lt;0,-Prob!B3,Prob!B3)</f>
        <v>-6.3023003396239633E-4</v>
      </c>
      <c r="C2" s="34">
        <f>IF(EV!C3&lt;0,-Prob!C3,Prob!C3)</f>
        <v>-9.1033227127901696E-4</v>
      </c>
      <c r="D2" s="34">
        <f>IF(EV!D3&lt;0,-Prob!D3,Prob!D3)</f>
        <v>-9.1033227127901696E-4</v>
      </c>
      <c r="E2" s="34">
        <f>IF(EV!E3&lt;0,-Prob!E3,Prob!E3)</f>
        <v>-9.1033227127901696E-4</v>
      </c>
      <c r="F2" s="34">
        <f>IF(EV!F3&lt;0,-Prob!F3,Prob!F3)</f>
        <v>-9.1033227127901696E-4</v>
      </c>
      <c r="G2" s="34">
        <f>IF(EV!G3&lt;0,-Prob!G3,Prob!G3)</f>
        <v>-9.1033227127901696E-4</v>
      </c>
      <c r="H2" s="34">
        <f>IF(EV!H3&lt;0,-Prob!H3,Prob!H3)</f>
        <v>-9.1033227127901696E-4</v>
      </c>
      <c r="I2" s="34">
        <f>IF(EV!I3&lt;0,-Prob!I3,Prob!I3)</f>
        <v>-9.1033227127901696E-4</v>
      </c>
      <c r="J2" s="34">
        <f>IF(EV!J3&lt;0,-Prob!J3,Prob!J3)</f>
        <v>-9.1033227127901696E-4</v>
      </c>
      <c r="K2" s="34">
        <f>IF(EV!K3&lt;0,-Prob!K3,Prob!K3)</f>
        <v>-3.3612268477994475E-3</v>
      </c>
    </row>
    <row r="3" spans="1:18" ht="16" customHeight="1" thickBot="1" x14ac:dyDescent="0.25">
      <c r="A3" s="46">
        <v>6</v>
      </c>
      <c r="B3" s="34">
        <f>IF(EV!B4&lt;0,-Prob!B4,Prob!B4)</f>
        <v>-6.3023003396239633E-4</v>
      </c>
      <c r="C3" s="34">
        <f>IF(EV!C4&lt;0,-Prob!C4,Prob!C4)</f>
        <v>-9.1033227127901696E-4</v>
      </c>
      <c r="D3" s="34">
        <f>IF(EV!D4&lt;0,-Prob!D4,Prob!D4)</f>
        <v>-9.1033227127901696E-4</v>
      </c>
      <c r="E3" s="34">
        <f>IF(EV!E4&lt;0,-Prob!E4,Prob!E4)</f>
        <v>-9.1033227127901696E-4</v>
      </c>
      <c r="F3" s="34">
        <f>IF(EV!F4&lt;0,-Prob!F4,Prob!F4)</f>
        <v>-9.1033227127901696E-4</v>
      </c>
      <c r="G3" s="34">
        <f>IF(EV!G4&lt;0,-Prob!G4,Prob!G4)</f>
        <v>-9.1033227127901696E-4</v>
      </c>
      <c r="H3" s="34">
        <f>IF(EV!H4&lt;0,-Prob!H4,Prob!H4)</f>
        <v>-9.1033227127901696E-4</v>
      </c>
      <c r="I3" s="34">
        <f>IF(EV!I4&lt;0,-Prob!I4,Prob!I4)</f>
        <v>-9.1033227127901696E-4</v>
      </c>
      <c r="J3" s="34">
        <f>IF(EV!J4&lt;0,-Prob!J4,Prob!J4)</f>
        <v>-9.1033227127901696E-4</v>
      </c>
      <c r="K3" s="34">
        <f>IF(EV!K4&lt;0,-Prob!K4,Prob!K4)</f>
        <v>-3.3612268477994475E-3</v>
      </c>
      <c r="M3" s="320"/>
      <c r="N3" s="321"/>
      <c r="O3" s="77" t="s">
        <v>8</v>
      </c>
      <c r="P3" s="78" t="s">
        <v>37</v>
      </c>
      <c r="Q3" s="78" t="s">
        <v>36</v>
      </c>
      <c r="R3" s="79" t="s">
        <v>38</v>
      </c>
    </row>
    <row r="4" spans="1:18" x14ac:dyDescent="0.2">
      <c r="A4" s="46">
        <v>7</v>
      </c>
      <c r="B4" s="34">
        <f>IF(EV!B5&lt;0,-Prob!B5,Prob!B5)</f>
        <v>-1.2604600679247927E-3</v>
      </c>
      <c r="C4" s="34">
        <f>IF(EV!C5&lt;0,-Prob!C5,Prob!C5)</f>
        <v>-1.8206645425580339E-3</v>
      </c>
      <c r="D4" s="34">
        <f>IF(EV!D5&lt;0,-Prob!D5,Prob!D5)</f>
        <v>-1.8206645425580339E-3</v>
      </c>
      <c r="E4" s="34">
        <f>IF(EV!E5&lt;0,-Prob!E5,Prob!E5)</f>
        <v>-1.8206645425580339E-3</v>
      </c>
      <c r="F4" s="34">
        <f>IF(EV!F5&lt;0,-Prob!F5,Prob!F5)</f>
        <v>-1.8206645425580339E-3</v>
      </c>
      <c r="G4" s="34">
        <f>IF(EV!G5&lt;0,-Prob!G5,Prob!G5)</f>
        <v>1.8206645425580339E-3</v>
      </c>
      <c r="H4" s="34">
        <f>IF(EV!H5&lt;0,-Prob!H5,Prob!H5)</f>
        <v>-1.8206645425580339E-3</v>
      </c>
      <c r="I4" s="34">
        <f>IF(EV!I5&lt;0,-Prob!I5,Prob!I5)</f>
        <v>-1.8206645425580339E-3</v>
      </c>
      <c r="J4" s="34">
        <f>IF(EV!J5&lt;0,-Prob!J5,Prob!J5)</f>
        <v>-1.8206645425580339E-3</v>
      </c>
      <c r="K4" s="34">
        <f>IF(EV!K5&lt;0,-Prob!K5,Prob!K5)</f>
        <v>-6.7224536955988951E-3</v>
      </c>
      <c r="M4" s="322" t="s">
        <v>35</v>
      </c>
      <c r="N4" s="323"/>
      <c r="O4" s="73">
        <f>-(SUMIF(B2:K16,"&lt;0")+SUMIF(B18:K26,"&lt;0")+SUMIF(B28:K37,"&lt;0")+C46)</f>
        <v>0.60218479745106923</v>
      </c>
      <c r="P4" s="75">
        <f>O4</f>
        <v>0.60218479745106923</v>
      </c>
      <c r="Q4" s="76">
        <f>O4</f>
        <v>0.60218479745106923</v>
      </c>
      <c r="R4" s="74">
        <f>ROUND(Q4*10,0)</f>
        <v>6</v>
      </c>
    </row>
    <row r="5" spans="1:18" ht="16" thickBot="1" x14ac:dyDescent="0.25">
      <c r="A5" s="46">
        <v>8</v>
      </c>
      <c r="B5" s="34">
        <f>IF(EV!B6&lt;0,-Prob!B6,Prob!B6)</f>
        <v>-1.2604600679247927E-3</v>
      </c>
      <c r="C5" s="34">
        <f>IF(EV!C6&lt;0,-Prob!C6,Prob!C6)</f>
        <v>-1.8206645425580339E-3</v>
      </c>
      <c r="D5" s="34">
        <f>IF(EV!D6&lt;0,-Prob!D6,Prob!D6)</f>
        <v>1.8206645425580339E-3</v>
      </c>
      <c r="E5" s="34">
        <f>IF(EV!E6&lt;0,-Prob!E6,Prob!E6)</f>
        <v>1.8206645425580339E-3</v>
      </c>
      <c r="F5" s="34">
        <f>IF(EV!F6&lt;0,-Prob!F6,Prob!F6)</f>
        <v>1.8206645425580339E-3</v>
      </c>
      <c r="G5" s="34">
        <f>IF(EV!G6&lt;0,-Prob!G6,Prob!G6)</f>
        <v>1.8206645425580339E-3</v>
      </c>
      <c r="H5" s="34">
        <f>IF(EV!H6&lt;0,-Prob!H6,Prob!H6)</f>
        <v>1.8206645425580339E-3</v>
      </c>
      <c r="I5" s="34">
        <f>IF(EV!I6&lt;0,-Prob!I6,Prob!I6)</f>
        <v>-1.8206645425580339E-3</v>
      </c>
      <c r="J5" s="34">
        <f>IF(EV!J6&lt;0,-Prob!J6,Prob!J6)</f>
        <v>-1.8206645425580339E-3</v>
      </c>
      <c r="K5" s="34">
        <f>IF(EV!K6&lt;0,-Prob!K6,Prob!K6)</f>
        <v>-6.7224536955988951E-3</v>
      </c>
      <c r="M5" s="324" t="s">
        <v>34</v>
      </c>
      <c r="N5" s="325"/>
      <c r="O5" s="80">
        <f>SUMIF(B2:K16,"&gt;0")+SUMIF(B18:K26,"&gt;0")+SUMIF(B28:K37,"&gt;0")</f>
        <v>0.3978152025489306</v>
      </c>
      <c r="P5" s="81">
        <f>O5</f>
        <v>0.3978152025489306</v>
      </c>
      <c r="Q5" s="82">
        <f>O5</f>
        <v>0.3978152025489306</v>
      </c>
      <c r="R5" s="83">
        <f>ROUND(Q5*10,0)</f>
        <v>4</v>
      </c>
    </row>
    <row r="6" spans="1:18" ht="16" thickBot="1" x14ac:dyDescent="0.25">
      <c r="A6" s="46">
        <v>9</v>
      </c>
      <c r="B6" s="34">
        <f>IF(EV!B7&lt;0,-Prob!B7,Prob!B7)</f>
        <v>-1.890690101887189E-3</v>
      </c>
      <c r="C6" s="34">
        <f>IF(EV!C7&lt;0,-Prob!C7,Prob!C7)</f>
        <v>2.730996813837051E-3</v>
      </c>
      <c r="D6" s="34">
        <f>IF(EV!D7&lt;0,-Prob!D7,Prob!D7)</f>
        <v>2.730996813837051E-3</v>
      </c>
      <c r="E6" s="34">
        <f>IF(EV!E7&lt;0,-Prob!E7,Prob!E7)</f>
        <v>2.730996813837051E-3</v>
      </c>
      <c r="F6" s="34">
        <f>IF(EV!F7&lt;0,-Prob!F7,Prob!F7)</f>
        <v>2.730996813837051E-3</v>
      </c>
      <c r="G6" s="34">
        <f>IF(EV!G7&lt;0,-Prob!G7,Prob!G7)</f>
        <v>2.730996813837051E-3</v>
      </c>
      <c r="H6" s="34">
        <f>IF(EV!H7&lt;0,-Prob!H7,Prob!H7)</f>
        <v>2.730996813837051E-3</v>
      </c>
      <c r="I6" s="34">
        <f>IF(EV!I7&lt;0,-Prob!I7,Prob!I7)</f>
        <v>2.730996813837051E-3</v>
      </c>
      <c r="J6" s="34">
        <f>IF(EV!J7&lt;0,-Prob!J7,Prob!J7)</f>
        <v>-2.730996813837051E-3</v>
      </c>
      <c r="K6" s="34">
        <f>IF(EV!K7&lt;0,-Prob!K7,Prob!K7)</f>
        <v>-1.0083680543398343E-2</v>
      </c>
      <c r="M6" s="326" t="s">
        <v>2</v>
      </c>
      <c r="N6" s="327"/>
      <c r="O6" s="88">
        <f>SUM(O4:O5)</f>
        <v>0.99999999999999978</v>
      </c>
      <c r="P6" s="89">
        <f>O6</f>
        <v>0.99999999999999978</v>
      </c>
      <c r="Q6" s="90">
        <f>O6</f>
        <v>0.99999999999999978</v>
      </c>
      <c r="R6" s="91">
        <f>ROUND(Q6*10,0)</f>
        <v>10</v>
      </c>
    </row>
    <row r="7" spans="1:18" ht="16" thickBot="1" x14ac:dyDescent="0.25">
      <c r="A7" s="46">
        <v>10</v>
      </c>
      <c r="B7" s="34">
        <f>IF(EV!B8&lt;0,-Prob!B8,Prob!B8)</f>
        <v>1.890690101887189E-3</v>
      </c>
      <c r="C7" s="34">
        <f>IF(EV!C8&lt;0,-Prob!C8,Prob!C8)</f>
        <v>2.730996813837051E-3</v>
      </c>
      <c r="D7" s="34">
        <f>IF(EV!D8&lt;0,-Prob!D8,Prob!D8)</f>
        <v>2.730996813837051E-3</v>
      </c>
      <c r="E7" s="34">
        <f>IF(EV!E8&lt;0,-Prob!E8,Prob!E8)</f>
        <v>2.730996813837051E-3</v>
      </c>
      <c r="F7" s="34">
        <f>IF(EV!F8&lt;0,-Prob!F8,Prob!F8)</f>
        <v>2.730996813837051E-3</v>
      </c>
      <c r="G7" s="34">
        <f>IF(EV!G8&lt;0,-Prob!G8,Prob!G8)</f>
        <v>2.730996813837051E-3</v>
      </c>
      <c r="H7" s="34">
        <f>IF(EV!H8&lt;0,-Prob!H8,Prob!H8)</f>
        <v>2.730996813837051E-3</v>
      </c>
      <c r="I7" s="34">
        <f>IF(EV!I8&lt;0,-Prob!I8,Prob!I8)</f>
        <v>2.730996813837051E-3</v>
      </c>
      <c r="J7" s="34">
        <f>IF(EV!J8&lt;0,-Prob!J8,Prob!J8)</f>
        <v>2.730996813837051E-3</v>
      </c>
      <c r="K7" s="34">
        <f>IF(EV!K8&lt;0,-Prob!K8,Prob!K8)</f>
        <v>1.0083680543398343E-2</v>
      </c>
      <c r="M7" s="328" t="s">
        <v>39</v>
      </c>
      <c r="N7" s="329"/>
      <c r="O7" s="84">
        <f>O5-O4</f>
        <v>-0.20436959490213863</v>
      </c>
      <c r="P7" s="85">
        <f>P5-P4</f>
        <v>-0.20436959490213863</v>
      </c>
      <c r="Q7" s="86"/>
      <c r="R7" s="87"/>
    </row>
    <row r="8" spans="1:18" x14ac:dyDescent="0.2">
      <c r="A8" s="46">
        <v>11</v>
      </c>
      <c r="B8" s="34">
        <f>IF(EV!B9&lt;0,-Prob!B9,Prob!B9)</f>
        <v>2.5209201358495858E-3</v>
      </c>
      <c r="C8" s="34">
        <f>IF(EV!C9&lt;0,-Prob!C9,Prob!C9)</f>
        <v>3.6413290851160683E-3</v>
      </c>
      <c r="D8" s="34">
        <f>IF(EV!D9&lt;0,-Prob!D9,Prob!D9)</f>
        <v>3.6413290851160683E-3</v>
      </c>
      <c r="E8" s="34">
        <f>IF(EV!E9&lt;0,-Prob!E9,Prob!E9)</f>
        <v>3.6413290851160683E-3</v>
      </c>
      <c r="F8" s="34">
        <f>IF(EV!F9&lt;0,-Prob!F9,Prob!F9)</f>
        <v>3.6413290851160683E-3</v>
      </c>
      <c r="G8" s="34">
        <f>IF(EV!G9&lt;0,-Prob!G9,Prob!G9)</f>
        <v>3.6413290851160683E-3</v>
      </c>
      <c r="H8" s="34">
        <f>IF(EV!H9&lt;0,-Prob!H9,Prob!H9)</f>
        <v>3.6413290851160683E-3</v>
      </c>
      <c r="I8" s="34">
        <f>IF(EV!I9&lt;0,-Prob!I9,Prob!I9)</f>
        <v>3.6413290851160683E-3</v>
      </c>
      <c r="J8" s="34">
        <f>IF(EV!J9&lt;0,-Prob!J9,Prob!J9)</f>
        <v>3.6413290851160683E-3</v>
      </c>
      <c r="K8" s="34">
        <f>IF(EV!K9&lt;0,-Prob!K9,Prob!K9)</f>
        <v>1.3444907391197792E-2</v>
      </c>
    </row>
    <row r="9" spans="1:18" x14ac:dyDescent="0.2">
      <c r="A9" s="46">
        <v>12</v>
      </c>
      <c r="B9" s="34">
        <f>IF(EV!B10&lt;0,-Prob!B10,Prob!B10)</f>
        <v>-4.4116102377367745E-3</v>
      </c>
      <c r="C9" s="34">
        <f>IF(EV!C10&lt;0,-Prob!C10,Prob!C10)</f>
        <v>-6.3723258989531193E-3</v>
      </c>
      <c r="D9" s="34">
        <f>IF(EV!D10&lt;0,-Prob!D10,Prob!D10)</f>
        <v>-6.3723258989531193E-3</v>
      </c>
      <c r="E9" s="34">
        <f>IF(EV!E10&lt;0,-Prob!E10,Prob!E10)</f>
        <v>-6.3723258989531193E-3</v>
      </c>
      <c r="F9" s="34">
        <f>IF(EV!F10&lt;0,-Prob!F10,Prob!F10)</f>
        <v>-6.3723258989531193E-3</v>
      </c>
      <c r="G9" s="34">
        <f>IF(EV!G10&lt;0,-Prob!G10,Prob!G10)</f>
        <v>-6.3723258989531193E-3</v>
      </c>
      <c r="H9" s="34">
        <f>IF(EV!H10&lt;0,-Prob!H10,Prob!H10)</f>
        <v>-6.3723258989531193E-3</v>
      </c>
      <c r="I9" s="34">
        <f>IF(EV!I10&lt;0,-Prob!I10,Prob!I10)</f>
        <v>-6.3723258989531193E-3</v>
      </c>
      <c r="J9" s="34">
        <f>IF(EV!J10&lt;0,-Prob!J10,Prob!J10)</f>
        <v>-6.3723258989531193E-3</v>
      </c>
      <c r="K9" s="34">
        <f>IF(EV!K10&lt;0,-Prob!K10,Prob!K10)</f>
        <v>-2.3528587934596133E-2</v>
      </c>
      <c r="M9" s="33" t="s">
        <v>73</v>
      </c>
      <c r="O9" s="33">
        <f>ER!C43</f>
        <v>-36.602557651576262</v>
      </c>
    </row>
    <row r="10" spans="1:18" x14ac:dyDescent="0.2">
      <c r="A10" s="46">
        <v>13</v>
      </c>
      <c r="B10" s="34">
        <f>IF(EV!B11&lt;0,-Prob!B11,Prob!B11)</f>
        <v>-4.4116102377367745E-3</v>
      </c>
      <c r="C10" s="34">
        <f>IF(EV!C11&lt;0,-Prob!C11,Prob!C11)</f>
        <v>-6.3723258989531193E-3</v>
      </c>
      <c r="D10" s="34">
        <f>IF(EV!D11&lt;0,-Prob!D11,Prob!D11)</f>
        <v>-6.3723258989531193E-3</v>
      </c>
      <c r="E10" s="34">
        <f>IF(EV!E11&lt;0,-Prob!E11,Prob!E11)</f>
        <v>-6.3723258989531193E-3</v>
      </c>
      <c r="F10" s="34">
        <f>IF(EV!F11&lt;0,-Prob!F11,Prob!F11)</f>
        <v>-6.3723258989531193E-3</v>
      </c>
      <c r="G10" s="34">
        <f>IF(EV!G11&lt;0,-Prob!G11,Prob!G11)</f>
        <v>-6.3723258989531193E-3</v>
      </c>
      <c r="H10" s="34">
        <f>IF(EV!H11&lt;0,-Prob!H11,Prob!H11)</f>
        <v>-6.3723258989531193E-3</v>
      </c>
      <c r="I10" s="34">
        <f>IF(EV!I11&lt;0,-Prob!I11,Prob!I11)</f>
        <v>-6.3723258989531193E-3</v>
      </c>
      <c r="J10" s="34">
        <f>IF(EV!J11&lt;0,-Prob!J11,Prob!J11)</f>
        <v>-6.3723258989531193E-3</v>
      </c>
      <c r="K10" s="34">
        <f>IF(EV!K11&lt;0,-Prob!K11,Prob!K11)</f>
        <v>-2.3528587934596133E-2</v>
      </c>
      <c r="M10" s="33" t="s">
        <v>74</v>
      </c>
      <c r="O10" s="33">
        <f>ER!C42</f>
        <v>64.48806085583584</v>
      </c>
    </row>
    <row r="11" spans="1:18" x14ac:dyDescent="0.2">
      <c r="A11" s="46">
        <v>14</v>
      </c>
      <c r="B11" s="34">
        <f>IF(EV!B12&lt;0,-Prob!B12,Prob!B12)</f>
        <v>-3.781380203774378E-3</v>
      </c>
      <c r="C11" s="34">
        <f>IF(EV!C12&lt;0,-Prob!C12,Prob!C12)</f>
        <v>-5.461993627674102E-3</v>
      </c>
      <c r="D11" s="34">
        <f>IF(EV!D12&lt;0,-Prob!D12,Prob!D12)</f>
        <v>-5.461993627674102E-3</v>
      </c>
      <c r="E11" s="34">
        <f>IF(EV!E12&lt;0,-Prob!E12,Prob!E12)</f>
        <v>-5.461993627674102E-3</v>
      </c>
      <c r="F11" s="34">
        <f>IF(EV!F12&lt;0,-Prob!F12,Prob!F12)</f>
        <v>-5.461993627674102E-3</v>
      </c>
      <c r="G11" s="34">
        <f>IF(EV!G12&lt;0,-Prob!G12,Prob!G12)</f>
        <v>-5.461993627674102E-3</v>
      </c>
      <c r="H11" s="34">
        <f>IF(EV!H12&lt;0,-Prob!H12,Prob!H12)</f>
        <v>-5.461993627674102E-3</v>
      </c>
      <c r="I11" s="34">
        <f>IF(EV!I12&lt;0,-Prob!I12,Prob!I12)</f>
        <v>-5.461993627674102E-3</v>
      </c>
      <c r="J11" s="34">
        <f>IF(EV!J12&lt;0,-Prob!J12,Prob!J12)</f>
        <v>-5.461993627674102E-3</v>
      </c>
      <c r="K11" s="34">
        <f>IF(EV!K12&lt;0,-Prob!K12,Prob!K12)</f>
        <v>-2.0167361086796686E-2</v>
      </c>
    </row>
    <row r="12" spans="1:18" x14ac:dyDescent="0.2">
      <c r="A12" s="46">
        <v>15</v>
      </c>
      <c r="B12" s="34">
        <f>IF(EV!B13&lt;0,-Prob!B13,Prob!B13)</f>
        <v>-3.781380203774378E-3</v>
      </c>
      <c r="C12" s="34">
        <f>IF(EV!C13&lt;0,-Prob!C13,Prob!C13)</f>
        <v>-5.461993627674102E-3</v>
      </c>
      <c r="D12" s="34">
        <f>IF(EV!D13&lt;0,-Prob!D13,Prob!D13)</f>
        <v>-5.461993627674102E-3</v>
      </c>
      <c r="E12" s="34">
        <f>IF(EV!E13&lt;0,-Prob!E13,Prob!E13)</f>
        <v>-5.461993627674102E-3</v>
      </c>
      <c r="F12" s="34">
        <f>IF(EV!F13&lt;0,-Prob!F13,Prob!F13)</f>
        <v>-5.461993627674102E-3</v>
      </c>
      <c r="G12" s="34">
        <f>IF(EV!G13&lt;0,-Prob!G13,Prob!G13)</f>
        <v>-5.461993627674102E-3</v>
      </c>
      <c r="H12" s="34">
        <f>IF(EV!H13&lt;0,-Prob!H13,Prob!H13)</f>
        <v>-5.461993627674102E-3</v>
      </c>
      <c r="I12" s="34">
        <f>IF(EV!I13&lt;0,-Prob!I13,Prob!I13)</f>
        <v>-5.461993627674102E-3</v>
      </c>
      <c r="J12" s="34">
        <f>IF(EV!J13&lt;0,-Prob!J13,Prob!J13)</f>
        <v>-5.461993627674102E-3</v>
      </c>
      <c r="K12" s="34">
        <f>IF(EV!K13&lt;0,-Prob!K13,Prob!K13)</f>
        <v>-2.0167361086796686E-2</v>
      </c>
    </row>
    <row r="13" spans="1:18" x14ac:dyDescent="0.2">
      <c r="A13" s="46">
        <v>16</v>
      </c>
      <c r="B13" s="34">
        <f>IF(EV!B14&lt;0,-Prob!B14,Prob!B14)</f>
        <v>-3.1511501698119814E-3</v>
      </c>
      <c r="C13" s="34">
        <f>IF(EV!C14&lt;0,-Prob!C14,Prob!C14)</f>
        <v>-4.5516613563950847E-3</v>
      </c>
      <c r="D13" s="34">
        <f>IF(EV!D14&lt;0,-Prob!D14,Prob!D14)</f>
        <v>-4.5516613563950847E-3</v>
      </c>
      <c r="E13" s="34">
        <f>IF(EV!E14&lt;0,-Prob!E14,Prob!E14)</f>
        <v>-4.5516613563950847E-3</v>
      </c>
      <c r="F13" s="34">
        <f>IF(EV!F14&lt;0,-Prob!F14,Prob!F14)</f>
        <v>-4.5516613563950847E-3</v>
      </c>
      <c r="G13" s="34">
        <f>IF(EV!G14&lt;0,-Prob!G14,Prob!G14)</f>
        <v>-4.5516613563950847E-3</v>
      </c>
      <c r="H13" s="34">
        <f>IF(EV!H14&lt;0,-Prob!H14,Prob!H14)</f>
        <v>-4.5516613563950847E-3</v>
      </c>
      <c r="I13" s="34">
        <f>IF(EV!I14&lt;0,-Prob!I14,Prob!I14)</f>
        <v>-4.5516613563950847E-3</v>
      </c>
      <c r="J13" s="34">
        <f>IF(EV!J14&lt;0,-Prob!J14,Prob!J14)</f>
        <v>-4.5516613563950847E-3</v>
      </c>
      <c r="K13" s="34">
        <f>IF(EV!K14&lt;0,-Prob!K14,Prob!K14)</f>
        <v>-1.6806134238997236E-2</v>
      </c>
    </row>
    <row r="14" spans="1:18" x14ac:dyDescent="0.2">
      <c r="A14" s="46">
        <v>17</v>
      </c>
      <c r="B14" s="34">
        <f>IF(EV!B15&lt;0,-Prob!B15,Prob!B15)</f>
        <v>-3.1511501698119814E-3</v>
      </c>
      <c r="C14" s="34">
        <f>IF(EV!C15&lt;0,-Prob!C15,Prob!C15)</f>
        <v>-4.5516613563950847E-3</v>
      </c>
      <c r="D14" s="34">
        <f>IF(EV!D15&lt;0,-Prob!D15,Prob!D15)</f>
        <v>-4.5516613563950847E-3</v>
      </c>
      <c r="E14" s="34">
        <f>IF(EV!E15&lt;0,-Prob!E15,Prob!E15)</f>
        <v>-4.5516613563950847E-3</v>
      </c>
      <c r="F14" s="34">
        <f>IF(EV!F15&lt;0,-Prob!F15,Prob!F15)</f>
        <v>-4.5516613563950847E-3</v>
      </c>
      <c r="G14" s="34">
        <f>IF(EV!G15&lt;0,-Prob!G15,Prob!G15)</f>
        <v>4.5516613563950847E-3</v>
      </c>
      <c r="H14" s="34">
        <f>IF(EV!H15&lt;0,-Prob!H15,Prob!H15)</f>
        <v>-4.5516613563950847E-3</v>
      </c>
      <c r="I14" s="34">
        <f>IF(EV!I15&lt;0,-Prob!I15,Prob!I15)</f>
        <v>-4.5516613563950847E-3</v>
      </c>
      <c r="J14" s="34">
        <f>IF(EV!J15&lt;0,-Prob!J15,Prob!J15)</f>
        <v>-4.5516613563950847E-3</v>
      </c>
      <c r="K14" s="34">
        <f>IF(EV!K15&lt;0,-Prob!K15,Prob!K15)</f>
        <v>-1.6806134238997236E-2</v>
      </c>
    </row>
    <row r="15" spans="1:18" x14ac:dyDescent="0.2">
      <c r="A15" s="46">
        <v>18</v>
      </c>
      <c r="B15" s="34">
        <f>IF(EV!B16&lt;0,-Prob!B16,Prob!B16)</f>
        <v>-2.5209201358495853E-3</v>
      </c>
      <c r="C15" s="34">
        <f>IF(EV!C16&lt;0,-Prob!C16,Prob!C16)</f>
        <v>3.6413290851160678E-3</v>
      </c>
      <c r="D15" s="34">
        <f>IF(EV!D16&lt;0,-Prob!D16,Prob!D16)</f>
        <v>3.6413290851160678E-3</v>
      </c>
      <c r="E15" s="34">
        <f>IF(EV!E16&lt;0,-Prob!E16,Prob!E16)</f>
        <v>3.6413290851160678E-3</v>
      </c>
      <c r="F15" s="34">
        <f>IF(EV!F16&lt;0,-Prob!F16,Prob!F16)</f>
        <v>3.6413290851160678E-3</v>
      </c>
      <c r="G15" s="34">
        <f>IF(EV!G16&lt;0,-Prob!G16,Prob!G16)</f>
        <v>3.6413290851160678E-3</v>
      </c>
      <c r="H15" s="34">
        <f>IF(EV!H16&lt;0,-Prob!H16,Prob!H16)</f>
        <v>3.6413290851160678E-3</v>
      </c>
      <c r="I15" s="34">
        <f>IF(EV!I16&lt;0,-Prob!I16,Prob!I16)</f>
        <v>3.6413290851160678E-3</v>
      </c>
      <c r="J15" s="34">
        <f>IF(EV!J16&lt;0,-Prob!J16,Prob!J16)</f>
        <v>-3.6413290851160678E-3</v>
      </c>
      <c r="K15" s="34">
        <f>IF(EV!K16&lt;0,-Prob!K16,Prob!K16)</f>
        <v>-1.344490739119779E-2</v>
      </c>
    </row>
    <row r="16" spans="1:18" x14ac:dyDescent="0.2">
      <c r="A16" s="46">
        <v>19</v>
      </c>
      <c r="B16" s="34">
        <f>IF(EV!B17&lt;0,-Prob!B17,Prob!B17)</f>
        <v>2.5209201358495853E-3</v>
      </c>
      <c r="C16" s="34">
        <f>IF(EV!C17&lt;0,-Prob!C17,Prob!C17)</f>
        <v>3.6413290851160678E-3</v>
      </c>
      <c r="D16" s="34">
        <f>IF(EV!D17&lt;0,-Prob!D17,Prob!D17)</f>
        <v>3.6413290851160678E-3</v>
      </c>
      <c r="E16" s="34">
        <f>IF(EV!E17&lt;0,-Prob!E17,Prob!E17)</f>
        <v>3.6413290851160678E-3</v>
      </c>
      <c r="F16" s="34">
        <f>IF(EV!F17&lt;0,-Prob!F17,Prob!F17)</f>
        <v>3.6413290851160678E-3</v>
      </c>
      <c r="G16" s="34">
        <f>IF(EV!G17&lt;0,-Prob!G17,Prob!G17)</f>
        <v>3.6413290851160678E-3</v>
      </c>
      <c r="H16" s="34">
        <f>IF(EV!H17&lt;0,-Prob!H17,Prob!H17)</f>
        <v>3.6413290851160678E-3</v>
      </c>
      <c r="I16" s="34">
        <f>IF(EV!I17&lt;0,-Prob!I17,Prob!I17)</f>
        <v>3.6413290851160678E-3</v>
      </c>
      <c r="J16" s="34">
        <f>IF(EV!J17&lt;0,-Prob!J17,Prob!J17)</f>
        <v>3.6413290851160678E-3</v>
      </c>
      <c r="K16" s="34">
        <f>IF(EV!K17&lt;0,-Prob!K17,Prob!K17)</f>
        <v>1.344490739119779E-2</v>
      </c>
    </row>
    <row r="17" spans="1:11" x14ac:dyDescent="0.2">
      <c r="A17" s="46" t="s">
        <v>4</v>
      </c>
      <c r="B17" s="32" t="s">
        <v>1</v>
      </c>
      <c r="C17" s="35">
        <v>2</v>
      </c>
      <c r="D17" s="35">
        <v>3</v>
      </c>
      <c r="E17" s="35">
        <v>4</v>
      </c>
      <c r="F17" s="35">
        <v>5</v>
      </c>
      <c r="G17" s="35">
        <v>6</v>
      </c>
      <c r="H17" s="35">
        <v>7</v>
      </c>
      <c r="I17" s="35">
        <v>8</v>
      </c>
      <c r="J17" s="35">
        <v>9</v>
      </c>
      <c r="K17" s="48">
        <v>10</v>
      </c>
    </row>
    <row r="18" spans="1:11" x14ac:dyDescent="0.2">
      <c r="A18" s="46">
        <v>13</v>
      </c>
      <c r="B18" s="34">
        <f>IF(EV!B19&lt;0,-Prob!B19,Prob!B19)</f>
        <v>-6.3023003396239633E-4</v>
      </c>
      <c r="C18" s="34">
        <f>IF(EV!C19&lt;0,-Prob!C19,Prob!C19)</f>
        <v>9.1033227127901696E-4</v>
      </c>
      <c r="D18" s="34">
        <f>IF(EV!D19&lt;0,-Prob!D19,Prob!D19)</f>
        <v>9.1033227127901696E-4</v>
      </c>
      <c r="E18" s="34">
        <f>IF(EV!E19&lt;0,-Prob!E19,Prob!E19)</f>
        <v>9.1033227127901696E-4</v>
      </c>
      <c r="F18" s="34">
        <f>IF(EV!F19&lt;0,-Prob!F19,Prob!F19)</f>
        <v>9.1033227127901696E-4</v>
      </c>
      <c r="G18" s="34">
        <f>IF(EV!G19&lt;0,-Prob!G19,Prob!G19)</f>
        <v>9.1033227127901696E-4</v>
      </c>
      <c r="H18" s="34">
        <f>IF(EV!H19&lt;0,-Prob!H19,Prob!H19)</f>
        <v>9.1033227127901696E-4</v>
      </c>
      <c r="I18" s="34">
        <f>IF(EV!I19&lt;0,-Prob!I19,Prob!I19)</f>
        <v>9.1033227127901696E-4</v>
      </c>
      <c r="J18" s="34">
        <f>IF(EV!J19&lt;0,-Prob!J19,Prob!J19)</f>
        <v>-9.1033227127901696E-4</v>
      </c>
      <c r="K18" s="34">
        <f>IF(EV!K19&lt;0,-Prob!K19,Prob!K19)</f>
        <v>-3.3612268477994475E-3</v>
      </c>
    </row>
    <row r="19" spans="1:11" x14ac:dyDescent="0.2">
      <c r="A19" s="46">
        <v>14</v>
      </c>
      <c r="B19" s="34">
        <f>IF(EV!B20&lt;0,-Prob!B20,Prob!B20)</f>
        <v>-6.3023003396239633E-4</v>
      </c>
      <c r="C19" s="34">
        <f>IF(EV!C20&lt;0,-Prob!C20,Prob!C20)</f>
        <v>9.1033227127901696E-4</v>
      </c>
      <c r="D19" s="34">
        <f>IF(EV!D20&lt;0,-Prob!D20,Prob!D20)</f>
        <v>9.1033227127901696E-4</v>
      </c>
      <c r="E19" s="34">
        <f>IF(EV!E20&lt;0,-Prob!E20,Prob!E20)</f>
        <v>9.1033227127901696E-4</v>
      </c>
      <c r="F19" s="34">
        <f>IF(EV!F20&lt;0,-Prob!F20,Prob!F20)</f>
        <v>9.1033227127901696E-4</v>
      </c>
      <c r="G19" s="34">
        <f>IF(EV!G20&lt;0,-Prob!G20,Prob!G20)</f>
        <v>9.1033227127901696E-4</v>
      </c>
      <c r="H19" s="34">
        <f>IF(EV!H20&lt;0,-Prob!H20,Prob!H20)</f>
        <v>9.1033227127901696E-4</v>
      </c>
      <c r="I19" s="34">
        <f>IF(EV!I20&lt;0,-Prob!I20,Prob!I20)</f>
        <v>9.1033227127901696E-4</v>
      </c>
      <c r="J19" s="34">
        <f>IF(EV!J20&lt;0,-Prob!J20,Prob!J20)</f>
        <v>-9.1033227127901696E-4</v>
      </c>
      <c r="K19" s="34">
        <f>IF(EV!K20&lt;0,-Prob!K20,Prob!K20)</f>
        <v>-3.3612268477994475E-3</v>
      </c>
    </row>
    <row r="20" spans="1:11" x14ac:dyDescent="0.2">
      <c r="A20" s="46">
        <v>15</v>
      </c>
      <c r="B20" s="34">
        <f>IF(EV!B21&lt;0,-Prob!B21,Prob!B21)</f>
        <v>-6.3023003396239633E-4</v>
      </c>
      <c r="C20" s="34">
        <f>IF(EV!C21&lt;0,-Prob!C21,Prob!C21)</f>
        <v>-9.1033227127901696E-4</v>
      </c>
      <c r="D20" s="34">
        <f>IF(EV!D21&lt;0,-Prob!D21,Prob!D21)</f>
        <v>9.1033227127901696E-4</v>
      </c>
      <c r="E20" s="34">
        <f>IF(EV!E21&lt;0,-Prob!E21,Prob!E21)</f>
        <v>9.1033227127901696E-4</v>
      </c>
      <c r="F20" s="34">
        <f>IF(EV!F21&lt;0,-Prob!F21,Prob!F21)</f>
        <v>9.1033227127901696E-4</v>
      </c>
      <c r="G20" s="34">
        <f>IF(EV!G21&lt;0,-Prob!G21,Prob!G21)</f>
        <v>9.1033227127901696E-4</v>
      </c>
      <c r="H20" s="34">
        <f>IF(EV!H21&lt;0,-Prob!H21,Prob!H21)</f>
        <v>9.1033227127901696E-4</v>
      </c>
      <c r="I20" s="34">
        <f>IF(EV!I21&lt;0,-Prob!I21,Prob!I21)</f>
        <v>-9.1033227127901696E-4</v>
      </c>
      <c r="J20" s="34">
        <f>IF(EV!J21&lt;0,-Prob!J21,Prob!J21)</f>
        <v>-9.1033227127901696E-4</v>
      </c>
      <c r="K20" s="34">
        <f>IF(EV!K21&lt;0,-Prob!K21,Prob!K21)</f>
        <v>-3.3612268477994475E-3</v>
      </c>
    </row>
    <row r="21" spans="1:11" x14ac:dyDescent="0.2">
      <c r="A21" s="46">
        <v>16</v>
      </c>
      <c r="B21" s="34">
        <f>IF(EV!B22&lt;0,-Prob!B22,Prob!B22)</f>
        <v>-6.3023003396239633E-4</v>
      </c>
      <c r="C21" s="34">
        <f>IF(EV!C22&lt;0,-Prob!C22,Prob!C22)</f>
        <v>-9.1033227127901696E-4</v>
      </c>
      <c r="D21" s="34">
        <f>IF(EV!D22&lt;0,-Prob!D22,Prob!D22)</f>
        <v>9.1033227127901696E-4</v>
      </c>
      <c r="E21" s="34">
        <f>IF(EV!E22&lt;0,-Prob!E22,Prob!E22)</f>
        <v>9.1033227127901696E-4</v>
      </c>
      <c r="F21" s="34">
        <f>IF(EV!F22&lt;0,-Prob!F22,Prob!F22)</f>
        <v>9.1033227127901696E-4</v>
      </c>
      <c r="G21" s="34">
        <f>IF(EV!G22&lt;0,-Prob!G22,Prob!G22)</f>
        <v>9.1033227127901696E-4</v>
      </c>
      <c r="H21" s="34">
        <f>IF(EV!H22&lt;0,-Prob!H22,Prob!H22)</f>
        <v>-9.1033227127901696E-4</v>
      </c>
      <c r="I21" s="34">
        <f>IF(EV!I22&lt;0,-Prob!I22,Prob!I22)</f>
        <v>-9.1033227127901696E-4</v>
      </c>
      <c r="J21" s="34">
        <f>IF(EV!J22&lt;0,-Prob!J22,Prob!J22)</f>
        <v>-9.1033227127901696E-4</v>
      </c>
      <c r="K21" s="34">
        <f>IF(EV!K22&lt;0,-Prob!K22,Prob!K22)</f>
        <v>-3.3612268477994475E-3</v>
      </c>
    </row>
    <row r="22" spans="1:11" x14ac:dyDescent="0.2">
      <c r="A22" s="46">
        <v>17</v>
      </c>
      <c r="B22" s="34">
        <f>IF(EV!B23&lt;0,-Prob!B23,Prob!B23)</f>
        <v>-6.3023003396239633E-4</v>
      </c>
      <c r="C22" s="34">
        <f>IF(EV!C23&lt;0,-Prob!C23,Prob!C23)</f>
        <v>-9.1033227127901696E-4</v>
      </c>
      <c r="D22" s="34">
        <f>IF(EV!D23&lt;0,-Prob!D23,Prob!D23)</f>
        <v>9.1033227127901696E-4</v>
      </c>
      <c r="E22" s="34">
        <f>IF(EV!E23&lt;0,-Prob!E23,Prob!E23)</f>
        <v>9.1033227127901696E-4</v>
      </c>
      <c r="F22" s="34">
        <f>IF(EV!F23&lt;0,-Prob!F23,Prob!F23)</f>
        <v>9.1033227127901696E-4</v>
      </c>
      <c r="G22" s="34">
        <f>IF(EV!G23&lt;0,-Prob!G23,Prob!G23)</f>
        <v>9.1033227127901696E-4</v>
      </c>
      <c r="H22" s="34">
        <f>IF(EV!H23&lt;0,-Prob!H23,Prob!H23)</f>
        <v>9.1033227127901696E-4</v>
      </c>
      <c r="I22" s="34">
        <f>IF(EV!I23&lt;0,-Prob!I23,Prob!I23)</f>
        <v>-9.1033227127901696E-4</v>
      </c>
      <c r="J22" s="34">
        <f>IF(EV!J23&lt;0,-Prob!J23,Prob!J23)</f>
        <v>-9.1033227127901696E-4</v>
      </c>
      <c r="K22" s="34">
        <f>IF(EV!K23&lt;0,-Prob!K23,Prob!K23)</f>
        <v>-3.3612268477994475E-3</v>
      </c>
    </row>
    <row r="23" spans="1:11" x14ac:dyDescent="0.2">
      <c r="A23" s="46">
        <v>18</v>
      </c>
      <c r="B23" s="34">
        <f>IF(EV!B24&lt;0,-Prob!B24,Prob!B24)</f>
        <v>-6.3023003396239633E-4</v>
      </c>
      <c r="C23" s="34">
        <f>IF(EV!C24&lt;0,-Prob!C24,Prob!C24)</f>
        <v>9.1033227127901696E-4</v>
      </c>
      <c r="D23" s="34">
        <f>IF(EV!D24&lt;0,-Prob!D24,Prob!D24)</f>
        <v>9.1033227127901696E-4</v>
      </c>
      <c r="E23" s="34">
        <f>IF(EV!E24&lt;0,-Prob!E24,Prob!E24)</f>
        <v>9.1033227127901696E-4</v>
      </c>
      <c r="F23" s="34">
        <f>IF(EV!F24&lt;0,-Prob!F24,Prob!F24)</f>
        <v>9.1033227127901696E-4</v>
      </c>
      <c r="G23" s="34">
        <f>IF(EV!G24&lt;0,-Prob!G24,Prob!G24)</f>
        <v>9.1033227127901696E-4</v>
      </c>
      <c r="H23" s="34">
        <f>IF(EV!H24&lt;0,-Prob!H24,Prob!H24)</f>
        <v>9.1033227127901696E-4</v>
      </c>
      <c r="I23" s="34">
        <f>IF(EV!I24&lt;0,-Prob!I24,Prob!I24)</f>
        <v>9.1033227127901696E-4</v>
      </c>
      <c r="J23" s="34">
        <f>IF(EV!J24&lt;0,-Prob!J24,Prob!J24)</f>
        <v>-9.1033227127901696E-4</v>
      </c>
      <c r="K23" s="34">
        <f>IF(EV!K24&lt;0,-Prob!K24,Prob!K24)</f>
        <v>-3.3612268477994475E-3</v>
      </c>
    </row>
    <row r="24" spans="1:11" x14ac:dyDescent="0.2">
      <c r="A24" s="46">
        <v>19</v>
      </c>
      <c r="B24" s="34">
        <f>IF(EV!B25&lt;0,-Prob!B25,Prob!B25)</f>
        <v>6.3023003396239633E-4</v>
      </c>
      <c r="C24" s="34">
        <f>IF(EV!C25&lt;0,-Prob!C25,Prob!C25)</f>
        <v>9.1033227127901696E-4</v>
      </c>
      <c r="D24" s="34">
        <f>IF(EV!D25&lt;0,-Prob!D25,Prob!D25)</f>
        <v>9.1033227127901696E-4</v>
      </c>
      <c r="E24" s="34">
        <f>IF(EV!E25&lt;0,-Prob!E25,Prob!E25)</f>
        <v>9.1033227127901696E-4</v>
      </c>
      <c r="F24" s="34">
        <f>IF(EV!F25&lt;0,-Prob!F25,Prob!F25)</f>
        <v>9.1033227127901696E-4</v>
      </c>
      <c r="G24" s="34">
        <f>IF(EV!G25&lt;0,-Prob!G25,Prob!G25)</f>
        <v>9.1033227127901696E-4</v>
      </c>
      <c r="H24" s="34">
        <f>IF(EV!H25&lt;0,-Prob!H25,Prob!H25)</f>
        <v>9.1033227127901696E-4</v>
      </c>
      <c r="I24" s="34">
        <f>IF(EV!I25&lt;0,-Prob!I25,Prob!I25)</f>
        <v>9.1033227127901696E-4</v>
      </c>
      <c r="J24" s="34">
        <f>IF(EV!J25&lt;0,-Prob!J25,Prob!J25)</f>
        <v>9.1033227127901696E-4</v>
      </c>
      <c r="K24" s="34">
        <f>IF(EV!K25&lt;0,-Prob!K25,Prob!K25)</f>
        <v>3.3612268477994475E-3</v>
      </c>
    </row>
    <row r="25" spans="1:11" x14ac:dyDescent="0.2">
      <c r="A25" s="46">
        <v>20</v>
      </c>
      <c r="B25" s="34">
        <f>IF(EV!B26&lt;0,-Prob!B26,Prob!B26)</f>
        <v>6.3023003396239633E-4</v>
      </c>
      <c r="C25" s="34">
        <f>IF(EV!C26&lt;0,-Prob!C26,Prob!C26)</f>
        <v>9.1033227127901696E-4</v>
      </c>
      <c r="D25" s="34">
        <f>IF(EV!D26&lt;0,-Prob!D26,Prob!D26)</f>
        <v>9.1033227127901696E-4</v>
      </c>
      <c r="E25" s="34">
        <f>IF(EV!E26&lt;0,-Prob!E26,Prob!E26)</f>
        <v>9.1033227127901696E-4</v>
      </c>
      <c r="F25" s="34">
        <f>IF(EV!F26&lt;0,-Prob!F26,Prob!F26)</f>
        <v>9.1033227127901696E-4</v>
      </c>
      <c r="G25" s="34">
        <f>IF(EV!G26&lt;0,-Prob!G26,Prob!G26)</f>
        <v>9.1033227127901696E-4</v>
      </c>
      <c r="H25" s="34">
        <f>IF(EV!H26&lt;0,-Prob!H26,Prob!H26)</f>
        <v>9.1033227127901696E-4</v>
      </c>
      <c r="I25" s="34">
        <f>IF(EV!I26&lt;0,-Prob!I26,Prob!I26)</f>
        <v>9.1033227127901696E-4</v>
      </c>
      <c r="J25" s="34">
        <f>IF(EV!J26&lt;0,-Prob!J26,Prob!J26)</f>
        <v>9.1033227127901696E-4</v>
      </c>
      <c r="K25" s="34">
        <f>IF(EV!K26&lt;0,-Prob!K26,Prob!K26)</f>
        <v>3.3612268477994475E-3</v>
      </c>
    </row>
    <row r="26" spans="1:11" x14ac:dyDescent="0.2">
      <c r="A26" s="46">
        <v>21</v>
      </c>
      <c r="B26" s="34">
        <f>IF(EV!B27&lt;0,-Prob!B27,Prob!B27)</f>
        <v>2.5209201358495853E-3</v>
      </c>
      <c r="C26" s="34">
        <f>IF(EV!C27&lt;0,-Prob!C27,Prob!C27)</f>
        <v>3.6413290851160678E-3</v>
      </c>
      <c r="D26" s="34">
        <f>IF(EV!D27&lt;0,-Prob!D27,Prob!D27)</f>
        <v>3.6413290851160678E-3</v>
      </c>
      <c r="E26" s="34">
        <f>IF(EV!E27&lt;0,-Prob!E27,Prob!E27)</f>
        <v>3.6413290851160678E-3</v>
      </c>
      <c r="F26" s="34">
        <f>IF(EV!F27&lt;0,-Prob!F27,Prob!F27)</f>
        <v>3.6413290851160678E-3</v>
      </c>
      <c r="G26" s="34">
        <f>IF(EV!G27&lt;0,-Prob!G27,Prob!G27)</f>
        <v>3.6413290851160678E-3</v>
      </c>
      <c r="H26" s="34">
        <f>IF(EV!H27&lt;0,-Prob!H27,Prob!H27)</f>
        <v>3.6413290851160678E-3</v>
      </c>
      <c r="I26" s="34">
        <f>IF(EV!I27&lt;0,-Prob!I27,Prob!I27)</f>
        <v>3.6413290851160678E-3</v>
      </c>
      <c r="J26" s="34">
        <f>IF(EV!J27&lt;0,-Prob!J27,Prob!J27)</f>
        <v>3.6413290851160678E-3</v>
      </c>
      <c r="K26" s="34">
        <f>IF(EV!K27&lt;0,-Prob!K27,Prob!K27)</f>
        <v>1.344490739119779E-2</v>
      </c>
    </row>
    <row r="27" spans="1:11" x14ac:dyDescent="0.2">
      <c r="A27" s="46" t="s">
        <v>10</v>
      </c>
      <c r="B27" s="32" t="s">
        <v>1</v>
      </c>
      <c r="C27" s="35">
        <v>2</v>
      </c>
      <c r="D27" s="35">
        <v>3</v>
      </c>
      <c r="E27" s="35">
        <v>4</v>
      </c>
      <c r="F27" s="35">
        <v>5</v>
      </c>
      <c r="G27" s="35">
        <v>6</v>
      </c>
      <c r="H27" s="35">
        <v>7</v>
      </c>
      <c r="I27" s="35">
        <v>8</v>
      </c>
      <c r="J27" s="35">
        <v>9</v>
      </c>
      <c r="K27" s="48">
        <v>10</v>
      </c>
    </row>
    <row r="28" spans="1:11" x14ac:dyDescent="0.2">
      <c r="A28" s="46" t="s">
        <v>1</v>
      </c>
      <c r="B28" s="34">
        <f>IF(EV!B29&lt;0,-Prob!B29,Prob!B29)</f>
        <v>3.1511501698119817E-4</v>
      </c>
      <c r="C28" s="34">
        <f>IF(EV!C29&lt;0,-Prob!C29,Prob!C29)</f>
        <v>4.5516613563950848E-4</v>
      </c>
      <c r="D28" s="34">
        <f>IF(EV!D29&lt;0,-Prob!D29,Prob!D29)</f>
        <v>4.5516613563950848E-4</v>
      </c>
      <c r="E28" s="34">
        <f>IF(EV!E29&lt;0,-Prob!E29,Prob!E29)</f>
        <v>4.5516613563950848E-4</v>
      </c>
      <c r="F28" s="34">
        <f>IF(EV!F29&lt;0,-Prob!F29,Prob!F29)</f>
        <v>4.5516613563950848E-4</v>
      </c>
      <c r="G28" s="34">
        <f>IF(EV!G29&lt;0,-Prob!G29,Prob!G29)</f>
        <v>4.5516613563950848E-4</v>
      </c>
      <c r="H28" s="34">
        <f>IF(EV!H29&lt;0,-Prob!H29,Prob!H29)</f>
        <v>4.5516613563950848E-4</v>
      </c>
      <c r="I28" s="34">
        <f>IF(EV!I29&lt;0,-Prob!I29,Prob!I29)</f>
        <v>4.5516613563950848E-4</v>
      </c>
      <c r="J28" s="34">
        <f>IF(EV!J29&lt;0,-Prob!J29,Prob!J29)</f>
        <v>4.5516613563950848E-4</v>
      </c>
      <c r="K28" s="34">
        <f>IF(EV!K29&lt;0,-Prob!K29,Prob!K29)</f>
        <v>1.6806134238997238E-3</v>
      </c>
    </row>
    <row r="29" spans="1:11" x14ac:dyDescent="0.2">
      <c r="A29" s="46">
        <v>2</v>
      </c>
      <c r="B29" s="34">
        <f>IF(EV!B30&lt;0,-Prob!B30,Prob!B30)</f>
        <v>-3.1511501698119817E-4</v>
      </c>
      <c r="C29" s="34">
        <f>IF(EV!C30&lt;0,-Prob!C30,Prob!C30)</f>
        <v>-4.5516613563950848E-4</v>
      </c>
      <c r="D29" s="34">
        <f>IF(EV!D30&lt;0,-Prob!D30,Prob!D30)</f>
        <v>-4.5516613563950848E-4</v>
      </c>
      <c r="E29" s="34">
        <f>IF(EV!E30&lt;0,-Prob!E30,Prob!E30)</f>
        <v>4.5516613563950848E-4</v>
      </c>
      <c r="F29" s="34">
        <f>IF(EV!F30&lt;0,-Prob!F30,Prob!F30)</f>
        <v>4.5516613563950848E-4</v>
      </c>
      <c r="G29" s="34">
        <f>IF(EV!G30&lt;0,-Prob!G30,Prob!G30)</f>
        <v>4.5516613563950848E-4</v>
      </c>
      <c r="H29" s="34">
        <f>IF(EV!H30&lt;0,-Prob!H30,Prob!H30)</f>
        <v>4.5516613563950848E-4</v>
      </c>
      <c r="I29" s="34">
        <f>IF(EV!I30&lt;0,-Prob!I30,Prob!I30)</f>
        <v>-4.5516613563950848E-4</v>
      </c>
      <c r="J29" s="34">
        <f>IF(EV!J30&lt;0,-Prob!J30,Prob!J30)</f>
        <v>-4.5516613563950848E-4</v>
      </c>
      <c r="K29" s="34">
        <f>IF(EV!K30&lt;0,-Prob!K30,Prob!K30)</f>
        <v>-1.6806134238997238E-3</v>
      </c>
    </row>
    <row r="30" spans="1:11" x14ac:dyDescent="0.2">
      <c r="A30" s="46">
        <v>3</v>
      </c>
      <c r="B30" s="34">
        <f>IF(EV!B31&lt;0,-Prob!B31,Prob!B31)</f>
        <v>-3.1511501698119817E-4</v>
      </c>
      <c r="C30" s="34">
        <f>IF(EV!C31&lt;0,-Prob!C31,Prob!C31)</f>
        <v>-4.5516613563950848E-4</v>
      </c>
      <c r="D30" s="34">
        <f>IF(EV!D31&lt;0,-Prob!D31,Prob!D31)</f>
        <v>-4.5516613563950848E-4</v>
      </c>
      <c r="E30" s="34">
        <f>IF(EV!E31&lt;0,-Prob!E31,Prob!E31)</f>
        <v>4.5516613563950848E-4</v>
      </c>
      <c r="F30" s="34">
        <f>IF(EV!F31&lt;0,-Prob!F31,Prob!F31)</f>
        <v>4.5516613563950848E-4</v>
      </c>
      <c r="G30" s="34">
        <f>IF(EV!G31&lt;0,-Prob!G31,Prob!G31)</f>
        <v>4.5516613563950848E-4</v>
      </c>
      <c r="H30" s="34">
        <f>IF(EV!H31&lt;0,-Prob!H31,Prob!H31)</f>
        <v>-4.5516613563950848E-4</v>
      </c>
      <c r="I30" s="34">
        <f>IF(EV!I31&lt;0,-Prob!I31,Prob!I31)</f>
        <v>-4.5516613563950848E-4</v>
      </c>
      <c r="J30" s="34">
        <f>IF(EV!J31&lt;0,-Prob!J31,Prob!J31)</f>
        <v>-4.5516613563950848E-4</v>
      </c>
      <c r="K30" s="34">
        <f>IF(EV!K31&lt;0,-Prob!K31,Prob!K31)</f>
        <v>-1.6806134238997238E-3</v>
      </c>
    </row>
    <row r="31" spans="1:11" x14ac:dyDescent="0.2">
      <c r="A31" s="46">
        <v>4</v>
      </c>
      <c r="B31" s="34">
        <f>IF(EV!B32&lt;0,-Prob!B32,Prob!B32)</f>
        <v>-3.1511501698119817E-4</v>
      </c>
      <c r="C31" s="34">
        <f>IF(EV!C32&lt;0,-Prob!C32,Prob!C32)</f>
        <v>-4.5516613563950848E-4</v>
      </c>
      <c r="D31" s="34">
        <f>IF(EV!D32&lt;0,-Prob!D32,Prob!D32)</f>
        <v>4.5516613563950848E-4</v>
      </c>
      <c r="E31" s="34">
        <f>IF(EV!E32&lt;0,-Prob!E32,Prob!E32)</f>
        <v>4.5516613563950848E-4</v>
      </c>
      <c r="F31" s="34">
        <f>IF(EV!F32&lt;0,-Prob!F32,Prob!F32)</f>
        <v>4.5516613563950848E-4</v>
      </c>
      <c r="G31" s="34">
        <f>IF(EV!G32&lt;0,-Prob!G32,Prob!G32)</f>
        <v>4.5516613563950848E-4</v>
      </c>
      <c r="H31" s="34">
        <f>IF(EV!H32&lt;0,-Prob!H32,Prob!H32)</f>
        <v>4.5516613563950848E-4</v>
      </c>
      <c r="I31" s="34">
        <f>IF(EV!I32&lt;0,-Prob!I32,Prob!I32)</f>
        <v>-4.5516613563950848E-4</v>
      </c>
      <c r="J31" s="34">
        <f>IF(EV!J32&lt;0,-Prob!J32,Prob!J32)</f>
        <v>-4.5516613563950848E-4</v>
      </c>
      <c r="K31" s="34">
        <f>IF(EV!K32&lt;0,-Prob!K32,Prob!K32)</f>
        <v>-1.6806134238997238E-3</v>
      </c>
    </row>
    <row r="32" spans="1:11" x14ac:dyDescent="0.2">
      <c r="A32" s="46">
        <v>5</v>
      </c>
      <c r="B32" s="34">
        <f>IF(EV!B33&lt;0,-Prob!B33,Prob!B33)</f>
        <v>3.1511501698119817E-4</v>
      </c>
      <c r="C32" s="34">
        <f>IF(EV!C33&lt;0,-Prob!C33,Prob!C33)</f>
        <v>4.5516613563950848E-4</v>
      </c>
      <c r="D32" s="34">
        <f>IF(EV!D33&lt;0,-Prob!D33,Prob!D33)</f>
        <v>4.5516613563950848E-4</v>
      </c>
      <c r="E32" s="34">
        <f>IF(EV!E33&lt;0,-Prob!E33,Prob!E33)</f>
        <v>4.5516613563950848E-4</v>
      </c>
      <c r="F32" s="34">
        <f>IF(EV!F33&lt;0,-Prob!F33,Prob!F33)</f>
        <v>4.5516613563950848E-4</v>
      </c>
      <c r="G32" s="34">
        <f>IF(EV!G33&lt;0,-Prob!G33,Prob!G33)</f>
        <v>4.5516613563950848E-4</v>
      </c>
      <c r="H32" s="34">
        <f>IF(EV!H33&lt;0,-Prob!H33,Prob!H33)</f>
        <v>4.5516613563950848E-4</v>
      </c>
      <c r="I32" s="34">
        <f>IF(EV!I33&lt;0,-Prob!I33,Prob!I33)</f>
        <v>4.5516613563950848E-4</v>
      </c>
      <c r="J32" s="34">
        <f>IF(EV!J33&lt;0,-Prob!J33,Prob!J33)</f>
        <v>4.5516613563950848E-4</v>
      </c>
      <c r="K32" s="34">
        <f>IF(EV!K33&lt;0,-Prob!K33,Prob!K33)</f>
        <v>1.6806134238997238E-3</v>
      </c>
    </row>
    <row r="33" spans="1:12" x14ac:dyDescent="0.2">
      <c r="A33" s="46">
        <v>6</v>
      </c>
      <c r="B33" s="34">
        <f>IF(EV!B34&lt;0,-Prob!B34,Prob!B34)</f>
        <v>-3.1511501698119817E-4</v>
      </c>
      <c r="C33" s="34">
        <f>IF(EV!C34&lt;0,-Prob!C34,Prob!C34)</f>
        <v>-4.5516613563950848E-4</v>
      </c>
      <c r="D33" s="34">
        <f>IF(EV!D34&lt;0,-Prob!D34,Prob!D34)</f>
        <v>-4.5516613563950848E-4</v>
      </c>
      <c r="E33" s="34">
        <f>IF(EV!E34&lt;0,-Prob!E34,Prob!E34)</f>
        <v>-4.5516613563950848E-4</v>
      </c>
      <c r="F33" s="34">
        <f>IF(EV!F34&lt;0,-Prob!F34,Prob!F34)</f>
        <v>4.5516613563950848E-4</v>
      </c>
      <c r="G33" s="34">
        <f>IF(EV!G34&lt;0,-Prob!G34,Prob!G34)</f>
        <v>4.5516613563950848E-4</v>
      </c>
      <c r="H33" s="34">
        <f>IF(EV!H34&lt;0,-Prob!H34,Prob!H34)</f>
        <v>-4.5516613563950848E-4</v>
      </c>
      <c r="I33" s="34">
        <f>IF(EV!I34&lt;0,-Prob!I34,Prob!I34)</f>
        <v>-4.5516613563950848E-4</v>
      </c>
      <c r="J33" s="34">
        <f>IF(EV!J34&lt;0,-Prob!J34,Prob!J34)</f>
        <v>-4.5516613563950848E-4</v>
      </c>
      <c r="K33" s="34">
        <f>IF(EV!K34&lt;0,-Prob!K34,Prob!K34)</f>
        <v>-1.6806134238997238E-3</v>
      </c>
    </row>
    <row r="34" spans="1:12" x14ac:dyDescent="0.2">
      <c r="A34" s="46">
        <v>7</v>
      </c>
      <c r="B34" s="34">
        <f>IF(EV!B35&lt;0,-Prob!B35,Prob!B35)</f>
        <v>-3.1511501698119817E-4</v>
      </c>
      <c r="C34" s="34">
        <f>IF(EV!C35&lt;0,-Prob!C35,Prob!C35)</f>
        <v>-4.5516613563950848E-4</v>
      </c>
      <c r="D34" s="34">
        <f>IF(EV!D35&lt;0,-Prob!D35,Prob!D35)</f>
        <v>-4.5516613563950848E-4</v>
      </c>
      <c r="E34" s="34">
        <f>IF(EV!E35&lt;0,-Prob!E35,Prob!E35)</f>
        <v>-4.5516613563950848E-4</v>
      </c>
      <c r="F34" s="34">
        <f>IF(EV!F35&lt;0,-Prob!F35,Prob!F35)</f>
        <v>4.5516613563950848E-4</v>
      </c>
      <c r="G34" s="34">
        <f>IF(EV!G35&lt;0,-Prob!G35,Prob!G35)</f>
        <v>4.5516613563950848E-4</v>
      </c>
      <c r="H34" s="34">
        <f>IF(EV!H35&lt;0,-Prob!H35,Prob!H35)</f>
        <v>-4.5516613563950848E-4</v>
      </c>
      <c r="I34" s="34">
        <f>IF(EV!I35&lt;0,-Prob!I35,Prob!I35)</f>
        <v>-4.5516613563950848E-4</v>
      </c>
      <c r="J34" s="34">
        <f>IF(EV!J35&lt;0,-Prob!J35,Prob!J35)</f>
        <v>-4.5516613563950848E-4</v>
      </c>
      <c r="K34" s="34">
        <f>IF(EV!K35&lt;0,-Prob!K35,Prob!K35)</f>
        <v>-1.6806134238997238E-3</v>
      </c>
    </row>
    <row r="35" spans="1:12" x14ac:dyDescent="0.2">
      <c r="A35" s="46">
        <v>8</v>
      </c>
      <c r="B35" s="34">
        <f>IF(EV!B36&lt;0,-Prob!B36,Prob!B36)</f>
        <v>-3.1511501698119817E-4</v>
      </c>
      <c r="C35" s="34">
        <f>IF(EV!C36&lt;0,-Prob!C36,Prob!C36)</f>
        <v>-4.5516613563950848E-4</v>
      </c>
      <c r="D35" s="34">
        <f>IF(EV!D36&lt;0,-Prob!D36,Prob!D36)</f>
        <v>4.5516613563950848E-4</v>
      </c>
      <c r="E35" s="34">
        <f>IF(EV!E36&lt;0,-Prob!E36,Prob!E36)</f>
        <v>4.5516613563950848E-4</v>
      </c>
      <c r="F35" s="34">
        <f>IF(EV!F36&lt;0,-Prob!F36,Prob!F36)</f>
        <v>4.5516613563950848E-4</v>
      </c>
      <c r="G35" s="34">
        <f>IF(EV!G36&lt;0,-Prob!G36,Prob!G36)</f>
        <v>4.5516613563950848E-4</v>
      </c>
      <c r="H35" s="34">
        <f>IF(EV!H36&lt;0,-Prob!H36,Prob!H36)</f>
        <v>4.5516613563950848E-4</v>
      </c>
      <c r="I35" s="34">
        <f>IF(EV!I36&lt;0,-Prob!I36,Prob!I36)</f>
        <v>-4.5516613563950848E-4</v>
      </c>
      <c r="J35" s="34">
        <f>IF(EV!J36&lt;0,-Prob!J36,Prob!J36)</f>
        <v>-4.5516613563950848E-4</v>
      </c>
      <c r="K35" s="34">
        <f>IF(EV!K36&lt;0,-Prob!K36,Prob!K36)</f>
        <v>-1.6806134238997238E-3</v>
      </c>
    </row>
    <row r="36" spans="1:12" x14ac:dyDescent="0.2">
      <c r="A36" s="46">
        <v>9</v>
      </c>
      <c r="B36" s="34">
        <f>IF(EV!B37&lt;0,-Prob!B37,Prob!B37)</f>
        <v>-3.1511501698119817E-4</v>
      </c>
      <c r="C36" s="34">
        <f>IF(EV!C37&lt;0,-Prob!C37,Prob!C37)</f>
        <v>4.5516613563950848E-4</v>
      </c>
      <c r="D36" s="34">
        <f>IF(EV!D37&lt;0,-Prob!D37,Prob!D37)</f>
        <v>4.5516613563950848E-4</v>
      </c>
      <c r="E36" s="34">
        <f>IF(EV!E37&lt;0,-Prob!E37,Prob!E37)</f>
        <v>4.5516613563950848E-4</v>
      </c>
      <c r="F36" s="34">
        <f>IF(EV!F37&lt;0,-Prob!F37,Prob!F37)</f>
        <v>4.5516613563950848E-4</v>
      </c>
      <c r="G36" s="34">
        <f>IF(EV!G37&lt;0,-Prob!G37,Prob!G37)</f>
        <v>4.5516613563950848E-4</v>
      </c>
      <c r="H36" s="34">
        <f>IF(EV!H37&lt;0,-Prob!H37,Prob!H37)</f>
        <v>4.5516613563950848E-4</v>
      </c>
      <c r="I36" s="34">
        <f>IF(EV!I37&lt;0,-Prob!I37,Prob!I37)</f>
        <v>4.5516613563950848E-4</v>
      </c>
      <c r="J36" s="34">
        <f>IF(EV!J37&lt;0,-Prob!J37,Prob!J37)</f>
        <v>-4.5516613563950848E-4</v>
      </c>
      <c r="K36" s="34">
        <f>IF(EV!K37&lt;0,-Prob!K37,Prob!K37)</f>
        <v>-1.6806134238997238E-3</v>
      </c>
    </row>
    <row r="37" spans="1:12" x14ac:dyDescent="0.2">
      <c r="A37" s="69">
        <v>10</v>
      </c>
      <c r="B37" s="70">
        <f>IF(EV!B38&lt;0,-Prob!B38,Prob!B38)</f>
        <v>5.0418402716991707E-3</v>
      </c>
      <c r="C37" s="70">
        <f>IF(EV!C38&lt;0,-Prob!C38,Prob!C38)</f>
        <v>7.2826581702321357E-3</v>
      </c>
      <c r="D37" s="70">
        <f>IF(EV!D38&lt;0,-Prob!D38,Prob!D38)</f>
        <v>7.2826581702321357E-3</v>
      </c>
      <c r="E37" s="70">
        <f>IF(EV!E38&lt;0,-Prob!E38,Prob!E38)</f>
        <v>7.2826581702321357E-3</v>
      </c>
      <c r="F37" s="70">
        <f>IF(EV!F38&lt;0,-Prob!F38,Prob!F38)</f>
        <v>7.2826581702321357E-3</v>
      </c>
      <c r="G37" s="70">
        <f>IF(EV!G38&lt;0,-Prob!G38,Prob!G38)</f>
        <v>7.2826581702321357E-3</v>
      </c>
      <c r="H37" s="70">
        <f>IF(EV!H38&lt;0,-Prob!H38,Prob!H38)</f>
        <v>7.2826581702321357E-3</v>
      </c>
      <c r="I37" s="70">
        <f>IF(EV!I38&lt;0,-Prob!I38,Prob!I38)</f>
        <v>7.2826581702321357E-3</v>
      </c>
      <c r="J37" s="70">
        <f>IF(EV!J38&lt;0,-Prob!J38,Prob!J38)</f>
        <v>7.2826581702321357E-3</v>
      </c>
      <c r="K37" s="70">
        <f>IF(EV!K38&lt;0,-Prob!K38,Prob!K38)</f>
        <v>2.688981478239558E-2</v>
      </c>
    </row>
    <row r="38" spans="1:12" ht="16" thickBot="1" x14ac:dyDescent="0.25">
      <c r="A38" s="93" t="s">
        <v>40</v>
      </c>
      <c r="B38" s="98" t="s">
        <v>1</v>
      </c>
      <c r="C38" s="99">
        <v>2</v>
      </c>
      <c r="D38" s="99">
        <v>3</v>
      </c>
      <c r="E38" s="99">
        <v>4</v>
      </c>
      <c r="F38" s="99">
        <v>5</v>
      </c>
      <c r="G38" s="99">
        <v>6</v>
      </c>
      <c r="H38" s="99">
        <v>7</v>
      </c>
      <c r="I38" s="99">
        <v>8</v>
      </c>
      <c r="J38" s="99">
        <v>9</v>
      </c>
      <c r="K38" s="100">
        <v>10</v>
      </c>
    </row>
    <row r="39" spans="1:12" x14ac:dyDescent="0.2">
      <c r="A39" s="97" t="s">
        <v>42</v>
      </c>
      <c r="B39" s="101">
        <f>-(SUMIF(B28:B37,"&lt;0")+SUMIF(B18:B26,"&lt;0") +SUMIF(B2:B16,"&lt;0"))</f>
        <v>3.6868456986800184E-2</v>
      </c>
      <c r="C39" s="102">
        <f t="shared" ref="C39:K39" si="0">-(SUMIF(C28:C37,"&lt;0")+SUMIF(C18:C26,"&lt;0") +SUMIF(C2:C16,"&lt;0"))</f>
        <v>4.3695949021392816E-2</v>
      </c>
      <c r="D39" s="102">
        <f t="shared" si="0"/>
        <v>3.823395539371871E-2</v>
      </c>
      <c r="E39" s="102">
        <f t="shared" si="0"/>
        <v>3.7323623122439697E-2</v>
      </c>
      <c r="F39" s="102">
        <f t="shared" si="0"/>
        <v>3.6413290851160678E-2</v>
      </c>
      <c r="G39" s="102">
        <f t="shared" si="0"/>
        <v>3.0040964952207563E-2</v>
      </c>
      <c r="H39" s="102">
        <f t="shared" si="0"/>
        <v>3.8689121529358217E-2</v>
      </c>
      <c r="I39" s="102">
        <f t="shared" si="0"/>
        <v>4.3695949021392816E-2</v>
      </c>
      <c r="J39" s="102">
        <f t="shared" si="0"/>
        <v>5.3254437869822494E-2</v>
      </c>
      <c r="K39" s="103">
        <f t="shared" si="0"/>
        <v>0.19663177059626771</v>
      </c>
    </row>
    <row r="40" spans="1:12" ht="16" thickBot="1" x14ac:dyDescent="0.25">
      <c r="A40" s="97" t="s">
        <v>43</v>
      </c>
      <c r="B40" s="104">
        <f>B39</f>
        <v>3.6868456986800184E-2</v>
      </c>
      <c r="C40" s="105">
        <f t="shared" ref="C40:K40" si="1">C39</f>
        <v>4.3695949021392816E-2</v>
      </c>
      <c r="D40" s="105">
        <f t="shared" si="1"/>
        <v>3.823395539371871E-2</v>
      </c>
      <c r="E40" s="105">
        <f t="shared" si="1"/>
        <v>3.7323623122439697E-2</v>
      </c>
      <c r="F40" s="105">
        <f t="shared" si="1"/>
        <v>3.6413290851160678E-2</v>
      </c>
      <c r="G40" s="105">
        <f t="shared" si="1"/>
        <v>3.0040964952207563E-2</v>
      </c>
      <c r="H40" s="105">
        <f t="shared" si="1"/>
        <v>3.8689121529358217E-2</v>
      </c>
      <c r="I40" s="105">
        <f t="shared" si="1"/>
        <v>4.3695949021392816E-2</v>
      </c>
      <c r="J40" s="105">
        <f t="shared" si="1"/>
        <v>5.3254437869822494E-2</v>
      </c>
      <c r="K40" s="106">
        <f t="shared" si="1"/>
        <v>0.19663177059626771</v>
      </c>
    </row>
    <row r="41" spans="1:12" x14ac:dyDescent="0.2">
      <c r="A41" s="97" t="s">
        <v>41</v>
      </c>
      <c r="B41" s="101">
        <f>SUMIF(B28:B37,"&gt;0")+SUMIF(B18:B26,"&gt;0") +SUMIF(B2:B16,"&gt;0")</f>
        <v>1.6385980883022306E-2</v>
      </c>
      <c r="C41" s="102">
        <f t="shared" ref="C41:K41" si="2">SUMIF(C28:C37,"&gt;0")+SUMIF(C18:C26,"&gt;0") +SUMIF(C2:C16,"&gt;0")</f>
        <v>3.3227127901684125E-2</v>
      </c>
      <c r="D41" s="102">
        <f t="shared" si="2"/>
        <v>3.8689121529358217E-2</v>
      </c>
      <c r="E41" s="102">
        <f t="shared" si="2"/>
        <v>3.9599453800637244E-2</v>
      </c>
      <c r="F41" s="102">
        <f t="shared" si="2"/>
        <v>4.0509786071916257E-2</v>
      </c>
      <c r="G41" s="102">
        <f t="shared" si="2"/>
        <v>4.6882111970869375E-2</v>
      </c>
      <c r="H41" s="102">
        <f t="shared" si="2"/>
        <v>3.823395539371871E-2</v>
      </c>
      <c r="I41" s="102">
        <f t="shared" si="2"/>
        <v>3.3227127901684125E-2</v>
      </c>
      <c r="J41" s="102">
        <f t="shared" si="2"/>
        <v>2.3668639053254441E-2</v>
      </c>
      <c r="K41" s="103">
        <f t="shared" si="2"/>
        <v>8.7391898042785632E-2</v>
      </c>
    </row>
    <row r="42" spans="1:12" ht="16" thickBot="1" x14ac:dyDescent="0.25">
      <c r="A42" s="97" t="s">
        <v>44</v>
      </c>
      <c r="B42" s="104">
        <f>B41</f>
        <v>1.6385980883022306E-2</v>
      </c>
      <c r="C42" s="105">
        <f t="shared" ref="C42:K42" si="3">C41</f>
        <v>3.3227127901684125E-2</v>
      </c>
      <c r="D42" s="105">
        <f t="shared" si="3"/>
        <v>3.8689121529358217E-2</v>
      </c>
      <c r="E42" s="105">
        <f t="shared" si="3"/>
        <v>3.9599453800637244E-2</v>
      </c>
      <c r="F42" s="105">
        <f t="shared" si="3"/>
        <v>4.0509786071916257E-2</v>
      </c>
      <c r="G42" s="105">
        <f t="shared" si="3"/>
        <v>4.6882111970869375E-2</v>
      </c>
      <c r="H42" s="105">
        <f t="shared" si="3"/>
        <v>3.823395539371871E-2</v>
      </c>
      <c r="I42" s="105">
        <f t="shared" si="3"/>
        <v>3.3227127901684125E-2</v>
      </c>
      <c r="J42" s="105">
        <f t="shared" si="3"/>
        <v>2.3668639053254441E-2</v>
      </c>
      <c r="K42" s="106">
        <f t="shared" si="3"/>
        <v>8.7391898042785632E-2</v>
      </c>
    </row>
    <row r="43" spans="1:12" ht="16" thickBot="1" x14ac:dyDescent="0.25">
      <c r="A43" s="97" t="s">
        <v>2</v>
      </c>
      <c r="B43" s="108">
        <f>B41+B39</f>
        <v>5.3254437869822494E-2</v>
      </c>
      <c r="C43" s="94">
        <f t="shared" ref="C43:K43" si="4">C41+C39</f>
        <v>7.6923076923076941E-2</v>
      </c>
      <c r="D43" s="94">
        <f t="shared" si="4"/>
        <v>7.6923076923076927E-2</v>
      </c>
      <c r="E43" s="94">
        <f t="shared" si="4"/>
        <v>7.6923076923076941E-2</v>
      </c>
      <c r="F43" s="94">
        <f t="shared" si="4"/>
        <v>7.6923076923076927E-2</v>
      </c>
      <c r="G43" s="94">
        <f t="shared" si="4"/>
        <v>7.6923076923076941E-2</v>
      </c>
      <c r="H43" s="94">
        <f t="shared" si="4"/>
        <v>7.6923076923076927E-2</v>
      </c>
      <c r="I43" s="94">
        <f t="shared" si="4"/>
        <v>7.6923076923076941E-2</v>
      </c>
      <c r="J43" s="94">
        <f t="shared" si="4"/>
        <v>7.6923076923076927E-2</v>
      </c>
      <c r="K43" s="109">
        <f t="shared" si="4"/>
        <v>0.28402366863905337</v>
      </c>
      <c r="L43" s="95">
        <f>SUM(B43:K43)-C46</f>
        <v>1.0000000000000002</v>
      </c>
    </row>
    <row r="44" spans="1:12" ht="16" thickBot="1" x14ac:dyDescent="0.25">
      <c r="A44" s="107" t="s">
        <v>45</v>
      </c>
      <c r="B44" s="110">
        <f>B41-B39</f>
        <v>-2.0482476103777878E-2</v>
      </c>
      <c r="C44" s="71">
        <f t="shared" ref="C44:K44" si="5">C41-C39</f>
        <v>-1.0468821119708691E-2</v>
      </c>
      <c r="D44" s="71">
        <f t="shared" si="5"/>
        <v>4.5516613563950648E-4</v>
      </c>
      <c r="E44" s="71">
        <f t="shared" si="5"/>
        <v>2.2758306781975463E-3</v>
      </c>
      <c r="F44" s="71">
        <f t="shared" si="5"/>
        <v>4.0964952207555791E-3</v>
      </c>
      <c r="G44" s="71">
        <f t="shared" si="5"/>
        <v>1.6841147018661812E-2</v>
      </c>
      <c r="H44" s="71">
        <f t="shared" si="5"/>
        <v>-4.5516613563950648E-4</v>
      </c>
      <c r="I44" s="71">
        <f t="shared" si="5"/>
        <v>-1.0468821119708691E-2</v>
      </c>
      <c r="J44" s="71">
        <f t="shared" si="5"/>
        <v>-2.9585798816568053E-2</v>
      </c>
      <c r="K44" s="72">
        <f t="shared" si="5"/>
        <v>-0.10923987255348208</v>
      </c>
      <c r="L44" s="96">
        <f>SUM(B44:K44)</f>
        <v>-0.15703231679563046</v>
      </c>
    </row>
    <row r="45" spans="1:12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1:12" x14ac:dyDescent="0.2">
      <c r="A46" s="309" t="s">
        <v>11</v>
      </c>
      <c r="B46" s="310"/>
      <c r="C46" s="34">
        <f>IF(EV!H41&lt;0,-Prob!C40,Prob!C40)</f>
        <v>-4.7337278106508882E-2</v>
      </c>
    </row>
    <row r="47" spans="1:12" x14ac:dyDescent="0.2">
      <c r="C47" s="92">
        <f>SUM(B44:K44)</f>
        <v>-0.15703231679563046</v>
      </c>
    </row>
    <row r="48" spans="1:12" x14ac:dyDescent="0.2">
      <c r="B48" s="41" t="s">
        <v>2</v>
      </c>
      <c r="C48" s="92">
        <f>C47+C46</f>
        <v>-0.20436959490213935</v>
      </c>
    </row>
  </sheetData>
  <sheetProtection sheet="1" objects="1" scenarios="1"/>
  <mergeCells count="6">
    <mergeCell ref="M3:N3"/>
    <mergeCell ref="M4:N4"/>
    <mergeCell ref="M5:N5"/>
    <mergeCell ref="A46:B46"/>
    <mergeCell ref="M6:N6"/>
    <mergeCell ref="M7:N7"/>
  </mergeCells>
  <phoneticPr fontId="14" type="noConversion"/>
  <conditionalFormatting sqref="B2:K16 B18:K26 B28:K37 B39:K45">
    <cfRule type="containsText" dxfId="773" priority="19" operator="containsText" text="R">
      <formula>NOT(ISERROR(SEARCH("R",B2)))</formula>
    </cfRule>
    <cfRule type="containsText" dxfId="772" priority="20" operator="containsText" text="D">
      <formula>NOT(ISERROR(SEARCH("D",B2)))</formula>
    </cfRule>
    <cfRule type="containsText" dxfId="771" priority="21" operator="containsText" text="S">
      <formula>NOT(ISERROR(SEARCH("S",B2)))</formula>
    </cfRule>
    <cfRule type="containsText" dxfId="770" priority="22" operator="containsText" text="H">
      <formula>NOT(ISERROR(SEARCH("H",B2)))</formula>
    </cfRule>
  </conditionalFormatting>
  <conditionalFormatting sqref="B2:K16 B18:K26 B28:K37 B39:K45">
    <cfRule type="containsText" dxfId="769" priority="18" operator="containsText" text="P">
      <formula>NOT(ISERROR(SEARCH("P",B2)))</formula>
    </cfRule>
  </conditionalFormatting>
  <conditionalFormatting sqref="B2:K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 B39:K4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ntainsText" dxfId="768" priority="8" operator="containsText" text="R">
      <formula>NOT(ISERROR(SEARCH("R",C46)))</formula>
    </cfRule>
    <cfRule type="containsText" dxfId="767" priority="9" operator="containsText" text="D">
      <formula>NOT(ISERROR(SEARCH("D",C46)))</formula>
    </cfRule>
    <cfRule type="containsText" dxfId="766" priority="10" operator="containsText" text="S">
      <formula>NOT(ISERROR(SEARCH("S",C46)))</formula>
    </cfRule>
    <cfRule type="containsText" dxfId="765" priority="11" operator="containsText" text="H">
      <formula>NOT(ISERROR(SEARCH("H",C46)))</formula>
    </cfRule>
  </conditionalFormatting>
  <conditionalFormatting sqref="C46">
    <cfRule type="containsText" dxfId="764" priority="7" operator="containsText" text="P">
      <formula>NOT(ISERROR(SEARCH("P",C46)))</formula>
    </cfRule>
  </conditionalFormatting>
  <conditionalFormatting sqref="C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AB51"/>
  <sheetViews>
    <sheetView zoomScale="90" zoomScaleNormal="90" workbookViewId="0">
      <selection activeCell="E3" sqref="E3"/>
    </sheetView>
  </sheetViews>
  <sheetFormatPr baseColWidth="10" defaultColWidth="8.83203125" defaultRowHeight="16" x14ac:dyDescent="0.2"/>
  <cols>
    <col min="2" max="2" width="8.83203125" style="202"/>
  </cols>
  <sheetData>
    <row r="2" spans="1:23" x14ac:dyDescent="0.2">
      <c r="A2" t="s">
        <v>40</v>
      </c>
      <c r="B2" s="201" t="s">
        <v>129</v>
      </c>
      <c r="C2" s="200">
        <f>'WL Prob'!O5</f>
        <v>0.3978152025489306</v>
      </c>
      <c r="D2" s="199" t="s">
        <v>130</v>
      </c>
      <c r="E2" s="200">
        <f>'WL Prob'!O4</f>
        <v>0.60218479745106923</v>
      </c>
      <c r="F2" t="s">
        <v>49</v>
      </c>
      <c r="G2">
        <f>(K2+E2)/C2</f>
        <v>1.5020755069492886</v>
      </c>
      <c r="H2" t="s">
        <v>163</v>
      </c>
      <c r="I2">
        <v>1</v>
      </c>
      <c r="J2" s="199" t="s">
        <v>131</v>
      </c>
      <c r="K2" s="200">
        <f>Rules!C19</f>
        <v>-4.6363254102503859E-3</v>
      </c>
    </row>
    <row r="4" spans="1:23" x14ac:dyDescent="0.2">
      <c r="A4" s="330" t="s">
        <v>132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</row>
    <row r="5" spans="1:23" x14ac:dyDescent="0.2">
      <c r="A5" t="s">
        <v>133</v>
      </c>
      <c r="B5" s="202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</row>
    <row r="6" spans="1:23" x14ac:dyDescent="0.2">
      <c r="A6" t="s">
        <v>127</v>
      </c>
      <c r="B6" s="202">
        <f>$C$2</f>
        <v>0.3978152025489306</v>
      </c>
      <c r="C6">
        <f>B6*$C$2</f>
        <v>0.15825693537904667</v>
      </c>
      <c r="D6">
        <f t="shared" ref="D6:K6" si="0">C6*$C$2</f>
        <v>6.2957014802588473E-2</v>
      </c>
      <c r="E6">
        <f t="shared" si="0"/>
        <v>2.5045257595567756E-2</v>
      </c>
      <c r="F6">
        <f t="shared" si="0"/>
        <v>9.96338422327093E-3</v>
      </c>
      <c r="G6">
        <f t="shared" si="0"/>
        <v>3.9635857128533444E-3</v>
      </c>
      <c r="H6">
        <f t="shared" si="0"/>
        <v>1.5767746531788007E-3</v>
      </c>
      <c r="I6">
        <f t="shared" si="0"/>
        <v>6.2726492802834437E-4</v>
      </c>
      <c r="J6">
        <f t="shared" si="0"/>
        <v>2.495355243954362E-4</v>
      </c>
      <c r="K6">
        <f t="shared" si="0"/>
        <v>9.9269025180524062E-5</v>
      </c>
    </row>
    <row r="7" spans="1:23" ht="17" thickBot="1" x14ac:dyDescent="0.25">
      <c r="A7" t="s">
        <v>128</v>
      </c>
      <c r="B7" s="202">
        <f>$E$2</f>
        <v>0.60218479745106923</v>
      </c>
      <c r="C7">
        <f>B7*$E$2</f>
        <v>0.3626265302811853</v>
      </c>
      <c r="D7">
        <f t="shared" ref="D7:K7" si="1">C7*$E$2</f>
        <v>0.21836818368775959</v>
      </c>
      <c r="E7">
        <f t="shared" si="1"/>
        <v>0.13149800046377139</v>
      </c>
      <c r="F7">
        <f t="shared" si="1"/>
        <v>7.9186096774496784E-2</v>
      </c>
      <c r="G7">
        <f t="shared" si="1"/>
        <v>4.7684663647091112E-2</v>
      </c>
      <c r="H7">
        <f t="shared" si="1"/>
        <v>2.8714979519845925E-2</v>
      </c>
      <c r="I7">
        <f t="shared" si="1"/>
        <v>1.7291724125970021E-2</v>
      </c>
      <c r="J7">
        <f t="shared" si="1"/>
        <v>1.0412813390377024E-2</v>
      </c>
      <c r="K7">
        <f t="shared" si="1"/>
        <v>6.2704379223799695E-3</v>
      </c>
    </row>
    <row r="8" spans="1:23" ht="17" thickBot="1" x14ac:dyDescent="0.25">
      <c r="A8" s="207"/>
      <c r="B8" s="122">
        <v>1</v>
      </c>
      <c r="C8" s="214">
        <v>0</v>
      </c>
      <c r="D8" s="211">
        <v>-1</v>
      </c>
      <c r="E8" s="139">
        <v>-2</v>
      </c>
      <c r="F8" s="139">
        <v>-3</v>
      </c>
      <c r="G8" s="139">
        <v>-4</v>
      </c>
      <c r="H8" s="139">
        <v>-5</v>
      </c>
      <c r="I8" s="139">
        <v>-6</v>
      </c>
      <c r="J8" s="139">
        <v>-7</v>
      </c>
      <c r="K8" s="139">
        <v>-8</v>
      </c>
      <c r="L8" s="139">
        <v>-9</v>
      </c>
      <c r="M8" s="124">
        <v>-10</v>
      </c>
      <c r="N8" t="s">
        <v>141</v>
      </c>
      <c r="R8" s="231" t="s">
        <v>51</v>
      </c>
      <c r="S8" s="232" t="s">
        <v>135</v>
      </c>
      <c r="T8" s="233" t="s">
        <v>142</v>
      </c>
      <c r="U8" s="233" t="s">
        <v>50</v>
      </c>
      <c r="V8" s="259" t="s">
        <v>49</v>
      </c>
      <c r="W8" s="256" t="s">
        <v>163</v>
      </c>
    </row>
    <row r="9" spans="1:23" x14ac:dyDescent="0.2">
      <c r="A9" s="208">
        <v>1</v>
      </c>
      <c r="B9" s="114">
        <f>C9*B6</f>
        <v>0.3978152025489306</v>
      </c>
      <c r="C9" s="114">
        <v>1</v>
      </c>
      <c r="D9" s="212">
        <f>C9*B7</f>
        <v>0.60218479745106923</v>
      </c>
      <c r="E9" s="130"/>
      <c r="F9" s="130"/>
      <c r="G9" s="130"/>
      <c r="H9" s="130"/>
      <c r="I9" s="130"/>
      <c r="J9" s="130"/>
      <c r="K9" s="130"/>
      <c r="L9" s="130"/>
      <c r="M9" s="58"/>
      <c r="N9">
        <f>B9+D9</f>
        <v>0.99999999999999978</v>
      </c>
      <c r="R9" s="129">
        <f>B9-D9</f>
        <v>-0.20436959490213863</v>
      </c>
      <c r="S9" s="129">
        <f>$G$2*SUM(C9)*B9*COUNT(B9)</f>
        <v>0.59754847204081885</v>
      </c>
      <c r="T9" s="58">
        <f>COUNT(D9:M9)*D9*SUM(C9)*$I$2</f>
        <v>0.60218479745106923</v>
      </c>
      <c r="U9" s="261">
        <f>S9-T9</f>
        <v>-4.6363254102503859E-3</v>
      </c>
      <c r="V9" s="129">
        <f>(U9+W9*D9)/B9</f>
        <v>1.5020755069492886</v>
      </c>
      <c r="W9" s="58">
        <f>COUNT(D9:M9)</f>
        <v>1</v>
      </c>
    </row>
    <row r="10" spans="1:23" x14ac:dyDescent="0.2">
      <c r="A10" s="209">
        <v>2</v>
      </c>
      <c r="B10" s="116">
        <f>C10*B6</f>
        <v>0.52313699442611095</v>
      </c>
      <c r="C10" s="116">
        <f>1/(1-B6*B7)</f>
        <v>1.3150251450276487</v>
      </c>
      <c r="D10" s="194">
        <f>C10*B7</f>
        <v>0.7918881506015375</v>
      </c>
      <c r="E10" s="1">
        <f>D10*B7</f>
        <v>0.47686300557388867</v>
      </c>
      <c r="F10" s="1"/>
      <c r="G10" s="1"/>
      <c r="H10" s="1"/>
      <c r="I10" s="1"/>
      <c r="J10" s="1"/>
      <c r="K10" s="1"/>
      <c r="L10" s="1"/>
      <c r="M10" s="9"/>
      <c r="N10">
        <f>B10+E10</f>
        <v>0.99999999999999956</v>
      </c>
      <c r="R10" s="112">
        <f>B10-E10</f>
        <v>4.6273988852222281E-2</v>
      </c>
      <c r="S10" s="112">
        <f>$G$2*SUM(C10:D10)*B10*COUNT(B10)</f>
        <v>1.6555940661491353</v>
      </c>
      <c r="T10" s="9">
        <f>COUNT(D10:M10)*E10*SUM(C10:D10)*$I$2</f>
        <v>2.0094180132746415</v>
      </c>
      <c r="U10" s="262">
        <f>S10-T10</f>
        <v>-0.35382394712550624</v>
      </c>
      <c r="V10" s="112">
        <f>(U10+W10*E10)/B10</f>
        <v>1.1467398987532369</v>
      </c>
      <c r="W10" s="9">
        <f>COUNT(D10:M10)</f>
        <v>2</v>
      </c>
    </row>
    <row r="11" spans="1:23" s="220" customFormat="1" x14ac:dyDescent="0.2">
      <c r="A11" s="215">
        <v>3</v>
      </c>
      <c r="B11" s="116">
        <f>C11*B6</f>
        <v>0.58077343958120653</v>
      </c>
      <c r="C11" s="216">
        <f>1/(1-B7*B6/(1-B7*B6))</f>
        <v>1.4599076049884554</v>
      </c>
      <c r="D11" s="217">
        <f>C11*B7*C10</f>
        <v>1.1560835333634281</v>
      </c>
      <c r="E11" s="218">
        <f>D11*(B7)</f>
        <v>0.69617592837497233</v>
      </c>
      <c r="F11" s="218">
        <f>E11*B7</f>
        <v>0.4192265604187928</v>
      </c>
      <c r="G11" s="218"/>
      <c r="H11" s="218"/>
      <c r="I11" s="218"/>
      <c r="J11" s="218"/>
      <c r="K11" s="218"/>
      <c r="L11" s="218"/>
      <c r="M11" s="219"/>
      <c r="N11">
        <f>B11+F11</f>
        <v>0.99999999999999933</v>
      </c>
      <c r="R11" s="221">
        <f>B11-F11</f>
        <v>0.16154687916241373</v>
      </c>
      <c r="S11" s="112">
        <f>$G$2*SUM(C11:E11)*B11*COUNT(B11)</f>
        <v>2.889420473612045</v>
      </c>
      <c r="T11" s="9">
        <f>COUNT(D11:M11)*F11*SUM(C11:E11)*$I$2</f>
        <v>4.1656452207489059</v>
      </c>
      <c r="U11" s="262">
        <f>S11-T11</f>
        <v>-1.2762247471368608</v>
      </c>
      <c r="V11" s="112">
        <f>(U11+W11*F11)/B11</f>
        <v>-3.1931670108493959E-2</v>
      </c>
      <c r="W11" s="9">
        <f t="shared" ref="W11:W18" si="2">COUNT(D11:M11)</f>
        <v>3</v>
      </c>
    </row>
    <row r="12" spans="1:23" x14ac:dyDescent="0.2">
      <c r="A12" s="209">
        <v>4</v>
      </c>
      <c r="B12" s="116">
        <f>C12*B6</f>
        <v>0.61177203124863233</v>
      </c>
      <c r="C12" s="116">
        <f>1/(1-B7*B6/(1-B7*B6/(1-B7*B6)))</f>
        <v>1.5378296941112637</v>
      </c>
      <c r="D12" s="194">
        <f>C12*B7*C11</f>
        <v>1.35195862467099</v>
      </c>
      <c r="E12" s="1">
        <f>D12*B7*C10</f>
        <v>1.0706000149805086</v>
      </c>
      <c r="F12" s="1">
        <f>E12*B7</f>
        <v>0.64469905317214926</v>
      </c>
      <c r="G12" s="1">
        <f>F12*B7</f>
        <v>0.38822796875136684</v>
      </c>
      <c r="H12" s="1"/>
      <c r="I12" s="1"/>
      <c r="J12" s="1"/>
      <c r="K12" s="1"/>
      <c r="L12" s="1"/>
      <c r="M12" s="9"/>
      <c r="N12">
        <f>B12+G12</f>
        <v>0.99999999999999911</v>
      </c>
      <c r="R12" s="112">
        <f>B12-G12</f>
        <v>0.22354406249726549</v>
      </c>
      <c r="S12" s="112">
        <f>$G$2*SUM(C12:F12)*B12*COUNT(B12)</f>
        <v>4.2317427474881759</v>
      </c>
      <c r="T12" s="9">
        <f>COUNT(D12:M12)*G12*SUM(C12:F12)*$I$2</f>
        <v>7.1512948886091223</v>
      </c>
      <c r="U12" s="262">
        <f>S12-T12</f>
        <v>-2.9195521411209464</v>
      </c>
      <c r="V12" s="112">
        <f>(U12+W12*G12)/B12</f>
        <v>-2.2339044551058564</v>
      </c>
      <c r="W12" s="9">
        <f t="shared" si="2"/>
        <v>4</v>
      </c>
    </row>
    <row r="13" spans="1:23" x14ac:dyDescent="0.2">
      <c r="A13" s="209">
        <v>5</v>
      </c>
      <c r="B13" s="116">
        <f>C13*B6</f>
        <v>0.62985289283061197</v>
      </c>
      <c r="C13" s="116">
        <f>1/(1-B7*B6/(1-B7*B6/(1-B7*B6/(1-B7*B6))))</f>
        <v>1.5832800978819837</v>
      </c>
      <c r="D13" s="194">
        <f>C13*B7*C12</f>
        <v>1.4662086671015075</v>
      </c>
      <c r="E13" s="1">
        <f>D13*B7*C11</f>
        <v>1.2889941328651584</v>
      </c>
      <c r="F13" s="1">
        <f>E13*B7*C10</f>
        <v>1.0207391800108228</v>
      </c>
      <c r="G13" s="1">
        <f>F13*B7</f>
        <v>0.6146736163651878</v>
      </c>
      <c r="H13" s="1">
        <f>G13*B7</f>
        <v>0.37014710716938687</v>
      </c>
      <c r="I13" s="1"/>
      <c r="J13" s="1"/>
      <c r="K13" s="1"/>
      <c r="L13" s="1"/>
      <c r="M13" s="9"/>
      <c r="N13">
        <f>B13+H13</f>
        <v>0.99999999999999889</v>
      </c>
      <c r="R13" s="112">
        <f>B13-H13</f>
        <v>0.2597057856612251</v>
      </c>
      <c r="S13" s="112">
        <f>$G$2*SUM(C13:G13)*B13*COUNT(B13)</f>
        <v>5.6518226858295559</v>
      </c>
      <c r="T13" s="9">
        <f>COUNT(D13:M13)*H13*SUM(C13:G13)*$I$2</f>
        <v>11.056101048744571</v>
      </c>
      <c r="U13" s="262">
        <f t="shared" ref="U13:U18" si="3">S13-T13</f>
        <v>-5.4042783629150151</v>
      </c>
      <c r="V13" s="112">
        <f>(U13+W13*H13)/B13</f>
        <v>-5.6418615640521397</v>
      </c>
      <c r="W13" s="9">
        <f t="shared" si="2"/>
        <v>5</v>
      </c>
    </row>
    <row r="14" spans="1:23" x14ac:dyDescent="0.2">
      <c r="A14" s="209">
        <v>6</v>
      </c>
      <c r="B14" s="116">
        <f>C14*B6</f>
        <v>0.64090125192582093</v>
      </c>
      <c r="C14" s="116">
        <f>1/(1-B7*B6/(1-B7*B6/(1-B7*B6/(1-B7*B6/(1-B7*B6)))))</f>
        <v>1.6110526893375603</v>
      </c>
      <c r="D14" s="194">
        <f>C14*B7*C13</f>
        <v>1.5360214627856055</v>
      </c>
      <c r="E14" s="1">
        <f>D14*B7*C12</f>
        <v>1.4224444459340777</v>
      </c>
      <c r="F14" s="1">
        <f>E14*B7*C11</f>
        <v>1.2505195108144316</v>
      </c>
      <c r="G14" s="1">
        <f>F14*B7*C10</f>
        <v>0.99027158270997961</v>
      </c>
      <c r="H14" s="1">
        <f>G14*B7</f>
        <v>0.59632649245575886</v>
      </c>
      <c r="I14" s="1">
        <f>H14*B7</f>
        <v>0.35909874807417769</v>
      </c>
      <c r="J14" s="1"/>
      <c r="K14" s="1"/>
      <c r="L14" s="1"/>
      <c r="M14" s="9"/>
      <c r="N14">
        <f>B14+I14</f>
        <v>0.99999999999999867</v>
      </c>
      <c r="R14" s="112">
        <f>B14-I14</f>
        <v>0.28180250385164324</v>
      </c>
      <c r="S14" s="112">
        <f>$G$2*SUM(C14:H14)*B14*COUNT(B14)</f>
        <v>7.1302358747979655</v>
      </c>
      <c r="T14" s="9">
        <f>COUNT(D14:M14)*I14*SUM(C14:H14)*$I$2</f>
        <v>15.95828268677244</v>
      </c>
      <c r="U14" s="262">
        <f t="shared" si="3"/>
        <v>-8.8280468119744739</v>
      </c>
      <c r="V14" s="112">
        <f>(U14+W14*I14)/B14</f>
        <v>-10.412609280254308</v>
      </c>
      <c r="W14" s="9">
        <f t="shared" si="2"/>
        <v>6</v>
      </c>
    </row>
    <row r="15" spans="1:23" s="220" customFormat="1" x14ac:dyDescent="0.2">
      <c r="A15" s="215">
        <v>7</v>
      </c>
      <c r="B15" s="116">
        <f>C15*B6</f>
        <v>0.64784523383639259</v>
      </c>
      <c r="C15" s="216">
        <f>1/(1-B7*B6/(1-B7*B6/(1-B7*B6/(1-B7*B6/(1-B7*B6/(1-B7*B6))))))</f>
        <v>1.6285079848267205</v>
      </c>
      <c r="D15" s="217">
        <f>C15*B7*C14</f>
        <v>1.5798993623161375</v>
      </c>
      <c r="E15" s="218">
        <f>D15*B7*C13</f>
        <v>1.506319033275519</v>
      </c>
      <c r="F15" s="218">
        <f>E15*B7*C12</f>
        <v>1.394938283480625</v>
      </c>
      <c r="G15" s="218">
        <f>F15*B7*C11</f>
        <v>1.2263379036423592</v>
      </c>
      <c r="H15" s="218">
        <f>G15*B7*C10</f>
        <v>0.97112245452791435</v>
      </c>
      <c r="I15" s="218">
        <f>H15*B7</f>
        <v>0.58479517858007735</v>
      </c>
      <c r="J15" s="218">
        <f>I15*B7</f>
        <v>0.35215476616360575</v>
      </c>
      <c r="K15" s="218"/>
      <c r="L15" s="218"/>
      <c r="M15" s="219"/>
      <c r="N15">
        <f>B15+J15</f>
        <v>0.99999999999999833</v>
      </c>
      <c r="R15" s="221">
        <f>B15-J15</f>
        <v>0.29569046767278684</v>
      </c>
      <c r="S15" s="112">
        <f>$G$2*SUM(C15:I15)*B15*COUNT(B15)</f>
        <v>8.6528383231447954</v>
      </c>
      <c r="T15" s="9">
        <f>COUNT(D15:M15)*J15*SUM(C15:I15)*$I$2</f>
        <v>21.919324553035803</v>
      </c>
      <c r="U15" s="262">
        <f t="shared" si="3"/>
        <v>-13.266486229891008</v>
      </c>
      <c r="V15" s="112">
        <f>(U15+W15*J15)/B15</f>
        <v>-16.672813663816449</v>
      </c>
      <c r="W15" s="9">
        <f t="shared" si="2"/>
        <v>7</v>
      </c>
    </row>
    <row r="16" spans="1:23" x14ac:dyDescent="0.2">
      <c r="A16" s="209">
        <v>8</v>
      </c>
      <c r="B16" s="116">
        <f>C16*B6</f>
        <v>0.65228711628433622</v>
      </c>
      <c r="C16" s="116">
        <f>1/(1-B7*B6/(1-B7*B6/(1-B7*B6/(1-B7*B6/(1-B7*B6/(1-B7*B6/(1-B7*B6)))))))</f>
        <v>1.6396736778909449</v>
      </c>
      <c r="D16" s="194">
        <f>C16*B7*C15</f>
        <v>1.6079668996869623</v>
      </c>
      <c r="E16" s="1">
        <f>D16*B7*C14</f>
        <v>1.5599713990418043</v>
      </c>
      <c r="F16" s="1">
        <f>E16*B7*C13</f>
        <v>1.487319170948505</v>
      </c>
      <c r="G16" s="1">
        <f>F16*B7*C12</f>
        <v>1.3773433153793586</v>
      </c>
      <c r="H16" s="1">
        <f>G16*B7*C11</f>
        <v>1.2108695660452853</v>
      </c>
      <c r="I16" s="1">
        <f>H16*B7*C10</f>
        <v>0.95887326127528727</v>
      </c>
      <c r="J16" s="1">
        <f>I16*B7</f>
        <v>0.57741890062230505</v>
      </c>
      <c r="K16" s="1">
        <f>J16*B7</f>
        <v>0.34771288371566184</v>
      </c>
      <c r="L16" s="1"/>
      <c r="M16" s="9"/>
      <c r="N16">
        <f>B16+K16</f>
        <v>0.999999999999998</v>
      </c>
      <c r="R16" s="112">
        <f>B16-K16</f>
        <v>0.30457423256867439</v>
      </c>
      <c r="S16" s="112">
        <f>$G$2*SUM(C16:J16)*B16*COUNT(B16)</f>
        <v>10.208802087630954</v>
      </c>
      <c r="T16" s="9">
        <f>COUNT(D16:M16)*K16*SUM(C16:J16)*$I$2</f>
        <v>28.983777637006799</v>
      </c>
      <c r="U16" s="262">
        <f t="shared" si="3"/>
        <v>-18.774975549375846</v>
      </c>
      <c r="V16" s="112">
        <f>(U16+W16*K16)/B16</f>
        <v>-24.518761877061173</v>
      </c>
      <c r="W16" s="9">
        <f t="shared" si="2"/>
        <v>8</v>
      </c>
    </row>
    <row r="17" spans="1:23" x14ac:dyDescent="0.2">
      <c r="A17" s="209">
        <v>9</v>
      </c>
      <c r="B17" s="116">
        <f>C17*B6</f>
        <v>0.65516055550697017</v>
      </c>
      <c r="C17" s="116">
        <f>1/(1-B7*B6/(1-B7*B6/(1-B7*B6/(1-B7*B6/(1-B7*B6/(1-B7*B6/(1-B7*B6/(1-B7*B6))))))))</f>
        <v>1.6468967282023026</v>
      </c>
      <c r="D17" s="194">
        <f>C17*B7*C16</f>
        <v>1.6261236977808446</v>
      </c>
      <c r="E17" s="1">
        <f>D17*B7*C15</f>
        <v>1.5946789389163272</v>
      </c>
      <c r="F17" s="1">
        <f>E17*B7*C14</f>
        <v>1.5470800647999017</v>
      </c>
      <c r="G17" s="1">
        <f>F17*B7*C13</f>
        <v>1.4750282221728648</v>
      </c>
      <c r="H17" s="1">
        <f>G17*B7*C12</f>
        <v>1.3659611880818248</v>
      </c>
      <c r="I17" s="1">
        <f>H17*B7*C11</f>
        <v>1.2008631490630088</v>
      </c>
      <c r="J17" s="1">
        <f>I17*B7*C10</f>
        <v>0.95094929823704455</v>
      </c>
      <c r="K17" s="1">
        <f>J17*B7</f>
        <v>0.57264721054511114</v>
      </c>
      <c r="L17" s="1">
        <f>K17*B7</f>
        <v>0.34483944449302756</v>
      </c>
      <c r="M17" s="9"/>
      <c r="N17">
        <f>B17+L17</f>
        <v>0.99999999999999778</v>
      </c>
      <c r="R17" s="112">
        <f>B17-L17</f>
        <v>0.31032111101394261</v>
      </c>
      <c r="S17" s="112">
        <f>$G$2*SUM(C17:K17)*B17*COUNT(B17)</f>
        <v>11.789750334911494</v>
      </c>
      <c r="T17" s="9">
        <f>COUNT(D17:M17)*L17*SUM(C17:K17)*$I$2</f>
        <v>37.181298060725624</v>
      </c>
      <c r="U17" s="262">
        <f t="shared" si="3"/>
        <v>-25.391547725814128</v>
      </c>
      <c r="V17" s="112">
        <f>(U17+W17*L17)/B17</f>
        <v>-34.0191309413159</v>
      </c>
      <c r="W17" s="9">
        <f t="shared" si="2"/>
        <v>9</v>
      </c>
    </row>
    <row r="18" spans="1:23" ht="17" thickBot="1" x14ac:dyDescent="0.25">
      <c r="A18" s="210">
        <v>10</v>
      </c>
      <c r="B18" s="195">
        <f>C18*B6</f>
        <v>0.65703289796253694</v>
      </c>
      <c r="C18" s="195">
        <f>1/(1-B7*B6/(1-B7*B6/(1-B7*B6/(1-B7*B6/(1-B7*B6/(1-B7*B6/(1-B7*B6/(1-B7*B6/(1-B7*B6)))))))))</f>
        <v>1.6516032915602892</v>
      </c>
      <c r="D18" s="213">
        <f>C18*B7*C17</f>
        <v>1.6379547271830142</v>
      </c>
      <c r="E18" s="131">
        <f>D18*B7*C16</f>
        <v>1.6172944861405267</v>
      </c>
      <c r="F18" s="131">
        <f>E18*B7*C15</f>
        <v>1.5860204599400571</v>
      </c>
      <c r="G18" s="131">
        <f>F18*B7*C14</f>
        <v>1.538680028975274</v>
      </c>
      <c r="H18" s="131">
        <f>G18*B7*C13</f>
        <v>1.4670193994942586</v>
      </c>
      <c r="I18" s="131">
        <f>H18*B7*C12</f>
        <v>1.3585445564697936</v>
      </c>
      <c r="J18" s="131">
        <f>I18*B7*C11</f>
        <v>1.1943429348206327</v>
      </c>
      <c r="K18" s="131">
        <f>J18*B7*C10</f>
        <v>0.94578601783912353</v>
      </c>
      <c r="L18" s="131">
        <f>K18*B7</f>
        <v>0.56953796158450598</v>
      </c>
      <c r="M18" s="10">
        <f>L18*B7</f>
        <v>0.34296710203746056</v>
      </c>
      <c r="N18">
        <f>B18+M18</f>
        <v>0.99999999999999756</v>
      </c>
      <c r="R18" s="113">
        <f>B18-M18</f>
        <v>0.31406579592507639</v>
      </c>
      <c r="S18" s="113">
        <f>$G$2*SUM(C18:L18)*B18*COUNT(B18)</f>
        <v>13.389235679541978</v>
      </c>
      <c r="T18" s="10">
        <f>COUNT(D18:M18)*M18*SUM(C18:L18)*$I$2</f>
        <v>46.529605458072247</v>
      </c>
      <c r="U18" s="263">
        <f t="shared" si="3"/>
        <v>-33.140369778530271</v>
      </c>
      <c r="V18" s="113">
        <f>(U18+W18*M18)/B18</f>
        <v>-45.219499434942641</v>
      </c>
      <c r="W18" s="10">
        <f t="shared" si="2"/>
        <v>10</v>
      </c>
    </row>
    <row r="21" spans="1:23" x14ac:dyDescent="0.2">
      <c r="A21" s="330" t="s">
        <v>134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</row>
    <row r="22" spans="1:23" x14ac:dyDescent="0.2">
      <c r="A22" t="s">
        <v>133</v>
      </c>
      <c r="B22" s="20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</row>
    <row r="23" spans="1:23" x14ac:dyDescent="0.2">
      <c r="A23" t="s">
        <v>127</v>
      </c>
      <c r="B23" s="202">
        <f>$C$2</f>
        <v>0.3978152025489306</v>
      </c>
      <c r="C23">
        <f>B23*$C$2</f>
        <v>0.15825693537904667</v>
      </c>
      <c r="D23">
        <f t="shared" ref="D23" si="4">C23*$C$2</f>
        <v>6.2957014802588473E-2</v>
      </c>
      <c r="E23">
        <f t="shared" ref="E23" si="5">D23*$C$2</f>
        <v>2.5045257595567756E-2</v>
      </c>
      <c r="F23">
        <f t="shared" ref="F23" si="6">E23*$C$2</f>
        <v>9.96338422327093E-3</v>
      </c>
      <c r="G23">
        <f t="shared" ref="G23" si="7">F23*$C$2</f>
        <v>3.9635857128533444E-3</v>
      </c>
      <c r="H23">
        <f t="shared" ref="H23" si="8">G23*$C$2</f>
        <v>1.5767746531788007E-3</v>
      </c>
      <c r="I23">
        <f t="shared" ref="I23" si="9">H23*$C$2</f>
        <v>6.2726492802834437E-4</v>
      </c>
      <c r="J23">
        <f t="shared" ref="J23" si="10">I23*$C$2</f>
        <v>2.495355243954362E-4</v>
      </c>
      <c r="K23">
        <f t="shared" ref="K23" si="11">J23*$C$2</f>
        <v>9.9269025180524062E-5</v>
      </c>
    </row>
    <row r="24" spans="1:23" ht="17" thickBot="1" x14ac:dyDescent="0.25">
      <c r="A24" t="s">
        <v>128</v>
      </c>
      <c r="B24" s="202">
        <f>$E$2</f>
        <v>0.60218479745106923</v>
      </c>
      <c r="C24">
        <f>B24*$E$2</f>
        <v>0.3626265302811853</v>
      </c>
      <c r="D24">
        <f t="shared" ref="D24" si="12">C24*$E$2</f>
        <v>0.21836818368775959</v>
      </c>
      <c r="E24">
        <f t="shared" ref="E24" si="13">D24*$E$2</f>
        <v>0.13149800046377139</v>
      </c>
      <c r="F24">
        <f t="shared" ref="F24" si="14">E24*$E$2</f>
        <v>7.9186096774496784E-2</v>
      </c>
      <c r="G24">
        <f t="shared" ref="G24" si="15">F24*$E$2</f>
        <v>4.7684663647091112E-2</v>
      </c>
      <c r="H24">
        <f t="shared" ref="H24" si="16">G24*$E$2</f>
        <v>2.8714979519845925E-2</v>
      </c>
      <c r="I24">
        <f t="shared" ref="I24" si="17">H24*$E$2</f>
        <v>1.7291724125970021E-2</v>
      </c>
      <c r="J24">
        <f t="shared" ref="J24" si="18">I24*$E$2</f>
        <v>1.0412813390377024E-2</v>
      </c>
      <c r="K24">
        <f t="shared" ref="K24" si="19">J24*$E$2</f>
        <v>6.2704379223799695E-3</v>
      </c>
    </row>
    <row r="25" spans="1:23" ht="17" thickBot="1" x14ac:dyDescent="0.25">
      <c r="A25" s="207"/>
      <c r="B25" s="206">
        <v>2</v>
      </c>
      <c r="C25" s="122">
        <v>1</v>
      </c>
      <c r="D25" s="214">
        <v>0</v>
      </c>
      <c r="E25" s="211">
        <v>-1</v>
      </c>
      <c r="F25" s="139">
        <v>-2</v>
      </c>
      <c r="G25" s="139">
        <v>-3</v>
      </c>
      <c r="H25" s="139">
        <v>-4</v>
      </c>
      <c r="I25" s="139">
        <v>-5</v>
      </c>
      <c r="J25" s="139">
        <v>-6</v>
      </c>
      <c r="K25" s="139">
        <v>-7</v>
      </c>
      <c r="L25" s="139">
        <v>-8</v>
      </c>
      <c r="M25" s="139">
        <v>-9</v>
      </c>
      <c r="N25" s="124">
        <v>-10</v>
      </c>
      <c r="O25" t="s">
        <v>141</v>
      </c>
      <c r="R25" s="231" t="s">
        <v>51</v>
      </c>
      <c r="S25" s="232" t="s">
        <v>135</v>
      </c>
      <c r="T25" s="233" t="s">
        <v>142</v>
      </c>
      <c r="U25" s="234" t="s">
        <v>50</v>
      </c>
      <c r="V25" s="259" t="s">
        <v>49</v>
      </c>
      <c r="W25" s="256" t="s">
        <v>163</v>
      </c>
    </row>
    <row r="26" spans="1:23" x14ac:dyDescent="0.2">
      <c r="A26" s="208">
        <v>1</v>
      </c>
      <c r="B26" s="203">
        <f>C26*B23</f>
        <v>0.20811184939846211</v>
      </c>
      <c r="C26" s="114">
        <f>D26*B23</f>
        <v>0.52313699442611095</v>
      </c>
      <c r="D26" s="114">
        <f>1/(1-B23*B24)</f>
        <v>1.3150251450276487</v>
      </c>
      <c r="E26" s="212">
        <f>D26*B24</f>
        <v>0.7918881506015375</v>
      </c>
      <c r="F26" s="130"/>
      <c r="G26" s="130"/>
      <c r="H26" s="130"/>
      <c r="I26" s="130"/>
      <c r="J26" s="130"/>
      <c r="K26" s="130"/>
      <c r="L26" s="130"/>
      <c r="M26" s="130"/>
      <c r="N26" s="58"/>
      <c r="O26">
        <f>E26+B26</f>
        <v>0.99999999999999956</v>
      </c>
      <c r="R26" s="120">
        <f>B26-E26</f>
        <v>-0.58377630120307544</v>
      </c>
      <c r="S26" s="129">
        <f>$G$2*SUM(C26:D26)*B26*COUNT(B26:C26)</f>
        <v>1.1492179096556916</v>
      </c>
      <c r="T26" s="58">
        <f>COUNT(E26:N26)*E26*SUM(C26:D26)*$I$2</f>
        <v>1.4556188171178033</v>
      </c>
      <c r="U26" s="58">
        <f>S26-T26</f>
        <v>-0.30640090746211168</v>
      </c>
      <c r="V26" s="129">
        <f>(U26+W26*D26)/B26</f>
        <v>4.846548817287049</v>
      </c>
      <c r="W26" s="58">
        <f>COUNT(E26:N26)</f>
        <v>1</v>
      </c>
    </row>
    <row r="27" spans="1:23" x14ac:dyDescent="0.2">
      <c r="A27" s="209">
        <v>2</v>
      </c>
      <c r="B27" s="204">
        <f>C27*B23</f>
        <v>0.30382407162502689</v>
      </c>
      <c r="C27" s="116">
        <f>D27*B23</f>
        <v>0.76373167661348251</v>
      </c>
      <c r="D27" s="116">
        <f>1/(1-B23*B24*2)</f>
        <v>1.9198152099769108</v>
      </c>
      <c r="E27" s="194">
        <f>D27*B24</f>
        <v>1.1560835333634281</v>
      </c>
      <c r="F27" s="1">
        <f>E27*B24</f>
        <v>0.69617592837497233</v>
      </c>
      <c r="G27" s="1"/>
      <c r="H27" s="1"/>
      <c r="I27" s="1"/>
      <c r="J27" s="1"/>
      <c r="K27" s="1"/>
      <c r="L27" s="1"/>
      <c r="M27" s="1"/>
      <c r="N27" s="9"/>
      <c r="O27">
        <f>F27+B27</f>
        <v>0.99999999999999922</v>
      </c>
      <c r="R27" s="118">
        <f>B27-F27</f>
        <v>-0.39235185674994544</v>
      </c>
      <c r="S27" s="112">
        <f>$G$2*SUM(C27:E27)*B27*COUNT(B27:C27)</f>
        <v>3.5045589003759483</v>
      </c>
      <c r="T27" s="9">
        <f>COUNT(E27:N27)*F27*SUM(C27:E27)*$I$2</f>
        <v>5.3461165444562733</v>
      </c>
      <c r="U27" s="9">
        <f t="shared" ref="U27:U35" si="20">S27-T27</f>
        <v>-1.841557644080325</v>
      </c>
      <c r="V27" s="112">
        <f>(U27+W27*E27)/B27</f>
        <v>1.5489537090640637</v>
      </c>
      <c r="W27" s="9">
        <f>COUNT(E27:N27)</f>
        <v>2</v>
      </c>
    </row>
    <row r="28" spans="1:23" s="220" customFormat="1" x14ac:dyDescent="0.2">
      <c r="A28" s="215">
        <v>3</v>
      </c>
      <c r="B28" s="204">
        <f>C28*B23</f>
        <v>0.35530094682784957</v>
      </c>
      <c r="C28" s="116">
        <f>D28*B23</f>
        <v>0.89313064093911332</v>
      </c>
      <c r="D28" s="216">
        <f>1/(1-B23*B24-B24*B23/(1-B24*B23))</f>
        <v>2.2450892656101038</v>
      </c>
      <c r="E28" s="217">
        <f>D28*B24/(1-B23*B24)</f>
        <v>1.7778595864793492</v>
      </c>
      <c r="F28" s="218">
        <f>E28*(B24)</f>
        <v>1.0706000149805086</v>
      </c>
      <c r="G28" s="218">
        <f>F28*B24</f>
        <v>0.64469905317214926</v>
      </c>
      <c r="H28" s="218"/>
      <c r="I28" s="218"/>
      <c r="J28" s="218"/>
      <c r="K28" s="218"/>
      <c r="L28" s="218"/>
      <c r="M28" s="218"/>
      <c r="N28" s="219"/>
      <c r="O28">
        <f>G28+B28</f>
        <v>0.99999999999999889</v>
      </c>
      <c r="P28"/>
      <c r="R28" s="242">
        <f>B28-G28</f>
        <v>-0.28939810634429969</v>
      </c>
      <c r="S28" s="112">
        <f>$G$2*SUM(C28:F28)*B28*COUNT(B28:C28)</f>
        <v>6.3900482018125464</v>
      </c>
      <c r="T28" s="9">
        <f>COUNT(E28:N28)*G28*SUM(C28:F28)*$I$2</f>
        <v>11.578819831375677</v>
      </c>
      <c r="U28" s="9">
        <f t="shared" si="20"/>
        <v>-5.1887716295631305</v>
      </c>
      <c r="V28" s="112">
        <f>(U28+W28*F28)/B28</f>
        <v>-5.5642170454994231</v>
      </c>
      <c r="W28" s="9">
        <f>COUNT(E28:N28)</f>
        <v>3</v>
      </c>
    </row>
    <row r="29" spans="1:23" s="220" customFormat="1" x14ac:dyDescent="0.2">
      <c r="A29" s="215">
        <v>4</v>
      </c>
      <c r="B29" s="204">
        <f>C29*B23</f>
        <v>0.38532638363481064</v>
      </c>
      <c r="C29" s="116">
        <f>D29*B23</f>
        <v>0.96860648151679463</v>
      </c>
      <c r="D29" s="116">
        <f>1/(1-B23*B24-B24*B23/(1-B24*B23/(1-B24*B23)))</f>
        <v>2.4348151486183025</v>
      </c>
      <c r="E29" s="194">
        <f>D29*B24/(1-B24*B23/(1-B24*B23))</f>
        <v>2.1405291836014775</v>
      </c>
      <c r="F29" s="1">
        <f>E29*B24/(1-B23*B24)</f>
        <v>1.6950596965107931</v>
      </c>
      <c r="G29" s="1">
        <f>F29*B24</f>
        <v>1.0207391800108228</v>
      </c>
      <c r="H29" s="1">
        <f>G29*B24</f>
        <v>0.6146736163651878</v>
      </c>
      <c r="I29" s="1"/>
      <c r="J29" s="1"/>
      <c r="K29" s="1"/>
      <c r="L29" s="1"/>
      <c r="M29" s="1"/>
      <c r="N29" s="9"/>
      <c r="O29">
        <f>H29+B29</f>
        <v>0.99999999999999845</v>
      </c>
      <c r="P29"/>
      <c r="R29" s="242">
        <f>B29-H29</f>
        <v>-0.22934723273037716</v>
      </c>
      <c r="S29" s="112">
        <f>$G$2*SUM(C29:G29)*B29*COUNT(B29:C29)</f>
        <v>9.561309863395465</v>
      </c>
      <c r="T29" s="9">
        <f>COUNT(E29:N29)*H29*SUM(C29:G29)*$I$2</f>
        <v>20.308200849528969</v>
      </c>
      <c r="U29" s="9">
        <f t="shared" si="20"/>
        <v>-10.746890986133504</v>
      </c>
      <c r="V29" s="112">
        <f>(U29+W29*G29)/B29</f>
        <v>-17.294258968796417</v>
      </c>
      <c r="W29" s="9">
        <f t="shared" ref="W29:W35" si="21">COUNT(E29:N29)</f>
        <v>4</v>
      </c>
    </row>
    <row r="30" spans="1:23" s="220" customFormat="1" x14ac:dyDescent="0.2">
      <c r="A30" s="215">
        <v>5</v>
      </c>
      <c r="B30" s="204">
        <f>C30*B23</f>
        <v>0.40367350754423914</v>
      </c>
      <c r="C30" s="116">
        <f>D30*B23</f>
        <v>1.0147261968817995</v>
      </c>
      <c r="D30" s="116">
        <f>1/(1-B23*B24-B24*B23/(1-B24*B23/(1-B24*B23/(1-B24*B23))))</f>
        <v>2.5507476596674055</v>
      </c>
      <c r="E30" s="194">
        <f>D30*B24/(1-B24*B23/(1-B24*B23/(1-B24*B23)))</f>
        <v>2.3621394162639233</v>
      </c>
      <c r="F30" s="1">
        <f>E30*B24/(1-B23*B24/(1-B23*B24))</f>
        <v>2.0766374642927494</v>
      </c>
      <c r="G30" s="1">
        <f>F30*B24/(1-B23*B24)</f>
        <v>1.6444646010686519</v>
      </c>
      <c r="H30" s="1">
        <f>G30*B24</f>
        <v>0.9902715827099795</v>
      </c>
      <c r="I30" s="1">
        <f>H30*B24</f>
        <v>0.59632649245575875</v>
      </c>
      <c r="J30" s="1"/>
      <c r="K30" s="1"/>
      <c r="L30" s="1"/>
      <c r="M30" s="1"/>
      <c r="N30" s="9"/>
      <c r="O30">
        <f>I30+B30</f>
        <v>0.99999999999999789</v>
      </c>
      <c r="P30"/>
      <c r="R30" s="242">
        <f>B30-I30</f>
        <v>-0.19265298491151961</v>
      </c>
      <c r="S30" s="112">
        <f>$G$2*SUM(C30:H30)*B30*COUNT(B30:C30)</f>
        <v>12.901858765822615</v>
      </c>
      <c r="T30" s="9">
        <f>COUNT(E30:N30)*I30*SUM(C30:H30)*$I$2</f>
        <v>31.721548769068761</v>
      </c>
      <c r="U30" s="9">
        <f t="shared" si="20"/>
        <v>-18.819690003246144</v>
      </c>
      <c r="V30" s="112">
        <f>(U30+W30*H30)/B30</f>
        <v>-34.35531891618227</v>
      </c>
      <c r="W30" s="9">
        <f t="shared" si="21"/>
        <v>5</v>
      </c>
    </row>
    <row r="31" spans="1:23" s="220" customFormat="1" x14ac:dyDescent="0.2">
      <c r="A31" s="215">
        <v>6</v>
      </c>
      <c r="B31" s="204">
        <f>C31*B23</f>
        <v>0.41520482141992027</v>
      </c>
      <c r="C31" s="116">
        <f>D31*B23</f>
        <v>1.043712806246641</v>
      </c>
      <c r="D31" s="116">
        <f>1/(1-B23*B24-B24*B23/(1-B24*B23/(1-B24*B23/(1-B24*B23/(1-B24*B23)))))</f>
        <v>2.6236121685627789</v>
      </c>
      <c r="E31" s="194">
        <f>D31*B24/(1-B23*B24/(1-B24*B23/(1-B24*B23/(1-B24*B23))))</f>
        <v>2.501423217011578</v>
      </c>
      <c r="F31" s="1">
        <f>E31*B24/(1-B24*B23/(1-B24*B23/(1-B24*B23)))</f>
        <v>2.3164621381760662</v>
      </c>
      <c r="G31" s="1">
        <f>F31*B24/(1-B24*B23/(1-B24*B23))</f>
        <v>2.0364810085429066</v>
      </c>
      <c r="H31" s="1">
        <f>G31*B24/(1-B24*B23)</f>
        <v>1.6126651795901963</v>
      </c>
      <c r="I31" s="1">
        <f>H31*B24</f>
        <v>0.97112245452791457</v>
      </c>
      <c r="J31" s="1">
        <f>I31*B24</f>
        <v>0.58479517858007746</v>
      </c>
      <c r="K31" s="1"/>
      <c r="L31" s="1"/>
      <c r="M31" s="1"/>
      <c r="N31" s="9"/>
      <c r="O31">
        <f>J31+B31</f>
        <v>0.99999999999999778</v>
      </c>
      <c r="P31"/>
      <c r="R31" s="242">
        <f>B31-J31</f>
        <v>-0.16959035716015719</v>
      </c>
      <c r="S31" s="112">
        <f>$G$2*SUM(C31:I31)*B31*COUNT(B31:C31)</f>
        <v>16.346961737415967</v>
      </c>
      <c r="T31" s="9">
        <f>COUNT(E31:N31)*J31*SUM(C31:I31)*$I$2</f>
        <v>45.984125497158196</v>
      </c>
      <c r="U31" s="9">
        <f t="shared" si="20"/>
        <v>-29.637163759742229</v>
      </c>
      <c r="V31" s="112">
        <f>(U31+W31*I31)/B31</f>
        <v>-57.346224812967428</v>
      </c>
      <c r="W31" s="9">
        <f t="shared" si="21"/>
        <v>6</v>
      </c>
    </row>
    <row r="32" spans="1:23" s="220" customFormat="1" x14ac:dyDescent="0.2">
      <c r="A32" s="215">
        <v>7</v>
      </c>
      <c r="B32" s="204">
        <f>C32*B23</f>
        <v>0.422581099377692</v>
      </c>
      <c r="C32" s="116">
        <f>D32*B23</f>
        <v>1.062254777268637</v>
      </c>
      <c r="D32" s="216">
        <f>1/(1-B23*B24-B24*B23/(1-B24*B23/(1-B24*B23/(1-B24*B23/(1-B24*B23/(1-B24*B23))))))</f>
        <v>2.6702216769555998</v>
      </c>
      <c r="E32" s="217">
        <f>D32*B24/(1-B24*B23/(1-B24*B23/(1-B24*B23/(1-B24*B23/(1-B24*B23)))))</f>
        <v>2.5905193981064598</v>
      </c>
      <c r="F32" s="218">
        <f>E32*B24/(1-B24*B23/(1-B24*B23/(1-B24*B23/(1-B24*B23))))</f>
        <v>2.4698716693680032</v>
      </c>
      <c r="G32" s="218">
        <f>F32*B24/(1-B24*B23/(1-B24*B23/(1-B24*B23)))</f>
        <v>2.287243585705558</v>
      </c>
      <c r="H32" s="218">
        <f>G32*B24/(1-B24*B23/(1-B24*B23))</f>
        <v>2.0107939808023385</v>
      </c>
      <c r="I32" s="218">
        <f>H32*B24/(1-B24*B23)</f>
        <v>1.5923239266982676</v>
      </c>
      <c r="J32" s="218">
        <f>I32*B24</f>
        <v>0.95887326127528749</v>
      </c>
      <c r="K32" s="218">
        <f>J32*B24</f>
        <v>0.57741890062230516</v>
      </c>
      <c r="L32" s="218"/>
      <c r="M32" s="218"/>
      <c r="N32" s="219"/>
      <c r="O32">
        <f>K32+B32</f>
        <v>0.99999999999999711</v>
      </c>
      <c r="P32"/>
      <c r="R32" s="242">
        <f>B32-K32</f>
        <v>-0.15483780124461316</v>
      </c>
      <c r="S32" s="112">
        <f>$G$2*SUM(C32:J32)*B32*COUNT(B32:C32)</f>
        <v>19.857608766888934</v>
      </c>
      <c r="T32" s="9">
        <f>COUNT(E32:N32)*K32*SUM(C32:J32)*$I$2</f>
        <v>63.22431849813519</v>
      </c>
      <c r="U32" s="9">
        <f t="shared" si="20"/>
        <v>-43.36670973124626</v>
      </c>
      <c r="V32" s="112">
        <f>(U32+W32*J32)/B32</f>
        <v>-86.739792565966894</v>
      </c>
      <c r="W32" s="9">
        <f t="shared" si="21"/>
        <v>7</v>
      </c>
    </row>
    <row r="33" spans="1:28" s="220" customFormat="1" x14ac:dyDescent="0.2">
      <c r="A33" s="215">
        <v>8</v>
      </c>
      <c r="B33" s="204">
        <f>C33*B23</f>
        <v>0.42735278945488536</v>
      </c>
      <c r="C33" s="116">
        <f>D33*B23</f>
        <v>1.0742495176571882</v>
      </c>
      <c r="D33" s="116">
        <f>1/(1-B23*B24-B24*B23/(1-B24*B23/(1-B24*B23/(1-B24*B23/(1-B24*B23/(1-B24*B23/(1-B24*B23)))))))</f>
        <v>2.7003732154380335</v>
      </c>
      <c r="E33" s="194">
        <f>D33*B24/(1-B24*B23/(1-B24*B23/(1-B24*B23/(1-B24*B23/(1-B24*B23/(1-B24*B23))))))</f>
        <v>2.648155426152059</v>
      </c>
      <c r="F33" s="1">
        <f>E33*B24/(1-B24*B23/(1-B24*B23/(1-B24*B23/(1-B24*B23/(1-B24*B23)))))</f>
        <v>2.5691117931711167</v>
      </c>
      <c r="G33" s="1">
        <f>F33*B24/(1-B24*B23/(1-B24*B23/(1-B24*B23/(1-B24*B23))))</f>
        <v>2.4494610764276548</v>
      </c>
      <c r="H33" s="1">
        <f>G33*B24/(1-B24*B23/(1-B24*B23/(1-B24*B23)))</f>
        <v>2.2683421997095783</v>
      </c>
      <c r="I33" s="1">
        <f>H33*B24/(1-B24*B23/(1-B24*B23))</f>
        <v>1.9941771265997226</v>
      </c>
      <c r="J33" s="1">
        <f>I33*B24/(1-B24*B23)</f>
        <v>1.5791652367549427</v>
      </c>
      <c r="K33" s="1">
        <f>J33*B24</f>
        <v>0.95094929823704499</v>
      </c>
      <c r="L33" s="1">
        <f>K33*B24</f>
        <v>0.57264721054511136</v>
      </c>
      <c r="M33" s="1"/>
      <c r="N33" s="9"/>
      <c r="O33">
        <f>L33+B33</f>
        <v>0.99999999999999667</v>
      </c>
      <c r="P33"/>
      <c r="R33" s="242">
        <f>B33-L33</f>
        <v>-0.145294421090226</v>
      </c>
      <c r="S33" s="112">
        <f>$G$2*SUM(C33:K33)*B33*COUNT(B33:C33)</f>
        <v>23.40937904656348</v>
      </c>
      <c r="T33" s="9">
        <f>COUNT(E33:N33)*L33*SUM(C33:K33)*$I$2</f>
        <v>83.533124675716664</v>
      </c>
      <c r="U33" s="9">
        <f t="shared" si="20"/>
        <v>-60.123745629153184</v>
      </c>
      <c r="V33" s="112">
        <f>(U33+W33*K33)/B33</f>
        <v>-122.88711467226969</v>
      </c>
      <c r="W33" s="9">
        <f t="shared" si="21"/>
        <v>8</v>
      </c>
    </row>
    <row r="34" spans="1:28" x14ac:dyDescent="0.2">
      <c r="A34" s="209">
        <v>9</v>
      </c>
      <c r="B34" s="204">
        <f>C34*B23</f>
        <v>0.43046203841549002</v>
      </c>
      <c r="C34" s="116">
        <f>D34*B23</f>
        <v>1.0820653299757792</v>
      </c>
      <c r="D34" s="116">
        <f>1/(1-B23*B24-B24*B23/(1-B24*B23/(1-B24*B23/(1-B24*B23/(1-B24*B23/(1-B24*B23/(1-B24*B23/(1-B24*B23))))))))</f>
        <v>2.7200200571587936</v>
      </c>
      <c r="E34" s="194">
        <f>D34*B24/(1-B24*B23/(1-B24*B23/(1-B24*B23/(1-B24*B23/(1-B24*B23/(1-B24*B23/(1-B24*B23)))))))</f>
        <v>2.6857112517390318</v>
      </c>
      <c r="F34" s="1">
        <f>E34*B24/(1-B24*B23/(1-B24*B23/(1-B24*B23/(1-B24*B23/(1-B24*B23/(1-B24*B23))))))</f>
        <v>2.6337769844960754</v>
      </c>
      <c r="G34" s="1">
        <f>F34*B24/(1-B24*B23/(1-B24*B23/(1-B24*B23/(1-B24*B23/(1-B24*B23)))))</f>
        <v>2.5551625273308236</v>
      </c>
      <c r="H34" s="1">
        <f>G34*B24/(1-B24*B23/(1-B24*B23/(1-B24*B23/(1-B24*B23))))</f>
        <v>2.4361614668850256</v>
      </c>
      <c r="I34" s="1">
        <f>H34*B24/(1-B24*B23/(1-B24*B23/(1-B24*B23)))</f>
        <v>2.2560259943795455</v>
      </c>
      <c r="J34" s="1">
        <f>I34*B24/(1-B24*B23/(1-B24*B23))</f>
        <v>1.98334952970592</v>
      </c>
      <c r="K34" s="1">
        <f>J34*B24/(1-B24*B23)</f>
        <v>1.5705909910752505</v>
      </c>
      <c r="L34" s="1">
        <f>K34*B24</f>
        <v>0.94578601783912375</v>
      </c>
      <c r="M34" s="1">
        <f>L34*B24</f>
        <v>0.56953796158450609</v>
      </c>
      <c r="N34" s="9"/>
      <c r="O34">
        <f>M34+B34</f>
        <v>0.99999999999999611</v>
      </c>
      <c r="R34" s="118">
        <f>B34-M34</f>
        <v>-0.13907592316901607</v>
      </c>
      <c r="S34" s="112">
        <f>$G$2*SUM(C34:L34)*B34*COUNT(B34:C34)</f>
        <v>26.986774277400567</v>
      </c>
      <c r="T34" s="9">
        <f>COUNT(E34:N34)*M34*SUM(C34:L34)*$I$2</f>
        <v>106.96939621006125</v>
      </c>
      <c r="U34" s="9">
        <f t="shared" si="20"/>
        <v>-79.982621932660678</v>
      </c>
      <c r="V34" s="112">
        <f>(U34+W34*L34)/B34</f>
        <v>-166.03217332517448</v>
      </c>
      <c r="W34" s="9">
        <f t="shared" si="21"/>
        <v>9</v>
      </c>
    </row>
    <row r="35" spans="1:28" ht="17" thickBot="1" x14ac:dyDescent="0.25">
      <c r="A35" s="210">
        <v>10</v>
      </c>
      <c r="B35" s="205">
        <f>C35*B23</f>
        <v>0.43249761584665036</v>
      </c>
      <c r="C35" s="195">
        <f>D35*B23</f>
        <v>1.0871822219852292</v>
      </c>
      <c r="D35" s="195">
        <f>1/(1-B23*B24-B24*B23/(1-B24*B23/(1-B24*B23/(1-B24*B23/(1-B24*B23/(1-B24*B23/(1-B24*B23/(1-B24*B23/(1-B24*B23)))))))))</f>
        <v>2.732882541992617</v>
      </c>
      <c r="E35" s="213">
        <f>D35*B24/(1-B24*B23/(1-B24*B23/(1-B24*B23/(1-B24*B23/(1-B24*B23/(1-B24*B23/(1-B24*B23/(1-B24*B23))))))))</f>
        <v>2.7102984726216484</v>
      </c>
      <c r="F35" s="131">
        <f>E35*B24/(1-B24*B23/(1-B24*B23/(1-B24*B23/(1-B24*B23/(1-B24*B23/(1-B24*B23/(1-B24*B23)))))))</f>
        <v>2.6761122898095318</v>
      </c>
      <c r="G35" s="131">
        <f>F35*B24/(1-B24*B23/(1-B24*B23/(1-B24*B23/(1-B24*B23/(1-B24*B23/(1-B24*B23))))))</f>
        <v>2.6243636400836405</v>
      </c>
      <c r="H35" s="131">
        <f>G35*B24/(1-B24*B23/(1-B24*B23/(1-B24*B23/(1-B24*B23/(1-B24*B23)))))</f>
        <v>2.5460301577182483</v>
      </c>
      <c r="I35" s="131">
        <f>H35*B24/(1-B24*B23/(1-B24*B23/(1-B24*B23/(1-B24*B23))))</f>
        <v>2.427454417249812</v>
      </c>
      <c r="J35" s="131">
        <f>I35*B24/(1-B24*B23/(1-B24*B23/(1-B24*B23)))</f>
        <v>2.2479627643439306</v>
      </c>
      <c r="K35" s="131">
        <f>J35*B24/(1-B24*B23/(1-B24*B23))</f>
        <v>1.9762608686980729</v>
      </c>
      <c r="L35" s="131">
        <f>K35*B24/(1-B24*B23)</f>
        <v>1.564977564419505</v>
      </c>
      <c r="M35" s="131">
        <f>L35*B24</f>
        <v>0.94240569764542725</v>
      </c>
      <c r="N35" s="10">
        <f>M35*B24</f>
        <v>0.5675023841533452</v>
      </c>
      <c r="O35">
        <f>N35+B35</f>
        <v>0.99999999999999556</v>
      </c>
      <c r="R35" s="119">
        <f>B35-N35</f>
        <v>-0.13500476830669483</v>
      </c>
      <c r="S35" s="113">
        <f>$G$2*SUM(C35:M35)*B35*COUNT(B35:C35)</f>
        <v>30.579955802484957</v>
      </c>
      <c r="T35" s="10">
        <f>COUNT(E35:N35)*N35*SUM(C35:M35)*$I$2</f>
        <v>133.56696749519909</v>
      </c>
      <c r="U35" s="10">
        <f t="shared" si="20"/>
        <v>-102.98701169271413</v>
      </c>
      <c r="V35" s="113">
        <f>(U35+W35*M35)/B35</f>
        <v>-216.33172366303694</v>
      </c>
      <c r="W35" s="10">
        <f t="shared" si="21"/>
        <v>10</v>
      </c>
    </row>
    <row r="37" spans="1:28" x14ac:dyDescent="0.2">
      <c r="A37" s="330" t="s">
        <v>146</v>
      </c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30"/>
      <c r="P37" s="330"/>
      <c r="Q37" s="330"/>
      <c r="R37" s="330"/>
      <c r="S37" s="330"/>
      <c r="T37" s="330"/>
    </row>
    <row r="38" spans="1:28" x14ac:dyDescent="0.2">
      <c r="A38" t="s">
        <v>133</v>
      </c>
      <c r="B38" s="202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</row>
    <row r="39" spans="1:28" x14ac:dyDescent="0.2">
      <c r="A39" t="s">
        <v>127</v>
      </c>
      <c r="B39" s="202">
        <f>$C$2</f>
        <v>0.3978152025489306</v>
      </c>
      <c r="C39">
        <f>B39*$C$2</f>
        <v>0.15825693537904667</v>
      </c>
      <c r="D39">
        <f t="shared" ref="D39" si="22">C39*$C$2</f>
        <v>6.2957014802588473E-2</v>
      </c>
      <c r="E39">
        <f t="shared" ref="E39" si="23">D39*$C$2</f>
        <v>2.5045257595567756E-2</v>
      </c>
      <c r="F39">
        <f t="shared" ref="F39" si="24">E39*$C$2</f>
        <v>9.96338422327093E-3</v>
      </c>
      <c r="G39">
        <f t="shared" ref="G39" si="25">F39*$C$2</f>
        <v>3.9635857128533444E-3</v>
      </c>
      <c r="H39">
        <f t="shared" ref="H39" si="26">G39*$C$2</f>
        <v>1.5767746531788007E-3</v>
      </c>
      <c r="I39">
        <f t="shared" ref="I39" si="27">H39*$C$2</f>
        <v>6.2726492802834437E-4</v>
      </c>
      <c r="J39">
        <f t="shared" ref="J39" si="28">I39*$C$2</f>
        <v>2.495355243954362E-4</v>
      </c>
      <c r="K39">
        <f t="shared" ref="K39" si="29">J39*$C$2</f>
        <v>9.9269025180524062E-5</v>
      </c>
    </row>
    <row r="40" spans="1:28" ht="17" thickBot="1" x14ac:dyDescent="0.25">
      <c r="A40" t="s">
        <v>128</v>
      </c>
      <c r="B40" s="202">
        <f>$E$2</f>
        <v>0.60218479745106923</v>
      </c>
      <c r="C40">
        <f>B40*$E$2</f>
        <v>0.3626265302811853</v>
      </c>
      <c r="D40">
        <f t="shared" ref="D40" si="30">C40*$E$2</f>
        <v>0.21836818368775959</v>
      </c>
      <c r="E40">
        <f t="shared" ref="E40" si="31">D40*$E$2</f>
        <v>0.13149800046377139</v>
      </c>
      <c r="F40">
        <f t="shared" ref="F40" si="32">E40*$E$2</f>
        <v>7.9186096774496784E-2</v>
      </c>
      <c r="G40">
        <f t="shared" ref="G40" si="33">F40*$E$2</f>
        <v>4.7684663647091112E-2</v>
      </c>
      <c r="H40">
        <f t="shared" ref="H40" si="34">G40*$E$2</f>
        <v>2.8714979519845925E-2</v>
      </c>
      <c r="I40">
        <f t="shared" ref="I40" si="35">H40*$E$2</f>
        <v>1.7291724125970021E-2</v>
      </c>
      <c r="J40">
        <f t="shared" ref="J40" si="36">I40*$E$2</f>
        <v>1.0412813390377024E-2</v>
      </c>
      <c r="K40">
        <f t="shared" ref="K40" si="37">J40*$E$2</f>
        <v>6.2704379223799695E-3</v>
      </c>
    </row>
    <row r="41" spans="1:28" ht="17" thickBot="1" x14ac:dyDescent="0.25">
      <c r="A41" s="207"/>
      <c r="B41" s="207">
        <v>3</v>
      </c>
      <c r="C41" s="247">
        <v>2</v>
      </c>
      <c r="D41" s="134">
        <v>1</v>
      </c>
      <c r="E41" s="214">
        <v>0</v>
      </c>
      <c r="F41" s="211">
        <v>-1</v>
      </c>
      <c r="G41" s="139">
        <v>-2</v>
      </c>
      <c r="H41" s="139">
        <v>-3</v>
      </c>
      <c r="I41" s="139">
        <v>-4</v>
      </c>
      <c r="J41" s="139">
        <v>-5</v>
      </c>
      <c r="K41" s="139">
        <v>-6</v>
      </c>
      <c r="L41" s="139">
        <v>-7</v>
      </c>
      <c r="M41" s="139">
        <v>-8</v>
      </c>
      <c r="N41" s="139">
        <v>-9</v>
      </c>
      <c r="O41" s="124">
        <v>-10</v>
      </c>
      <c r="P41" t="s">
        <v>141</v>
      </c>
      <c r="R41" s="231" t="s">
        <v>51</v>
      </c>
      <c r="S41" s="232" t="s">
        <v>135</v>
      </c>
      <c r="T41" s="233" t="s">
        <v>142</v>
      </c>
      <c r="U41" s="234" t="s">
        <v>50</v>
      </c>
      <c r="V41" s="259" t="s">
        <v>49</v>
      </c>
      <c r="W41" s="256" t="s">
        <v>163</v>
      </c>
    </row>
    <row r="42" spans="1:28" x14ac:dyDescent="0.2">
      <c r="A42" s="208">
        <v>1</v>
      </c>
      <c r="B42" s="208">
        <f>C42*$B$39</f>
        <v>0.12086583459275087</v>
      </c>
      <c r="C42" s="248">
        <f>D42*$B$39</f>
        <v>0.30382407162502689</v>
      </c>
      <c r="D42" s="243">
        <f>E42*$B$39/(1-$B$39*$B$40)</f>
        <v>0.76373167661348251</v>
      </c>
      <c r="E42" s="243">
        <f>1/(1-B40*B39/(1-B40*B39))</f>
        <v>1.4599076049884554</v>
      </c>
      <c r="F42" s="212">
        <f>E42*B40</f>
        <v>0.87913416540724865</v>
      </c>
      <c r="G42" s="130"/>
      <c r="H42" s="130"/>
      <c r="I42" s="130"/>
      <c r="J42" s="130"/>
      <c r="K42" s="130"/>
      <c r="L42" s="130"/>
      <c r="M42" s="130"/>
      <c r="N42" s="130"/>
      <c r="O42" s="58"/>
      <c r="P42">
        <f>F42+B42</f>
        <v>0.99999999999999956</v>
      </c>
      <c r="R42" s="120">
        <f>B42-F42</f>
        <v>-0.75826833081449774</v>
      </c>
      <c r="S42" s="129">
        <f>$G$2*SUM(C42:E42)*B42*COUNT(B42:D42)</f>
        <v>1.3765799564495544</v>
      </c>
      <c r="T42" s="58">
        <f>COUNT(F42:O42)*F42*SUM(C42:E42)*$I$2</f>
        <v>2.2219793856365939</v>
      </c>
      <c r="U42" s="58">
        <f>S42-T42</f>
        <v>-0.84539942918703948</v>
      </c>
      <c r="V42" s="129">
        <f>(U42+W42*D42)/B42</f>
        <v>-0.67568931161341705</v>
      </c>
      <c r="W42" s="58">
        <f>COUNT(F42:O42)</f>
        <v>1</v>
      </c>
    </row>
    <row r="43" spans="1:28" x14ac:dyDescent="0.2">
      <c r="A43" s="209">
        <v>2</v>
      </c>
      <c r="B43" s="209">
        <f>C43*$B$39</f>
        <v>0.18587106944027265</v>
      </c>
      <c r="C43" s="249">
        <f>D43*$B$39</f>
        <v>0.46722967913075375</v>
      </c>
      <c r="D43" s="244">
        <f>E43*$B$39/(1-$B$39*$B$40)</f>
        <v>1.1744892506295943</v>
      </c>
      <c r="E43" s="244">
        <f>1/(1-B40*B39-B39*B40/(1-B40*B39))</f>
        <v>2.2450892656101038</v>
      </c>
      <c r="F43" s="194">
        <f>E43*B40</f>
        <v>1.35195862467099</v>
      </c>
      <c r="G43" s="1">
        <f>F43*B40</f>
        <v>0.81412893055972624</v>
      </c>
      <c r="H43" s="1"/>
      <c r="I43" s="1"/>
      <c r="J43" s="1"/>
      <c r="K43" s="1"/>
      <c r="L43" s="1"/>
      <c r="M43" s="1"/>
      <c r="N43" s="1"/>
      <c r="O43" s="9"/>
      <c r="P43">
        <f>G43+B43</f>
        <v>0.99999999999999889</v>
      </c>
      <c r="R43" s="118">
        <f>B43-G43</f>
        <v>-0.62825786111945359</v>
      </c>
      <c r="S43" s="112">
        <f>$G$2*SUM(C43:F43)*B43*COUNT(B43:D43)</f>
        <v>4.3878713437214234</v>
      </c>
      <c r="T43" s="9">
        <f>COUNT(F43:O43)*G43*SUM(C43:F43)*$I$2</f>
        <v>8.5300632573042332</v>
      </c>
      <c r="U43" s="9">
        <f t="shared" ref="U43:U51" si="38">S43-T43</f>
        <v>-4.1421919135828098</v>
      </c>
      <c r="V43" s="112">
        <f>(U43+W43*E43)/B43</f>
        <v>1.8721935516125008</v>
      </c>
      <c r="W43" s="9">
        <f>COUNT(F43:O43)</f>
        <v>2</v>
      </c>
    </row>
    <row r="44" spans="1:28" x14ac:dyDescent="0.2">
      <c r="A44" s="215">
        <v>3</v>
      </c>
      <c r="B44" s="209">
        <f t="shared" ref="B44:C44" si="39">C44*$B$39</f>
        <v>0.22378732918497649</v>
      </c>
      <c r="C44" s="249">
        <f t="shared" si="39"/>
        <v>0.56254091787115912</v>
      </c>
      <c r="D44" s="244">
        <f t="shared" ref="D44:D51" si="40">E44*$B$39/(1-$B$39*$B$40)</f>
        <v>1.4140759686074782</v>
      </c>
      <c r="E44" s="245">
        <f>1/(1-B39*B40/(1-B40*B39)-B40*B39/(1-B40*B39))</f>
        <v>2.7030701014726373</v>
      </c>
      <c r="F44" s="217">
        <f>E44*B40/(1-B39*B40)</f>
        <v>2.140529183601477</v>
      </c>
      <c r="G44" s="218">
        <f>F44*(B40)</f>
        <v>1.288994132865158</v>
      </c>
      <c r="H44" s="218">
        <f>G44*B40</f>
        <v>0.77621267081502177</v>
      </c>
      <c r="I44" s="218"/>
      <c r="J44" s="218"/>
      <c r="K44" s="218"/>
      <c r="L44" s="218"/>
      <c r="M44" s="218"/>
      <c r="N44" s="218"/>
      <c r="O44" s="219"/>
      <c r="P44">
        <f>H44+B44</f>
        <v>0.99999999999999822</v>
      </c>
      <c r="Q44" s="220"/>
      <c r="R44" s="242">
        <f>B44-H44</f>
        <v>-0.55242534163004531</v>
      </c>
      <c r="S44" s="112">
        <f>$G$2*SUM(C44:G44)*B44*COUNT(B44:D44)</f>
        <v>8.1776228284145933</v>
      </c>
      <c r="T44" s="9">
        <f>COUNT(F44:O44)*H44*SUM(C44:G44)*$I$2</f>
        <v>18.883415365778767</v>
      </c>
      <c r="U44" s="9">
        <f t="shared" si="38"/>
        <v>-10.705792537364173</v>
      </c>
      <c r="V44" s="112">
        <f>(U44+W44*F44)/B44</f>
        <v>-19.144090964232099</v>
      </c>
      <c r="W44" s="9">
        <f t="shared" ref="W44:W51" si="41">COUNT(F44:O44)</f>
        <v>3</v>
      </c>
      <c r="X44" s="220"/>
      <c r="Y44" s="220"/>
      <c r="Z44" s="220"/>
      <c r="AA44" s="220"/>
      <c r="AB44" s="220"/>
    </row>
    <row r="45" spans="1:28" x14ac:dyDescent="0.2">
      <c r="A45" s="215">
        <v>4</v>
      </c>
      <c r="B45" s="209">
        <f t="shared" ref="B45:C45" si="42">C45*$B$39</f>
        <v>0.24695616167159923</v>
      </c>
      <c r="C45" s="249">
        <f t="shared" si="42"/>
        <v>0.62078110662757802</v>
      </c>
      <c r="D45" s="244">
        <f t="shared" si="40"/>
        <v>1.5604760769574235</v>
      </c>
      <c r="E45" s="244">
        <f>1/(1-B39*B40/(1-B40*B39)-B40*B39/(1-B40*B39/(1-B40*B39)))</f>
        <v>2.9829205228915021</v>
      </c>
      <c r="F45" s="194">
        <f>E45*B40/(1-B40*B39/(1-B40*B39))</f>
        <v>2.6223873443683741</v>
      </c>
      <c r="G45" s="1">
        <f>F45*B40/(1-B39*B40)</f>
        <v>2.076637464292749</v>
      </c>
      <c r="H45" s="1">
        <f>G45*B40</f>
        <v>1.2505195108144311</v>
      </c>
      <c r="I45" s="1">
        <f>H45*B40</f>
        <v>0.75304383832839838</v>
      </c>
      <c r="J45" s="1"/>
      <c r="K45" s="1"/>
      <c r="L45" s="1"/>
      <c r="M45" s="1"/>
      <c r="N45" s="1"/>
      <c r="O45" s="9"/>
      <c r="P45">
        <f>I45+B45</f>
        <v>0.99999999999999756</v>
      </c>
      <c r="Q45" s="220"/>
      <c r="R45" s="242">
        <f>B45-I45</f>
        <v>-0.50608767665679921</v>
      </c>
      <c r="S45" s="112">
        <f>$G$2*SUM(C45:H45)*B45*COUNT(B45:D45)</f>
        <v>12.367798922766831</v>
      </c>
      <c r="T45" s="9">
        <f>COUNT(F45:O45)*I45*SUM(C45:H45)*$I$2</f>
        <v>33.476479570151206</v>
      </c>
      <c r="U45" s="9">
        <f t="shared" si="38"/>
        <v>-21.108680647384375</v>
      </c>
      <c r="V45" s="112">
        <f>(U45+W45*G45)/B45</f>
        <v>-51.839689698601539</v>
      </c>
      <c r="W45" s="9">
        <f t="shared" si="41"/>
        <v>4</v>
      </c>
      <c r="X45" s="220"/>
      <c r="Y45" s="220"/>
      <c r="Z45" s="220"/>
      <c r="AA45" s="220"/>
      <c r="AB45" s="220"/>
    </row>
    <row r="46" spans="1:28" x14ac:dyDescent="0.2">
      <c r="A46" s="215">
        <v>5</v>
      </c>
      <c r="B46" s="209">
        <f t="shared" ref="B46:C46" si="43">C46*$B$39</f>
        <v>0.26151795788855436</v>
      </c>
      <c r="C46" s="249">
        <f t="shared" si="43"/>
        <v>0.65738553029880276</v>
      </c>
      <c r="D46" s="244">
        <f t="shared" si="40"/>
        <v>1.6524897140348613</v>
      </c>
      <c r="E46" s="244">
        <f>1/(1-B39*B40/(1-B40*B39)-B40*B39/(1-B40*B39/(1-B40*B39/(1-B40*B39))))</f>
        <v>3.1588087473103812</v>
      </c>
      <c r="F46" s="194">
        <f>E46*B40/(1-B40*B39/(1-B40*B39/(1-B40*B39)))</f>
        <v>2.925239045964287</v>
      </c>
      <c r="G46" s="1">
        <f>F46*B40/(1-B39*B40/(1-B39*B40))</f>
        <v>2.5716775872905098</v>
      </c>
      <c r="H46" s="1">
        <f>G46*B40/(1-B39*B40)</f>
        <v>2.0364810085429061</v>
      </c>
      <c r="I46" s="1">
        <f>H46*B40</f>
        <v>1.2263379036423592</v>
      </c>
      <c r="J46" s="1">
        <f>I46*B40</f>
        <v>0.73848204211144286</v>
      </c>
      <c r="K46" s="1"/>
      <c r="L46" s="1"/>
      <c r="M46" s="1"/>
      <c r="N46" s="1"/>
      <c r="O46" s="9"/>
      <c r="P46">
        <f>J46+B46</f>
        <v>0.99999999999999722</v>
      </c>
      <c r="Q46" s="220"/>
      <c r="R46" s="242">
        <f>B46-J46</f>
        <v>-0.4769640842228885</v>
      </c>
      <c r="S46" s="112">
        <f>$G$2*SUM(C46:I46)*B46*COUNT(B46:D46)</f>
        <v>16.767611300447498</v>
      </c>
      <c r="T46" s="9">
        <f>COUNT(F46:O46)*J46*SUM(C46:I46)*$I$2</f>
        <v>52.537161578821106</v>
      </c>
      <c r="U46" s="9">
        <f t="shared" si="38"/>
        <v>-35.769550278373607</v>
      </c>
      <c r="V46" s="112">
        <f>(U46+W46*H46)/B46</f>
        <v>-97.840872734877408</v>
      </c>
      <c r="W46" s="9">
        <f t="shared" si="41"/>
        <v>5</v>
      </c>
      <c r="X46" s="220"/>
      <c r="Y46" s="220"/>
      <c r="Z46" s="220"/>
      <c r="AA46" s="220"/>
      <c r="AB46" s="220"/>
    </row>
    <row r="47" spans="1:28" x14ac:dyDescent="0.2">
      <c r="A47" s="215">
        <v>6</v>
      </c>
      <c r="B47" s="209">
        <f t="shared" ref="B47:C47" si="44">C47*$B$39</f>
        <v>0.27083275563135251</v>
      </c>
      <c r="C47" s="249">
        <f t="shared" si="44"/>
        <v>0.68080041661565349</v>
      </c>
      <c r="D47" s="244">
        <f t="shared" si="40"/>
        <v>1.7113484156803087</v>
      </c>
      <c r="E47" s="244">
        <f>1/(1-B39*B40/(1-B40*B39)-B40*B39/(1-B40*B39/(1-B40*B39/(1-B40*B39/(1-B40*B39)))))</f>
        <v>3.2713198147221139</v>
      </c>
      <c r="F47" s="194">
        <f>E47*B40/(1-B39*B40/(1-B40*B39/(1-B40*B39/(1-B40*B39))))</f>
        <v>3.1189653077796753</v>
      </c>
      <c r="G47" s="1">
        <f>F47*B40/(1-B40*B39/(1-B40*B39/(1-B40*B39)))</f>
        <v>2.888341723472073</v>
      </c>
      <c r="H47" s="1">
        <f>G47*B40/(1-B40*B39/(1-B40*B39))</f>
        <v>2.5392398904755549</v>
      </c>
      <c r="I47" s="1">
        <f>H47*B40/(1-B40*B39)</f>
        <v>2.0107939808023381</v>
      </c>
      <c r="J47" s="1">
        <f>I47*B40</f>
        <v>1.2108695660452851</v>
      </c>
      <c r="K47" s="1">
        <f>J47*B40</f>
        <v>0.72916724436864411</v>
      </c>
      <c r="L47" s="1"/>
      <c r="M47" s="1"/>
      <c r="N47" s="1"/>
      <c r="O47" s="9"/>
      <c r="P47">
        <f>K47+B47</f>
        <v>0.99999999999999667</v>
      </c>
      <c r="Q47" s="220"/>
      <c r="R47" s="242">
        <f>B47-K47</f>
        <v>-0.4583344887372916</v>
      </c>
      <c r="S47" s="112">
        <f>$G$2*SUM(C47:J47)*B47*COUNT(B47:D47)</f>
        <v>21.274209444558974</v>
      </c>
      <c r="T47" s="9">
        <f>COUNT(F47:O47)*K47*SUM(C47:J47)*$I$2</f>
        <v>76.26365655261236</v>
      </c>
      <c r="U47" s="9">
        <f t="shared" si="38"/>
        <v>-54.989447108053383</v>
      </c>
      <c r="V47" s="112">
        <f>(U47+W47*I47)/B47</f>
        <v>-158.49147612583036</v>
      </c>
      <c r="W47" s="9">
        <f t="shared" si="41"/>
        <v>6</v>
      </c>
      <c r="X47" s="220"/>
      <c r="Y47" s="220"/>
      <c r="Z47" s="220"/>
      <c r="AA47" s="220"/>
      <c r="AB47" s="220"/>
    </row>
    <row r="48" spans="1:28" x14ac:dyDescent="0.2">
      <c r="A48" s="215">
        <v>7</v>
      </c>
      <c r="B48" s="209">
        <f t="shared" ref="B48:C48" si="45">C48*$B$39</f>
        <v>0.27685846781503481</v>
      </c>
      <c r="C48" s="249">
        <f t="shared" si="45"/>
        <v>0.69594742996525305</v>
      </c>
      <c r="D48" s="244">
        <f t="shared" si="40"/>
        <v>1.749423917200984</v>
      </c>
      <c r="E48" s="245">
        <f>1/(1-B39*B40/(1-B40*B39)-B40*B39/(1-B40*B39/(1-B40*B39/(1-B40*B39/(1-B40*B39/(1-B40*B39))))))</f>
        <v>3.3441028561173121</v>
      </c>
      <c r="F48" s="217">
        <f>E48*B40/(1-B40*B39/(1-B40*B39/(1-B40*B39/(1-B40*B39/(1-B40*B39)))))</f>
        <v>3.2442861927149123</v>
      </c>
      <c r="G48" s="218">
        <f>F48*B40/(1-B40*B39/(1-B40*B39/(1-B40*B39/(1-B40*B39))))</f>
        <v>3.0931907171069337</v>
      </c>
      <c r="H48" s="218">
        <f>G48*B40/(1-B40*B39/(1-B40*B39/(1-B40*B39)))</f>
        <v>2.8644729662724329</v>
      </c>
      <c r="I48" s="218">
        <f>H48*B40/(1-B40*B39/(1-B40*B39))</f>
        <v>2.5182560505355411</v>
      </c>
      <c r="J48" s="218">
        <f>I48*B40/(1-B40*B39)</f>
        <v>1.9941771265997217</v>
      </c>
      <c r="K48" s="218">
        <f>J48*B40</f>
        <v>1.2008631490630086</v>
      </c>
      <c r="L48" s="218">
        <f>K48*B40</f>
        <v>0.72314153218496102</v>
      </c>
      <c r="M48" s="218"/>
      <c r="N48" s="218"/>
      <c r="O48" s="219"/>
      <c r="P48">
        <f>L48+B48</f>
        <v>0.99999999999999578</v>
      </c>
      <c r="Q48" s="220"/>
      <c r="R48" s="242">
        <f>B48-L48</f>
        <v>-0.44628306436992621</v>
      </c>
      <c r="S48" s="112">
        <f>$G$2*SUM(C48:K48)*B48*COUNT(B48:D48)</f>
        <v>25.830939399411644</v>
      </c>
      <c r="T48" s="9">
        <f>COUNT(F48:O48)*L48*SUM(C48:K48)*$I$2</f>
        <v>104.80710266284669</v>
      </c>
      <c r="U48" s="9">
        <f t="shared" si="38"/>
        <v>-78.976163263435041</v>
      </c>
      <c r="V48" s="112">
        <f>(U48+W48*J48)/B48</f>
        <v>-234.83812465751947</v>
      </c>
      <c r="W48" s="9">
        <f t="shared" si="41"/>
        <v>7</v>
      </c>
      <c r="X48" s="220"/>
      <c r="Y48" s="220"/>
      <c r="Z48" s="220"/>
      <c r="AA48" s="220"/>
      <c r="AB48" s="220"/>
    </row>
    <row r="49" spans="1:28" x14ac:dyDescent="0.2">
      <c r="A49" s="215">
        <v>8</v>
      </c>
      <c r="B49" s="209">
        <f t="shared" ref="B49:C49" si="46">C49*$B$39</f>
        <v>0.28078484170791718</v>
      </c>
      <c r="C49" s="249">
        <f t="shared" si="46"/>
        <v>0.70581727372115977</v>
      </c>
      <c r="D49" s="244">
        <f t="shared" si="40"/>
        <v>1.7742340393196649</v>
      </c>
      <c r="E49" s="244">
        <f>1/(1-B39*B40/(1-B40*B39)-B40*B39/(1-B40*B39/(1-B40*B39/(1-B40*B39/(1-B40*B39/(1-B40*B39/(1-B40*B39)))))))</f>
        <v>3.3915285254601928</v>
      </c>
      <c r="F49" s="194">
        <f>E49*B40/(1-B40*B39/(1-B40*B39/(1-B40*B39/(1-B40*B39/(1-B40*B39/(1-B40*B39))))))</f>
        <v>3.3259456938399623</v>
      </c>
      <c r="G49" s="1">
        <f>F49*B40/(1-B40*B39/(1-B40*B39/(1-B40*B39/(1-B40*B39/(1-B40*B39)))))</f>
        <v>3.2266709956322237</v>
      </c>
      <c r="H49" s="1">
        <f>G49*B40/(1-B40*B39/(1-B40*B39/(1-B40*B39/(1-B40*B39))))</f>
        <v>3.0763959089859569</v>
      </c>
      <c r="I49" s="1">
        <f>H49*B40/(1-B40*B39/(1-B40*B39/(1-B40*B39)))</f>
        <v>2.8489200055156947</v>
      </c>
      <c r="J49" s="1">
        <f>I49*B40/(1-B40*B39/(1-B40*B39))</f>
        <v>2.5045829113610543</v>
      </c>
      <c r="K49" s="1">
        <f>J49*B40/(1-B40*B39)</f>
        <v>1.98334952970592</v>
      </c>
      <c r="L49" s="1">
        <f>K49*B40</f>
        <v>1.1943429348206329</v>
      </c>
      <c r="M49" s="1">
        <f>L49*B40</f>
        <v>0.71921515829207838</v>
      </c>
      <c r="N49" s="1"/>
      <c r="O49" s="9"/>
      <c r="P49">
        <f>M49+B49</f>
        <v>0.99999999999999556</v>
      </c>
      <c r="Q49" s="220"/>
      <c r="R49" s="242">
        <f>B49-M49</f>
        <v>-0.43843031658416121</v>
      </c>
      <c r="S49" s="112">
        <f>$G$2*SUM(C49:L49)*B49*COUNT(B49:D49)</f>
        <v>30.406942902558633</v>
      </c>
      <c r="T49" s="9">
        <f>COUNT(F49:O49)*M49*SUM(C49:L49)*$I$2</f>
        <v>138.27220863860157</v>
      </c>
      <c r="U49" s="9">
        <f t="shared" si="38"/>
        <v>-107.86526573604294</v>
      </c>
      <c r="V49" s="112">
        <f>(U49+W49*K49)/B49</f>
        <v>-327.64756437277981</v>
      </c>
      <c r="W49" s="9">
        <f t="shared" si="41"/>
        <v>8</v>
      </c>
      <c r="X49" s="220"/>
      <c r="Y49" s="220"/>
      <c r="Z49" s="220"/>
      <c r="AA49" s="220"/>
      <c r="AB49" s="220"/>
    </row>
    <row r="50" spans="1:28" x14ac:dyDescent="0.2">
      <c r="A50" s="209">
        <v>9</v>
      </c>
      <c r="B50" s="209">
        <f t="shared" ref="B50:C50" si="47">C50*$B$39</f>
        <v>0.28335537825353158</v>
      </c>
      <c r="C50" s="249">
        <f t="shared" si="47"/>
        <v>0.71227890849314479</v>
      </c>
      <c r="D50" s="244">
        <f t="shared" si="40"/>
        <v>1.7904768443471832</v>
      </c>
      <c r="E50" s="244">
        <f>1/(1-B39*B40/(1-B40*B39)-B40*B39/(1-B40*B39/(1-B40*B39/(1-B40*B39/(1-B40*B39/(1-B40*B39/(1-B40*B39/(1-B40*B39))))))))</f>
        <v>3.4225773811147939</v>
      </c>
      <c r="F50" s="194">
        <f>E50*B40/(1-B40*B39/(1-B40*B39/(1-B40*B39/(1-B40*B39/(1-B40*B39/(1-B40*B39/(1-B40*B39)))))))</f>
        <v>3.3794069121714867</v>
      </c>
      <c r="G50" s="1">
        <f>F50*B40/(1-B40*B39/(1-B40*B39/(1-B40*B39/(1-B40*B39/(1-B40*B39/(1-B40*B39))))))</f>
        <v>3.3140584792058188</v>
      </c>
      <c r="H50" s="1">
        <f>G50*B40/(1-B40*B39/(1-B40*B39/(1-B40*B39/(1-B40*B39/(1-B40*B39)))))</f>
        <v>3.215138597268087</v>
      </c>
      <c r="I50" s="1">
        <f>H50*B40/(1-B40*B39/(1-B40*B39/(1-B40*B39/(1-B40*B39))))</f>
        <v>3.065400606646099</v>
      </c>
      <c r="J50" s="1">
        <f>I50*B40/(1-B40*B39/(1-B40*B39/(1-B40*B39)))</f>
        <v>2.8387377215283776</v>
      </c>
      <c r="K50" s="1">
        <f>J50*B40/(1-B40*B39/(1-B40*B39))</f>
        <v>2.4956313176259246</v>
      </c>
      <c r="L50" s="1">
        <f>K50*B40/(1-B40*B39)</f>
        <v>1.9762608686980718</v>
      </c>
      <c r="M50" s="1">
        <f>L50*B40</f>
        <v>1.1900742509274225</v>
      </c>
      <c r="N50" s="1">
        <f>M50*B40</f>
        <v>0.71664462174646282</v>
      </c>
      <c r="O50" s="9"/>
      <c r="P50">
        <f>N50+B50</f>
        <v>0.99999999999999445</v>
      </c>
      <c r="R50" s="118">
        <f>B50-N50</f>
        <v>-0.43328924349293124</v>
      </c>
      <c r="S50" s="112">
        <f>$G$2*SUM(C50:M50)*B50*COUNT(B50:D50)</f>
        <v>34.986113941812697</v>
      </c>
      <c r="T50" s="9">
        <f>COUNT(F50:O50)*N50*SUM(C50:M50)*$I$2</f>
        <v>176.72483389213735</v>
      </c>
      <c r="U50" s="9">
        <f t="shared" si="38"/>
        <v>-141.73871995032465</v>
      </c>
      <c r="V50" s="112">
        <f>(U50+W50*L50)/B50</f>
        <v>-437.44492480088343</v>
      </c>
      <c r="W50" s="9">
        <f t="shared" si="41"/>
        <v>9</v>
      </c>
    </row>
    <row r="51" spans="1:28" ht="17" thickBot="1" x14ac:dyDescent="0.25">
      <c r="A51" s="210">
        <v>10</v>
      </c>
      <c r="B51" s="210">
        <f t="shared" ref="B51:C51" si="48">C51*$B$39</f>
        <v>0.285043470502719</v>
      </c>
      <c r="C51" s="250">
        <f t="shared" si="48"/>
        <v>0.71652231658406551</v>
      </c>
      <c r="D51" s="246">
        <f t="shared" si="40"/>
        <v>1.8011436264704703</v>
      </c>
      <c r="E51" s="246">
        <f>1/(1-B39*B40/(1-B40*B39)-B40*B39/(1-B40*B39/(1-B40*B39/(1-B40*B39/(1-B40*B39/(1-B40*B39/(1-B40*B39/(1-B40*B39/(1-B40*B39)))))))))</f>
        <v>3.4429674170651068</v>
      </c>
      <c r="F51" s="213">
        <f>E51*B40/(1-B40*B39/(1-B40*B39/(1-B40*B39/(1-B40*B39/(1-B40*B39/(1-B40*B39/(1-B40*B39/(1-B40*B39))))))))</f>
        <v>3.4145153289148826</v>
      </c>
      <c r="G51" s="131">
        <f>F51*B40/(1-B40*B39/(1-B40*B39/(1-B40*B39/(1-B40*B39/(1-B40*B39/(1-B40*B39/(1-B40*B39)))))))</f>
        <v>3.3714465501703237</v>
      </c>
      <c r="H51" s="131">
        <f>G51*B40/(1-B40*B39/(1-B40*B39/(1-B40*B39/(1-B40*B39/(1-B40*B39/(1-B40*B39))))))</f>
        <v>3.3062520487068792</v>
      </c>
      <c r="I51" s="131">
        <f>H51*B40/(1-B40*B39/(1-B40*B39/(1-B40*B39/(1-B40*B39/(1-B40*B39)))))</f>
        <v>3.2075651774984864</v>
      </c>
      <c r="J51" s="131">
        <f>I51*B40/(1-B40*B39/(1-B40*B39/(1-B40*B39/(1-B40*B39))))</f>
        <v>3.0581799022024878</v>
      </c>
      <c r="K51" s="131">
        <f>J51*B40/(1-B40*B39/(1-B40*B39/(1-B40*B39)))</f>
        <v>2.8320509328471055</v>
      </c>
      <c r="L51" s="131">
        <f>K51*B40/(1-B40*B39/(1-B40*B39))</f>
        <v>2.4897527332393601</v>
      </c>
      <c r="M51" s="131">
        <f>L51*B40/(1-B40*B39)</f>
        <v>1.9716056873800403</v>
      </c>
      <c r="N51" s="131">
        <f>M51*B40</f>
        <v>1.1872709715083256</v>
      </c>
      <c r="O51" s="10">
        <f>N51*B40</f>
        <v>0.71495652949727528</v>
      </c>
      <c r="P51">
        <f>O51+B51</f>
        <v>0.99999999999999423</v>
      </c>
      <c r="R51" s="119">
        <f>B51-O51</f>
        <v>-0.42991305899455629</v>
      </c>
      <c r="S51" s="113">
        <f>$G$2*SUM(C51:N51)*B51*COUNT(B51:D51)</f>
        <v>39.560755543438411</v>
      </c>
      <c r="T51" s="10">
        <f>COUNT(F51:O51)*O51*SUM(C51:N51)*$I$2</f>
        <v>220.20141115332586</v>
      </c>
      <c r="U51" s="10">
        <f t="shared" si="38"/>
        <v>-180.64065560988746</v>
      </c>
      <c r="V51" s="113">
        <f>(U51+W51*M51)/B51</f>
        <v>-564.56160336622065</v>
      </c>
      <c r="W51" s="10">
        <f t="shared" si="41"/>
        <v>10</v>
      </c>
    </row>
  </sheetData>
  <sheetProtection sheet="1" objects="1" scenarios="1"/>
  <mergeCells count="3">
    <mergeCell ref="A21:T21"/>
    <mergeCell ref="A4:T4"/>
    <mergeCell ref="A37:T37"/>
  </mergeCells>
  <conditionalFormatting sqref="R26">
    <cfRule type="cellIs" dxfId="763" priority="23" operator="lessThanOrEqual">
      <formula>0</formula>
    </cfRule>
    <cfRule type="cellIs" dxfId="762" priority="24" operator="greaterThan">
      <formula>0</formula>
    </cfRule>
  </conditionalFormatting>
  <conditionalFormatting sqref="R27:R35 U26:U35">
    <cfRule type="cellIs" dxfId="761" priority="21" operator="lessThanOrEqual">
      <formula>0</formula>
    </cfRule>
    <cfRule type="cellIs" dxfId="760" priority="22" operator="greaterThan">
      <formula>0</formula>
    </cfRule>
  </conditionalFormatting>
  <conditionalFormatting sqref="R9:R18 U9:U18">
    <cfRule type="cellIs" dxfId="759" priority="19" operator="lessThanOrEqual">
      <formula>0</formula>
    </cfRule>
    <cfRule type="cellIs" dxfId="758" priority="20" operator="greaterThan">
      <formula>0</formula>
    </cfRule>
  </conditionalFormatting>
  <conditionalFormatting sqref="R42">
    <cfRule type="cellIs" dxfId="757" priority="9" operator="lessThanOrEqual">
      <formula>0</formula>
    </cfRule>
    <cfRule type="cellIs" dxfId="756" priority="10" operator="greaterThan">
      <formula>0</formula>
    </cfRule>
  </conditionalFormatting>
  <conditionalFormatting sqref="R43:R51 U42:U51">
    <cfRule type="cellIs" dxfId="755" priority="7" operator="lessThanOrEqual">
      <formula>0</formula>
    </cfRule>
    <cfRule type="cellIs" dxfId="754" priority="8" operator="greaterThan">
      <formula>0</formula>
    </cfRule>
  </conditionalFormatting>
  <conditionalFormatting sqref="S9:T18">
    <cfRule type="cellIs" dxfId="753" priority="5" operator="lessThanOrEqual">
      <formula>0</formula>
    </cfRule>
    <cfRule type="cellIs" dxfId="752" priority="6" operator="greaterThan">
      <formula>0</formula>
    </cfRule>
  </conditionalFormatting>
  <conditionalFormatting sqref="S26:T35">
    <cfRule type="cellIs" dxfId="751" priority="3" operator="lessThanOrEqual">
      <formula>0</formula>
    </cfRule>
    <cfRule type="cellIs" dxfId="750" priority="4" operator="greaterThan">
      <formula>0</formula>
    </cfRule>
  </conditionalFormatting>
  <conditionalFormatting sqref="S42:T51">
    <cfRule type="cellIs" dxfId="749" priority="1" operator="lessThanOrEqual">
      <formula>0</formula>
    </cfRule>
    <cfRule type="cellIs" dxfId="748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6"/>
  <sheetViews>
    <sheetView workbookViewId="0">
      <selection activeCell="K9" sqref="K9"/>
    </sheetView>
  </sheetViews>
  <sheetFormatPr baseColWidth="10" defaultColWidth="8.83203125" defaultRowHeight="16" x14ac:dyDescent="0.2"/>
  <cols>
    <col min="3" max="4" width="9" customWidth="1"/>
    <col min="7" max="7" width="9" customWidth="1"/>
    <col min="10" max="10" width="8.83203125" customWidth="1"/>
    <col min="13" max="13" width="9" customWidth="1"/>
  </cols>
  <sheetData>
    <row r="1" spans="1:32" ht="17" thickBot="1" x14ac:dyDescent="0.25">
      <c r="A1" s="297" t="s">
        <v>68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</row>
    <row r="2" spans="1:32" ht="17" thickBot="1" x14ac:dyDescent="0.25">
      <c r="A2" s="4" t="s">
        <v>3</v>
      </c>
      <c r="B2" s="21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20">
        <v>11</v>
      </c>
    </row>
    <row r="3" spans="1:32" x14ac:dyDescent="0.2">
      <c r="A3" s="23" t="s">
        <v>0</v>
      </c>
      <c r="B3" s="22">
        <f t="shared" ref="B3:B9" si="0">L3</f>
        <v>0.16652461265724483</v>
      </c>
      <c r="C3" s="2">
        <f>C14</f>
        <v>0.35360813639536137</v>
      </c>
      <c r="D3" s="2">
        <f t="shared" ref="D3:J3" si="1">D14</f>
        <v>0.3738748853821432</v>
      </c>
      <c r="E3" s="2">
        <f t="shared" si="1"/>
        <v>0.39446844550254284</v>
      </c>
      <c r="F3" s="2">
        <f t="shared" si="1"/>
        <v>0.41640366958226238</v>
      </c>
      <c r="G3" s="2">
        <f t="shared" si="1"/>
        <v>0.42315049208499772</v>
      </c>
      <c r="H3" s="2">
        <f t="shared" si="1"/>
        <v>0.2623124083615333</v>
      </c>
      <c r="I3" s="2">
        <f t="shared" si="1"/>
        <v>0.2447412422511914</v>
      </c>
      <c r="J3" s="2">
        <f t="shared" si="1"/>
        <v>0.2284251594344453</v>
      </c>
      <c r="K3" s="2">
        <f>(SUM(M14:T14)+Rules!$B$5*U14)/(8+Rules!$B$5)</f>
        <v>0.22978483300250749</v>
      </c>
      <c r="L3" s="8">
        <f t="shared" ref="L3:L9" si="2">SUM(C24:K24)/9</f>
        <v>0.16652461265724483</v>
      </c>
    </row>
    <row r="4" spans="1:32" x14ac:dyDescent="0.2">
      <c r="A4" s="24">
        <v>17</v>
      </c>
      <c r="B4" s="22">
        <f t="shared" si="0"/>
        <v>0.18891729969077325</v>
      </c>
      <c r="C4" s="2">
        <f t="shared" ref="C4:J4" si="3">C15</f>
        <v>0.13980913952773527</v>
      </c>
      <c r="D4" s="2">
        <f t="shared" si="3"/>
        <v>0.13503398781113993</v>
      </c>
      <c r="E4" s="2">
        <f t="shared" si="3"/>
        <v>0.13048973584959825</v>
      </c>
      <c r="F4" s="2">
        <f t="shared" si="3"/>
        <v>0.12225128527055079</v>
      </c>
      <c r="G4" s="2">
        <f t="shared" si="3"/>
        <v>0.16543817650334638</v>
      </c>
      <c r="H4" s="2">
        <f t="shared" si="3"/>
        <v>0.36856619379423861</v>
      </c>
      <c r="I4" s="2">
        <f t="shared" si="3"/>
        <v>0.12856654444917001</v>
      </c>
      <c r="J4" s="2">
        <f t="shared" si="3"/>
        <v>0.119995441485892</v>
      </c>
      <c r="K4" s="2">
        <f>(SUM(M15:T15)+Rules!$B$5*U15)/(8+Rules!$B$5)</f>
        <v>0.12070970006616517</v>
      </c>
      <c r="L4" s="8">
        <f t="shared" si="2"/>
        <v>0.18891729969077325</v>
      </c>
    </row>
    <row r="5" spans="1:32" x14ac:dyDescent="0.2">
      <c r="A5" s="24">
        <v>18</v>
      </c>
      <c r="B5" s="22">
        <f t="shared" si="0"/>
        <v>0.18891729969077325</v>
      </c>
      <c r="C5" s="2">
        <f t="shared" ref="C5:J5" si="4">C16</f>
        <v>0.13490735037469442</v>
      </c>
      <c r="D5" s="2">
        <f t="shared" si="4"/>
        <v>0.13048232645474483</v>
      </c>
      <c r="E5" s="2">
        <f t="shared" si="4"/>
        <v>0.12593807449320316</v>
      </c>
      <c r="F5" s="2">
        <f t="shared" si="4"/>
        <v>0.12225128527055079</v>
      </c>
      <c r="G5" s="2">
        <f t="shared" si="4"/>
        <v>0.10626657887021028</v>
      </c>
      <c r="H5" s="2">
        <f t="shared" si="4"/>
        <v>0.13779696302500785</v>
      </c>
      <c r="I5" s="2">
        <f t="shared" si="4"/>
        <v>0.35933577521840082</v>
      </c>
      <c r="J5" s="2">
        <f t="shared" si="4"/>
        <v>0.119995441485892</v>
      </c>
      <c r="K5" s="2">
        <f>(SUM(M16:T16)+Rules!$B$5*U16)/(8+Rules!$B$5)</f>
        <v>0.12070970006616517</v>
      </c>
      <c r="L5" s="8">
        <f t="shared" si="2"/>
        <v>0.18891729969077325</v>
      </c>
    </row>
    <row r="6" spans="1:32" x14ac:dyDescent="0.2">
      <c r="A6" s="24">
        <v>19</v>
      </c>
      <c r="B6" s="22">
        <f t="shared" si="0"/>
        <v>0.18891729969077325</v>
      </c>
      <c r="C6" s="2">
        <f t="shared" ref="C6:J6" si="5">C17</f>
        <v>0.12965543342500779</v>
      </c>
      <c r="D6" s="2">
        <f t="shared" si="5"/>
        <v>0.12558053730170399</v>
      </c>
      <c r="E6" s="2">
        <f t="shared" si="5"/>
        <v>0.12138641313680808</v>
      </c>
      <c r="F6" s="2">
        <f t="shared" si="5"/>
        <v>0.11769962391415568</v>
      </c>
      <c r="G6" s="2">
        <f t="shared" si="5"/>
        <v>0.10626657887021028</v>
      </c>
      <c r="H6" s="2">
        <f t="shared" si="5"/>
        <v>7.8625365391871746E-2</v>
      </c>
      <c r="I6" s="2">
        <f t="shared" si="5"/>
        <v>0.12856654444917001</v>
      </c>
      <c r="J6" s="2">
        <f t="shared" si="5"/>
        <v>0.35076467225512281</v>
      </c>
      <c r="K6" s="2">
        <f>(SUM(M17:T17)+Rules!$B$5*U17)/(8+Rules!$B$5)</f>
        <v>0.12070970006616517</v>
      </c>
      <c r="L6" s="8">
        <f t="shared" si="2"/>
        <v>0.18891729969077325</v>
      </c>
    </row>
    <row r="7" spans="1:32" x14ac:dyDescent="0.2">
      <c r="A7" s="24">
        <v>20</v>
      </c>
      <c r="B7" s="22">
        <f t="shared" si="0"/>
        <v>0.18891729969077325</v>
      </c>
      <c r="C7" s="2">
        <f t="shared" ref="C7:J7" si="6">C18</f>
        <v>0.12402645577124111</v>
      </c>
      <c r="D7" s="2">
        <f t="shared" si="6"/>
        <v>0.12032862035201736</v>
      </c>
      <c r="E7" s="2">
        <f t="shared" si="6"/>
        <v>0.1164846239837672</v>
      </c>
      <c r="F7" s="2">
        <f t="shared" si="6"/>
        <v>0.11314796255776062</v>
      </c>
      <c r="G7" s="2">
        <f t="shared" si="6"/>
        <v>0.1017149175138152</v>
      </c>
      <c r="H7" s="2">
        <f t="shared" si="6"/>
        <v>7.8625365391871746E-2</v>
      </c>
      <c r="I7" s="2">
        <f t="shared" si="6"/>
        <v>6.9394946816033906E-2</v>
      </c>
      <c r="J7" s="2">
        <f t="shared" si="6"/>
        <v>0.119995441485892</v>
      </c>
      <c r="K7" s="2">
        <f>(SUM(M18:T18)+Rules!$B$5*U18)/(8+Rules!$B$5)</f>
        <v>0.37070970006616516</v>
      </c>
      <c r="L7" s="8">
        <f t="shared" si="2"/>
        <v>0.18891729969077325</v>
      </c>
    </row>
    <row r="8" spans="1:32" x14ac:dyDescent="0.2">
      <c r="A8" s="25">
        <v>21</v>
      </c>
      <c r="B8" s="22">
        <f t="shared" si="0"/>
        <v>7.780618857966215E-2</v>
      </c>
      <c r="C8" s="2">
        <f t="shared" ref="C8:J9" si="7">C19</f>
        <v>0.11799348450596003</v>
      </c>
      <c r="D8" s="2">
        <f t="shared" si="7"/>
        <v>0.11469964269825064</v>
      </c>
      <c r="E8" s="2">
        <f t="shared" si="7"/>
        <v>0.11123270703408054</v>
      </c>
      <c r="F8" s="2">
        <f t="shared" si="7"/>
        <v>0.10824617340471974</v>
      </c>
      <c r="G8" s="2">
        <f t="shared" si="7"/>
        <v>9.7163256157420108E-2</v>
      </c>
      <c r="H8" s="2">
        <f t="shared" si="7"/>
        <v>7.4073704035476653E-2</v>
      </c>
      <c r="I8" s="2">
        <f t="shared" si="7"/>
        <v>6.9394946816033906E-2</v>
      </c>
      <c r="J8" s="2">
        <f t="shared" si="7"/>
        <v>6.0823843852755896E-2</v>
      </c>
      <c r="K8" s="2">
        <f>(SUM(M19:T19)+Rules!$B$5*U19)/(8+Rules!$B$5)</f>
        <v>3.7376366732831838E-2</v>
      </c>
      <c r="L8" s="8">
        <f t="shared" si="2"/>
        <v>7.780618857966215E-2</v>
      </c>
    </row>
    <row r="9" spans="1:32" ht="17" thickBot="1" x14ac:dyDescent="0.25">
      <c r="A9" s="183">
        <v>22</v>
      </c>
      <c r="B9" s="22">
        <f t="shared" si="0"/>
        <v>0</v>
      </c>
      <c r="C9" s="2">
        <f t="shared" si="7"/>
        <v>0</v>
      </c>
      <c r="D9" s="2">
        <f t="shared" si="7"/>
        <v>0</v>
      </c>
      <c r="E9" s="2">
        <f t="shared" si="7"/>
        <v>0</v>
      </c>
      <c r="F9" s="2">
        <f t="shared" si="7"/>
        <v>0</v>
      </c>
      <c r="G9" s="2">
        <f t="shared" si="7"/>
        <v>0</v>
      </c>
      <c r="H9" s="2">
        <f t="shared" si="7"/>
        <v>0</v>
      </c>
      <c r="I9" s="2">
        <f t="shared" si="7"/>
        <v>0</v>
      </c>
      <c r="J9" s="2">
        <f t="shared" si="7"/>
        <v>0</v>
      </c>
      <c r="K9" s="2">
        <f>(SUM(M20:T20)+Rules!$B$5*U20)/(8+Rules!$B$5)</f>
        <v>0</v>
      </c>
      <c r="L9" s="8">
        <f t="shared" si="2"/>
        <v>0</v>
      </c>
    </row>
    <row r="10" spans="1:32" ht="17" thickBot="1" x14ac:dyDescent="0.25">
      <c r="A10" s="4" t="s">
        <v>2</v>
      </c>
      <c r="B10" s="21">
        <f>SUM(B3:B9)</f>
        <v>1</v>
      </c>
      <c r="C10" s="21">
        <f t="shared" ref="C10:L10" si="8">SUM(C3:C9)</f>
        <v>1</v>
      </c>
      <c r="D10" s="21">
        <f t="shared" si="8"/>
        <v>0.99999999999999989</v>
      </c>
      <c r="E10" s="21">
        <f t="shared" si="8"/>
        <v>1.0000000000000002</v>
      </c>
      <c r="F10" s="21">
        <f t="shared" si="8"/>
        <v>1</v>
      </c>
      <c r="G10" s="21">
        <f t="shared" si="8"/>
        <v>1</v>
      </c>
      <c r="H10" s="21">
        <f t="shared" si="8"/>
        <v>0.99999999999999989</v>
      </c>
      <c r="I10" s="21">
        <f t="shared" si="8"/>
        <v>1</v>
      </c>
      <c r="J10" s="21">
        <f t="shared" si="8"/>
        <v>1</v>
      </c>
      <c r="K10" s="21">
        <f t="shared" si="8"/>
        <v>1</v>
      </c>
      <c r="L10" s="21">
        <f t="shared" si="8"/>
        <v>1</v>
      </c>
    </row>
    <row r="12" spans="1:32" ht="17" thickBot="1" x14ac:dyDescent="0.25">
      <c r="A12" s="297" t="s">
        <v>69</v>
      </c>
      <c r="B12" s="297"/>
      <c r="C12" s="297"/>
      <c r="D12" s="297"/>
      <c r="E12" s="297"/>
      <c r="F12" s="297"/>
      <c r="G12" s="297"/>
      <c r="H12" s="297"/>
      <c r="I12" s="297"/>
      <c r="J12" s="297"/>
      <c r="K12" s="297"/>
      <c r="L12" s="297"/>
    </row>
    <row r="13" spans="1:32" ht="17" thickBot="1" x14ac:dyDescent="0.25">
      <c r="A13" s="4" t="s">
        <v>3</v>
      </c>
      <c r="B13" s="21">
        <v>1</v>
      </c>
      <c r="C13" s="19">
        <v>2</v>
      </c>
      <c r="D13" s="19">
        <v>3</v>
      </c>
      <c r="E13" s="19">
        <v>4</v>
      </c>
      <c r="F13" s="19">
        <v>5</v>
      </c>
      <c r="G13" s="19">
        <v>6</v>
      </c>
      <c r="H13" s="19">
        <v>7</v>
      </c>
      <c r="I13" s="19">
        <v>8</v>
      </c>
      <c r="J13" s="19">
        <v>9</v>
      </c>
      <c r="K13" s="19">
        <v>10</v>
      </c>
      <c r="L13" s="19">
        <v>11</v>
      </c>
      <c r="M13" s="19">
        <v>12</v>
      </c>
      <c r="N13" s="19">
        <v>13</v>
      </c>
      <c r="O13" s="19">
        <v>14</v>
      </c>
      <c r="P13" s="19">
        <v>15</v>
      </c>
      <c r="Q13" s="19">
        <v>16</v>
      </c>
      <c r="R13" s="19">
        <v>17</v>
      </c>
      <c r="S13" s="19">
        <v>18</v>
      </c>
      <c r="T13" s="19">
        <v>19</v>
      </c>
      <c r="U13" s="19">
        <v>20</v>
      </c>
      <c r="V13" s="19">
        <v>21</v>
      </c>
      <c r="W13" s="19">
        <v>22</v>
      </c>
      <c r="X13" s="19">
        <v>23</v>
      </c>
      <c r="Y13" s="19">
        <v>24</v>
      </c>
      <c r="Z13" s="19">
        <v>25</v>
      </c>
      <c r="AA13" s="19">
        <v>26</v>
      </c>
      <c r="AB13" s="19">
        <v>27</v>
      </c>
      <c r="AC13" s="19">
        <v>28</v>
      </c>
      <c r="AD13" s="19">
        <v>29</v>
      </c>
      <c r="AE13" s="19">
        <v>30</v>
      </c>
      <c r="AF13" s="20">
        <v>31</v>
      </c>
    </row>
    <row r="14" spans="1:32" x14ac:dyDescent="0.2">
      <c r="A14" s="23" t="s">
        <v>0</v>
      </c>
      <c r="B14" s="22">
        <f>L14</f>
        <v>0.2121090766176992</v>
      </c>
      <c r="C14" s="2">
        <f>(SUM(E14:L14)+Rules!$B$5*M14+D24)/(9+Rules!$B$5)</f>
        <v>0.35360813639536137</v>
      </c>
      <c r="D14" s="2">
        <f>(SUM(F14:M14)+Rules!$B$5*N14+E24)/(9+Rules!$B$5)</f>
        <v>0.3738748853821432</v>
      </c>
      <c r="E14" s="2">
        <f>(SUM(G14:N14)+Rules!$B$5*O14+F24)/(9+Rules!$B$5)</f>
        <v>0.39446844550254284</v>
      </c>
      <c r="F14" s="2">
        <f>(SUM(H14:O14)+Rules!$B$5*P14+G24)/(9+Rules!$B$5)</f>
        <v>0.41640366958226238</v>
      </c>
      <c r="G14" s="2">
        <f>(SUM(I14:P14)+Rules!$B$5*Q14+H24)/(9+Rules!$B$5)</f>
        <v>0.42315049208499772</v>
      </c>
      <c r="H14" s="2">
        <f>(SUM(J14:Q14)+Rules!$B$5*R14+I24)/(9+Rules!$B$5)</f>
        <v>0.2623124083615333</v>
      </c>
      <c r="I14" s="2">
        <f>(SUM(K14:R14)+Rules!$B$5*S14+J24)/(9+Rules!$B$5)</f>
        <v>0.2447412422511914</v>
      </c>
      <c r="J14" s="2">
        <f>(SUM(L14:S14)+Rules!$B$5*T14+K24)/(9+Rules!$B$5)</f>
        <v>0.2284251594344453</v>
      </c>
      <c r="K14" s="2">
        <f>(SUM(M14:T14)+Rules!$B$5*U14+L24)/(9+Rules!$B$5)</f>
        <v>0.2121090766176992</v>
      </c>
      <c r="L14" s="2">
        <f>(SUM(M14:U14)+Rules!$B$5*V14)/(9+Rules!$B$5)</f>
        <v>0.2121090766176992</v>
      </c>
      <c r="M14" s="2">
        <f>(SUM(N14:V14)+Rules!$B$5*W14)/(9+Rules!$B$5)</f>
        <v>0.48267271400214923</v>
      </c>
      <c r="N14" s="2">
        <f>(SUM(O14:W14)+Rules!$B$5*X14)/(9+Rules!$B$5)</f>
        <v>0.51962466300199572</v>
      </c>
      <c r="O14" s="2">
        <f>(SUM(P14:X14)+Rules!$B$5*Y14)/(9+Rules!$B$5)</f>
        <v>0.55393718707328177</v>
      </c>
      <c r="P14" s="2">
        <f>(SUM(Q14:Y14)+Rules!$B$5*Z14)/(9+Rules!$B$5)</f>
        <v>0.58579881656804733</v>
      </c>
      <c r="Q14" s="2">
        <f>(SUM(R14:Z14)+Rules!$B$5*AA14)/(9+Rules!$B$5)</f>
        <v>0.61538461538461542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f>IF(Rules!$B$14=Rules!$E$14,1,0)</f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8">
        <v>1</v>
      </c>
    </row>
    <row r="15" spans="1:32" x14ac:dyDescent="0.2">
      <c r="A15" s="24">
        <v>17</v>
      </c>
      <c r="B15" s="22">
        <f t="shared" ref="B15:B20" si="9">L15</f>
        <v>0.11142433852261401</v>
      </c>
      <c r="C15" s="2">
        <f>(SUM(E15:L15)+Rules!$B$5*M15+D25)/(9+Rules!$B$5)</f>
        <v>0.13980913952773527</v>
      </c>
      <c r="D15" s="2">
        <f>(SUM(F15:M15)+Rules!$B$5*N15+E25)/(9+Rules!$B$5)</f>
        <v>0.13503398781113993</v>
      </c>
      <c r="E15" s="2">
        <f>(SUM(G15:N15)+Rules!$B$5*O15+F25)/(9+Rules!$B$5)</f>
        <v>0.13048973584959825</v>
      </c>
      <c r="F15" s="2">
        <f>(SUM(H15:O15)+Rules!$B$5*P15+G25)/(9+Rules!$B$5)</f>
        <v>0.12225128527055079</v>
      </c>
      <c r="G15" s="2">
        <f>(SUM(I15:P15)+Rules!$B$5*Q15+H25)/(9+Rules!$B$5)</f>
        <v>0.16543817650334638</v>
      </c>
      <c r="H15" s="2">
        <f>(SUM(J15:Q15)+Rules!$B$5*R15+I25)/(9+Rules!$B$5)</f>
        <v>0.36856619379423861</v>
      </c>
      <c r="I15" s="2">
        <f>(SUM(K15:R15)+Rules!$B$5*S15+J25)/(9+Rules!$B$5)</f>
        <v>0.12856654444917001</v>
      </c>
      <c r="J15" s="2">
        <f>(SUM(L15:S15)+Rules!$B$5*T15+K25)/(9+Rules!$B$5)</f>
        <v>0.119995441485892</v>
      </c>
      <c r="K15" s="2">
        <f>(SUM(M15:T15)+Rules!$B$5*U15+L25)/(9+Rules!$B$5)</f>
        <v>0.11142433852261401</v>
      </c>
      <c r="L15" s="2">
        <f>(SUM(M15:U15)+Rules!$B$5*V15)/(9+Rules!$B$5)</f>
        <v>0.11142433852261401</v>
      </c>
      <c r="M15" s="2">
        <f>(SUM(N15:V15)+Rules!$B$5*W15)/(9+Rules!$B$5)</f>
        <v>0.10346545719957015</v>
      </c>
      <c r="N15" s="2">
        <f>(SUM(O15:W15)+Rules!$B$5*X15)/(9+Rules!$B$5)</f>
        <v>9.6075067399600853E-2</v>
      </c>
      <c r="O15" s="2">
        <f>(SUM(P15:X15)+Rules!$B$5*Y15)/(9+Rules!$B$5)</f>
        <v>8.9212562585343644E-2</v>
      </c>
      <c r="P15" s="2">
        <f>(SUM(Q15:Y15)+Rules!$B$5*Z15)/(9+Rules!$B$5)</f>
        <v>8.2840236686390525E-2</v>
      </c>
      <c r="Q15" s="2">
        <f>(SUM(R15:Z15)+Rules!$B$5*AA15)/(9+Rules!$B$5)</f>
        <v>7.6923076923076927E-2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9">
        <v>0</v>
      </c>
    </row>
    <row r="16" spans="1:32" x14ac:dyDescent="0.2">
      <c r="A16" s="24">
        <v>18</v>
      </c>
      <c r="B16" s="22">
        <f t="shared" si="9"/>
        <v>0.11142433852261401</v>
      </c>
      <c r="C16" s="2">
        <f>(SUM(E16:L16)+Rules!$B$5*M16+D26)/(9+Rules!$B$5)</f>
        <v>0.13490735037469442</v>
      </c>
      <c r="D16" s="2">
        <f>(SUM(F16:M16)+Rules!$B$5*N16+E26)/(9+Rules!$B$5)</f>
        <v>0.13048232645474483</v>
      </c>
      <c r="E16" s="2">
        <f>(SUM(G16:N16)+Rules!$B$5*O16+F26)/(9+Rules!$B$5)</f>
        <v>0.12593807449320316</v>
      </c>
      <c r="F16" s="2">
        <f>(SUM(H16:O16)+Rules!$B$5*P16+G26)/(9+Rules!$B$5)</f>
        <v>0.12225128527055079</v>
      </c>
      <c r="G16" s="2">
        <f>(SUM(I16:P16)+Rules!$B$5*Q16+H26)/(9+Rules!$B$5)</f>
        <v>0.10626657887021028</v>
      </c>
      <c r="H16" s="2">
        <f>(SUM(J16:Q16)+Rules!$B$5*R16+I26)/(9+Rules!$B$5)</f>
        <v>0.13779696302500785</v>
      </c>
      <c r="I16" s="2">
        <f>(SUM(K16:R16)+Rules!$B$5*S16+J26)/(9+Rules!$B$5)</f>
        <v>0.35933577521840082</v>
      </c>
      <c r="J16" s="2">
        <f>(SUM(L16:S16)+Rules!$B$5*T16+K26)/(9+Rules!$B$5)</f>
        <v>0.119995441485892</v>
      </c>
      <c r="K16" s="2">
        <f>(SUM(M16:T16)+Rules!$B$5*U16+L26)/(9+Rules!$B$5)</f>
        <v>0.11142433852261401</v>
      </c>
      <c r="L16" s="2">
        <f>(SUM(M16:U16)+Rules!$B$5*V16)/(9+Rules!$B$5)</f>
        <v>0.11142433852261401</v>
      </c>
      <c r="M16" s="2">
        <f>(SUM(N16:V16)+Rules!$B$5*W16)/(9+Rules!$B$5)</f>
        <v>0.10346545719957015</v>
      </c>
      <c r="N16" s="2">
        <f>(SUM(O16:W16)+Rules!$B$5*X16)/(9+Rules!$B$5)</f>
        <v>9.6075067399600853E-2</v>
      </c>
      <c r="O16" s="2">
        <f>(SUM(P16:X16)+Rules!$B$5*Y16)/(9+Rules!$B$5)</f>
        <v>8.9212562585343644E-2</v>
      </c>
      <c r="P16" s="2">
        <f>(SUM(Q16:Y16)+Rules!$B$5*Z16)/(9+Rules!$B$5)</f>
        <v>8.2840236686390525E-2</v>
      </c>
      <c r="Q16" s="2">
        <f>(SUM(R16:Z16)+Rules!$B$5*AA16)/(9+Rules!$B$5)</f>
        <v>7.6923076923076927E-2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9">
        <v>0</v>
      </c>
    </row>
    <row r="17" spans="1:32" x14ac:dyDescent="0.2">
      <c r="A17" s="24">
        <v>19</v>
      </c>
      <c r="B17" s="22">
        <f t="shared" si="9"/>
        <v>0.11142433852261401</v>
      </c>
      <c r="C17" s="2">
        <f>(SUM(E17:L17)+Rules!$B$5*M17+D27)/(9+Rules!$B$5)</f>
        <v>0.12965543342500779</v>
      </c>
      <c r="D17" s="2">
        <f>(SUM(F17:M17)+Rules!$B$5*N17+E27)/(9+Rules!$B$5)</f>
        <v>0.12558053730170399</v>
      </c>
      <c r="E17" s="2">
        <f>(SUM(G17:N17)+Rules!$B$5*O17+F27)/(9+Rules!$B$5)</f>
        <v>0.12138641313680808</v>
      </c>
      <c r="F17" s="2">
        <f>(SUM(H17:O17)+Rules!$B$5*P17+G27)/(9+Rules!$B$5)</f>
        <v>0.11769962391415568</v>
      </c>
      <c r="G17" s="2">
        <f>(SUM(I17:P17)+Rules!$B$5*Q17+H27)/(9+Rules!$B$5)</f>
        <v>0.10626657887021028</v>
      </c>
      <c r="H17" s="2">
        <f>(SUM(J17:Q17)+Rules!$B$5*R17+I27)/(9+Rules!$B$5)</f>
        <v>7.8625365391871746E-2</v>
      </c>
      <c r="I17" s="2">
        <f>(SUM(K17:R17)+Rules!$B$5*S17+J27)/(9+Rules!$B$5)</f>
        <v>0.12856654444917001</v>
      </c>
      <c r="J17" s="2">
        <f>(SUM(L17:S17)+Rules!$B$5*T17+K27)/(9+Rules!$B$5)</f>
        <v>0.35076467225512281</v>
      </c>
      <c r="K17" s="2">
        <f>(SUM(M17:T17)+Rules!$B$5*U17+L27)/(9+Rules!$B$5)</f>
        <v>0.11142433852261401</v>
      </c>
      <c r="L17" s="2">
        <f>(SUM(M17:U17)+Rules!$B$5*V17)/(9+Rules!$B$5)</f>
        <v>0.11142433852261401</v>
      </c>
      <c r="M17" s="2">
        <f>(SUM(N17:V17)+Rules!$B$5*W17)/(9+Rules!$B$5)</f>
        <v>0.10346545719957015</v>
      </c>
      <c r="N17" s="2">
        <f>(SUM(O17:W17)+Rules!$B$5*X17)/(9+Rules!$B$5)</f>
        <v>9.6075067399600853E-2</v>
      </c>
      <c r="O17" s="2">
        <f>(SUM(P17:X17)+Rules!$B$5*Y17)/(9+Rules!$B$5)</f>
        <v>8.9212562585343644E-2</v>
      </c>
      <c r="P17" s="2">
        <f>(SUM(Q17:Y17)+Rules!$B$5*Z17)/(9+Rules!$B$5)</f>
        <v>8.2840236686390525E-2</v>
      </c>
      <c r="Q17" s="2">
        <f>(SUM(R17:Z17)+Rules!$B$5*AA17)/(9+Rules!$B$5)</f>
        <v>7.6923076923076927E-2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9">
        <v>0</v>
      </c>
    </row>
    <row r="18" spans="1:32" x14ac:dyDescent="0.2">
      <c r="A18" s="24">
        <v>20</v>
      </c>
      <c r="B18" s="22">
        <f t="shared" si="9"/>
        <v>0.11142433852261401</v>
      </c>
      <c r="C18" s="2">
        <f>(SUM(E18:L18)+Rules!$B$5*M18+D28)/(9+Rules!$B$5)</f>
        <v>0.12402645577124111</v>
      </c>
      <c r="D18" s="2">
        <f>(SUM(F18:M18)+Rules!$B$5*N18+E28)/(9+Rules!$B$5)</f>
        <v>0.12032862035201736</v>
      </c>
      <c r="E18" s="2">
        <f>(SUM(G18:N18)+Rules!$B$5*O18+F28)/(9+Rules!$B$5)</f>
        <v>0.1164846239837672</v>
      </c>
      <c r="F18" s="2">
        <f>(SUM(H18:O18)+Rules!$B$5*P18+G28)/(9+Rules!$B$5)</f>
        <v>0.11314796255776062</v>
      </c>
      <c r="G18" s="2">
        <f>(SUM(I18:P18)+Rules!$B$5*Q18+H28)/(9+Rules!$B$5)</f>
        <v>0.1017149175138152</v>
      </c>
      <c r="H18" s="2">
        <f>(SUM(J18:Q18)+Rules!$B$5*R18+I28)/(9+Rules!$B$5)</f>
        <v>7.8625365391871746E-2</v>
      </c>
      <c r="I18" s="2">
        <f>(SUM(K18:R18)+Rules!$B$5*S18+J28)/(9+Rules!$B$5)</f>
        <v>6.9394946816033906E-2</v>
      </c>
      <c r="J18" s="2">
        <f>(SUM(L18:S18)+Rules!$B$5*T18+K28)/(9+Rules!$B$5)</f>
        <v>0.119995441485892</v>
      </c>
      <c r="K18" s="2">
        <f>(SUM(M18:T18)+Rules!$B$5*U18+L28)/(9+Rules!$B$5)</f>
        <v>0.34219356929184475</v>
      </c>
      <c r="L18" s="2">
        <f>(SUM(M18:U18)+Rules!$B$5*V18)/(9+Rules!$B$5)</f>
        <v>0.11142433852261401</v>
      </c>
      <c r="M18" s="2">
        <f>(SUM(N18:V18)+Rules!$B$5*W18)/(9+Rules!$B$5)</f>
        <v>0.10346545719957015</v>
      </c>
      <c r="N18" s="2">
        <f>(SUM(O18:W18)+Rules!$B$5*X18)/(9+Rules!$B$5)</f>
        <v>9.6075067399600853E-2</v>
      </c>
      <c r="O18" s="2">
        <f>(SUM(P18:X18)+Rules!$B$5*Y18)/(9+Rules!$B$5)</f>
        <v>8.9212562585343644E-2</v>
      </c>
      <c r="P18" s="2">
        <f>(SUM(Q18:Y18)+Rules!$B$5*Z18)/(9+Rules!$B$5)</f>
        <v>8.2840236686390525E-2</v>
      </c>
      <c r="Q18" s="2">
        <f>(SUM(R18:Z18)+Rules!$B$5*AA18)/(9+Rules!$B$5)</f>
        <v>7.6923076923076927E-2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9">
        <v>0</v>
      </c>
    </row>
    <row r="19" spans="1:32" x14ac:dyDescent="0.2">
      <c r="A19" s="25">
        <v>21</v>
      </c>
      <c r="B19" s="22">
        <f t="shared" si="9"/>
        <v>0.34219356929184475</v>
      </c>
      <c r="C19" s="2">
        <f>(SUM(E19:L19)+Rules!$B$5*M19+D29)/(9+Rules!$B$5)</f>
        <v>0.11799348450596003</v>
      </c>
      <c r="D19" s="2">
        <f>(SUM(F19:M19)+Rules!$B$5*N19+E29)/(9+Rules!$B$5)</f>
        <v>0.11469964269825064</v>
      </c>
      <c r="E19" s="2">
        <f>(SUM(G19:N19)+Rules!$B$5*O19+F29)/(9+Rules!$B$5)</f>
        <v>0.11123270703408054</v>
      </c>
      <c r="F19" s="2">
        <f>(SUM(H19:O19)+Rules!$B$5*P19+G29)/(9+Rules!$B$5)</f>
        <v>0.10824617340471974</v>
      </c>
      <c r="G19" s="2">
        <f>(SUM(I19:P19)+Rules!$B$5*Q19+H29)/(9+Rules!$B$5)</f>
        <v>9.7163256157420108E-2</v>
      </c>
      <c r="H19" s="2">
        <f>(SUM(J19:Q19)+Rules!$B$5*R19+I29)/(9+Rules!$B$5)</f>
        <v>7.4073704035476653E-2</v>
      </c>
      <c r="I19" s="2">
        <f>(SUM(K19:R19)+Rules!$B$5*S19+J29)/(9+Rules!$B$5)</f>
        <v>6.9394946816033906E-2</v>
      </c>
      <c r="J19" s="2">
        <f>(SUM(L19:S19)+Rules!$B$5*T19+K29)/(9+Rules!$B$5)</f>
        <v>6.0823843852755896E-2</v>
      </c>
      <c r="K19" s="2">
        <f>(SUM(M19:T19)+Rules!$B$5*U19+L29)/(9+Rules!$B$5)</f>
        <v>0.11142433852261401</v>
      </c>
      <c r="L19" s="2">
        <f>(SUM(M19:U19)+Rules!$B$5*V19)/(9+Rules!$B$5)</f>
        <v>0.34219356929184475</v>
      </c>
      <c r="M19" s="2">
        <f>(SUM(N19:V19)+Rules!$B$5*W19)/(9+Rules!$B$5)</f>
        <v>0.10346545719957015</v>
      </c>
      <c r="N19" s="2">
        <f>(SUM(O19:W19)+Rules!$B$5*X19)/(9+Rules!$B$5)</f>
        <v>9.6075067399600853E-2</v>
      </c>
      <c r="O19" s="2">
        <f>(SUM(P19:X19)+Rules!$B$5*Y19)/(9+Rules!$B$5)</f>
        <v>8.9212562585343644E-2</v>
      </c>
      <c r="P19" s="2">
        <f>(SUM(Q19:Y19)+Rules!$B$5*Z19)/(9+Rules!$B$5)</f>
        <v>8.2840236686390525E-2</v>
      </c>
      <c r="Q19" s="2">
        <f>(SUM(R19:Z19)+Rules!$B$5*AA19)/(9+Rules!$B$5)</f>
        <v>7.6923076923076927E-2</v>
      </c>
      <c r="R19" s="26">
        <v>0</v>
      </c>
      <c r="S19" s="26">
        <v>0</v>
      </c>
      <c r="T19" s="26">
        <v>0</v>
      </c>
      <c r="U19" s="26">
        <v>0</v>
      </c>
      <c r="V19" s="26">
        <v>1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7">
        <v>0</v>
      </c>
    </row>
    <row r="20" spans="1:32" ht="17" thickBot="1" x14ac:dyDescent="0.25">
      <c r="A20" s="183">
        <v>22</v>
      </c>
      <c r="B20" s="22">
        <f t="shared" si="9"/>
        <v>0</v>
      </c>
      <c r="C20" s="2">
        <f>(SUM(E20:L20)+Rules!$B$5*M20+D30)/(9+Rules!$B$5)</f>
        <v>0</v>
      </c>
      <c r="D20" s="2">
        <f>(SUM(F20:M20)+Rules!$B$5*N20+E30)/(9+Rules!$B$5)</f>
        <v>0</v>
      </c>
      <c r="E20" s="2">
        <f>(SUM(G20:N20)+Rules!$B$5*O20+F30)/(9+Rules!$B$5)</f>
        <v>0</v>
      </c>
      <c r="F20" s="2">
        <f>(SUM(H20:O20)+Rules!$B$5*P20+G30)/(9+Rules!$B$5)</f>
        <v>0</v>
      </c>
      <c r="G20" s="2">
        <f>(SUM(I20:P20)+Rules!$B$5*Q20+H30)/(9+Rules!$B$5)</f>
        <v>0</v>
      </c>
      <c r="H20" s="2">
        <f>(SUM(J20:Q20)+Rules!$B$5*R20+I30)/(9+Rules!$B$5)</f>
        <v>0</v>
      </c>
      <c r="I20" s="2">
        <f>(SUM(K20:R20)+Rules!$B$5*S20+J30)/(9+Rules!$B$5)</f>
        <v>0</v>
      </c>
      <c r="J20" s="2">
        <f>(SUM(L20:S20)+Rules!$B$5*T20+K30)/(9+Rules!$B$5)</f>
        <v>0</v>
      </c>
      <c r="K20" s="2">
        <f>(SUM(M20:T20)+Rules!$B$5*U20+L30)/(9+Rules!$B$5)</f>
        <v>0</v>
      </c>
      <c r="L20" s="2">
        <f>(SUM(M20:U20)+Rules!$B$5*V20)/(9+Rules!$B$5)</f>
        <v>0</v>
      </c>
      <c r="M20" s="2">
        <f>(SUM(N20:V20)+Rules!$B$5*W20)/(9+Rules!$B$5)</f>
        <v>0</v>
      </c>
      <c r="N20" s="2">
        <f>(SUM(O20:W20)+Rules!$B$5*X20)/(9+Rules!$B$5)</f>
        <v>0</v>
      </c>
      <c r="O20" s="2">
        <f>(SUM(P20:X20)+Rules!$B$5*Y20)/(9+Rules!$B$5)</f>
        <v>0</v>
      </c>
      <c r="P20" s="2">
        <f>(SUM(Q20:Y20)+Rules!$B$5*Z20)/(9+Rules!$B$5)</f>
        <v>0</v>
      </c>
      <c r="Q20" s="2">
        <f>(SUM(R20:Z20)+Rules!$B$5*AA20)/(9+Rules!$B$5)</f>
        <v>0</v>
      </c>
      <c r="R20" s="184">
        <v>0</v>
      </c>
      <c r="S20" s="184">
        <v>0</v>
      </c>
      <c r="T20" s="184">
        <v>0</v>
      </c>
      <c r="U20" s="184">
        <v>0</v>
      </c>
      <c r="V20" s="184">
        <v>0</v>
      </c>
      <c r="W20" s="184">
        <f>IF(Rules!$B$14=Rules!$E$14,0,1)</f>
        <v>0</v>
      </c>
      <c r="X20" s="184">
        <v>0</v>
      </c>
      <c r="Y20" s="184">
        <v>0</v>
      </c>
      <c r="Z20" s="184">
        <v>0</v>
      </c>
      <c r="AA20" s="184">
        <v>0</v>
      </c>
      <c r="AB20" s="184">
        <v>0</v>
      </c>
      <c r="AC20" s="184">
        <v>0</v>
      </c>
      <c r="AD20" s="184">
        <v>0</v>
      </c>
      <c r="AE20" s="184">
        <v>0</v>
      </c>
      <c r="AF20" s="121">
        <v>0</v>
      </c>
    </row>
    <row r="21" spans="1:32" ht="17" thickBot="1" x14ac:dyDescent="0.25">
      <c r="A21" s="4" t="s">
        <v>2</v>
      </c>
      <c r="B21" s="21">
        <f>SUM(B14:B20)</f>
        <v>1</v>
      </c>
      <c r="C21" s="21">
        <f t="shared" ref="C21:Q21" si="10">SUM(C14:C20)</f>
        <v>1</v>
      </c>
      <c r="D21" s="21">
        <f t="shared" si="10"/>
        <v>0.99999999999999989</v>
      </c>
      <c r="E21" s="21">
        <f t="shared" si="10"/>
        <v>1.0000000000000002</v>
      </c>
      <c r="F21" s="21">
        <f t="shared" si="10"/>
        <v>1</v>
      </c>
      <c r="G21" s="21">
        <f t="shared" si="10"/>
        <v>1</v>
      </c>
      <c r="H21" s="21">
        <f t="shared" si="10"/>
        <v>0.99999999999999989</v>
      </c>
      <c r="I21" s="21">
        <f t="shared" si="10"/>
        <v>1</v>
      </c>
      <c r="J21" s="21">
        <f t="shared" si="10"/>
        <v>1</v>
      </c>
      <c r="K21" s="21">
        <f t="shared" si="10"/>
        <v>1</v>
      </c>
      <c r="L21" s="21">
        <f t="shared" si="10"/>
        <v>1</v>
      </c>
      <c r="M21" s="21">
        <f t="shared" si="10"/>
        <v>0.99999999999999989</v>
      </c>
      <c r="N21" s="21">
        <f t="shared" si="10"/>
        <v>0.99999999999999978</v>
      </c>
      <c r="O21" s="21">
        <f t="shared" si="10"/>
        <v>0.99999999999999978</v>
      </c>
      <c r="P21" s="21">
        <f t="shared" si="10"/>
        <v>0.99999999999999989</v>
      </c>
      <c r="Q21" s="21">
        <f t="shared" si="10"/>
        <v>0.99999999999999978</v>
      </c>
      <c r="R21" s="19">
        <f t="shared" ref="R21:AF21" si="11">SUM(R14:R19)</f>
        <v>1</v>
      </c>
      <c r="S21" s="19">
        <f t="shared" si="11"/>
        <v>1</v>
      </c>
      <c r="T21" s="19">
        <f t="shared" si="11"/>
        <v>1</v>
      </c>
      <c r="U21" s="19">
        <f t="shared" si="11"/>
        <v>1</v>
      </c>
      <c r="V21" s="19">
        <f t="shared" si="11"/>
        <v>1</v>
      </c>
      <c r="W21" s="19">
        <f t="shared" si="11"/>
        <v>1</v>
      </c>
      <c r="X21" s="19">
        <f t="shared" si="11"/>
        <v>1</v>
      </c>
      <c r="Y21" s="19">
        <f t="shared" si="11"/>
        <v>1</v>
      </c>
      <c r="Z21" s="19">
        <f t="shared" si="11"/>
        <v>1</v>
      </c>
      <c r="AA21" s="19">
        <f t="shared" si="11"/>
        <v>1</v>
      </c>
      <c r="AB21" s="19">
        <f t="shared" si="11"/>
        <v>1</v>
      </c>
      <c r="AC21" s="19">
        <f t="shared" si="11"/>
        <v>1</v>
      </c>
      <c r="AD21" s="19">
        <f t="shared" si="11"/>
        <v>1</v>
      </c>
      <c r="AE21" s="19">
        <f t="shared" si="11"/>
        <v>1</v>
      </c>
      <c r="AF21" s="20">
        <f t="shared" si="11"/>
        <v>1</v>
      </c>
    </row>
    <row r="22" spans="1:32" ht="17" thickBot="1" x14ac:dyDescent="0.25"/>
    <row r="23" spans="1:32" ht="17" thickBot="1" x14ac:dyDescent="0.25">
      <c r="A23" s="186" t="s">
        <v>4</v>
      </c>
      <c r="B23" s="138">
        <v>11</v>
      </c>
      <c r="C23" s="139">
        <v>12</v>
      </c>
      <c r="D23" s="139">
        <v>13</v>
      </c>
      <c r="E23" s="139">
        <v>14</v>
      </c>
      <c r="F23" s="139">
        <v>15</v>
      </c>
      <c r="G23" s="139">
        <v>16</v>
      </c>
      <c r="H23" s="139">
        <v>17</v>
      </c>
      <c r="I23" s="139">
        <v>18</v>
      </c>
      <c r="J23" s="139">
        <v>19</v>
      </c>
      <c r="K23" s="139">
        <v>20</v>
      </c>
      <c r="L23" s="139">
        <v>21</v>
      </c>
      <c r="M23" s="139">
        <v>22</v>
      </c>
      <c r="N23" s="139">
        <v>23</v>
      </c>
      <c r="O23" s="139">
        <v>24</v>
      </c>
      <c r="P23" s="139">
        <v>25</v>
      </c>
      <c r="Q23" s="139">
        <v>26</v>
      </c>
      <c r="R23" s="139">
        <v>27</v>
      </c>
      <c r="S23" s="139">
        <v>28</v>
      </c>
      <c r="T23" s="139">
        <v>29</v>
      </c>
      <c r="U23" s="139">
        <v>30</v>
      </c>
      <c r="V23" s="139">
        <v>31</v>
      </c>
      <c r="W23" s="124">
        <v>32</v>
      </c>
    </row>
    <row r="24" spans="1:32" x14ac:dyDescent="0.2">
      <c r="A24" s="186" t="s">
        <v>0</v>
      </c>
      <c r="B24" s="129">
        <f t="shared" ref="B24:B30" si="12">L14</f>
        <v>0.2121090766176992</v>
      </c>
      <c r="C24" s="130">
        <f>(SUM(D24:L24)+Rules!$B$5*M24)/(9+Rules!$B$5)</f>
        <v>0.24495802642312861</v>
      </c>
      <c r="D24" s="130">
        <f>(SUM(E24:M24)+Rules!$B$5*N24)/(9+Rules!$B$5)</f>
        <v>0.27249534667872904</v>
      </c>
      <c r="E24" s="130">
        <f>(SUM(F24:N24)+Rules!$B$5*O24)/(9+Rules!$B$5)</f>
        <v>0.29995101900790128</v>
      </c>
      <c r="F24" s="130">
        <f>(SUM(G24:O24)+Rules!$B$5*P24)/(9+Rules!$B$5)</f>
        <v>0.32719621086821865</v>
      </c>
      <c r="G24" s="130">
        <f>(SUM(H24:P24)+Rules!$B$5*Q24)/(9+Rules!$B$5)</f>
        <v>0.35412091093722581</v>
      </c>
      <c r="H24" s="130">
        <f>IF(Rules!$B$4=Rules!$F$4,0,(SUM(I24:Q24)+Rules!$B$5*R24)/(9+Rules!$B$5))</f>
        <v>0</v>
      </c>
      <c r="I24" s="130">
        <v>0</v>
      </c>
      <c r="J24" s="130">
        <v>0</v>
      </c>
      <c r="K24" s="130">
        <v>0</v>
      </c>
      <c r="L24" s="130">
        <v>0</v>
      </c>
      <c r="M24" s="130">
        <f t="shared" ref="M24:V24" si="13">M14</f>
        <v>0.48267271400214923</v>
      </c>
      <c r="N24" s="130">
        <f t="shared" si="13"/>
        <v>0.51962466300199572</v>
      </c>
      <c r="O24" s="130">
        <f t="shared" si="13"/>
        <v>0.55393718707328177</v>
      </c>
      <c r="P24" s="130">
        <f t="shared" si="13"/>
        <v>0.58579881656804733</v>
      </c>
      <c r="Q24" s="130">
        <f t="shared" si="13"/>
        <v>0.61538461538461542</v>
      </c>
      <c r="R24" s="130">
        <f t="shared" si="13"/>
        <v>0</v>
      </c>
      <c r="S24" s="130">
        <f t="shared" si="13"/>
        <v>0</v>
      </c>
      <c r="T24" s="130">
        <f t="shared" si="13"/>
        <v>0</v>
      </c>
      <c r="U24" s="130">
        <f t="shared" si="13"/>
        <v>0</v>
      </c>
      <c r="V24" s="130">
        <f t="shared" si="13"/>
        <v>0</v>
      </c>
      <c r="W24" s="58">
        <f t="shared" ref="W24:W30" si="14">W14</f>
        <v>1</v>
      </c>
    </row>
    <row r="25" spans="1:32" x14ac:dyDescent="0.2">
      <c r="A25" s="185">
        <v>17</v>
      </c>
      <c r="B25" s="28">
        <f t="shared" si="12"/>
        <v>0.11142433852261401</v>
      </c>
      <c r="C25" s="2">
        <f>(SUM(D25:L25)+Rules!$B$5*M25)/(9+Rules!$B$5)</f>
        <v>0.15100839471537425</v>
      </c>
      <c r="D25" s="2">
        <f>(SUM(E25:M25)+Rules!$B$5*N25)/(9+Rules!$B$5)</f>
        <v>0.14550093066425418</v>
      </c>
      <c r="E25" s="2">
        <f>(SUM(F25:N25)+Rules!$B$5*O25)/(9+Rules!$B$5)</f>
        <v>0.14000979619841974</v>
      </c>
      <c r="F25" s="2">
        <f>(SUM(G25:O25)+Rules!$B$5*P25)/(9+Rules!$B$5)</f>
        <v>0.13456075782635629</v>
      </c>
      <c r="G25" s="2">
        <f>(SUM(H25:P25)+Rules!$B$5*Q25)/(9+Rules!$B$5)</f>
        <v>0.12917581781255486</v>
      </c>
      <c r="H25" s="2">
        <f>IF(Rules!$B$4=Rules!$F$4,1,(SUM(I25:Q25)+Rules!$B$5*R25)/(9+Rules!$B$5))</f>
        <v>1</v>
      </c>
      <c r="I25" s="1">
        <v>0</v>
      </c>
      <c r="J25" s="1">
        <v>0</v>
      </c>
      <c r="K25" s="1">
        <v>0</v>
      </c>
      <c r="L25" s="1">
        <v>0</v>
      </c>
      <c r="M25" s="2">
        <f t="shared" ref="M25:V25" si="15">M15</f>
        <v>0.10346545719957015</v>
      </c>
      <c r="N25" s="2">
        <f t="shared" si="15"/>
        <v>9.6075067399600853E-2</v>
      </c>
      <c r="O25" s="2">
        <f t="shared" si="15"/>
        <v>8.9212562585343644E-2</v>
      </c>
      <c r="P25" s="2">
        <f t="shared" si="15"/>
        <v>8.2840236686390525E-2</v>
      </c>
      <c r="Q25" s="2">
        <f t="shared" si="15"/>
        <v>7.6923076923076927E-2</v>
      </c>
      <c r="R25" s="1">
        <f t="shared" si="15"/>
        <v>1</v>
      </c>
      <c r="S25" s="1">
        <f t="shared" si="15"/>
        <v>0</v>
      </c>
      <c r="T25" s="1">
        <f t="shared" si="15"/>
        <v>0</v>
      </c>
      <c r="U25" s="1">
        <f t="shared" si="15"/>
        <v>0</v>
      </c>
      <c r="V25" s="1">
        <f t="shared" si="15"/>
        <v>0</v>
      </c>
      <c r="W25" s="9">
        <f t="shared" si="14"/>
        <v>0</v>
      </c>
    </row>
    <row r="26" spans="1:32" x14ac:dyDescent="0.2">
      <c r="A26" s="185">
        <v>18</v>
      </c>
      <c r="B26" s="28">
        <f t="shared" si="12"/>
        <v>0.11142433852261401</v>
      </c>
      <c r="C26" s="2">
        <f>(SUM(D26:L26)+Rules!$B$5*M26)/(9+Rules!$B$5)</f>
        <v>0.15100839471537425</v>
      </c>
      <c r="D26" s="2">
        <f>(SUM(E26:M26)+Rules!$B$5*N26)/(9+Rules!$B$5)</f>
        <v>0.14550093066425418</v>
      </c>
      <c r="E26" s="2">
        <f>(SUM(F26:N26)+Rules!$B$5*O26)/(9+Rules!$B$5)</f>
        <v>0.14000979619841974</v>
      </c>
      <c r="F26" s="2">
        <f>(SUM(G26:O26)+Rules!$B$5*P26)/(9+Rules!$B$5)</f>
        <v>0.13456075782635629</v>
      </c>
      <c r="G26" s="2">
        <f>(SUM(H26:P26)+Rules!$B$5*Q26)/(9+Rules!$B$5)</f>
        <v>0.12917581781255486</v>
      </c>
      <c r="H26" s="2">
        <f>IF(Rules!$B$4=Rules!$F$4,0,(SUM(I26:Q26)+Rules!$B$5*R26)/(9+Rules!$B$5))</f>
        <v>0</v>
      </c>
      <c r="I26" s="1">
        <v>1</v>
      </c>
      <c r="J26" s="1">
        <v>0</v>
      </c>
      <c r="K26" s="1">
        <v>0</v>
      </c>
      <c r="L26" s="1">
        <v>0</v>
      </c>
      <c r="M26" s="2">
        <f t="shared" ref="M26:V26" si="16">M16</f>
        <v>0.10346545719957015</v>
      </c>
      <c r="N26" s="2">
        <f t="shared" si="16"/>
        <v>9.6075067399600853E-2</v>
      </c>
      <c r="O26" s="2">
        <f t="shared" si="16"/>
        <v>8.9212562585343644E-2</v>
      </c>
      <c r="P26" s="2">
        <f t="shared" si="16"/>
        <v>8.2840236686390525E-2</v>
      </c>
      <c r="Q26" s="2">
        <f t="shared" si="16"/>
        <v>7.6923076923076927E-2</v>
      </c>
      <c r="R26" s="1">
        <f t="shared" si="16"/>
        <v>0</v>
      </c>
      <c r="S26" s="1">
        <f t="shared" si="16"/>
        <v>1</v>
      </c>
      <c r="T26" s="1">
        <f t="shared" si="16"/>
        <v>0</v>
      </c>
      <c r="U26" s="1">
        <f t="shared" si="16"/>
        <v>0</v>
      </c>
      <c r="V26" s="1">
        <f t="shared" si="16"/>
        <v>0</v>
      </c>
      <c r="W26" s="9">
        <f t="shared" si="14"/>
        <v>0</v>
      </c>
    </row>
    <row r="27" spans="1:32" x14ac:dyDescent="0.2">
      <c r="A27" s="185">
        <v>19</v>
      </c>
      <c r="B27" s="28">
        <f t="shared" si="12"/>
        <v>0.11142433852261401</v>
      </c>
      <c r="C27" s="2">
        <f>(SUM(D27:L27)+Rules!$B$5*M27)/(9+Rules!$B$5)</f>
        <v>0.15100839471537425</v>
      </c>
      <c r="D27" s="2">
        <f>(SUM(E27:M27)+Rules!$B$5*N27)/(9+Rules!$B$5)</f>
        <v>0.14550093066425418</v>
      </c>
      <c r="E27" s="2">
        <f>(SUM(F27:N27)+Rules!$B$5*O27)/(9+Rules!$B$5)</f>
        <v>0.14000979619841974</v>
      </c>
      <c r="F27" s="2">
        <f>(SUM(G27:O27)+Rules!$B$5*P27)/(9+Rules!$B$5)</f>
        <v>0.13456075782635629</v>
      </c>
      <c r="G27" s="2">
        <f>(SUM(H27:P27)+Rules!$B$5*Q27)/(9+Rules!$B$5)</f>
        <v>0.12917581781255486</v>
      </c>
      <c r="H27" s="2">
        <f>IF(Rules!$B$4=Rules!$F$4,0,(SUM(I27:Q27)+Rules!$B$5*R27)/(9+Rules!$B$5))</f>
        <v>0</v>
      </c>
      <c r="I27" s="1">
        <v>0</v>
      </c>
      <c r="J27" s="1">
        <v>1</v>
      </c>
      <c r="K27" s="1">
        <v>0</v>
      </c>
      <c r="L27" s="1">
        <v>0</v>
      </c>
      <c r="M27" s="2">
        <f t="shared" ref="M27:V27" si="17">M17</f>
        <v>0.10346545719957015</v>
      </c>
      <c r="N27" s="2">
        <f t="shared" si="17"/>
        <v>9.6075067399600853E-2</v>
      </c>
      <c r="O27" s="2">
        <f t="shared" si="17"/>
        <v>8.9212562585343644E-2</v>
      </c>
      <c r="P27" s="2">
        <f t="shared" si="17"/>
        <v>8.2840236686390525E-2</v>
      </c>
      <c r="Q27" s="2">
        <f t="shared" si="17"/>
        <v>7.6923076923076927E-2</v>
      </c>
      <c r="R27" s="1">
        <f t="shared" si="17"/>
        <v>0</v>
      </c>
      <c r="S27" s="1">
        <f t="shared" si="17"/>
        <v>0</v>
      </c>
      <c r="T27" s="1">
        <f t="shared" si="17"/>
        <v>1</v>
      </c>
      <c r="U27" s="1">
        <f t="shared" si="17"/>
        <v>0</v>
      </c>
      <c r="V27" s="1">
        <f t="shared" si="17"/>
        <v>0</v>
      </c>
      <c r="W27" s="9">
        <f t="shared" si="14"/>
        <v>0</v>
      </c>
    </row>
    <row r="28" spans="1:32" x14ac:dyDescent="0.2">
      <c r="A28" s="185">
        <v>20</v>
      </c>
      <c r="B28" s="28">
        <f t="shared" si="12"/>
        <v>0.11142433852261401</v>
      </c>
      <c r="C28" s="2">
        <f>(SUM(D28:L28)+Rules!$B$5*M28)/(9+Rules!$B$5)</f>
        <v>0.15100839471537425</v>
      </c>
      <c r="D28" s="2">
        <f>(SUM(E28:M28)+Rules!$B$5*N28)/(9+Rules!$B$5)</f>
        <v>0.14550093066425418</v>
      </c>
      <c r="E28" s="2">
        <f>(SUM(F28:N28)+Rules!$B$5*O28)/(9+Rules!$B$5)</f>
        <v>0.14000979619841974</v>
      </c>
      <c r="F28" s="2">
        <f>(SUM(G28:O28)+Rules!$B$5*P28)/(9+Rules!$B$5)</f>
        <v>0.13456075782635629</v>
      </c>
      <c r="G28" s="2">
        <f>(SUM(H28:P28)+Rules!$B$5*Q28)/(9+Rules!$B$5)</f>
        <v>0.12917581781255486</v>
      </c>
      <c r="H28" s="2">
        <f>IF(Rules!$B$4=Rules!$F$4,0,(SUM(I28:Q28)+Rules!$B$5*R28)/(9+Rules!$B$5))</f>
        <v>0</v>
      </c>
      <c r="I28" s="1">
        <v>0</v>
      </c>
      <c r="J28" s="1">
        <v>0</v>
      </c>
      <c r="K28" s="1">
        <v>1</v>
      </c>
      <c r="L28" s="1">
        <v>0</v>
      </c>
      <c r="M28" s="2">
        <f t="shared" ref="M28:V28" si="18">M18</f>
        <v>0.10346545719957015</v>
      </c>
      <c r="N28" s="2">
        <f t="shared" si="18"/>
        <v>9.6075067399600853E-2</v>
      </c>
      <c r="O28" s="2">
        <f t="shared" si="18"/>
        <v>8.9212562585343644E-2</v>
      </c>
      <c r="P28" s="2">
        <f t="shared" si="18"/>
        <v>8.2840236686390525E-2</v>
      </c>
      <c r="Q28" s="2">
        <f t="shared" si="18"/>
        <v>7.6923076923076927E-2</v>
      </c>
      <c r="R28" s="1">
        <f t="shared" si="18"/>
        <v>0</v>
      </c>
      <c r="S28" s="1">
        <f t="shared" si="18"/>
        <v>0</v>
      </c>
      <c r="T28" s="1">
        <f t="shared" si="18"/>
        <v>0</v>
      </c>
      <c r="U28" s="1">
        <f t="shared" si="18"/>
        <v>1</v>
      </c>
      <c r="V28" s="1">
        <f t="shared" si="18"/>
        <v>0</v>
      </c>
      <c r="W28" s="9">
        <f t="shared" si="14"/>
        <v>0</v>
      </c>
    </row>
    <row r="29" spans="1:32" x14ac:dyDescent="0.2">
      <c r="A29" s="185">
        <v>21</v>
      </c>
      <c r="B29" s="28">
        <f t="shared" si="12"/>
        <v>0.34219356929184475</v>
      </c>
      <c r="C29" s="2">
        <f>(SUM(D29:L29)+Rules!$B$5*M29)/(9+Rules!$B$5)</f>
        <v>0.15100839471537425</v>
      </c>
      <c r="D29" s="2">
        <f>(SUM(E29:M29)+Rules!$B$5*N29)/(9+Rules!$B$5)</f>
        <v>0.14550093066425418</v>
      </c>
      <c r="E29" s="2">
        <f>(SUM(F29:N29)+Rules!$B$5*O29)/(9+Rules!$B$5)</f>
        <v>0.14000979619841974</v>
      </c>
      <c r="F29" s="2">
        <f>(SUM(G29:O29)+Rules!$B$5*P29)/(9+Rules!$B$5)</f>
        <v>0.13456075782635629</v>
      </c>
      <c r="G29" s="2">
        <f>(SUM(H29:P29)+Rules!$B$5*Q29)/(9+Rules!$B$5)</f>
        <v>0.12917581781255486</v>
      </c>
      <c r="H29" s="2">
        <f>IF(Rules!$B$4=Rules!$F$4,0,(SUM(I29:Q29)+Rules!$B$5*R29)/(9+Rules!$B$5))</f>
        <v>0</v>
      </c>
      <c r="I29" s="26">
        <v>0</v>
      </c>
      <c r="J29" s="26">
        <v>0</v>
      </c>
      <c r="K29" s="26">
        <v>0</v>
      </c>
      <c r="L29" s="26">
        <v>1</v>
      </c>
      <c r="M29" s="2">
        <f t="shared" ref="M29:Q30" si="19">M19</f>
        <v>0.10346545719957015</v>
      </c>
      <c r="N29" s="2">
        <f t="shared" si="19"/>
        <v>9.6075067399600853E-2</v>
      </c>
      <c r="O29" s="2">
        <f t="shared" si="19"/>
        <v>8.9212562585343644E-2</v>
      </c>
      <c r="P29" s="2">
        <f t="shared" si="19"/>
        <v>8.2840236686390525E-2</v>
      </c>
      <c r="Q29" s="2">
        <f t="shared" si="19"/>
        <v>7.6923076923076927E-2</v>
      </c>
      <c r="R29" s="26">
        <f t="shared" ref="R29:V30" si="20">R19</f>
        <v>0</v>
      </c>
      <c r="S29" s="26">
        <f t="shared" si="20"/>
        <v>0</v>
      </c>
      <c r="T29" s="26">
        <f t="shared" si="20"/>
        <v>0</v>
      </c>
      <c r="U29" s="1">
        <f t="shared" si="20"/>
        <v>0</v>
      </c>
      <c r="V29" s="1">
        <f t="shared" si="20"/>
        <v>1</v>
      </c>
      <c r="W29" s="9">
        <f t="shared" si="14"/>
        <v>0</v>
      </c>
    </row>
    <row r="30" spans="1:32" ht="17" thickBot="1" x14ac:dyDescent="0.25">
      <c r="A30" s="187">
        <v>22</v>
      </c>
      <c r="B30" s="127">
        <f t="shared" si="12"/>
        <v>0</v>
      </c>
      <c r="C30" s="128">
        <f>(SUM(D30:L30)+Rules!$B$5*M30)/(9+Rules!$B$5)</f>
        <v>0</v>
      </c>
      <c r="D30" s="128">
        <f>(SUM(E30:M30)+Rules!$B$5*N30)/(9+Rules!$B$5)</f>
        <v>0</v>
      </c>
      <c r="E30" s="128">
        <f>(SUM(F30:N30)+Rules!$B$5*O30)/(9+Rules!$B$5)</f>
        <v>0</v>
      </c>
      <c r="F30" s="128">
        <f>(SUM(G30:O30)+Rules!$B$5*P30)/(9+Rules!$B$5)</f>
        <v>0</v>
      </c>
      <c r="G30" s="128">
        <f>(SUM(H30:P30)+Rules!$B$5*Q30)/(9+Rules!$B$5)</f>
        <v>0</v>
      </c>
      <c r="H30" s="128">
        <f>IF(Rules!$B$4=Rules!$F$4,0,(SUM(I30:Q30)+Rules!$B$5*R30)/(9+Rules!$B$5))</f>
        <v>0</v>
      </c>
      <c r="I30" s="131">
        <v>0</v>
      </c>
      <c r="J30" s="131">
        <v>0</v>
      </c>
      <c r="K30" s="131">
        <v>0</v>
      </c>
      <c r="L30" s="131">
        <v>0</v>
      </c>
      <c r="M30" s="128">
        <f t="shared" si="19"/>
        <v>0</v>
      </c>
      <c r="N30" s="128">
        <f t="shared" si="19"/>
        <v>0</v>
      </c>
      <c r="O30" s="128">
        <f t="shared" si="19"/>
        <v>0</v>
      </c>
      <c r="P30" s="128">
        <f t="shared" si="19"/>
        <v>0</v>
      </c>
      <c r="Q30" s="128">
        <f t="shared" si="19"/>
        <v>0</v>
      </c>
      <c r="R30" s="131">
        <f t="shared" si="20"/>
        <v>0</v>
      </c>
      <c r="S30" s="131">
        <f t="shared" si="20"/>
        <v>0</v>
      </c>
      <c r="T30" s="131">
        <f t="shared" si="20"/>
        <v>0</v>
      </c>
      <c r="U30" s="131">
        <f t="shared" si="20"/>
        <v>0</v>
      </c>
      <c r="V30" s="131">
        <f t="shared" si="20"/>
        <v>0</v>
      </c>
      <c r="W30" s="10">
        <f t="shared" si="14"/>
        <v>0</v>
      </c>
    </row>
    <row r="31" spans="1:32" ht="17" thickBot="1" x14ac:dyDescent="0.25">
      <c r="A31" s="123"/>
      <c r="B31" s="188">
        <f t="shared" ref="B31:W31" si="21">SUM(B24:B30)</f>
        <v>1</v>
      </c>
      <c r="C31" s="128">
        <f t="shared" si="21"/>
        <v>0.99999999999999978</v>
      </c>
      <c r="D31" s="128">
        <f t="shared" si="21"/>
        <v>0.99999999999999989</v>
      </c>
      <c r="E31" s="128">
        <f t="shared" si="21"/>
        <v>0.99999999999999978</v>
      </c>
      <c r="F31" s="128">
        <f t="shared" si="21"/>
        <v>1.0000000000000002</v>
      </c>
      <c r="G31" s="128">
        <f t="shared" si="21"/>
        <v>1</v>
      </c>
      <c r="H31" s="128">
        <f t="shared" si="21"/>
        <v>1</v>
      </c>
      <c r="I31" s="128">
        <f t="shared" si="21"/>
        <v>1</v>
      </c>
      <c r="J31" s="128">
        <f t="shared" si="21"/>
        <v>1</v>
      </c>
      <c r="K31" s="128">
        <f t="shared" si="21"/>
        <v>1</v>
      </c>
      <c r="L31" s="128">
        <f t="shared" si="21"/>
        <v>1</v>
      </c>
      <c r="M31" s="128">
        <f t="shared" si="21"/>
        <v>0.99999999999999989</v>
      </c>
      <c r="N31" s="128">
        <f t="shared" si="21"/>
        <v>0.99999999999999978</v>
      </c>
      <c r="O31" s="128">
        <f t="shared" si="21"/>
        <v>0.99999999999999978</v>
      </c>
      <c r="P31" s="128">
        <f t="shared" si="21"/>
        <v>0.99999999999999989</v>
      </c>
      <c r="Q31" s="128">
        <f t="shared" si="21"/>
        <v>0.99999999999999978</v>
      </c>
      <c r="R31" s="128">
        <f t="shared" si="21"/>
        <v>1</v>
      </c>
      <c r="S31" s="128">
        <f t="shared" si="21"/>
        <v>1</v>
      </c>
      <c r="T31" s="128">
        <f t="shared" si="21"/>
        <v>1</v>
      </c>
      <c r="U31" s="128">
        <f t="shared" si="21"/>
        <v>1</v>
      </c>
      <c r="V31" s="128">
        <f t="shared" si="21"/>
        <v>1</v>
      </c>
      <c r="W31" s="128">
        <f t="shared" si="21"/>
        <v>1</v>
      </c>
    </row>
    <row r="32" spans="1:32" ht="17" thickBot="1" x14ac:dyDescent="0.25"/>
    <row r="33" spans="2:15" ht="17" thickBot="1" x14ac:dyDescent="0.25">
      <c r="B33" s="4" t="s">
        <v>5</v>
      </c>
      <c r="C33" s="15" t="s">
        <v>0</v>
      </c>
      <c r="D33" s="11" t="s">
        <v>6</v>
      </c>
      <c r="E33" s="3"/>
      <c r="F33" s="30" t="s">
        <v>8</v>
      </c>
      <c r="I33" s="1" t="s">
        <v>30</v>
      </c>
      <c r="J33" s="1">
        <f>2*(1/(9+Rules!$B$5))*(Rules!$B$5/(9+Rules!$B$5))</f>
        <v>4.7337278106508882E-2</v>
      </c>
      <c r="L33" s="62" t="s">
        <v>33</v>
      </c>
      <c r="M33" s="65" t="s">
        <v>0</v>
      </c>
      <c r="N33" s="64" t="s">
        <v>6</v>
      </c>
      <c r="O33" s="63"/>
    </row>
    <row r="34" spans="2:15" ht="17" thickBot="1" x14ac:dyDescent="0.25">
      <c r="B34" s="5" t="s">
        <v>1</v>
      </c>
      <c r="C34" s="16">
        <f>B14</f>
        <v>0.2121090766176992</v>
      </c>
      <c r="D34" s="12">
        <f>SUM(B15:B19)</f>
        <v>0.78789092338230082</v>
      </c>
      <c r="E34" s="8">
        <f>SUM(C34:D34)</f>
        <v>1</v>
      </c>
      <c r="F34" s="30">
        <f>1/(9+Rules!$B$5)</f>
        <v>7.6923076923076927E-2</v>
      </c>
      <c r="G34" s="30">
        <f>(C34-D34)*F34</f>
        <v>-4.4290911289584747E-2</v>
      </c>
      <c r="L34" s="55">
        <v>5</v>
      </c>
      <c r="M34" s="56">
        <f>F14</f>
        <v>0.41640366958226238</v>
      </c>
      <c r="N34" s="57">
        <f>1-M34</f>
        <v>0.58359633041773762</v>
      </c>
      <c r="O34" s="58">
        <f t="shared" ref="O34:O45" si="22">SUM(M34:N34)</f>
        <v>1</v>
      </c>
    </row>
    <row r="35" spans="2:15" ht="17" thickBot="1" x14ac:dyDescent="0.25">
      <c r="B35" s="6">
        <v>2</v>
      </c>
      <c r="C35" s="17">
        <f>C14</f>
        <v>0.35360813639536137</v>
      </c>
      <c r="D35" s="13">
        <f>SUM(C15:C19)</f>
        <v>0.64639186360463863</v>
      </c>
      <c r="E35" s="9">
        <f t="shared" ref="E35:E43" si="23">SUM(C35:D35)</f>
        <v>1</v>
      </c>
      <c r="F35" s="30">
        <f>1/(9+Rules!$B$5)</f>
        <v>7.6923076923076927E-2</v>
      </c>
      <c r="G35" s="30">
        <f t="shared" ref="G35:G43" si="24">(C35-D35)*F35</f>
        <v>-2.2521825169944405E-2</v>
      </c>
      <c r="L35" s="59">
        <v>6</v>
      </c>
      <c r="M35" s="54">
        <f>G14</f>
        <v>0.42315049208499772</v>
      </c>
      <c r="N35" s="57">
        <f t="shared" ref="N35:N45" si="25">1-M35</f>
        <v>0.57684950791500222</v>
      </c>
      <c r="O35" s="9">
        <f t="shared" si="22"/>
        <v>1</v>
      </c>
    </row>
    <row r="36" spans="2:15" ht="17" thickBot="1" x14ac:dyDescent="0.25">
      <c r="B36" s="6">
        <v>3</v>
      </c>
      <c r="C36" s="17">
        <f>D14</f>
        <v>0.3738748853821432</v>
      </c>
      <c r="D36" s="13">
        <f>SUM(D15:D19)</f>
        <v>0.62612511461785669</v>
      </c>
      <c r="E36" s="9">
        <f t="shared" si="23"/>
        <v>0.99999999999999989</v>
      </c>
      <c r="F36" s="30">
        <f>1/(9+Rules!$B$5)</f>
        <v>7.6923076923076927E-2</v>
      </c>
      <c r="G36" s="30">
        <f t="shared" si="24"/>
        <v>-1.9403863787362578E-2</v>
      </c>
      <c r="L36" s="59">
        <v>7</v>
      </c>
      <c r="M36" s="54">
        <f>H14</f>
        <v>0.2623124083615333</v>
      </c>
      <c r="N36" s="57">
        <f t="shared" si="25"/>
        <v>0.73768759163846664</v>
      </c>
      <c r="O36" s="9">
        <f t="shared" si="22"/>
        <v>1</v>
      </c>
    </row>
    <row r="37" spans="2:15" ht="17" thickBot="1" x14ac:dyDescent="0.25">
      <c r="B37" s="6">
        <v>4</v>
      </c>
      <c r="C37" s="17">
        <f>E14</f>
        <v>0.39446844550254284</v>
      </c>
      <c r="D37" s="13">
        <f>SUM(E15:E19)</f>
        <v>0.60553155449745721</v>
      </c>
      <c r="E37" s="9">
        <f t="shared" si="23"/>
        <v>1</v>
      </c>
      <c r="F37" s="30">
        <f>1/(9+Rules!$B$5)</f>
        <v>7.6923076923076927E-2</v>
      </c>
      <c r="G37" s="30">
        <f t="shared" si="24"/>
        <v>-1.623562376883957E-2</v>
      </c>
      <c r="L37" s="59">
        <v>8</v>
      </c>
      <c r="M37" s="54">
        <f>I14</f>
        <v>0.2447412422511914</v>
      </c>
      <c r="N37" s="57">
        <f t="shared" si="25"/>
        <v>0.75525875774880857</v>
      </c>
      <c r="O37" s="9">
        <f t="shared" si="22"/>
        <v>1</v>
      </c>
    </row>
    <row r="38" spans="2:15" ht="17" thickBot="1" x14ac:dyDescent="0.25">
      <c r="B38" s="6">
        <v>5</v>
      </c>
      <c r="C38" s="17">
        <f>F14</f>
        <v>0.41640366958226238</v>
      </c>
      <c r="D38" s="13">
        <f>SUM(F15:F19)</f>
        <v>0.58359633041773762</v>
      </c>
      <c r="E38" s="9">
        <f t="shared" si="23"/>
        <v>1</v>
      </c>
      <c r="F38" s="30">
        <f>1/(9+Rules!$B$5)</f>
        <v>7.6923076923076927E-2</v>
      </c>
      <c r="G38" s="30">
        <f t="shared" si="24"/>
        <v>-1.2860973910421172E-2</v>
      </c>
      <c r="L38" s="59">
        <v>9</v>
      </c>
      <c r="M38" s="54">
        <f>J14</f>
        <v>0.2284251594344453</v>
      </c>
      <c r="N38" s="57">
        <f t="shared" si="25"/>
        <v>0.7715748405655547</v>
      </c>
      <c r="O38" s="9">
        <f t="shared" si="22"/>
        <v>1</v>
      </c>
    </row>
    <row r="39" spans="2:15" ht="17" thickBot="1" x14ac:dyDescent="0.25">
      <c r="B39" s="6">
        <v>6</v>
      </c>
      <c r="C39" s="17">
        <f>G14</f>
        <v>0.42315049208499772</v>
      </c>
      <c r="D39" s="13">
        <f>SUM(G15:G19)</f>
        <v>0.57684950791500222</v>
      </c>
      <c r="E39" s="9">
        <f t="shared" si="23"/>
        <v>1</v>
      </c>
      <c r="F39" s="30">
        <f>1/(9+Rules!$B$5)</f>
        <v>7.6923076923076927E-2</v>
      </c>
      <c r="G39" s="30">
        <f t="shared" si="24"/>
        <v>-1.1823001217692655E-2</v>
      </c>
      <c r="L39" s="59">
        <v>10</v>
      </c>
      <c r="M39" s="54">
        <f>K14</f>
        <v>0.2121090766176992</v>
      </c>
      <c r="N39" s="57">
        <f t="shared" si="25"/>
        <v>0.78789092338230082</v>
      </c>
      <c r="O39" s="9">
        <f t="shared" si="22"/>
        <v>1</v>
      </c>
    </row>
    <row r="40" spans="2:15" ht="17" thickBot="1" x14ac:dyDescent="0.25">
      <c r="B40" s="6">
        <v>7</v>
      </c>
      <c r="C40" s="17">
        <f>H14</f>
        <v>0.2623124083615333</v>
      </c>
      <c r="D40" s="13">
        <f>SUM(H15:H19)</f>
        <v>0.73768759163846653</v>
      </c>
      <c r="E40" s="9">
        <f t="shared" si="23"/>
        <v>0.99999999999999978</v>
      </c>
      <c r="F40" s="30">
        <f>1/(9+Rules!$B$5)</f>
        <v>7.6923076923076927E-2</v>
      </c>
      <c r="G40" s="30">
        <f t="shared" si="24"/>
        <v>-3.6567321790533326E-2</v>
      </c>
      <c r="L40" s="60">
        <v>11</v>
      </c>
      <c r="M40" s="54">
        <f>L14</f>
        <v>0.2121090766176992</v>
      </c>
      <c r="N40" s="57">
        <f t="shared" si="25"/>
        <v>0.78789092338230082</v>
      </c>
      <c r="O40" s="9">
        <f t="shared" si="22"/>
        <v>1</v>
      </c>
    </row>
    <row r="41" spans="2:15" ht="17" thickBot="1" x14ac:dyDescent="0.25">
      <c r="B41" s="6">
        <v>8</v>
      </c>
      <c r="C41" s="17">
        <f>I14</f>
        <v>0.2447412422511914</v>
      </c>
      <c r="D41" s="13">
        <f>SUM(I15:I19)</f>
        <v>0.75525875774880857</v>
      </c>
      <c r="E41" s="9">
        <f t="shared" si="23"/>
        <v>1</v>
      </c>
      <c r="F41" s="30">
        <f>1/(9+Rules!$B$5)</f>
        <v>7.6923076923076927E-2</v>
      </c>
      <c r="G41" s="30">
        <f t="shared" si="24"/>
        <v>-3.9270578115201321E-2</v>
      </c>
      <c r="L41" s="60">
        <v>12</v>
      </c>
      <c r="M41" s="54">
        <f>M14</f>
        <v>0.48267271400214923</v>
      </c>
      <c r="N41" s="57">
        <f t="shared" si="25"/>
        <v>0.51732728599785083</v>
      </c>
      <c r="O41" s="9">
        <f t="shared" si="22"/>
        <v>1</v>
      </c>
    </row>
    <row r="42" spans="2:15" ht="17" thickBot="1" x14ac:dyDescent="0.25">
      <c r="B42" s="6">
        <v>9</v>
      </c>
      <c r="C42" s="17">
        <f>J14</f>
        <v>0.2284251594344453</v>
      </c>
      <c r="D42" s="13">
        <f>SUM(J15:J19)</f>
        <v>0.7715748405655547</v>
      </c>
      <c r="E42" s="9">
        <f t="shared" si="23"/>
        <v>1</v>
      </c>
      <c r="F42" s="30">
        <f>1/(9+Rules!$B$5)</f>
        <v>7.6923076923076927E-2</v>
      </c>
      <c r="G42" s="30">
        <f t="shared" si="24"/>
        <v>-4.1780744702393034E-2</v>
      </c>
      <c r="L42" s="60">
        <v>13</v>
      </c>
      <c r="M42" s="54">
        <f>N14</f>
        <v>0.51962466300199572</v>
      </c>
      <c r="N42" s="57">
        <f t="shared" si="25"/>
        <v>0.48037533699800428</v>
      </c>
      <c r="O42" s="9">
        <f t="shared" si="22"/>
        <v>1</v>
      </c>
    </row>
    <row r="43" spans="2:15" ht="17" thickBot="1" x14ac:dyDescent="0.25">
      <c r="B43" s="7">
        <v>10</v>
      </c>
      <c r="C43" s="18">
        <f>K14</f>
        <v>0.2121090766176992</v>
      </c>
      <c r="D43" s="14">
        <f>SUM(K15:K19)</f>
        <v>0.78789092338230071</v>
      </c>
      <c r="E43" s="10">
        <f t="shared" si="23"/>
        <v>0.99999999999999989</v>
      </c>
      <c r="F43" s="30">
        <f>4/(9+Rules!$B$5)</f>
        <v>0.30769230769230771</v>
      </c>
      <c r="G43" s="30">
        <f t="shared" si="24"/>
        <v>-0.17716364515833893</v>
      </c>
      <c r="L43" s="60">
        <v>14</v>
      </c>
      <c r="M43" s="54">
        <f>O14</f>
        <v>0.55393718707328177</v>
      </c>
      <c r="N43" s="57">
        <f t="shared" si="25"/>
        <v>0.44606281292671823</v>
      </c>
      <c r="O43" s="9">
        <f t="shared" si="22"/>
        <v>1</v>
      </c>
    </row>
    <row r="44" spans="2:15" ht="17" thickBot="1" x14ac:dyDescent="0.25">
      <c r="C44" s="68">
        <f>SUM(C34:C43)/SUM($C$34:$D$43)</f>
        <v>0.31212025922298758</v>
      </c>
      <c r="D44" s="68">
        <f>SUM(D34:D43)/SUM($C$34:$D$43)</f>
        <v>0.68787974077701231</v>
      </c>
      <c r="F44">
        <f>SUM(F34:F43)</f>
        <v>1</v>
      </c>
      <c r="L44" s="60">
        <v>15</v>
      </c>
      <c r="M44" s="54">
        <f>P14</f>
        <v>0.58579881656804733</v>
      </c>
      <c r="N44" s="57">
        <f t="shared" si="25"/>
        <v>0.41420118343195267</v>
      </c>
      <c r="O44" s="9">
        <f t="shared" si="22"/>
        <v>1</v>
      </c>
    </row>
    <row r="45" spans="2:15" ht="17" thickBot="1" x14ac:dyDescent="0.25">
      <c r="L45" s="61">
        <v>16</v>
      </c>
      <c r="M45" s="66">
        <f>Q14</f>
        <v>0.61538461538461542</v>
      </c>
      <c r="N45" s="67">
        <f t="shared" si="25"/>
        <v>0.38461538461538458</v>
      </c>
      <c r="O45" s="10">
        <f t="shared" si="22"/>
        <v>1</v>
      </c>
    </row>
    <row r="46" spans="2:15" x14ac:dyDescent="0.2">
      <c r="M46" s="68">
        <f>SUM(M34:M45)/SUM($M$34:$N$45)</f>
        <v>0.39638909341499318</v>
      </c>
      <c r="N46" s="68">
        <f>SUM(N34:N45)/SUM($M$34:$N$45)</f>
        <v>0.60361090658500682</v>
      </c>
    </row>
  </sheetData>
  <sheetProtection sheet="1" objects="1" scenarios="1"/>
  <mergeCells count="2">
    <mergeCell ref="A1:L1"/>
    <mergeCell ref="A12:L12"/>
  </mergeCells>
  <phoneticPr fontId="14" type="noConversion"/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U52"/>
  <sheetViews>
    <sheetView topLeftCell="A28" workbookViewId="0">
      <selection activeCell="A18" sqref="A18:H28"/>
    </sheetView>
  </sheetViews>
  <sheetFormatPr baseColWidth="10" defaultColWidth="8.6640625" defaultRowHeight="16" x14ac:dyDescent="0.2"/>
  <cols>
    <col min="14" max="14" width="5.6640625" bestFit="1" customWidth="1"/>
  </cols>
  <sheetData>
    <row r="1" spans="1:21" x14ac:dyDescent="0.2">
      <c r="B1" s="202"/>
      <c r="C1" t="s">
        <v>99</v>
      </c>
      <c r="D1">
        <f>C2+E2</f>
        <v>0.99999999999999956</v>
      </c>
    </row>
    <row r="2" spans="1:21" x14ac:dyDescent="0.2">
      <c r="A2" t="s">
        <v>40</v>
      </c>
      <c r="B2" s="201" t="s">
        <v>129</v>
      </c>
      <c r="C2" s="222">
        <f>Analysis!B10</f>
        <v>0.52313699442611095</v>
      </c>
      <c r="D2" s="199" t="s">
        <v>130</v>
      </c>
      <c r="E2" s="222">
        <f>Analysis!E10</f>
        <v>0.47686300557388867</v>
      </c>
      <c r="F2" s="199" t="s">
        <v>49</v>
      </c>
      <c r="G2" s="222">
        <f>Analysis!S10</f>
        <v>1.6555940661491353</v>
      </c>
      <c r="H2" t="s">
        <v>163</v>
      </c>
      <c r="I2" s="238">
        <f>Analysis!T10</f>
        <v>2.0094180132746415</v>
      </c>
      <c r="J2" t="s">
        <v>50</v>
      </c>
      <c r="K2" s="238">
        <f>C2*G2-E2*I2</f>
        <v>-9.2114609509495127E-2</v>
      </c>
      <c r="L2" t="s">
        <v>49</v>
      </c>
      <c r="M2" s="267">
        <v>1</v>
      </c>
    </row>
    <row r="3" spans="1:21" x14ac:dyDescent="0.2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2</v>
      </c>
    </row>
    <row r="4" spans="1:21" x14ac:dyDescent="0.2">
      <c r="A4" t="s">
        <v>127</v>
      </c>
      <c r="B4" s="202">
        <f>$C$2</f>
        <v>0.52313699442611095</v>
      </c>
      <c r="C4">
        <f>B4*$C$2</f>
        <v>0.27367231493718486</v>
      </c>
      <c r="D4">
        <f t="shared" ref="D4:K4" si="0">C4*$C$2</f>
        <v>0.14316811229387497</v>
      </c>
      <c r="E4">
        <f t="shared" si="0"/>
        <v>7.4896535963077701E-2</v>
      </c>
      <c r="F4">
        <f t="shared" si="0"/>
        <v>3.9181148716651598E-2</v>
      </c>
      <c r="G4">
        <f t="shared" si="0"/>
        <v>2.049710837779159E-2</v>
      </c>
      <c r="H4">
        <f t="shared" si="0"/>
        <v>1.072279567118415E-2</v>
      </c>
      <c r="I4">
        <f t="shared" si="0"/>
        <v>5.6094910992685893E-3</v>
      </c>
      <c r="J4">
        <f t="shared" si="0"/>
        <v>2.934532313931391E-3</v>
      </c>
      <c r="K4">
        <f t="shared" si="0"/>
        <v>1.5351624147563686E-3</v>
      </c>
    </row>
    <row r="5" spans="1:21" ht="17" thickBot="1" x14ac:dyDescent="0.25">
      <c r="A5" t="s">
        <v>128</v>
      </c>
      <c r="B5" s="202">
        <f>$E$2</f>
        <v>0.47686300557388867</v>
      </c>
      <c r="C5">
        <f>B5*$E$2</f>
        <v>0.22739832608496258</v>
      </c>
      <c r="D5">
        <f t="shared" ref="D5:K5" si="1">C5*$E$2</f>
        <v>0.10843784923934646</v>
      </c>
      <c r="E5">
        <f t="shared" si="1"/>
        <v>5.1709998706242974E-2</v>
      </c>
      <c r="F5">
        <f t="shared" si="1"/>
        <v>2.4658585401280918E-2</v>
      </c>
      <c r="G5">
        <f t="shared" si="1"/>
        <v>1.1758767147655232E-2</v>
      </c>
      <c r="H5">
        <f t="shared" si="1"/>
        <v>5.6073210438743757E-3</v>
      </c>
      <c r="I5">
        <f t="shared" si="1"/>
        <v>2.6739239661996497E-3</v>
      </c>
      <c r="J5">
        <f t="shared" si="1"/>
        <v>1.2750954191980181E-3</v>
      </c>
      <c r="K5">
        <f t="shared" si="1"/>
        <v>6.0804583399226434E-4</v>
      </c>
    </row>
    <row r="6" spans="1:21" ht="17" thickBot="1" x14ac:dyDescent="0.25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">
      <c r="A7" s="208">
        <v>1</v>
      </c>
      <c r="B7" s="114">
        <f>C7*B4</f>
        <v>0.52313699442611095</v>
      </c>
      <c r="C7" s="114">
        <v>1</v>
      </c>
      <c r="D7" s="212">
        <f>C7*B5</f>
        <v>0.47686300557388867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0.99999999999999956</v>
      </c>
      <c r="O7" s="114">
        <f>B7/(B7+D7)</f>
        <v>0.52313699442611117</v>
      </c>
      <c r="P7" s="129">
        <f>B7-D7</f>
        <v>4.6273988852222281E-2</v>
      </c>
      <c r="Q7" s="129">
        <f>($G$2*SUM(C7))*B7</f>
        <v>0.86610250375496256</v>
      </c>
      <c r="R7" s="58">
        <f>($I$2*SUM(C7))*D7*COUNT(D7:M7)</f>
        <v>0.95821711326445769</v>
      </c>
      <c r="S7" s="58">
        <f>Q7-R7</f>
        <v>-9.2114609509495127E-2</v>
      </c>
      <c r="T7" s="129">
        <f>(S7+U7*D7)/B7</f>
        <v>0.73546394188097564</v>
      </c>
      <c r="U7" s="58">
        <f t="shared" ref="U7:U16" si="2">COUNT(D7:M7)</f>
        <v>1</v>
      </c>
    </row>
    <row r="8" spans="1:21" x14ac:dyDescent="0.2">
      <c r="A8" s="209">
        <v>2</v>
      </c>
      <c r="B8" s="116">
        <f>C8*B4</f>
        <v>0.69701848817705581</v>
      </c>
      <c r="C8" s="116">
        <f>1/(1-B4*B5)</f>
        <v>1.3323823312126788</v>
      </c>
      <c r="D8" s="194">
        <f>C8*B5</f>
        <v>0.63536384303562243</v>
      </c>
      <c r="E8" s="1">
        <f>D8*B5</f>
        <v>0.30298151182294336</v>
      </c>
      <c r="F8" s="1"/>
      <c r="G8" s="1"/>
      <c r="H8" s="1"/>
      <c r="I8" s="1"/>
      <c r="J8" s="1"/>
      <c r="K8" s="1"/>
      <c r="L8" s="1"/>
      <c r="M8" s="9"/>
      <c r="N8">
        <f>B8+E8</f>
        <v>0.99999999999999911</v>
      </c>
      <c r="O8" s="116">
        <f>B8/(B8+E8)</f>
        <v>0.69701848817705647</v>
      </c>
      <c r="P8" s="112">
        <f>B8-E8</f>
        <v>0.39403697635411244</v>
      </c>
      <c r="Q8" s="112">
        <f>($G$2*SUM(C8:D8))*B8</f>
        <v>2.2707390867496899</v>
      </c>
      <c r="R8" s="9">
        <f>($I$2*SUM(C8:D8))*E8*COUNT(D8:M8)</f>
        <v>2.3959927070865183</v>
      </c>
      <c r="S8" s="9">
        <f t="shared" ref="S8:S16" si="3">Q8-R8</f>
        <v>-0.12525362033682841</v>
      </c>
      <c r="T8" s="112">
        <f>(S8+U8*E8)/B8</f>
        <v>0.68966521184578544</v>
      </c>
      <c r="U8" s="9">
        <f t="shared" si="2"/>
        <v>2</v>
      </c>
    </row>
    <row r="9" spans="1:21" x14ac:dyDescent="0.2">
      <c r="A9" s="209">
        <v>3</v>
      </c>
      <c r="B9" s="116">
        <f>C9*B4</f>
        <v>0.78358770129069699</v>
      </c>
      <c r="C9" s="216">
        <f>1/(1-B5*B4/(1-B5*B4))</f>
        <v>1.4978632932475064</v>
      </c>
      <c r="D9" s="217">
        <f>C9*B5*C8</f>
        <v>0.95168817833972918</v>
      </c>
      <c r="E9" s="218">
        <f>D9*(B5)</f>
        <v>0.45382488509222224</v>
      </c>
      <c r="F9" s="218">
        <f>E9*B5</f>
        <v>0.21641229870930176</v>
      </c>
      <c r="G9" s="218"/>
      <c r="H9" s="218"/>
      <c r="I9" s="218"/>
      <c r="J9" s="218"/>
      <c r="K9" s="218"/>
      <c r="L9" s="218"/>
      <c r="M9" s="219"/>
      <c r="N9">
        <f>B9+F9</f>
        <v>0.99999999999999878</v>
      </c>
      <c r="O9" s="116">
        <f>B9/(B9+F9)</f>
        <v>0.78358770129069799</v>
      </c>
      <c r="P9" s="112">
        <f>B9-F9</f>
        <v>0.5671754025813952</v>
      </c>
      <c r="Q9" s="112">
        <f>($G$2*SUM(C9:E9))*B9</f>
        <v>3.766559288987462</v>
      </c>
      <c r="R9" s="9">
        <f>($I$2*SUM(C9:E9))*F9*COUNT(D9:M9)</f>
        <v>3.787710865957385</v>
      </c>
      <c r="S9" s="9">
        <f t="shared" si="3"/>
        <v>-2.1151576969923092E-2</v>
      </c>
      <c r="T9" s="112">
        <f>(S9+U9*F9)/B9</f>
        <v>0.80155076212072118</v>
      </c>
      <c r="U9" s="9">
        <f t="shared" si="2"/>
        <v>3</v>
      </c>
    </row>
    <row r="10" spans="1:21" x14ac:dyDescent="0.2">
      <c r="A10" s="209">
        <v>4</v>
      </c>
      <c r="B10" s="116">
        <f>C10*B4</f>
        <v>0.83523377714259561</v>
      </c>
      <c r="C10" s="116">
        <f>1/(1-B5*B4/(1-B5*B4/(1-B5*B4)))</f>
        <v>1.596587100590849</v>
      </c>
      <c r="D10" s="194">
        <f>C10*B5*C9</f>
        <v>1.140403196385134</v>
      </c>
      <c r="E10" s="1">
        <f>D10*B5*C8</f>
        <v>0.72457095746536637</v>
      </c>
      <c r="F10" s="1">
        <f>E10*B5</f>
        <v>0.34552108452848485</v>
      </c>
      <c r="G10" s="1">
        <f>F10*B5</f>
        <v>0.16476622285740292</v>
      </c>
      <c r="H10" s="1"/>
      <c r="I10" s="1"/>
      <c r="J10" s="1"/>
      <c r="K10" s="1"/>
      <c r="L10" s="1"/>
      <c r="M10" s="9"/>
      <c r="N10">
        <f>B10+G10</f>
        <v>0.99999999999999856</v>
      </c>
      <c r="O10" s="116">
        <f>B10/(B10+G10)</f>
        <v>0.83523377714259683</v>
      </c>
      <c r="P10" s="112">
        <f>B10-G10</f>
        <v>0.67046755428519267</v>
      </c>
      <c r="Q10" s="112">
        <f>($G$2*SUM(C10:F10))*B10</f>
        <v>5.2644642396717334</v>
      </c>
      <c r="R10" s="9">
        <f>($I$2*SUM(C10:F10))*G10*COUNT(D10:M10)</f>
        <v>5.0418594886575656</v>
      </c>
      <c r="S10" s="9">
        <f t="shared" si="3"/>
        <v>0.22260475101416777</v>
      </c>
      <c r="T10" s="112">
        <f>(S10+U10*G10)/B10</f>
        <v>1.0555962493040509</v>
      </c>
      <c r="U10" s="9">
        <f t="shared" si="2"/>
        <v>4</v>
      </c>
    </row>
    <row r="11" spans="1:21" x14ac:dyDescent="0.2">
      <c r="A11" s="209">
        <v>5</v>
      </c>
      <c r="B11" s="116">
        <f>C11*B4</f>
        <v>0.86942017072585187</v>
      </c>
      <c r="C11" s="116">
        <f>1/(1-B5*B4/(1-B5*B4/(1-B5*B4/(1-B5*B4))))</f>
        <v>1.6619359364550748</v>
      </c>
      <c r="D11" s="194">
        <f>C11*B5*C10</f>
        <v>1.2653204485781555</v>
      </c>
      <c r="E11" s="1">
        <f>D11*B5*C9</f>
        <v>0.90378751242321709</v>
      </c>
      <c r="F11" s="1">
        <f>E11*B5*C8</f>
        <v>0.57423390718082057</v>
      </c>
      <c r="G11" s="1">
        <f>F11*B5</f>
        <v>0.27383090688068351</v>
      </c>
      <c r="H11" s="1">
        <f>G11*B5</f>
        <v>0.13057982927414638</v>
      </c>
      <c r="I11" s="1"/>
      <c r="J11" s="1"/>
      <c r="K11" s="1"/>
      <c r="L11" s="1"/>
      <c r="M11" s="9"/>
      <c r="N11">
        <f>B11+H11</f>
        <v>0.99999999999999822</v>
      </c>
      <c r="O11" s="116">
        <f>B11/(B11+H11)</f>
        <v>0.86942017072585343</v>
      </c>
      <c r="P11" s="112">
        <f>B11-H11</f>
        <v>0.73884034145170552</v>
      </c>
      <c r="Q11" s="112">
        <f>($G$2*SUM(C11:G11))*B11</f>
        <v>6.735141251245091</v>
      </c>
      <c r="R11" s="9">
        <f>($I$2*SUM(C11:G11))*H11*COUNT(D11:M11)</f>
        <v>6.1387440665403439</v>
      </c>
      <c r="S11" s="9">
        <f t="shared" si="3"/>
        <v>0.59639718470474712</v>
      </c>
      <c r="T11" s="112">
        <f>(S11+U11*H11)/B11</f>
        <v>1.4369304660052691</v>
      </c>
      <c r="U11" s="9">
        <f t="shared" si="2"/>
        <v>5</v>
      </c>
    </row>
    <row r="12" spans="1:21" x14ac:dyDescent="0.2">
      <c r="A12" s="209">
        <v>6</v>
      </c>
      <c r="B12" s="116">
        <f>C12*B4</f>
        <v>0.89363155922979565</v>
      </c>
      <c r="C12" s="116">
        <f>1/(1-B5*B4/(1-B5*B4/(1-B5*B4/(1-B5*B4/(1-B5*B4)))))</f>
        <v>1.7082170994428003</v>
      </c>
      <c r="D12" s="194">
        <f>C12*B5*C11</f>
        <v>1.3537889825966618</v>
      </c>
      <c r="E12" s="1">
        <f>D12*B5*C10</f>
        <v>1.0307117411475974</v>
      </c>
      <c r="F12" s="1">
        <f>E12*B5*C9</f>
        <v>0.7362122390450333</v>
      </c>
      <c r="G12" s="1">
        <f>F12*B5*C8</f>
        <v>0.46776263748951269</v>
      </c>
      <c r="H12" s="1">
        <f>G12*B5</f>
        <v>0.22305869720841837</v>
      </c>
      <c r="I12" s="1">
        <f>H12*B5</f>
        <v>0.10636844077020235</v>
      </c>
      <c r="J12" s="1"/>
      <c r="K12" s="1"/>
      <c r="L12" s="1"/>
      <c r="M12" s="9"/>
      <c r="N12">
        <f>B12+I12</f>
        <v>0.999999999999998</v>
      </c>
      <c r="O12" s="116">
        <f>B12/(B12+I12)</f>
        <v>0.89363155922979742</v>
      </c>
      <c r="P12" s="112">
        <f>B12-I12</f>
        <v>0.78726311845959329</v>
      </c>
      <c r="Q12" s="112">
        <f>($G$2*SUM(C12:H12))*B12</f>
        <v>8.1664231034190102</v>
      </c>
      <c r="R12" s="9">
        <f>($I$2*SUM(C12:H12))*I12*COUNT(D12:M12)</f>
        <v>7.0787056333978207</v>
      </c>
      <c r="S12" s="9">
        <f t="shared" si="3"/>
        <v>1.0877174700211896</v>
      </c>
      <c r="T12" s="112">
        <f>(S12+U12*I12)/B12</f>
        <v>1.931364326624665</v>
      </c>
      <c r="U12" s="9">
        <f t="shared" si="2"/>
        <v>6</v>
      </c>
    </row>
    <row r="13" spans="1:21" x14ac:dyDescent="0.2">
      <c r="A13" s="209">
        <v>7</v>
      </c>
      <c r="B13" s="116">
        <f>C13*B4</f>
        <v>0.9116105680050256</v>
      </c>
      <c r="C13" s="216">
        <f>1/(1-B5*B4/(1-B5*B4/(1-B5*B4/(1-B5*B4/(1-B5*B4/(1-B5*B4))))))</f>
        <v>1.7425847870022573</v>
      </c>
      <c r="D13" s="217">
        <f>C13*B5*C12</f>
        <v>1.4194843700871962</v>
      </c>
      <c r="E13" s="218">
        <f>D13*B5*C11</f>
        <v>1.1249637425003169</v>
      </c>
      <c r="F13" s="218">
        <f>E13*B5*C10</f>
        <v>0.85649488411140073</v>
      </c>
      <c r="G13" s="218">
        <f>F13*B5*C9</f>
        <v>0.61177339035664924</v>
      </c>
      <c r="H13" s="218">
        <f>G13*B5*C8</f>
        <v>0.38869869236393267</v>
      </c>
      <c r="I13" s="218">
        <f>H13*B5</f>
        <v>0.18535602670330525</v>
      </c>
      <c r="J13" s="218">
        <f>I13*B5</f>
        <v>8.8389431994972109E-2</v>
      </c>
      <c r="K13" s="218"/>
      <c r="L13" s="218"/>
      <c r="M13" s="219"/>
      <c r="N13">
        <f>B13+J13</f>
        <v>0.99999999999999767</v>
      </c>
      <c r="O13" s="116">
        <f>B13/(B13+J13)</f>
        <v>0.91161056800502771</v>
      </c>
      <c r="P13" s="112">
        <f>B13-J13</f>
        <v>0.82322113601005353</v>
      </c>
      <c r="Q13" s="112">
        <f>($G$2*SUM(C13:I13))*B13</f>
        <v>9.5526249848469611</v>
      </c>
      <c r="R13" s="9">
        <f>($I$2*SUM(C13:I13))*J13*COUNT(D13:M13)</f>
        <v>7.8691566442144802</v>
      </c>
      <c r="S13" s="9">
        <f t="shared" si="3"/>
        <v>1.6834683406324809</v>
      </c>
      <c r="T13" s="112">
        <f>(S13+U13*J13)/B13</f>
        <v>2.525414300138515</v>
      </c>
      <c r="U13" s="9">
        <f t="shared" si="2"/>
        <v>7</v>
      </c>
    </row>
    <row r="14" spans="1:21" x14ac:dyDescent="0.2">
      <c r="A14" s="209">
        <v>8</v>
      </c>
      <c r="B14" s="116">
        <f>C14*B4</f>
        <v>0.92543667782950167</v>
      </c>
      <c r="C14" s="116">
        <f>1/(1-B5*B4/(1-B5*B4/(1-B5*B4/(1-B5*B4/(1-B5*B4/(1-B5*B4/(1-B5*B4)))))))</f>
        <v>1.7690140205907623</v>
      </c>
      <c r="D14" s="194">
        <f>C14*B5*C13</f>
        <v>1.4700050441555601</v>
      </c>
      <c r="E14" s="1">
        <f>D14*B5*C12</f>
        <v>1.1974448530092978</v>
      </c>
      <c r="F14" s="1">
        <f>E14*B5*C11</f>
        <v>0.94899392460117959</v>
      </c>
      <c r="G14" s="1">
        <f>F14*B5*C10</f>
        <v>0.72251967842730869</v>
      </c>
      <c r="H14" s="1">
        <f>G14*B5*C9</f>
        <v>0.51607817100910913</v>
      </c>
      <c r="I14" s="1">
        <f>H14*B5*C8</f>
        <v>0.32789741003914269</v>
      </c>
      <c r="J14" s="1">
        <f>I14*B5</f>
        <v>0.15636214447115937</v>
      </c>
      <c r="K14" s="1">
        <f>J14*B5</f>
        <v>7.4563322170495661E-2</v>
      </c>
      <c r="L14" s="1"/>
      <c r="M14" s="9"/>
      <c r="N14">
        <f>B14+K14</f>
        <v>0.99999999999999734</v>
      </c>
      <c r="O14" s="116">
        <f>B14/(B14+K14)</f>
        <v>0.92543667782950412</v>
      </c>
      <c r="P14" s="112">
        <f>B14-K14</f>
        <v>0.85087335565900601</v>
      </c>
      <c r="Q14" s="112">
        <f>($G$2*SUM(C14:J14))*B14</f>
        <v>10.890987237726589</v>
      </c>
      <c r="R14" s="9">
        <f>($I$2*SUM(C14:J14))*K14*COUNT(D14:M14)</f>
        <v>8.5202474498070693</v>
      </c>
      <c r="S14" s="9">
        <f t="shared" si="3"/>
        <v>2.3707397879195202</v>
      </c>
      <c r="T14" s="112">
        <f>(S14+U14*K14)/B14</f>
        <v>3.206320255474203</v>
      </c>
      <c r="U14" s="9">
        <f t="shared" si="2"/>
        <v>8</v>
      </c>
    </row>
    <row r="15" spans="1:21" x14ac:dyDescent="0.2">
      <c r="A15" s="209">
        <v>9</v>
      </c>
      <c r="B15" s="116">
        <f>C15*B4</f>
        <v>0.93635778667137892</v>
      </c>
      <c r="C15" s="116">
        <f>1/(1-B5*B4/(1-B5*B4/(1-B5*B4/(1-B5*B4/(1-B5*B4/(1-B5*B4/(1-B5*B4/(1-B5*B4))))))))</f>
        <v>1.7898902135540564</v>
      </c>
      <c r="D15" s="194">
        <f>C15*B5*C14</f>
        <v>1.5099108301843149</v>
      </c>
      <c r="E15" s="1">
        <f>D15*B5*C13</f>
        <v>1.2546969728678719</v>
      </c>
      <c r="F15" s="1">
        <f>E15*B5*C12</f>
        <v>1.0220580114471962</v>
      </c>
      <c r="G15" s="1">
        <f>F15*B5*C11</f>
        <v>0.80999708756176081</v>
      </c>
      <c r="H15" s="1">
        <f>G15*B5*C10</f>
        <v>0.61669397459855191</v>
      </c>
      <c r="I15" s="1">
        <f>H15*B5*C9</f>
        <v>0.44048945376257792</v>
      </c>
      <c r="J15" s="1">
        <f>I15*B5*C8</f>
        <v>0.27987107215925361</v>
      </c>
      <c r="K15" s="1">
        <f>J15*B5</f>
        <v>0.13346016064304836</v>
      </c>
      <c r="L15" s="1">
        <f>K15*B5</f>
        <v>6.3642213328618052E-2</v>
      </c>
      <c r="M15" s="9"/>
      <c r="N15">
        <f>B15+L15</f>
        <v>0.999999999999997</v>
      </c>
      <c r="O15" s="116">
        <f>B15/(B15+L15)</f>
        <v>0.9363577866713817</v>
      </c>
      <c r="P15" s="112">
        <f>B15-L15</f>
        <v>0.87271557334276084</v>
      </c>
      <c r="Q15" s="112">
        <f>($G$2*SUM(C15:K15))*B15</f>
        <v>12.180249572189156</v>
      </c>
      <c r="R15" s="9">
        <f>($I$2*SUM(C15:K15))*L15*COUNT(D15:M15)</f>
        <v>9.0431258551128373</v>
      </c>
      <c r="S15" s="9">
        <f t="shared" si="3"/>
        <v>3.1371237170763191</v>
      </c>
      <c r="T15" s="112">
        <f>(S15+U15*L15)/B15</f>
        <v>3.962057762366745</v>
      </c>
      <c r="U15" s="9">
        <f t="shared" si="2"/>
        <v>9</v>
      </c>
    </row>
    <row r="16" spans="1:21" ht="17" thickBot="1" x14ac:dyDescent="0.25">
      <c r="A16" s="210">
        <v>10</v>
      </c>
      <c r="B16" s="195">
        <f>C16*B4</f>
        <v>0.94516819137542296</v>
      </c>
      <c r="C16" s="195">
        <f>1/(1-B5*B4/(1-B5*B4/(1-B5*B4/(1-B5*B4/(1-B5*B4/(1-B5*B4/(1-B5*B4/(1-B5*B4/(1-B5*B4)))))))))</f>
        <v>1.8067317001969752</v>
      </c>
      <c r="D16" s="213">
        <f>C16*B5*C15</f>
        <v>1.5421040927949889</v>
      </c>
      <c r="E16" s="131">
        <f>D16*B5*C14</f>
        <v>1.3008840728612601</v>
      </c>
      <c r="F16" s="131">
        <f>E16*B5*C13</f>
        <v>1.0810011264518227</v>
      </c>
      <c r="G16" s="131">
        <f>F16*B5*C12</f>
        <v>0.88056788656162377</v>
      </c>
      <c r="H16" s="131">
        <f>G16*B5*C11</f>
        <v>0.69786393289494819</v>
      </c>
      <c r="I16" s="131">
        <f>H16*B5*C10</f>
        <v>0.53132102462423725</v>
      </c>
      <c r="J16" s="131">
        <f>I16*B5*C9</f>
        <v>0.37950963938257526</v>
      </c>
      <c r="K16" s="131">
        <f>J16*B5*C8</f>
        <v>0.24112670294717622</v>
      </c>
      <c r="L16" s="131">
        <f>K16*B5</f>
        <v>0.11498440429151269</v>
      </c>
      <c r="M16" s="10">
        <f>L16*B5</f>
        <v>5.4831808624573881E-2</v>
      </c>
      <c r="N16">
        <f>B16+M16</f>
        <v>0.99999999999999689</v>
      </c>
      <c r="O16" s="195">
        <f>B16/(B16+M16)</f>
        <v>0.94516819137542585</v>
      </c>
      <c r="P16" s="113">
        <f>B16-M16</f>
        <v>0.89033638275084903</v>
      </c>
      <c r="Q16" s="113">
        <f>($G$2*SUM(C16:L16))*B16</f>
        <v>13.420000151239238</v>
      </c>
      <c r="R16" s="10">
        <f>($I$2*SUM(C16:L16))*M16*COUNT(D16:M16)</f>
        <v>9.4491430655873483</v>
      </c>
      <c r="S16" s="10">
        <f t="shared" si="3"/>
        <v>3.9708570856518897</v>
      </c>
      <c r="T16" s="113">
        <f>(S16+U16*M16)/B16</f>
        <v>4.7813449639278032</v>
      </c>
      <c r="U16" s="10">
        <f t="shared" si="2"/>
        <v>10</v>
      </c>
    </row>
    <row r="17" spans="1:8" ht="17" thickBot="1" x14ac:dyDescent="0.25"/>
    <row r="18" spans="1:8" ht="17" thickBot="1" x14ac:dyDescent="0.25">
      <c r="A18" s="29" t="s">
        <v>140</v>
      </c>
      <c r="B18" s="19" t="s">
        <v>145</v>
      </c>
      <c r="C18" s="19" t="s">
        <v>144</v>
      </c>
      <c r="D18" s="19" t="s">
        <v>143</v>
      </c>
      <c r="E18" s="231" t="s">
        <v>157</v>
      </c>
      <c r="F18" s="234" t="s">
        <v>156</v>
      </c>
      <c r="G18" s="257" t="s">
        <v>158</v>
      </c>
      <c r="H18" s="258" t="s">
        <v>159</v>
      </c>
    </row>
    <row r="19" spans="1:8" x14ac:dyDescent="0.2">
      <c r="A19" s="264">
        <v>1</v>
      </c>
      <c r="B19" s="146">
        <v>1</v>
      </c>
      <c r="C19" s="150">
        <f>B19*$M$3</f>
        <v>2</v>
      </c>
      <c r="D19" s="151">
        <f>SUM($C$19:C19)</f>
        <v>2</v>
      </c>
      <c r="E19" s="129">
        <f t="shared" ref="E19:E28" si="4">B19/P7</f>
        <v>21.610412778408566</v>
      </c>
      <c r="F19" s="58">
        <f t="shared" ref="F19:F28" si="5">D19/P7</f>
        <v>43.220825556817132</v>
      </c>
      <c r="G19" s="22">
        <f t="shared" ref="G19:G28" si="6">S7/E19</f>
        <v>-4.2625104135691864E-3</v>
      </c>
      <c r="H19" s="8">
        <f t="shared" ref="H19:H28" si="7">S7/F19</f>
        <v>-2.1312552067845932E-3</v>
      </c>
    </row>
    <row r="20" spans="1:8" x14ac:dyDescent="0.2">
      <c r="A20" s="265">
        <v>2</v>
      </c>
      <c r="B20" s="141">
        <f>C19</f>
        <v>2</v>
      </c>
      <c r="C20" s="140">
        <f>B20*$M$3</f>
        <v>4</v>
      </c>
      <c r="D20" s="142">
        <f>SUM($C$19:C20)</f>
        <v>6</v>
      </c>
      <c r="E20" s="112">
        <f t="shared" si="4"/>
        <v>5.0756657877778544</v>
      </c>
      <c r="F20" s="9">
        <f t="shared" si="5"/>
        <v>15.226997363333563</v>
      </c>
      <c r="G20" s="194">
        <f t="shared" si="6"/>
        <v>-2.4677278917464917E-2</v>
      </c>
      <c r="H20" s="9">
        <f t="shared" si="7"/>
        <v>-8.2257596391549729E-3</v>
      </c>
    </row>
    <row r="21" spans="1:8" x14ac:dyDescent="0.2">
      <c r="A21" s="265">
        <v>3</v>
      </c>
      <c r="B21" s="141">
        <f t="shared" ref="B21:B28" si="8">C20</f>
        <v>4</v>
      </c>
      <c r="C21" s="140">
        <f t="shared" ref="C21:C28" si="9">B21*$M$3</f>
        <v>8</v>
      </c>
      <c r="D21" s="142">
        <f>SUM($C$19:C21)</f>
        <v>14</v>
      </c>
      <c r="E21" s="112">
        <f t="shared" si="4"/>
        <v>7.0524920188617681</v>
      </c>
      <c r="F21" s="9">
        <f t="shared" si="5"/>
        <v>24.683722066016188</v>
      </c>
      <c r="G21" s="194">
        <f t="shared" si="6"/>
        <v>-2.999163545786874E-3</v>
      </c>
      <c r="H21" s="9">
        <f t="shared" si="7"/>
        <v>-8.5690387022482124E-4</v>
      </c>
    </row>
    <row r="22" spans="1:8" x14ac:dyDescent="0.2">
      <c r="A22" s="265">
        <v>4</v>
      </c>
      <c r="B22" s="141">
        <f t="shared" si="8"/>
        <v>8</v>
      </c>
      <c r="C22" s="140">
        <f t="shared" si="9"/>
        <v>16</v>
      </c>
      <c r="D22" s="142">
        <f>SUM($C$19:C22)</f>
        <v>30</v>
      </c>
      <c r="E22" s="112">
        <f t="shared" si="4"/>
        <v>11.931971873760634</v>
      </c>
      <c r="F22" s="9">
        <f t="shared" si="5"/>
        <v>44.74489452660238</v>
      </c>
      <c r="G22" s="194">
        <f t="shared" si="6"/>
        <v>1.8656157873091665E-2</v>
      </c>
      <c r="H22" s="9">
        <f t="shared" si="7"/>
        <v>4.9749754328244442E-3</v>
      </c>
    </row>
    <row r="23" spans="1:8" x14ac:dyDescent="0.2">
      <c r="A23" s="265">
        <v>5</v>
      </c>
      <c r="B23" s="141">
        <f t="shared" si="8"/>
        <v>16</v>
      </c>
      <c r="C23" s="140">
        <f t="shared" si="9"/>
        <v>32</v>
      </c>
      <c r="D23" s="142">
        <f>SUM($C$19:C23)</f>
        <v>62</v>
      </c>
      <c r="E23" s="112">
        <f t="shared" si="4"/>
        <v>21.655558179947924</v>
      </c>
      <c r="F23" s="9">
        <f t="shared" si="5"/>
        <v>83.915287947298211</v>
      </c>
      <c r="G23" s="194">
        <f t="shared" si="6"/>
        <v>2.7540143724255704E-2</v>
      </c>
      <c r="H23" s="9">
        <f t="shared" si="7"/>
        <v>7.1071338643240523E-3</v>
      </c>
    </row>
    <row r="24" spans="1:8" x14ac:dyDescent="0.2">
      <c r="A24" s="265">
        <v>6</v>
      </c>
      <c r="B24" s="141">
        <f t="shared" si="8"/>
        <v>32</v>
      </c>
      <c r="C24" s="140">
        <f t="shared" si="9"/>
        <v>64</v>
      </c>
      <c r="D24" s="142">
        <f>SUM($C$19:C24)</f>
        <v>126</v>
      </c>
      <c r="E24" s="112">
        <f t="shared" si="4"/>
        <v>40.647147376360188</v>
      </c>
      <c r="F24" s="9">
        <f t="shared" si="5"/>
        <v>160.04814279441825</v>
      </c>
      <c r="G24" s="194">
        <f t="shared" si="6"/>
        <v>2.6759995232870655E-2</v>
      </c>
      <c r="H24" s="9">
        <f t="shared" si="7"/>
        <v>6.7961892654909593E-3</v>
      </c>
    </row>
    <row r="25" spans="1:8" x14ac:dyDescent="0.2">
      <c r="A25" s="265">
        <v>7</v>
      </c>
      <c r="B25" s="141">
        <f t="shared" si="8"/>
        <v>64</v>
      </c>
      <c r="C25" s="140">
        <f t="shared" si="9"/>
        <v>128</v>
      </c>
      <c r="D25" s="142">
        <f>SUM($C$19:C25)</f>
        <v>254</v>
      </c>
      <c r="E25" s="112">
        <f t="shared" si="4"/>
        <v>77.743387773292554</v>
      </c>
      <c r="F25" s="9">
        <f t="shared" si="5"/>
        <v>308.54407022525481</v>
      </c>
      <c r="G25" s="194">
        <f t="shared" si="6"/>
        <v>2.1654167497069228E-2</v>
      </c>
      <c r="H25" s="9">
        <f t="shared" si="7"/>
        <v>5.4561681882379157E-3</v>
      </c>
    </row>
    <row r="26" spans="1:8" x14ac:dyDescent="0.2">
      <c r="A26" s="265">
        <v>8</v>
      </c>
      <c r="B26" s="141">
        <f t="shared" si="8"/>
        <v>128</v>
      </c>
      <c r="C26" s="140">
        <f t="shared" si="9"/>
        <v>256</v>
      </c>
      <c r="D26" s="142">
        <f>SUM($C$19:C26)</f>
        <v>510</v>
      </c>
      <c r="E26" s="112">
        <f t="shared" si="4"/>
        <v>150.43366812310546</v>
      </c>
      <c r="F26" s="9">
        <f t="shared" si="5"/>
        <v>599.38414642799842</v>
      </c>
      <c r="G26" s="194">
        <f t="shared" si="6"/>
        <v>1.5759369677667209E-2</v>
      </c>
      <c r="H26" s="9">
        <f t="shared" si="7"/>
        <v>3.9552927818458867E-3</v>
      </c>
    </row>
    <row r="27" spans="1:8" x14ac:dyDescent="0.2">
      <c r="A27" s="265">
        <v>9</v>
      </c>
      <c r="B27" s="141">
        <f t="shared" si="8"/>
        <v>256</v>
      </c>
      <c r="C27" s="140">
        <f t="shared" si="9"/>
        <v>512</v>
      </c>
      <c r="D27" s="142">
        <f>SUM($C$19:C27)</f>
        <v>1022</v>
      </c>
      <c r="E27" s="112">
        <f t="shared" si="4"/>
        <v>293.3372656791762</v>
      </c>
      <c r="F27" s="9">
        <f t="shared" si="5"/>
        <v>1171.0573653285862</v>
      </c>
      <c r="G27" s="194">
        <f t="shared" si="6"/>
        <v>1.0694596575763408E-2</v>
      </c>
      <c r="H27" s="9">
        <f t="shared" si="7"/>
        <v>2.6788813340464118E-3</v>
      </c>
    </row>
    <row r="28" spans="1:8" ht="17" thickBot="1" x14ac:dyDescent="0.25">
      <c r="A28" s="266">
        <v>10</v>
      </c>
      <c r="B28" s="143">
        <f t="shared" si="8"/>
        <v>512</v>
      </c>
      <c r="C28" s="144">
        <f t="shared" si="9"/>
        <v>1024</v>
      </c>
      <c r="D28" s="145">
        <f>SUM($C$19:C28)</f>
        <v>2046</v>
      </c>
      <c r="E28" s="113">
        <f t="shared" si="4"/>
        <v>575.06354892303398</v>
      </c>
      <c r="F28" s="10">
        <f t="shared" si="5"/>
        <v>2298.0078537041554</v>
      </c>
      <c r="G28" s="213">
        <f t="shared" si="6"/>
        <v>6.9050752618357069E-3</v>
      </c>
      <c r="H28" s="10">
        <f t="shared" si="7"/>
        <v>1.7279562727565403E-3</v>
      </c>
    </row>
    <row r="29" spans="1:8" ht="17" thickBot="1" x14ac:dyDescent="0.25"/>
    <row r="30" spans="1:8" ht="17" thickBot="1" x14ac:dyDescent="0.25">
      <c r="A30" s="138" t="s">
        <v>140</v>
      </c>
      <c r="B30" s="139" t="s">
        <v>145</v>
      </c>
      <c r="C30" s="139" t="s">
        <v>144</v>
      </c>
      <c r="D30" s="241" t="s">
        <v>143</v>
      </c>
      <c r="E30" s="254" t="s">
        <v>157</v>
      </c>
      <c r="F30" s="237" t="s">
        <v>156</v>
      </c>
      <c r="G30" s="255" t="s">
        <v>158</v>
      </c>
      <c r="H30" s="256" t="s">
        <v>159</v>
      </c>
    </row>
    <row r="31" spans="1:8" x14ac:dyDescent="0.2">
      <c r="A31" s="264">
        <v>1</v>
      </c>
      <c r="B31" s="146">
        <v>1</v>
      </c>
      <c r="C31" s="150">
        <f>B31*$M$3</f>
        <v>2</v>
      </c>
      <c r="D31" s="151">
        <f>SUM($C$31:C31)</f>
        <v>2</v>
      </c>
      <c r="E31" s="8">
        <f t="shared" ref="E31:E40" si="10">B31/P7</f>
        <v>21.610412778408566</v>
      </c>
      <c r="F31" s="8">
        <f t="shared" ref="F31:F40" si="11">D31/P7</f>
        <v>43.220825556817132</v>
      </c>
      <c r="G31" s="28">
        <f t="shared" ref="G31:G40" si="12">S7/E31</f>
        <v>-4.2625104135691864E-3</v>
      </c>
      <c r="H31" s="8">
        <f t="shared" ref="H31:H40" si="13">S7/F31</f>
        <v>-2.1312552067845932E-3</v>
      </c>
    </row>
    <row r="32" spans="1:8" x14ac:dyDescent="0.2">
      <c r="A32" s="265">
        <v>2</v>
      </c>
      <c r="B32" s="141">
        <f>B31*($M$3+1)</f>
        <v>3</v>
      </c>
      <c r="C32" s="140">
        <f>B32*$M$3</f>
        <v>6</v>
      </c>
      <c r="D32" s="142">
        <f>SUM($C$31:C32)</f>
        <v>8</v>
      </c>
      <c r="E32" s="9">
        <f t="shared" si="10"/>
        <v>7.6134986816667816</v>
      </c>
      <c r="F32" s="9">
        <f t="shared" si="11"/>
        <v>20.302663151111418</v>
      </c>
      <c r="G32" s="112">
        <f t="shared" si="12"/>
        <v>-1.6451519278309946E-2</v>
      </c>
      <c r="H32" s="9">
        <f t="shared" si="13"/>
        <v>-6.1693197293662292E-3</v>
      </c>
    </row>
    <row r="33" spans="1:8" x14ac:dyDescent="0.2">
      <c r="A33" s="265">
        <v>3</v>
      </c>
      <c r="B33" s="141">
        <f t="shared" ref="B33:B40" si="14">B32*($M$3+1)</f>
        <v>9</v>
      </c>
      <c r="C33" s="140">
        <f t="shared" ref="C33:C40" si="15">B33*$M$3</f>
        <v>18</v>
      </c>
      <c r="D33" s="142">
        <f>SUM($C$31:C33)</f>
        <v>26</v>
      </c>
      <c r="E33" s="9">
        <f t="shared" si="10"/>
        <v>15.868107042438979</v>
      </c>
      <c r="F33" s="9">
        <f t="shared" si="11"/>
        <v>45.84119812260149</v>
      </c>
      <c r="G33" s="112">
        <f t="shared" si="12"/>
        <v>-1.3329615759052774E-3</v>
      </c>
      <c r="H33" s="9">
        <f t="shared" si="13"/>
        <v>-4.6140977627490376E-4</v>
      </c>
    </row>
    <row r="34" spans="1:8" x14ac:dyDescent="0.2">
      <c r="A34" s="265">
        <v>4</v>
      </c>
      <c r="B34" s="141">
        <f t="shared" si="14"/>
        <v>27</v>
      </c>
      <c r="C34" s="140">
        <f t="shared" si="15"/>
        <v>54</v>
      </c>
      <c r="D34" s="142">
        <f>SUM($C$31:C34)</f>
        <v>80</v>
      </c>
      <c r="E34" s="9">
        <f t="shared" si="10"/>
        <v>40.270405073942143</v>
      </c>
      <c r="F34" s="9">
        <f t="shared" si="11"/>
        <v>119.31971873760634</v>
      </c>
      <c r="G34" s="112">
        <f t="shared" si="12"/>
        <v>5.5277504809160488E-3</v>
      </c>
      <c r="H34" s="9">
        <f t="shared" si="13"/>
        <v>1.8656157873091666E-3</v>
      </c>
    </row>
    <row r="35" spans="1:8" x14ac:dyDescent="0.2">
      <c r="A35" s="265">
        <v>5</v>
      </c>
      <c r="B35" s="141">
        <f t="shared" si="14"/>
        <v>81</v>
      </c>
      <c r="C35" s="140">
        <f t="shared" si="15"/>
        <v>162</v>
      </c>
      <c r="D35" s="142">
        <f>SUM($C$31:C35)</f>
        <v>242</v>
      </c>
      <c r="E35" s="9">
        <f t="shared" si="10"/>
        <v>109.63126328598638</v>
      </c>
      <c r="F35" s="9">
        <f t="shared" si="11"/>
        <v>327.5403174717124</v>
      </c>
      <c r="G35" s="112">
        <f t="shared" si="12"/>
        <v>5.4400283899764352E-3</v>
      </c>
      <c r="H35" s="9">
        <f t="shared" si="13"/>
        <v>1.8208359487111208E-3</v>
      </c>
    </row>
    <row r="36" spans="1:8" x14ac:dyDescent="0.2">
      <c r="A36" s="265">
        <v>6</v>
      </c>
      <c r="B36" s="141">
        <f t="shared" si="14"/>
        <v>243</v>
      </c>
      <c r="C36" s="140">
        <f t="shared" si="15"/>
        <v>486</v>
      </c>
      <c r="D36" s="142">
        <f>SUM($C$31:C36)</f>
        <v>728</v>
      </c>
      <c r="E36" s="9">
        <f t="shared" si="10"/>
        <v>308.66427538923523</v>
      </c>
      <c r="F36" s="9">
        <f t="shared" si="11"/>
        <v>924.7226028121944</v>
      </c>
      <c r="G36" s="112">
        <f t="shared" si="12"/>
        <v>3.5239499895138304E-3</v>
      </c>
      <c r="H36" s="9">
        <f t="shared" si="13"/>
        <v>1.176263526719589E-3</v>
      </c>
    </row>
    <row r="37" spans="1:8" x14ac:dyDescent="0.2">
      <c r="A37" s="265">
        <v>7</v>
      </c>
      <c r="B37" s="141">
        <f t="shared" si="14"/>
        <v>729</v>
      </c>
      <c r="C37" s="140">
        <f t="shared" si="15"/>
        <v>1458</v>
      </c>
      <c r="D37" s="142">
        <f>SUM($C$31:C37)</f>
        <v>2186</v>
      </c>
      <c r="E37" s="9">
        <f t="shared" si="10"/>
        <v>885.54577635516046</v>
      </c>
      <c r="F37" s="9">
        <f t="shared" si="11"/>
        <v>2655.4225886315235</v>
      </c>
      <c r="G37" s="112">
        <f t="shared" si="12"/>
        <v>1.9010517418551862E-3</v>
      </c>
      <c r="H37" s="9">
        <f t="shared" si="13"/>
        <v>6.3397379680349072E-4</v>
      </c>
    </row>
    <row r="38" spans="1:8" x14ac:dyDescent="0.2">
      <c r="A38" s="265">
        <v>8</v>
      </c>
      <c r="B38" s="141">
        <f t="shared" si="14"/>
        <v>2187</v>
      </c>
      <c r="C38" s="140">
        <f t="shared" si="15"/>
        <v>4374</v>
      </c>
      <c r="D38" s="142">
        <f>SUM($C$31:C38)</f>
        <v>6560</v>
      </c>
      <c r="E38" s="9">
        <f t="shared" si="10"/>
        <v>2570.3002514471223</v>
      </c>
      <c r="F38" s="9">
        <f t="shared" si="11"/>
        <v>7709.7254913091556</v>
      </c>
      <c r="G38" s="112">
        <f t="shared" si="12"/>
        <v>9.2235908492976795E-4</v>
      </c>
      <c r="H38" s="9">
        <f t="shared" si="13"/>
        <v>3.0749989614960405E-4</v>
      </c>
    </row>
    <row r="39" spans="1:8" x14ac:dyDescent="0.2">
      <c r="A39" s="265">
        <v>9</v>
      </c>
      <c r="B39" s="141">
        <f t="shared" si="14"/>
        <v>6561</v>
      </c>
      <c r="C39" s="140">
        <f t="shared" si="15"/>
        <v>13122</v>
      </c>
      <c r="D39" s="142">
        <f>SUM($C$31:C39)</f>
        <v>19682</v>
      </c>
      <c r="E39" s="9">
        <f t="shared" si="10"/>
        <v>7517.9132817229493</v>
      </c>
      <c r="F39" s="9">
        <f t="shared" si="11"/>
        <v>22552.593996474789</v>
      </c>
      <c r="G39" s="112">
        <f t="shared" si="12"/>
        <v>4.1728649952681493E-4</v>
      </c>
      <c r="H39" s="9">
        <f t="shared" si="13"/>
        <v>1.3910256698483045E-4</v>
      </c>
    </row>
    <row r="40" spans="1:8" ht="17" thickBot="1" x14ac:dyDescent="0.25">
      <c r="A40" s="266">
        <v>10</v>
      </c>
      <c r="B40" s="143">
        <f t="shared" si="14"/>
        <v>19683</v>
      </c>
      <c r="C40" s="144">
        <f t="shared" si="15"/>
        <v>39366</v>
      </c>
      <c r="D40" s="145">
        <f>SUM($C$31:C40)</f>
        <v>59048</v>
      </c>
      <c r="E40" s="9">
        <f t="shared" si="10"/>
        <v>22107.374674711089</v>
      </c>
      <c r="F40" s="9">
        <f t="shared" si="11"/>
        <v>66321.000853139281</v>
      </c>
      <c r="G40" s="113">
        <f t="shared" si="12"/>
        <v>1.7961685383629944E-4</v>
      </c>
      <c r="H40" s="10">
        <f t="shared" si="13"/>
        <v>5.9873298571668502E-5</v>
      </c>
    </row>
    <row r="41" spans="1:8" ht="17" thickBot="1" x14ac:dyDescent="0.25"/>
    <row r="42" spans="1:8" ht="17" thickBot="1" x14ac:dyDescent="0.25">
      <c r="A42" s="138" t="s">
        <v>140</v>
      </c>
      <c r="B42" s="139" t="s">
        <v>145</v>
      </c>
      <c r="C42" s="139" t="s">
        <v>144</v>
      </c>
      <c r="D42" s="241" t="s">
        <v>143</v>
      </c>
      <c r="E42" s="231" t="s">
        <v>157</v>
      </c>
      <c r="F42" s="234" t="s">
        <v>156</v>
      </c>
      <c r="G42" s="259" t="s">
        <v>158</v>
      </c>
      <c r="H42" s="256" t="s">
        <v>159</v>
      </c>
    </row>
    <row r="43" spans="1:8" x14ac:dyDescent="0.2">
      <c r="A43" s="264">
        <v>1</v>
      </c>
      <c r="B43" s="146">
        <v>1</v>
      </c>
      <c r="C43" s="150">
        <f>B43*$M$3</f>
        <v>2</v>
      </c>
      <c r="D43" s="151">
        <f>SUM(C43:C43)</f>
        <v>2</v>
      </c>
      <c r="E43" s="129">
        <f>B43/P7</f>
        <v>21.610412778408566</v>
      </c>
      <c r="F43" s="58">
        <f>D43/P7</f>
        <v>43.220825556817132</v>
      </c>
      <c r="G43" s="22">
        <f>S7/E43</f>
        <v>-4.2625104135691864E-3</v>
      </c>
      <c r="H43" s="8">
        <f>S7/F43</f>
        <v>-2.1312552067845932E-3</v>
      </c>
    </row>
    <row r="44" spans="1:8" x14ac:dyDescent="0.2">
      <c r="A44" s="265">
        <v>2</v>
      </c>
      <c r="B44" s="141">
        <f>B43*$M$3*2</f>
        <v>4</v>
      </c>
      <c r="C44" s="140">
        <f>B44*$M$3</f>
        <v>8</v>
      </c>
      <c r="D44" s="142">
        <f>SUM($C$43:C44)</f>
        <v>10</v>
      </c>
      <c r="E44" s="112">
        <f t="shared" ref="E44:E52" si="16">B44/P8</f>
        <v>10.151331575555709</v>
      </c>
      <c r="F44" s="9">
        <f t="shared" ref="F44:F52" si="17">D44/P8</f>
        <v>25.378328938889272</v>
      </c>
      <c r="G44" s="194">
        <f t="shared" ref="G44:G52" si="18">S8/E44</f>
        <v>-1.2338639458732458E-2</v>
      </c>
      <c r="H44" s="9">
        <f t="shared" ref="H44:H52" si="19">S8/F44</f>
        <v>-4.9354557834929832E-3</v>
      </c>
    </row>
    <row r="45" spans="1:8" x14ac:dyDescent="0.2">
      <c r="A45" s="265">
        <v>3</v>
      </c>
      <c r="B45" s="141">
        <f t="shared" ref="B45:B52" si="20">B44*$M$3*2</f>
        <v>16</v>
      </c>
      <c r="C45" s="140">
        <f t="shared" ref="C45:C52" si="21">B45*$M$3</f>
        <v>32</v>
      </c>
      <c r="D45" s="142">
        <f>SUM($C$43:C45)</f>
        <v>42</v>
      </c>
      <c r="E45" s="112">
        <f t="shared" si="16"/>
        <v>28.209968075447073</v>
      </c>
      <c r="F45" s="9">
        <f t="shared" si="17"/>
        <v>74.051166198048563</v>
      </c>
      <c r="G45" s="194">
        <f t="shared" si="18"/>
        <v>-7.4979088644671851E-4</v>
      </c>
      <c r="H45" s="9">
        <f t="shared" si="19"/>
        <v>-2.8563462340827373E-4</v>
      </c>
    </row>
    <row r="46" spans="1:8" x14ac:dyDescent="0.2">
      <c r="A46" s="265">
        <v>4</v>
      </c>
      <c r="B46" s="141">
        <f t="shared" si="20"/>
        <v>64</v>
      </c>
      <c r="C46" s="140">
        <f t="shared" si="21"/>
        <v>128</v>
      </c>
      <c r="D46" s="142">
        <f>SUM($C$43:C46)</f>
        <v>170</v>
      </c>
      <c r="E46" s="112">
        <f t="shared" si="16"/>
        <v>95.455774990085075</v>
      </c>
      <c r="F46" s="9">
        <f t="shared" si="17"/>
        <v>253.55440231741346</v>
      </c>
      <c r="G46" s="194">
        <f t="shared" si="18"/>
        <v>2.3320197341364581E-3</v>
      </c>
      <c r="H46" s="9">
        <f t="shared" si="19"/>
        <v>8.7793684108666663E-4</v>
      </c>
    </row>
    <row r="47" spans="1:8" x14ac:dyDescent="0.2">
      <c r="A47" s="265">
        <v>5</v>
      </c>
      <c r="B47" s="141">
        <f t="shared" si="20"/>
        <v>256</v>
      </c>
      <c r="C47" s="140">
        <f t="shared" si="21"/>
        <v>512</v>
      </c>
      <c r="D47" s="142">
        <f>SUM($C$43:C47)</f>
        <v>682</v>
      </c>
      <c r="E47" s="112">
        <f t="shared" si="16"/>
        <v>346.48893087916679</v>
      </c>
      <c r="F47" s="9">
        <f t="shared" si="17"/>
        <v>923.06816742028036</v>
      </c>
      <c r="G47" s="194">
        <f t="shared" si="18"/>
        <v>1.7212589827659815E-3</v>
      </c>
      <c r="H47" s="9">
        <f t="shared" si="19"/>
        <v>6.461030785749138E-4</v>
      </c>
    </row>
    <row r="48" spans="1:8" x14ac:dyDescent="0.2">
      <c r="A48" s="265">
        <v>6</v>
      </c>
      <c r="B48" s="141">
        <f t="shared" si="20"/>
        <v>1024</v>
      </c>
      <c r="C48" s="140">
        <f t="shared" si="21"/>
        <v>2048</v>
      </c>
      <c r="D48" s="142">
        <f>SUM($C$43:C48)</f>
        <v>2730</v>
      </c>
      <c r="E48" s="112">
        <f t="shared" si="16"/>
        <v>1300.708716043526</v>
      </c>
      <c r="F48" s="9">
        <f t="shared" si="17"/>
        <v>3467.7097605457288</v>
      </c>
      <c r="G48" s="194">
        <f t="shared" si="18"/>
        <v>8.3624985102720797E-4</v>
      </c>
      <c r="H48" s="9">
        <f t="shared" si="19"/>
        <v>3.1367027379189042E-4</v>
      </c>
    </row>
    <row r="49" spans="1:8" x14ac:dyDescent="0.2">
      <c r="A49" s="265">
        <v>7</v>
      </c>
      <c r="B49" s="141">
        <f t="shared" si="20"/>
        <v>4096</v>
      </c>
      <c r="C49" s="140">
        <f t="shared" si="21"/>
        <v>8192</v>
      </c>
      <c r="D49" s="142">
        <f>SUM($C$43:C49)</f>
        <v>10922</v>
      </c>
      <c r="E49" s="112">
        <f t="shared" si="16"/>
        <v>4975.5768174907234</v>
      </c>
      <c r="F49" s="9">
        <f t="shared" si="17"/>
        <v>13267.395019685957</v>
      </c>
      <c r="G49" s="194">
        <f t="shared" si="18"/>
        <v>3.3834636714170669E-4</v>
      </c>
      <c r="H49" s="9">
        <f t="shared" si="19"/>
        <v>1.2688763228460269E-4</v>
      </c>
    </row>
    <row r="50" spans="1:8" x14ac:dyDescent="0.2">
      <c r="A50" s="265">
        <v>8</v>
      </c>
      <c r="B50" s="141">
        <f t="shared" si="20"/>
        <v>16384</v>
      </c>
      <c r="C50" s="140">
        <f t="shared" si="21"/>
        <v>32768</v>
      </c>
      <c r="D50" s="142">
        <f>SUM($C$43:C50)</f>
        <v>43690</v>
      </c>
      <c r="E50" s="112">
        <f t="shared" si="16"/>
        <v>19255.509519757499</v>
      </c>
      <c r="F50" s="9">
        <f t="shared" si="17"/>
        <v>51347.241877331864</v>
      </c>
      <c r="G50" s="194">
        <f t="shared" si="18"/>
        <v>1.2312007560677507E-4</v>
      </c>
      <c r="H50" s="9">
        <f t="shared" si="19"/>
        <v>4.6170732862014245E-5</v>
      </c>
    </row>
    <row r="51" spans="1:8" x14ac:dyDescent="0.2">
      <c r="A51" s="265">
        <v>9</v>
      </c>
      <c r="B51" s="141">
        <f t="shared" si="20"/>
        <v>65536</v>
      </c>
      <c r="C51" s="140">
        <f t="shared" si="21"/>
        <v>131072</v>
      </c>
      <c r="D51" s="142">
        <f>SUM($C$43:C51)</f>
        <v>174762</v>
      </c>
      <c r="E51" s="112">
        <f t="shared" si="16"/>
        <v>75094.340013869107</v>
      </c>
      <c r="F51" s="9">
        <f t="shared" si="17"/>
        <v>200250.80947118823</v>
      </c>
      <c r="G51" s="194">
        <f t="shared" si="18"/>
        <v>4.1775767874075813E-5</v>
      </c>
      <c r="H51" s="9">
        <f t="shared" si="19"/>
        <v>1.5665972713721707E-5</v>
      </c>
    </row>
    <row r="52" spans="1:8" ht="17" thickBot="1" x14ac:dyDescent="0.25">
      <c r="A52" s="266">
        <v>10</v>
      </c>
      <c r="B52" s="143">
        <f t="shared" si="20"/>
        <v>262144</v>
      </c>
      <c r="C52" s="144">
        <f t="shared" si="21"/>
        <v>524288</v>
      </c>
      <c r="D52" s="145">
        <f>SUM($C$43:C52)</f>
        <v>699050</v>
      </c>
      <c r="E52" s="113">
        <f t="shared" si="16"/>
        <v>294432.5370485934</v>
      </c>
      <c r="F52" s="10">
        <f t="shared" si="17"/>
        <v>785152.68334891973</v>
      </c>
      <c r="G52" s="213">
        <f t="shared" si="18"/>
        <v>1.3486475120772865E-5</v>
      </c>
      <c r="H52" s="10">
        <f t="shared" si="19"/>
        <v>5.0574329934337772E-6</v>
      </c>
    </row>
  </sheetData>
  <conditionalFormatting sqref="P7:P16 S7:S16">
    <cfRule type="cellIs" dxfId="747" priority="55" operator="lessThanOrEqual">
      <formula>0</formula>
    </cfRule>
    <cfRule type="cellIs" dxfId="746" priority="56" operator="greaterThan">
      <formula>0</formula>
    </cfRule>
  </conditionalFormatting>
  <conditionalFormatting sqref="O7:O16">
    <cfRule type="cellIs" dxfId="745" priority="53" operator="lessThanOrEqual">
      <formula>0</formula>
    </cfRule>
    <cfRule type="cellIs" dxfId="744" priority="54" operator="greaterThan">
      <formula>0</formula>
    </cfRule>
  </conditionalFormatting>
  <conditionalFormatting sqref="F19:F28">
    <cfRule type="cellIs" dxfId="743" priority="29" stopIfTrue="1" operator="lessThan">
      <formula>0</formula>
    </cfRule>
    <cfRule type="cellIs" dxfId="742" priority="30" operator="equal">
      <formula>MIN($F$19:$F$28)</formula>
    </cfRule>
  </conditionalFormatting>
  <conditionalFormatting sqref="E19:E28">
    <cfRule type="cellIs" dxfId="741" priority="27" stopIfTrue="1" operator="lessThan">
      <formula>0</formula>
    </cfRule>
    <cfRule type="cellIs" dxfId="740" priority="28" operator="equal">
      <formula>MIN($E$19:$E$28)</formula>
    </cfRule>
  </conditionalFormatting>
  <conditionalFormatting sqref="F43:F52">
    <cfRule type="cellIs" dxfId="739" priority="25" stopIfTrue="1" operator="lessThan">
      <formula>0</formula>
    </cfRule>
    <cfRule type="cellIs" dxfId="738" priority="26" operator="equal">
      <formula>MIN($F$43:$F$52)</formula>
    </cfRule>
  </conditionalFormatting>
  <conditionalFormatting sqref="E43:E52">
    <cfRule type="cellIs" dxfId="737" priority="23" stopIfTrue="1" operator="lessThan">
      <formula>0</formula>
    </cfRule>
    <cfRule type="cellIs" dxfId="736" priority="24" operator="equal">
      <formula>MIN($E$43:$E$52)</formula>
    </cfRule>
  </conditionalFormatting>
  <conditionalFormatting sqref="G43:G52">
    <cfRule type="cellIs" dxfId="735" priority="22" operator="equal">
      <formula>MAX($G$43:$G$52)</formula>
    </cfRule>
  </conditionalFormatting>
  <conditionalFormatting sqref="H43:H52">
    <cfRule type="cellIs" dxfId="734" priority="21" operator="equal">
      <formula>MAX($H$43:$H$52)</formula>
    </cfRule>
  </conditionalFormatting>
  <conditionalFormatting sqref="G19:G28">
    <cfRule type="cellIs" dxfId="733" priority="20" operator="equal">
      <formula>MAX($G$19:$G$28)</formula>
    </cfRule>
  </conditionalFormatting>
  <conditionalFormatting sqref="H19:H28">
    <cfRule type="cellIs" dxfId="732" priority="19" operator="equal">
      <formula>MAX($H$19:$H$28)</formula>
    </cfRule>
  </conditionalFormatting>
  <conditionalFormatting sqref="F31:F40">
    <cfRule type="cellIs" dxfId="731" priority="15" stopIfTrue="1" operator="lessThan">
      <formula>0</formula>
    </cfRule>
    <cfRule type="cellIs" dxfId="730" priority="16" operator="equal">
      <formula>MIN($F$31:$F$40)</formula>
    </cfRule>
  </conditionalFormatting>
  <conditionalFormatting sqref="E31:E40">
    <cfRule type="cellIs" dxfId="729" priority="13" stopIfTrue="1" operator="lessThan">
      <formula>0</formula>
    </cfRule>
    <cfRule type="cellIs" dxfId="728" priority="14" operator="equal">
      <formula>MIN($E$31:$E$40)</formula>
    </cfRule>
  </conditionalFormatting>
  <conditionalFormatting sqref="Q7:Q16">
    <cfRule type="cellIs" dxfId="727" priority="7" operator="lessThanOrEqual">
      <formula>0</formula>
    </cfRule>
    <cfRule type="cellIs" dxfId="726" priority="8" operator="greaterThan">
      <formula>0</formula>
    </cfRule>
  </conditionalFormatting>
  <conditionalFormatting sqref="R7:R16">
    <cfRule type="cellIs" dxfId="725" priority="5" operator="lessThanOrEqual">
      <formula>0</formula>
    </cfRule>
    <cfRule type="cellIs" dxfId="724" priority="6" operator="greaterThan">
      <formula>0</formula>
    </cfRule>
  </conditionalFormatting>
  <conditionalFormatting sqref="G31:G40">
    <cfRule type="cellIs" dxfId="723" priority="3" operator="lessThanOrEqual">
      <formula>0</formula>
    </cfRule>
    <cfRule type="cellIs" dxfId="722" priority="4" operator="equal">
      <formula>MAX($G$31:$G$40)</formula>
    </cfRule>
  </conditionalFormatting>
  <conditionalFormatting sqref="H31:H40">
    <cfRule type="cellIs" dxfId="721" priority="1" operator="lessThanOrEqual">
      <formula>0</formula>
    </cfRule>
    <cfRule type="cellIs" dxfId="720" priority="2" operator="equal">
      <formula>MAX($H$31:$H$40)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U52"/>
  <sheetViews>
    <sheetView topLeftCell="A27" workbookViewId="0">
      <selection activeCell="F48" sqref="F48"/>
    </sheetView>
  </sheetViews>
  <sheetFormatPr baseColWidth="10" defaultColWidth="8.6640625" defaultRowHeight="16" x14ac:dyDescent="0.2"/>
  <cols>
    <col min="14" max="14" width="5.6640625" bestFit="1" customWidth="1"/>
  </cols>
  <sheetData>
    <row r="1" spans="1:21" x14ac:dyDescent="0.2">
      <c r="B1" s="202"/>
      <c r="C1" t="s">
        <v>99</v>
      </c>
      <c r="D1">
        <f>C2+E2</f>
        <v>0.99999999999999933</v>
      </c>
    </row>
    <row r="2" spans="1:21" x14ac:dyDescent="0.2">
      <c r="A2" t="s">
        <v>40</v>
      </c>
      <c r="B2" s="201" t="s">
        <v>129</v>
      </c>
      <c r="C2" s="222">
        <f>Analysis!B11</f>
        <v>0.58077343958120653</v>
      </c>
      <c r="D2" s="199" t="s">
        <v>130</v>
      </c>
      <c r="E2" s="222">
        <f>Analysis!F11</f>
        <v>0.4192265604187928</v>
      </c>
      <c r="F2" s="199" t="s">
        <v>49</v>
      </c>
      <c r="G2" s="222">
        <f>Analysis!S11</f>
        <v>2.889420473612045</v>
      </c>
      <c r="H2" t="s">
        <v>163</v>
      </c>
      <c r="I2" s="238">
        <f>Analysis!T11</f>
        <v>4.1656452207489059</v>
      </c>
      <c r="J2" t="s">
        <v>50</v>
      </c>
      <c r="K2" s="238">
        <f>C2*G2-E2*I2</f>
        <v>-6.8250450963520448E-2</v>
      </c>
      <c r="L2" t="s">
        <v>49</v>
      </c>
      <c r="M2" s="267">
        <v>1</v>
      </c>
    </row>
    <row r="3" spans="1:21" x14ac:dyDescent="0.2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3</v>
      </c>
    </row>
    <row r="4" spans="1:21" x14ac:dyDescent="0.2">
      <c r="A4" t="s">
        <v>127</v>
      </c>
      <c r="B4" s="202">
        <f>$C$2</f>
        <v>0.58077343958120653</v>
      </c>
      <c r="C4">
        <f>B4*$C$2</f>
        <v>0.33729778812298533</v>
      </c>
      <c r="D4">
        <f t="shared" ref="D4:K4" si="0">C4*$C$2</f>
        <v>0.19589359657131922</v>
      </c>
      <c r="E4">
        <f t="shared" si="0"/>
        <v>0.11376979787265831</v>
      </c>
      <c r="F4">
        <f t="shared" si="0"/>
        <v>6.6074476830962403E-2</v>
      </c>
      <c r="G4">
        <f t="shared" si="0"/>
        <v>3.8374301177646772E-2</v>
      </c>
      <c r="H4">
        <f t="shared" si="0"/>
        <v>2.2286774886467062E-2</v>
      </c>
      <c r="I4">
        <f t="shared" si="0"/>
        <v>1.2943566907985529E-2</v>
      </c>
      <c r="J4">
        <f t="shared" si="0"/>
        <v>7.5172798736002381E-3</v>
      </c>
      <c r="K4">
        <f t="shared" si="0"/>
        <v>4.3658364884853881E-3</v>
      </c>
    </row>
    <row r="5" spans="1:21" ht="17" thickBot="1" x14ac:dyDescent="0.25">
      <c r="A5" t="s">
        <v>128</v>
      </c>
      <c r="B5" s="202">
        <f>$E$2</f>
        <v>0.4192265604187928</v>
      </c>
      <c r="C5">
        <f>B5*$E$2</f>
        <v>0.17575090896057174</v>
      </c>
      <c r="D5">
        <f t="shared" ref="D5:K5" si="1">C5*$E$2</f>
        <v>7.3679449054016882E-2</v>
      </c>
      <c r="E5">
        <f t="shared" si="1"/>
        <v>3.0888382000467174E-2</v>
      </c>
      <c r="F5">
        <f t="shared" si="1"/>
        <v>1.2949230142957603E-2</v>
      </c>
      <c r="G5">
        <f t="shared" si="1"/>
        <v>5.4286612129034687E-3</v>
      </c>
      <c r="H5">
        <f t="shared" si="1"/>
        <v>2.2758389679644331E-3</v>
      </c>
      <c r="I5">
        <f t="shared" si="1"/>
        <v>9.5409214260678448E-4</v>
      </c>
      <c r="J5">
        <f t="shared" si="1"/>
        <v>3.9998076726763861E-4</v>
      </c>
      <c r="K5">
        <f t="shared" si="1"/>
        <v>1.6768256129528179E-4</v>
      </c>
    </row>
    <row r="6" spans="1:21" ht="17" thickBot="1" x14ac:dyDescent="0.25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">
      <c r="A7" s="208">
        <v>1</v>
      </c>
      <c r="B7" s="114">
        <f>C7*B4</f>
        <v>0.58077343958120653</v>
      </c>
      <c r="C7" s="114">
        <v>1</v>
      </c>
      <c r="D7" s="212">
        <f>C7*B5</f>
        <v>0.4192265604187928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0.99999999999999933</v>
      </c>
      <c r="O7" s="114">
        <f>B7/(B7+D7)</f>
        <v>0.58077343958120686</v>
      </c>
      <c r="P7" s="129">
        <f>B7-D7</f>
        <v>0.16154687916241373</v>
      </c>
      <c r="Q7" s="129">
        <f>($G$2*SUM(C7))*B7</f>
        <v>1.6780986668560263</v>
      </c>
      <c r="R7" s="58">
        <f>($I$2*SUM(C7))*D7*COUNT(D7:M7)</f>
        <v>1.7463491178195467</v>
      </c>
      <c r="S7" s="58">
        <f>Q7-R7</f>
        <v>-6.8250450963520448E-2</v>
      </c>
      <c r="T7" s="129">
        <f>(S7+U7*D7)/B7</f>
        <v>0.60432534536765292</v>
      </c>
      <c r="U7" s="58">
        <f t="shared" ref="U7:U16" si="2">COUNT(D7:M7)</f>
        <v>1</v>
      </c>
    </row>
    <row r="8" spans="1:21" x14ac:dyDescent="0.2">
      <c r="A8" s="209">
        <v>2</v>
      </c>
      <c r="B8" s="116">
        <f>C8*B4</f>
        <v>0.76768638141080703</v>
      </c>
      <c r="C8" s="116">
        <f>1/(1-B4*B5)</f>
        <v>1.3218345211592022</v>
      </c>
      <c r="D8" s="194">
        <f>C8*B5</f>
        <v>0.55414813974839439</v>
      </c>
      <c r="E8" s="1">
        <f>D8*B5</f>
        <v>0.23231361858919189</v>
      </c>
      <c r="F8" s="1"/>
      <c r="G8" s="1"/>
      <c r="H8" s="1"/>
      <c r="I8" s="1"/>
      <c r="J8" s="1"/>
      <c r="K8" s="1"/>
      <c r="L8" s="1"/>
      <c r="M8" s="9"/>
      <c r="N8">
        <f>B8+E8</f>
        <v>0.99999999999999889</v>
      </c>
      <c r="O8" s="116">
        <f>B8/(B8+E8)</f>
        <v>0.76768638141080792</v>
      </c>
      <c r="P8" s="112">
        <f>B8-E8</f>
        <v>0.53537276282161517</v>
      </c>
      <c r="Q8" s="112">
        <f>($G$2*SUM(C8:D8))*B8</f>
        <v>4.1612461097677489</v>
      </c>
      <c r="R8" s="9">
        <f>($I$2*SUM(C8:D8))*E8*COUNT(D8:M8)</f>
        <v>3.6309123441142095</v>
      </c>
      <c r="S8" s="9">
        <f t="shared" ref="S8:S16" si="3">Q8-R8</f>
        <v>0.5303337656535394</v>
      </c>
      <c r="T8" s="112">
        <f>(S8+U8*E8)/B8</f>
        <v>1.2960513914594196</v>
      </c>
      <c r="U8" s="9">
        <f t="shared" si="2"/>
        <v>2</v>
      </c>
    </row>
    <row r="9" spans="1:21" x14ac:dyDescent="0.2">
      <c r="A9" s="209">
        <v>3</v>
      </c>
      <c r="B9" s="116">
        <f>C9*B4</f>
        <v>0.85638897540749837</v>
      </c>
      <c r="C9" s="216">
        <f>1/(1-B5*B4/(1-B5*B4))</f>
        <v>1.4745663576230985</v>
      </c>
      <c r="D9" s="217">
        <f>C9*B5*C8</f>
        <v>0.8171282040124056</v>
      </c>
      <c r="E9" s="218">
        <f>D9*(B5)</f>
        <v>0.34256184638930642</v>
      </c>
      <c r="F9" s="218">
        <f>E9*B5</f>
        <v>0.14361102459249978</v>
      </c>
      <c r="G9" s="218"/>
      <c r="H9" s="218"/>
      <c r="I9" s="218"/>
      <c r="J9" s="218"/>
      <c r="K9" s="218"/>
      <c r="L9" s="218"/>
      <c r="M9" s="219"/>
      <c r="N9">
        <f>B9+F9</f>
        <v>0.99999999999999811</v>
      </c>
      <c r="O9" s="116">
        <f>B9/(B9+F9)</f>
        <v>0.85638897540750003</v>
      </c>
      <c r="P9" s="112">
        <f>B9-F9</f>
        <v>0.71277795081499862</v>
      </c>
      <c r="Q9" s="112">
        <f>($G$2*SUM(C9:E9))*B9</f>
        <v>6.5183827611212246</v>
      </c>
      <c r="R9" s="9">
        <f>($I$2*SUM(C9:E9))*F9*COUNT(D9:M9)</f>
        <v>4.7276940081585153</v>
      </c>
      <c r="S9" s="9">
        <f t="shared" si="3"/>
        <v>1.7906887529627094</v>
      </c>
      <c r="T9" s="112">
        <f>(S9+U9*F9)/B9</f>
        <v>2.5940570120991282</v>
      </c>
      <c r="U9" s="9">
        <f t="shared" si="2"/>
        <v>3</v>
      </c>
    </row>
    <row r="10" spans="1:21" x14ac:dyDescent="0.2">
      <c r="A10" s="209">
        <v>4</v>
      </c>
      <c r="B10" s="116">
        <f>C10*B4</f>
        <v>0.90607249799973699</v>
      </c>
      <c r="C10" s="116">
        <f>1/(1-B5*B4/(1-B5*B4/(1-B5*B4)))</f>
        <v>1.5601135249110261</v>
      </c>
      <c r="D10" s="194">
        <f>C10*B5*C9</f>
        <v>0.96442689478864896</v>
      </c>
      <c r="E10" s="1">
        <f>D10*B5*C8</f>
        <v>0.53443536967045024</v>
      </c>
      <c r="F10" s="1">
        <f>E10*B5</f>
        <v>0.22404950179308888</v>
      </c>
      <c r="G10" s="1">
        <f>F10*B5</f>
        <v>9.3927502000260801E-2</v>
      </c>
      <c r="H10" s="1"/>
      <c r="I10" s="1"/>
      <c r="J10" s="1"/>
      <c r="K10" s="1"/>
      <c r="L10" s="1"/>
      <c r="M10" s="9"/>
      <c r="N10">
        <f>B10+G10</f>
        <v>0.99999999999999778</v>
      </c>
      <c r="O10" s="116">
        <f>B10/(B10+G10)</f>
        <v>0.90607249799973899</v>
      </c>
      <c r="P10" s="112">
        <f>B10-G10</f>
        <v>0.8121449959994762</v>
      </c>
      <c r="Q10" s="112">
        <f>($G$2*SUM(C10:F10))*B10</f>
        <v>8.5950404044169311</v>
      </c>
      <c r="R10" s="9">
        <f>($I$2*SUM(C10:F10))*G10*COUNT(D10:M10)</f>
        <v>5.1381794917868007</v>
      </c>
      <c r="S10" s="9">
        <f t="shared" si="3"/>
        <v>3.4568609126301304</v>
      </c>
      <c r="T10" s="112">
        <f>(S10+U10*G10)/B10</f>
        <v>4.2298722553570833</v>
      </c>
      <c r="U10" s="9">
        <f t="shared" si="2"/>
        <v>4</v>
      </c>
    </row>
    <row r="11" spans="1:21" x14ac:dyDescent="0.2">
      <c r="A11" s="209">
        <v>5</v>
      </c>
      <c r="B11" s="116">
        <f>C11*B4</f>
        <v>0.93650426219101002</v>
      </c>
      <c r="C11" s="116">
        <f>1/(1-B5*B4/(1-B5*B4/(1-B5*B4/(1-B5*B4))))</f>
        <v>1.6125122093502064</v>
      </c>
      <c r="D11" s="194">
        <f>C11*B5*C10</f>
        <v>1.0546491413103991</v>
      </c>
      <c r="E11" s="1">
        <f>D11*B5*C9</f>
        <v>0.65196024533119201</v>
      </c>
      <c r="F11" s="1">
        <f>E11*B5*C8</f>
        <v>0.36128255714018687</v>
      </c>
      <c r="G11" s="1">
        <f>F11*B5</f>
        <v>0.15145924376918651</v>
      </c>
      <c r="H11" s="1">
        <f>G11*B5</f>
        <v>6.349573780898754E-2</v>
      </c>
      <c r="I11" s="1"/>
      <c r="J11" s="1"/>
      <c r="K11" s="1"/>
      <c r="L11" s="1"/>
      <c r="M11" s="9"/>
      <c r="N11">
        <f>B11+H11</f>
        <v>0.99999999999999756</v>
      </c>
      <c r="O11" s="116">
        <f>B11/(B11+H11)</f>
        <v>0.93650426219101235</v>
      </c>
      <c r="P11" s="112">
        <f>B11-H11</f>
        <v>0.87300852438202248</v>
      </c>
      <c r="Q11" s="112">
        <f>($G$2*SUM(C11:G11))*B11</f>
        <v>10.368848342498127</v>
      </c>
      <c r="R11" s="9">
        <f>($I$2*SUM(C11:G11))*H11*COUNT(D11:M11)</f>
        <v>5.0676530746877191</v>
      </c>
      <c r="S11" s="9">
        <f t="shared" si="3"/>
        <v>5.3011952678104084</v>
      </c>
      <c r="T11" s="112">
        <f>(S11+U11*H11)/B11</f>
        <v>5.9996245438436224</v>
      </c>
      <c r="U11" s="9">
        <f t="shared" si="2"/>
        <v>5</v>
      </c>
    </row>
    <row r="12" spans="1:21" x14ac:dyDescent="0.2">
      <c r="A12" s="209">
        <v>6</v>
      </c>
      <c r="B12" s="116">
        <f>C12*B4</f>
        <v>0.9561747995922687</v>
      </c>
      <c r="C12" s="116">
        <f>1/(1-B5*B4/(1-B5*B4/(1-B5*B4/(1-B5*B4/(1-B5*B4)))))</f>
        <v>1.6463817633977247</v>
      </c>
      <c r="D12" s="194">
        <f>C12*B5*C11</f>
        <v>1.112967156114832</v>
      </c>
      <c r="E12" s="1">
        <f>D12*B5*C10</f>
        <v>0.72792618170388068</v>
      </c>
      <c r="F12" s="1">
        <f>E12*B5*C9</f>
        <v>0.44998750145190147</v>
      </c>
      <c r="G12" s="1">
        <f>F12*B5*C8</f>
        <v>0.24935973683959908</v>
      </c>
      <c r="H12" s="1">
        <f>G12*B5</f>
        <v>0.10453822478220046</v>
      </c>
      <c r="I12" s="1">
        <f>H12*B5</f>
        <v>4.3825200407728505E-2</v>
      </c>
      <c r="J12" s="1"/>
      <c r="K12" s="1"/>
      <c r="L12" s="1"/>
      <c r="M12" s="9"/>
      <c r="N12">
        <f>B12+I12</f>
        <v>0.99999999999999722</v>
      </c>
      <c r="O12" s="116">
        <f>B12/(B12+I12)</f>
        <v>0.95617479959227136</v>
      </c>
      <c r="P12" s="112">
        <f>B12-I12</f>
        <v>0.91234959918454017</v>
      </c>
      <c r="Q12" s="112">
        <f>($G$2*SUM(C12:H12))*B12</f>
        <v>11.855579968065184</v>
      </c>
      <c r="R12" s="9">
        <f>($I$2*SUM(C12:H12))*I12*COUNT(D12:M12)</f>
        <v>4.7003717281228461</v>
      </c>
      <c r="S12" s="9">
        <f t="shared" si="3"/>
        <v>7.155208239942338</v>
      </c>
      <c r="T12" s="112">
        <f>(S12+U12*I12)/B12</f>
        <v>7.7581624673145066</v>
      </c>
      <c r="U12" s="9">
        <f t="shared" si="2"/>
        <v>6</v>
      </c>
    </row>
    <row r="13" spans="1:21" x14ac:dyDescent="0.2">
      <c r="A13" s="209">
        <v>7</v>
      </c>
      <c r="B13" s="116">
        <f>C13*B4</f>
        <v>0.96933521359813446</v>
      </c>
      <c r="C13" s="216">
        <f>1/(1-B5*B4/(1-B5*B4/(1-B5*B4/(1-B5*B4/(1-B5*B4/(1-B5*B4))))))</f>
        <v>1.6690419146872804</v>
      </c>
      <c r="D13" s="217">
        <f>C13*B5*C12</f>
        <v>1.1519843524003508</v>
      </c>
      <c r="E13" s="218">
        <f>D13*B5*C11</f>
        <v>0.7787505772256762</v>
      </c>
      <c r="F13" s="218">
        <f>E13*B5*C10</f>
        <v>0.50933482723643952</v>
      </c>
      <c r="G13" s="218">
        <f>F13*B5*C9</f>
        <v>0.31485927017225662</v>
      </c>
      <c r="H13" s="218">
        <f>G13*B5*C8</f>
        <v>0.17447867884849311</v>
      </c>
      <c r="I13" s="218">
        <f>H13*B5</f>
        <v>7.3146096400068944E-2</v>
      </c>
      <c r="J13" s="218">
        <f>I13*B5</f>
        <v>3.0664786401862345E-2</v>
      </c>
      <c r="K13" s="218"/>
      <c r="L13" s="218"/>
      <c r="M13" s="219"/>
      <c r="N13">
        <f>B13+J13</f>
        <v>0.99999999999999678</v>
      </c>
      <c r="O13" s="116">
        <f>B13/(B13+J13)</f>
        <v>0.96933521359813757</v>
      </c>
      <c r="P13" s="112">
        <f>B13-J13</f>
        <v>0.93867042719627214</v>
      </c>
      <c r="Q13" s="112">
        <f>($G$2*SUM(C13:I13))*B13</f>
        <v>13.084284757107238</v>
      </c>
      <c r="R13" s="9">
        <f>($I$2*SUM(C13:I13))*J13*COUNT(D13:M13)</f>
        <v>4.1772023606778594</v>
      </c>
      <c r="S13" s="9">
        <f t="shared" si="3"/>
        <v>8.9070823964293773</v>
      </c>
      <c r="T13" s="112">
        <f>(S13+U13*J13)/B13</f>
        <v>9.4103007641524599</v>
      </c>
      <c r="U13" s="9">
        <f t="shared" si="2"/>
        <v>7</v>
      </c>
    </row>
    <row r="14" spans="1:21" x14ac:dyDescent="0.2">
      <c r="A14" s="209">
        <v>8</v>
      </c>
      <c r="B14" s="116">
        <f>C14*B4</f>
        <v>0.97834422780765384</v>
      </c>
      <c r="C14" s="116">
        <f>1/(1-B5*B4/(1-B5*B4/(1-B5*B4/(1-B5*B4/(1-B5*B4/(1-B5*B4/(1-B5*B4)))))))</f>
        <v>1.6845540121689002</v>
      </c>
      <c r="D14" s="194">
        <f>C14*B5*C13</f>
        <v>1.1786937306611842</v>
      </c>
      <c r="E14" s="1">
        <f>D14*B5*C12</f>
        <v>0.81354262109618047</v>
      </c>
      <c r="F14" s="1">
        <f>E14*B5*C11</f>
        <v>0.54996127721374011</v>
      </c>
      <c r="G14" s="1">
        <f>F14*B5*C10</f>
        <v>0.35969723851031815</v>
      </c>
      <c r="H14" s="1">
        <f>G14*B5*C9</f>
        <v>0.22235669729248847</v>
      </c>
      <c r="I14" s="1">
        <f>H14*B5*C8</f>
        <v>0.12321855016522933</v>
      </c>
      <c r="J14" s="1">
        <f>I14*B5</f>
        <v>5.1656488965559563E-2</v>
      </c>
      <c r="K14" s="1">
        <f>J14*B5</f>
        <v>2.1655772192342861E-2</v>
      </c>
      <c r="L14" s="1"/>
      <c r="M14" s="9"/>
      <c r="N14">
        <f>B14+K14</f>
        <v>0.99999999999999667</v>
      </c>
      <c r="O14" s="116">
        <f>B14/(B14+K14)</f>
        <v>0.97834422780765706</v>
      </c>
      <c r="P14" s="112">
        <f>B14-K14</f>
        <v>0.95668845561531102</v>
      </c>
      <c r="Q14" s="112">
        <f>($G$2*SUM(C14:J14))*B14</f>
        <v>14.088106795101794</v>
      </c>
      <c r="R14" s="9">
        <f>($I$2*SUM(C14:J14))*K14*COUNT(D14:M14)</f>
        <v>3.5966331499363915</v>
      </c>
      <c r="S14" s="9">
        <f t="shared" si="3"/>
        <v>10.491473645165403</v>
      </c>
      <c r="T14" s="112">
        <f>(S14+U14*K14)/B14</f>
        <v>10.900784733613076</v>
      </c>
      <c r="U14" s="9">
        <f t="shared" si="2"/>
        <v>8</v>
      </c>
    </row>
    <row r="15" spans="1:21" x14ac:dyDescent="0.2">
      <c r="A15" s="209">
        <v>9</v>
      </c>
      <c r="B15" s="116">
        <f>C15*B4</f>
        <v>0.98460855752367871</v>
      </c>
      <c r="C15" s="116">
        <f>1/(1-B5*B4/(1-B5*B4/(1-B5*B4/(1-B5*B4/(1-B5*B4/(1-B5*B4/(1-B5*B4/(1-B5*B4))))))))</f>
        <v>1.6953401970890338</v>
      </c>
      <c r="D15" s="194">
        <f>C15*B5*C14</f>
        <v>1.1972658350051977</v>
      </c>
      <c r="E15" s="1">
        <f>D15*B5*C13</f>
        <v>0.83773492773822722</v>
      </c>
      <c r="F15" s="1">
        <f>E15*B5*C12</f>
        <v>0.578210480947984</v>
      </c>
      <c r="G15" s="1">
        <f>F15*B5*C11</f>
        <v>0.39087488025157774</v>
      </c>
      <c r="H15" s="1">
        <f>G15*B5*C10</f>
        <v>0.25564820807356869</v>
      </c>
      <c r="I15" s="1">
        <f>H15*B5*C9</f>
        <v>0.15803594003502749</v>
      </c>
      <c r="J15" s="1">
        <f>I15*B5*C8</f>
        <v>8.7575322183799278E-2</v>
      </c>
      <c r="K15" s="1">
        <f>J15*B5</f>
        <v>3.6713901096681774E-2</v>
      </c>
      <c r="L15" s="1">
        <f>K15*B5</f>
        <v>1.5391442476317645E-2</v>
      </c>
      <c r="M15" s="9"/>
      <c r="N15">
        <f>B15+L15</f>
        <v>0.99999999999999634</v>
      </c>
      <c r="O15" s="116">
        <f>B15/(B15+L15)</f>
        <v>0.98460855752368226</v>
      </c>
      <c r="P15" s="112">
        <f>B15-L15</f>
        <v>0.96921711504736108</v>
      </c>
      <c r="Q15" s="112">
        <f>($G$2*SUM(C15:K15))*B15</f>
        <v>14.900130432747321</v>
      </c>
      <c r="R15" s="9">
        <f>($I$2*SUM(C15:K15))*L15*COUNT(D15:M15)</f>
        <v>3.022176544183885</v>
      </c>
      <c r="S15" s="9">
        <f t="shared" si="3"/>
        <v>11.877953888563436</v>
      </c>
      <c r="T15" s="112">
        <f>(S15+U15*L15)/B15</f>
        <v>12.204318943837039</v>
      </c>
      <c r="U15" s="9">
        <f t="shared" si="2"/>
        <v>9</v>
      </c>
    </row>
    <row r="16" spans="1:21" ht="17" thickBot="1" x14ac:dyDescent="0.25">
      <c r="A16" s="210">
        <v>10</v>
      </c>
      <c r="B16" s="195">
        <f>C16*B4</f>
        <v>0.98901189297347736</v>
      </c>
      <c r="C16" s="195">
        <f>1/(1-B5*B4/(1-B5*B4/(1-B5*B4/(1-B5*B4/(1-B5*B4/(1-B5*B4/(1-B5*B4/(1-B5*B4/(1-B5*B4)))))))))</f>
        <v>1.702922044242674</v>
      </c>
      <c r="D16" s="213">
        <f>C16*B5*C15</f>
        <v>1.2103205765565799</v>
      </c>
      <c r="E16" s="131">
        <f>D16*B5*C14</f>
        <v>0.85474023337800031</v>
      </c>
      <c r="F16" s="131">
        <f>E16*B5*C13</f>
        <v>0.59806746898508634</v>
      </c>
      <c r="G16" s="131">
        <f>F16*B5*C12</f>
        <v>0.41279033191900943</v>
      </c>
      <c r="H16" s="131">
        <f>G16*B5*C11</f>
        <v>0.27904954488773243</v>
      </c>
      <c r="I16" s="131">
        <f>H16*B5*C10</f>
        <v>0.1825098508975001</v>
      </c>
      <c r="J16" s="131">
        <f>I16*B5*C9</f>
        <v>0.11282346185637593</v>
      </c>
      <c r="K16" s="131">
        <f>J16*B5*C8</f>
        <v>6.2520911507684643E-2</v>
      </c>
      <c r="L16" s="131">
        <f>K16*B5</f>
        <v>2.6210426685614355E-2</v>
      </c>
      <c r="M16" s="10">
        <f>L16*B5</f>
        <v>1.0988107026519046E-2</v>
      </c>
      <c r="N16">
        <f>B16+M16</f>
        <v>0.99999999999999645</v>
      </c>
      <c r="O16" s="195">
        <f>B16/(B16+M16)</f>
        <v>0.98901189297348091</v>
      </c>
      <c r="P16" s="113">
        <f>B16-M16</f>
        <v>0.97802378594695827</v>
      </c>
      <c r="Q16" s="113">
        <f>($G$2*SUM(C16:L16))*B16</f>
        <v>15.551317715573877</v>
      </c>
      <c r="R16" s="10">
        <f>($I$2*SUM(C16:L16))*M16*COUNT(D16:M16)</f>
        <v>2.4909218055142315</v>
      </c>
      <c r="S16" s="10">
        <f t="shared" si="3"/>
        <v>13.060395910059645</v>
      </c>
      <c r="T16" s="113">
        <f>(S16+U16*M16)/B16</f>
        <v>13.316601219757048</v>
      </c>
      <c r="U16" s="10">
        <f t="shared" si="2"/>
        <v>10</v>
      </c>
    </row>
    <row r="17" spans="1:8" ht="17" thickBot="1" x14ac:dyDescent="0.25"/>
    <row r="18" spans="1:8" ht="17" thickBot="1" x14ac:dyDescent="0.25">
      <c r="A18" s="138" t="s">
        <v>140</v>
      </c>
      <c r="B18" s="139" t="s">
        <v>145</v>
      </c>
      <c r="C18" s="139" t="s">
        <v>144</v>
      </c>
      <c r="D18" s="241" t="s">
        <v>143</v>
      </c>
      <c r="E18" s="231" t="s">
        <v>157</v>
      </c>
      <c r="F18" s="234" t="s">
        <v>156</v>
      </c>
      <c r="G18" s="255" t="s">
        <v>158</v>
      </c>
      <c r="H18" s="256" t="s">
        <v>159</v>
      </c>
    </row>
    <row r="19" spans="1:8" x14ac:dyDescent="0.2">
      <c r="A19" s="264">
        <v>1</v>
      </c>
      <c r="B19" s="146">
        <v>1</v>
      </c>
      <c r="C19" s="150">
        <f>B19*$M$3</f>
        <v>3</v>
      </c>
      <c r="D19" s="151">
        <f>SUM($C$19:C19)</f>
        <v>3</v>
      </c>
      <c r="E19" s="9">
        <f>B19/P7</f>
        <v>6.1901536271377555</v>
      </c>
      <c r="F19" s="9">
        <f>D19/P7</f>
        <v>18.570460881413265</v>
      </c>
      <c r="G19" s="28">
        <f>S7/E19</f>
        <v>-1.102564735458408E-2</v>
      </c>
      <c r="H19" s="8">
        <f>S7/F19</f>
        <v>-3.6752157848613607E-3</v>
      </c>
    </row>
    <row r="20" spans="1:8" x14ac:dyDescent="0.2">
      <c r="A20" s="265">
        <v>2</v>
      </c>
      <c r="B20" s="141">
        <f>B19*($M$3+1)</f>
        <v>4</v>
      </c>
      <c r="C20" s="140">
        <f>B20*$M$3</f>
        <v>12</v>
      </c>
      <c r="D20" s="142">
        <f>SUM($C$19:C20)</f>
        <v>15</v>
      </c>
      <c r="E20" s="9">
        <f t="shared" ref="E20:E28" si="4">B20/P8</f>
        <v>7.4714297733760313</v>
      </c>
      <c r="F20" s="9">
        <f t="shared" ref="F20:F28" si="5">D20/P8</f>
        <v>28.017861650160118</v>
      </c>
      <c r="G20" s="112">
        <f t="shared" ref="G20:G28" si="6">S8/E20</f>
        <v>7.09815633338816E-2</v>
      </c>
      <c r="H20" s="9">
        <f t="shared" ref="H20:H28" si="7">S8/F20</f>
        <v>1.8928416889035092E-2</v>
      </c>
    </row>
    <row r="21" spans="1:8" x14ac:dyDescent="0.2">
      <c r="A21" s="265">
        <v>3</v>
      </c>
      <c r="B21" s="141">
        <f t="shared" ref="B21:B28" si="8">B20*($M$3+1)</f>
        <v>16</v>
      </c>
      <c r="C21" s="140">
        <f t="shared" ref="C21:C28" si="9">B21*$M$3</f>
        <v>48</v>
      </c>
      <c r="D21" s="142">
        <f>SUM($C$19:C21)</f>
        <v>63</v>
      </c>
      <c r="E21" s="9">
        <f t="shared" si="4"/>
        <v>22.447383482759832</v>
      </c>
      <c r="F21" s="9">
        <f t="shared" si="5"/>
        <v>88.386572463366832</v>
      </c>
      <c r="G21" s="112">
        <f t="shared" si="6"/>
        <v>7.977271624276408E-2</v>
      </c>
      <c r="H21" s="9">
        <f t="shared" si="7"/>
        <v>2.0259737458479768E-2</v>
      </c>
    </row>
    <row r="22" spans="1:8" x14ac:dyDescent="0.2">
      <c r="A22" s="265">
        <v>4</v>
      </c>
      <c r="B22" s="141">
        <f t="shared" si="8"/>
        <v>64</v>
      </c>
      <c r="C22" s="140">
        <f t="shared" si="9"/>
        <v>192</v>
      </c>
      <c r="D22" s="142">
        <f>SUM($C$19:C22)</f>
        <v>255</v>
      </c>
      <c r="E22" s="9">
        <f t="shared" si="4"/>
        <v>78.803662295841164</v>
      </c>
      <c r="F22" s="9">
        <f t="shared" si="5"/>
        <v>313.98334195999217</v>
      </c>
      <c r="G22" s="112">
        <f t="shared" si="6"/>
        <v>4.3866754563417862E-2</v>
      </c>
      <c r="H22" s="9">
        <f t="shared" si="7"/>
        <v>1.1009695262975462E-2</v>
      </c>
    </row>
    <row r="23" spans="1:8" x14ac:dyDescent="0.2">
      <c r="A23" s="265">
        <v>5</v>
      </c>
      <c r="B23" s="141">
        <f t="shared" si="8"/>
        <v>256</v>
      </c>
      <c r="C23" s="140">
        <f t="shared" si="9"/>
        <v>768</v>
      </c>
      <c r="D23" s="142">
        <f>SUM($C$19:C23)</f>
        <v>1023</v>
      </c>
      <c r="E23" s="9">
        <f t="shared" si="4"/>
        <v>293.23883198186985</v>
      </c>
      <c r="F23" s="9">
        <f t="shared" si="5"/>
        <v>1171.8098637400501</v>
      </c>
      <c r="G23" s="112">
        <f t="shared" si="6"/>
        <v>1.8078080696141113E-2</v>
      </c>
      <c r="H23" s="9">
        <f t="shared" si="7"/>
        <v>4.5239380823187932E-3</v>
      </c>
    </row>
    <row r="24" spans="1:8" x14ac:dyDescent="0.2">
      <c r="A24" s="265">
        <v>6</v>
      </c>
      <c r="B24" s="141">
        <f t="shared" si="8"/>
        <v>1024</v>
      </c>
      <c r="C24" s="140">
        <f t="shared" si="9"/>
        <v>3072</v>
      </c>
      <c r="D24" s="142">
        <f>SUM($C$19:C24)</f>
        <v>4095</v>
      </c>
      <c r="E24" s="9">
        <f t="shared" si="4"/>
        <v>1122.3767741173483</v>
      </c>
      <c r="F24" s="9">
        <f t="shared" si="5"/>
        <v>4488.4110254009192</v>
      </c>
      <c r="G24" s="112">
        <f t="shared" si="6"/>
        <v>6.3750501658137813E-3</v>
      </c>
      <c r="H24" s="9">
        <f t="shared" si="7"/>
        <v>1.5941517386552655E-3</v>
      </c>
    </row>
    <row r="25" spans="1:8" x14ac:dyDescent="0.2">
      <c r="A25" s="265">
        <v>7</v>
      </c>
      <c r="B25" s="141">
        <f t="shared" si="8"/>
        <v>4096</v>
      </c>
      <c r="C25" s="140">
        <f t="shared" si="9"/>
        <v>12288</v>
      </c>
      <c r="D25" s="142">
        <f>SUM($C$19:C25)</f>
        <v>16383</v>
      </c>
      <c r="E25" s="9">
        <f t="shared" si="4"/>
        <v>4363.6188819055478</v>
      </c>
      <c r="F25" s="9">
        <f t="shared" si="5"/>
        <v>17453.4101909811</v>
      </c>
      <c r="G25" s="112">
        <f t="shared" si="6"/>
        <v>2.041214560090029E-3</v>
      </c>
      <c r="H25" s="9">
        <f t="shared" si="7"/>
        <v>5.1033478838605629E-4</v>
      </c>
    </row>
    <row r="26" spans="1:8" x14ac:dyDescent="0.2">
      <c r="A26" s="265">
        <v>8</v>
      </c>
      <c r="B26" s="141">
        <f t="shared" si="8"/>
        <v>16384</v>
      </c>
      <c r="C26" s="140">
        <f t="shared" si="9"/>
        <v>49152</v>
      </c>
      <c r="D26" s="142">
        <f>SUM($C$19:C26)</f>
        <v>65535</v>
      </c>
      <c r="E26" s="9">
        <f t="shared" si="4"/>
        <v>17125.742349908825</v>
      </c>
      <c r="F26" s="9">
        <f t="shared" si="5"/>
        <v>68501.924127275066</v>
      </c>
      <c r="G26" s="112">
        <f t="shared" si="6"/>
        <v>6.1261424064465485E-4</v>
      </c>
      <c r="H26" s="9">
        <f t="shared" si="7"/>
        <v>1.5315589713469182E-4</v>
      </c>
    </row>
    <row r="27" spans="1:8" x14ac:dyDescent="0.2">
      <c r="A27" s="265">
        <v>9</v>
      </c>
      <c r="B27" s="141">
        <f t="shared" si="8"/>
        <v>65536</v>
      </c>
      <c r="C27" s="140">
        <f t="shared" si="9"/>
        <v>196608</v>
      </c>
      <c r="D27" s="142">
        <f>SUM($C$19:C27)</f>
        <v>262143</v>
      </c>
      <c r="E27" s="9">
        <f t="shared" si="4"/>
        <v>67617.460507594893</v>
      </c>
      <c r="F27" s="9">
        <f t="shared" si="5"/>
        <v>270468.81026981276</v>
      </c>
      <c r="G27" s="112">
        <f t="shared" si="6"/>
        <v>1.7566400452482663E-4</v>
      </c>
      <c r="H27" s="9">
        <f t="shared" si="7"/>
        <v>4.3916168658095151E-5</v>
      </c>
    </row>
    <row r="28" spans="1:8" ht="17" thickBot="1" x14ac:dyDescent="0.25">
      <c r="A28" s="266">
        <v>10</v>
      </c>
      <c r="B28" s="143">
        <f t="shared" si="8"/>
        <v>262144</v>
      </c>
      <c r="C28" s="144">
        <f t="shared" si="9"/>
        <v>786432</v>
      </c>
      <c r="D28" s="145">
        <f>SUM($C$19:C28)</f>
        <v>1048575</v>
      </c>
      <c r="E28" s="9">
        <f t="shared" si="4"/>
        <v>268034.38092886732</v>
      </c>
      <c r="F28" s="9">
        <f t="shared" si="5"/>
        <v>1072136.5012454493</v>
      </c>
      <c r="G28" s="113">
        <f t="shared" si="6"/>
        <v>4.8726569572153867E-5</v>
      </c>
      <c r="H28" s="10">
        <f t="shared" si="7"/>
        <v>1.2181654010369028E-5</v>
      </c>
    </row>
    <row r="29" spans="1:8" ht="17" thickBot="1" x14ac:dyDescent="0.25"/>
    <row r="30" spans="1:8" ht="17" thickBot="1" x14ac:dyDescent="0.25">
      <c r="A30" s="29" t="s">
        <v>140</v>
      </c>
      <c r="B30" s="19" t="s">
        <v>145</v>
      </c>
      <c r="C30" s="19" t="s">
        <v>144</v>
      </c>
      <c r="D30" s="19" t="s">
        <v>143</v>
      </c>
      <c r="E30" s="231" t="s">
        <v>157</v>
      </c>
      <c r="F30" s="234" t="s">
        <v>156</v>
      </c>
      <c r="G30" s="257" t="s">
        <v>158</v>
      </c>
      <c r="H30" s="258" t="s">
        <v>159</v>
      </c>
    </row>
    <row r="31" spans="1:8" x14ac:dyDescent="0.2">
      <c r="A31" s="264">
        <v>1</v>
      </c>
      <c r="B31" s="146">
        <v>1</v>
      </c>
      <c r="C31" s="150">
        <f>B31*$M$3</f>
        <v>3</v>
      </c>
      <c r="D31" s="151">
        <f>SUM($C$31:C31)</f>
        <v>3</v>
      </c>
      <c r="E31" s="129">
        <f>B31/P7</f>
        <v>6.1901536271377555</v>
      </c>
      <c r="F31" s="58">
        <f>D31/P7</f>
        <v>18.570460881413265</v>
      </c>
      <c r="G31" s="28">
        <f>S7/E31</f>
        <v>-1.102564735458408E-2</v>
      </c>
      <c r="H31" s="8">
        <f>S7/F31</f>
        <v>-3.6752157848613607E-3</v>
      </c>
    </row>
    <row r="32" spans="1:8" x14ac:dyDescent="0.2">
      <c r="A32" s="265">
        <v>2</v>
      </c>
      <c r="B32" s="141">
        <f>C31</f>
        <v>3</v>
      </c>
      <c r="C32" s="140">
        <f>B32*$M$3</f>
        <v>9</v>
      </c>
      <c r="D32" s="142">
        <f>SUM($C$31:C32)</f>
        <v>12</v>
      </c>
      <c r="E32" s="112">
        <f t="shared" ref="E32:E40" si="10">B32/P8</f>
        <v>5.6035723300320237</v>
      </c>
      <c r="F32" s="9">
        <f t="shared" ref="F32:F40" si="11">D32/P8</f>
        <v>22.414289320128095</v>
      </c>
      <c r="G32" s="112">
        <f t="shared" ref="G32:G40" si="12">S8/E32</f>
        <v>9.4642084445175453E-2</v>
      </c>
      <c r="H32" s="9">
        <f t="shared" ref="H32:H40" si="13">S8/F32</f>
        <v>2.3660521111293863E-2</v>
      </c>
    </row>
    <row r="33" spans="1:8" x14ac:dyDescent="0.2">
      <c r="A33" s="265">
        <v>3</v>
      </c>
      <c r="B33" s="141">
        <f t="shared" ref="B33:B40" si="14">C32</f>
        <v>9</v>
      </c>
      <c r="C33" s="140">
        <f t="shared" ref="C33:C40" si="15">B33*$M$3</f>
        <v>27</v>
      </c>
      <c r="D33" s="142">
        <f>SUM($C$31:C33)</f>
        <v>39</v>
      </c>
      <c r="E33" s="112">
        <f t="shared" si="10"/>
        <v>12.626653209052405</v>
      </c>
      <c r="F33" s="9">
        <f t="shared" si="11"/>
        <v>54.715497239227091</v>
      </c>
      <c r="G33" s="112">
        <f t="shared" si="12"/>
        <v>0.14181816220935836</v>
      </c>
      <c r="H33" s="9">
        <f t="shared" si="13"/>
        <v>3.2727268202159619E-2</v>
      </c>
    </row>
    <row r="34" spans="1:8" x14ac:dyDescent="0.2">
      <c r="A34" s="265">
        <v>4</v>
      </c>
      <c r="B34" s="141">
        <f t="shared" si="14"/>
        <v>27</v>
      </c>
      <c r="C34" s="140">
        <f t="shared" si="15"/>
        <v>81</v>
      </c>
      <c r="D34" s="142">
        <f>SUM($C$31:C34)</f>
        <v>120</v>
      </c>
      <c r="E34" s="112">
        <f t="shared" si="10"/>
        <v>33.245295031057992</v>
      </c>
      <c r="F34" s="9">
        <f t="shared" si="11"/>
        <v>147.75686680470218</v>
      </c>
      <c r="G34" s="112">
        <f t="shared" si="12"/>
        <v>0.10398045526143493</v>
      </c>
      <c r="H34" s="9">
        <f t="shared" si="13"/>
        <v>2.3395602433822858E-2</v>
      </c>
    </row>
    <row r="35" spans="1:8" x14ac:dyDescent="0.2">
      <c r="A35" s="265">
        <v>5</v>
      </c>
      <c r="B35" s="141">
        <f t="shared" si="14"/>
        <v>81</v>
      </c>
      <c r="C35" s="140">
        <f t="shared" si="15"/>
        <v>243</v>
      </c>
      <c r="D35" s="142">
        <f>SUM($C$31:C35)</f>
        <v>363</v>
      </c>
      <c r="E35" s="112">
        <f t="shared" si="10"/>
        <v>92.782599181763501</v>
      </c>
      <c r="F35" s="9">
        <f t="shared" si="11"/>
        <v>415.803500036792</v>
      </c>
      <c r="G35" s="112">
        <f t="shared" si="12"/>
        <v>5.7135662447063272E-2</v>
      </c>
      <c r="H35" s="9">
        <f t="shared" si="13"/>
        <v>1.2749280050171143E-2</v>
      </c>
    </row>
    <row r="36" spans="1:8" x14ac:dyDescent="0.2">
      <c r="A36" s="265">
        <v>6</v>
      </c>
      <c r="B36" s="141">
        <f t="shared" si="14"/>
        <v>243</v>
      </c>
      <c r="C36" s="140">
        <f t="shared" si="15"/>
        <v>729</v>
      </c>
      <c r="D36" s="142">
        <f>SUM($C$31:C36)</f>
        <v>1092</v>
      </c>
      <c r="E36" s="112">
        <f t="shared" si="10"/>
        <v>266.34526963917546</v>
      </c>
      <c r="F36" s="9">
        <f t="shared" si="11"/>
        <v>1196.9096067735786</v>
      </c>
      <c r="G36" s="112">
        <f t="shared" si="12"/>
        <v>2.6864408929190581E-2</v>
      </c>
      <c r="H36" s="9">
        <f t="shared" si="13"/>
        <v>5.9780690199572441E-3</v>
      </c>
    </row>
    <row r="37" spans="1:8" x14ac:dyDescent="0.2">
      <c r="A37" s="265">
        <v>7</v>
      </c>
      <c r="B37" s="141">
        <f t="shared" si="14"/>
        <v>729</v>
      </c>
      <c r="C37" s="140">
        <f t="shared" si="15"/>
        <v>2187</v>
      </c>
      <c r="D37" s="142">
        <f>SUM($C$31:C37)</f>
        <v>3279</v>
      </c>
      <c r="E37" s="112">
        <f t="shared" si="10"/>
        <v>776.63041135477158</v>
      </c>
      <c r="F37" s="9">
        <f t="shared" si="11"/>
        <v>3493.2388461348369</v>
      </c>
      <c r="G37" s="112">
        <f t="shared" si="12"/>
        <v>1.1468881808132728E-2</v>
      </c>
      <c r="H37" s="9">
        <f t="shared" si="13"/>
        <v>2.5498062940313383E-3</v>
      </c>
    </row>
    <row r="38" spans="1:8" x14ac:dyDescent="0.2">
      <c r="A38" s="265">
        <v>8</v>
      </c>
      <c r="B38" s="141">
        <f t="shared" si="14"/>
        <v>2187</v>
      </c>
      <c r="C38" s="140">
        <f t="shared" si="15"/>
        <v>6561</v>
      </c>
      <c r="D38" s="142">
        <f>SUM($C$31:C38)</f>
        <v>9840</v>
      </c>
      <c r="E38" s="112">
        <f t="shared" si="10"/>
        <v>2286.0106518097286</v>
      </c>
      <c r="F38" s="9">
        <f t="shared" si="11"/>
        <v>10285.480024603445</v>
      </c>
      <c r="G38" s="112">
        <f t="shared" si="12"/>
        <v>4.5894246541938856E-3</v>
      </c>
      <c r="H38" s="9">
        <f t="shared" si="13"/>
        <v>1.0200276136912629E-3</v>
      </c>
    </row>
    <row r="39" spans="1:8" x14ac:dyDescent="0.2">
      <c r="A39" s="265">
        <v>9</v>
      </c>
      <c r="B39" s="141">
        <f t="shared" si="14"/>
        <v>6561</v>
      </c>
      <c r="C39" s="140">
        <f t="shared" si="15"/>
        <v>19683</v>
      </c>
      <c r="D39" s="142">
        <f>SUM($C$31:C39)</f>
        <v>29523</v>
      </c>
      <c r="E39" s="112">
        <f t="shared" si="10"/>
        <v>6769.3810789540121</v>
      </c>
      <c r="F39" s="9">
        <f t="shared" si="11"/>
        <v>30460.667214442812</v>
      </c>
      <c r="G39" s="112">
        <f t="shared" si="12"/>
        <v>1.7546587716108881E-3</v>
      </c>
      <c r="H39" s="9">
        <f t="shared" si="13"/>
        <v>3.8994398267584723E-4</v>
      </c>
    </row>
    <row r="40" spans="1:8" ht="17" thickBot="1" x14ac:dyDescent="0.25">
      <c r="A40" s="266">
        <v>10</v>
      </c>
      <c r="B40" s="143">
        <f t="shared" si="14"/>
        <v>19683</v>
      </c>
      <c r="C40" s="144">
        <f t="shared" si="15"/>
        <v>59049</v>
      </c>
      <c r="D40" s="145">
        <f>SUM($C$31:C40)</f>
        <v>88572</v>
      </c>
      <c r="E40" s="113">
        <f t="shared" si="10"/>
        <v>20125.277404109554</v>
      </c>
      <c r="F40" s="10">
        <f t="shared" si="11"/>
        <v>90562.214613462973</v>
      </c>
      <c r="G40" s="113">
        <f t="shared" si="12"/>
        <v>6.4895482669931944E-4</v>
      </c>
      <c r="H40" s="10">
        <f t="shared" si="13"/>
        <v>1.442146259983144E-4</v>
      </c>
    </row>
    <row r="41" spans="1:8" ht="17" thickBot="1" x14ac:dyDescent="0.25"/>
    <row r="42" spans="1:8" ht="17" thickBot="1" x14ac:dyDescent="0.25">
      <c r="A42" s="138" t="s">
        <v>140</v>
      </c>
      <c r="B42" s="139" t="s">
        <v>145</v>
      </c>
      <c r="C42" s="139" t="s">
        <v>144</v>
      </c>
      <c r="D42" s="241" t="s">
        <v>143</v>
      </c>
      <c r="E42" s="231" t="s">
        <v>157</v>
      </c>
      <c r="F42" s="234" t="s">
        <v>156</v>
      </c>
      <c r="G42" s="259" t="s">
        <v>158</v>
      </c>
      <c r="H42" s="256" t="s">
        <v>159</v>
      </c>
    </row>
    <row r="43" spans="1:8" x14ac:dyDescent="0.2">
      <c r="A43" s="264">
        <v>1</v>
      </c>
      <c r="B43" s="146">
        <v>1</v>
      </c>
      <c r="C43" s="150">
        <f>B43*$M$3</f>
        <v>3</v>
      </c>
      <c r="D43" s="151">
        <f>SUM(C43:C43)</f>
        <v>3</v>
      </c>
      <c r="E43" s="129">
        <f>B43/P7</f>
        <v>6.1901536271377555</v>
      </c>
      <c r="F43" s="58">
        <f>D43/P7</f>
        <v>18.570460881413265</v>
      </c>
      <c r="G43" s="28">
        <f>S7/E43</f>
        <v>-1.102564735458408E-2</v>
      </c>
      <c r="H43" s="8">
        <f>S7/F43</f>
        <v>-3.6752157848613607E-3</v>
      </c>
    </row>
    <row r="44" spans="1:8" x14ac:dyDescent="0.2">
      <c r="A44" s="265">
        <v>2</v>
      </c>
      <c r="B44" s="141">
        <f>B43*$M$3*2</f>
        <v>6</v>
      </c>
      <c r="C44" s="140">
        <f>B44*$M$3</f>
        <v>18</v>
      </c>
      <c r="D44" s="142">
        <f>SUM($C$43:C44)</f>
        <v>21</v>
      </c>
      <c r="E44" s="112">
        <f t="shared" ref="E44:E52" si="16">B44/P8</f>
        <v>11.207144660064047</v>
      </c>
      <c r="F44" s="9">
        <f t="shared" ref="F44:F52" si="17">D44/P8</f>
        <v>39.225006310224167</v>
      </c>
      <c r="G44" s="112">
        <f t="shared" ref="G44:G52" si="18">S8/E44</f>
        <v>4.7321042222587727E-2</v>
      </c>
      <c r="H44" s="9">
        <f t="shared" ref="H44:H52" si="19">S8/F44</f>
        <v>1.3520297777882209E-2</v>
      </c>
    </row>
    <row r="45" spans="1:8" x14ac:dyDescent="0.2">
      <c r="A45" s="265">
        <v>3</v>
      </c>
      <c r="B45" s="141">
        <f t="shared" ref="B45:B52" si="20">B44*$M$3*2</f>
        <v>36</v>
      </c>
      <c r="C45" s="140">
        <f t="shared" ref="C45:C52" si="21">B45*$M$3</f>
        <v>108</v>
      </c>
      <c r="D45" s="142">
        <f>SUM($C$43:C45)</f>
        <v>129</v>
      </c>
      <c r="E45" s="112">
        <f t="shared" si="16"/>
        <v>50.506612836209619</v>
      </c>
      <c r="F45" s="9">
        <f t="shared" si="17"/>
        <v>180.98202932975116</v>
      </c>
      <c r="G45" s="112">
        <f t="shared" si="18"/>
        <v>3.545454055233959E-2</v>
      </c>
      <c r="H45" s="9">
        <f t="shared" si="19"/>
        <v>9.8942903866994208E-3</v>
      </c>
    </row>
    <row r="46" spans="1:8" x14ac:dyDescent="0.2">
      <c r="A46" s="265">
        <v>4</v>
      </c>
      <c r="B46" s="141">
        <f t="shared" si="20"/>
        <v>216</v>
      </c>
      <c r="C46" s="140">
        <f t="shared" si="21"/>
        <v>648</v>
      </c>
      <c r="D46" s="142">
        <f>SUM($C$43:C46)</f>
        <v>777</v>
      </c>
      <c r="E46" s="112">
        <f t="shared" si="16"/>
        <v>265.96236024846394</v>
      </c>
      <c r="F46" s="9">
        <f t="shared" si="17"/>
        <v>956.72571256044671</v>
      </c>
      <c r="G46" s="112">
        <f t="shared" si="18"/>
        <v>1.2997556907679366E-2</v>
      </c>
      <c r="H46" s="9">
        <f t="shared" si="19"/>
        <v>3.6132204531000552E-3</v>
      </c>
    </row>
    <row r="47" spans="1:8" x14ac:dyDescent="0.2">
      <c r="A47" s="265">
        <v>5</v>
      </c>
      <c r="B47" s="141">
        <f t="shared" si="20"/>
        <v>1296</v>
      </c>
      <c r="C47" s="140">
        <f t="shared" si="21"/>
        <v>3888</v>
      </c>
      <c r="D47" s="142">
        <f>SUM($C$43:C47)</f>
        <v>4665</v>
      </c>
      <c r="E47" s="112">
        <f t="shared" si="16"/>
        <v>1484.521586908216</v>
      </c>
      <c r="F47" s="9">
        <f t="shared" si="17"/>
        <v>5343.5904343571201</v>
      </c>
      <c r="G47" s="112">
        <f t="shared" si="18"/>
        <v>3.5709789029414545E-3</v>
      </c>
      <c r="H47" s="9">
        <f t="shared" si="19"/>
        <v>9.9206616467569669E-4</v>
      </c>
    </row>
    <row r="48" spans="1:8" x14ac:dyDescent="0.2">
      <c r="A48" s="265">
        <v>6</v>
      </c>
      <c r="B48" s="141">
        <f t="shared" si="20"/>
        <v>7776</v>
      </c>
      <c r="C48" s="140">
        <f t="shared" si="21"/>
        <v>23328</v>
      </c>
      <c r="D48" s="142">
        <f>SUM($C$43:C48)</f>
        <v>27993</v>
      </c>
      <c r="E48" s="112">
        <f t="shared" si="16"/>
        <v>8523.0486284536146</v>
      </c>
      <c r="F48" s="9">
        <f t="shared" si="17"/>
        <v>30682.317419791929</v>
      </c>
      <c r="G48" s="112">
        <f t="shared" si="18"/>
        <v>8.3951277903720567E-4</v>
      </c>
      <c r="H48" s="9">
        <f t="shared" si="19"/>
        <v>2.3320299252646415E-4</v>
      </c>
    </row>
    <row r="49" spans="1:8" x14ac:dyDescent="0.2">
      <c r="A49" s="265">
        <v>7</v>
      </c>
      <c r="B49" s="141">
        <f t="shared" si="20"/>
        <v>46656</v>
      </c>
      <c r="C49" s="140">
        <f t="shared" si="21"/>
        <v>139968</v>
      </c>
      <c r="D49" s="142">
        <f>SUM($C$43:C49)</f>
        <v>167961</v>
      </c>
      <c r="E49" s="112">
        <f t="shared" si="16"/>
        <v>49704.346326705381</v>
      </c>
      <c r="F49" s="9">
        <f t="shared" si="17"/>
        <v>178935.0075741547</v>
      </c>
      <c r="G49" s="112">
        <f t="shared" si="18"/>
        <v>1.7920127825207387E-4</v>
      </c>
      <c r="H49" s="9">
        <f t="shared" si="19"/>
        <v>4.9778310668123907E-5</v>
      </c>
    </row>
    <row r="50" spans="1:8" x14ac:dyDescent="0.2">
      <c r="A50" s="265">
        <v>8</v>
      </c>
      <c r="B50" s="141">
        <f t="shared" si="20"/>
        <v>279936</v>
      </c>
      <c r="C50" s="140">
        <f t="shared" si="21"/>
        <v>839808</v>
      </c>
      <c r="D50" s="142">
        <f>SUM($C$43:C50)</f>
        <v>1007769</v>
      </c>
      <c r="E50" s="112">
        <f t="shared" si="16"/>
        <v>292609.36343164527</v>
      </c>
      <c r="F50" s="9">
        <f t="shared" si="17"/>
        <v>1053393.0811905069</v>
      </c>
      <c r="G50" s="112">
        <f t="shared" si="18"/>
        <v>3.5854880110889731E-5</v>
      </c>
      <c r="H50" s="9">
        <f t="shared" si="19"/>
        <v>9.959694849436753E-6</v>
      </c>
    </row>
    <row r="51" spans="1:8" x14ac:dyDescent="0.2">
      <c r="A51" s="265">
        <v>9</v>
      </c>
      <c r="B51" s="141">
        <f t="shared" si="20"/>
        <v>1679616</v>
      </c>
      <c r="C51" s="140">
        <f t="shared" si="21"/>
        <v>5038848</v>
      </c>
      <c r="D51" s="142">
        <f>SUM($C$43:C51)</f>
        <v>6046617</v>
      </c>
      <c r="E51" s="112">
        <f t="shared" si="16"/>
        <v>1732961.5562122271</v>
      </c>
      <c r="F51" s="9">
        <f t="shared" si="17"/>
        <v>6238660.9833076773</v>
      </c>
      <c r="G51" s="112">
        <f t="shared" si="18"/>
        <v>6.8541358266050317E-6</v>
      </c>
      <c r="H51" s="9">
        <f t="shared" si="19"/>
        <v>1.9039268074262084E-6</v>
      </c>
    </row>
    <row r="52" spans="1:8" ht="17" thickBot="1" x14ac:dyDescent="0.25">
      <c r="A52" s="266">
        <v>10</v>
      </c>
      <c r="B52" s="143">
        <f t="shared" si="20"/>
        <v>10077696</v>
      </c>
      <c r="C52" s="144">
        <f t="shared" si="21"/>
        <v>30233088</v>
      </c>
      <c r="D52" s="145">
        <f>SUM($C$43:C52)</f>
        <v>36279705</v>
      </c>
      <c r="E52" s="113">
        <f t="shared" si="16"/>
        <v>10304142.030904092</v>
      </c>
      <c r="F52" s="10">
        <f t="shared" si="17"/>
        <v>37094910.697772719</v>
      </c>
      <c r="G52" s="113">
        <f t="shared" si="18"/>
        <v>1.2674898958971083E-6</v>
      </c>
      <c r="H52" s="10">
        <f t="shared" si="19"/>
        <v>3.5208053246085394E-7</v>
      </c>
    </row>
  </sheetData>
  <conditionalFormatting sqref="O7:O16">
    <cfRule type="cellIs" dxfId="719" priority="65" operator="lessThanOrEqual">
      <formula>0</formula>
    </cfRule>
    <cfRule type="cellIs" dxfId="718" priority="66" operator="greaterThan">
      <formula>0</formula>
    </cfRule>
  </conditionalFormatting>
  <conditionalFormatting sqref="P7:P16 S7:S16">
    <cfRule type="cellIs" dxfId="717" priority="55" operator="lessThanOrEqual">
      <formula>0</formula>
    </cfRule>
    <cfRule type="cellIs" dxfId="716" priority="56" operator="greaterThan">
      <formula>0</formula>
    </cfRule>
  </conditionalFormatting>
  <conditionalFormatting sqref="G43:G52">
    <cfRule type="cellIs" dxfId="715" priority="30" operator="equal">
      <formula>MAX($G$43:$G$52)</formula>
    </cfRule>
  </conditionalFormatting>
  <conditionalFormatting sqref="H43:H52">
    <cfRule type="cellIs" dxfId="714" priority="29" operator="equal">
      <formula>MAX($H$43:$H$52)</formula>
    </cfRule>
  </conditionalFormatting>
  <conditionalFormatting sqref="G31:G40">
    <cfRule type="cellIs" dxfId="713" priority="28" operator="equal">
      <formula>MAX($G$31:$G$40)</formula>
    </cfRule>
  </conditionalFormatting>
  <conditionalFormatting sqref="H31:H40">
    <cfRule type="cellIs" dxfId="712" priority="27" operator="equal">
      <formula>MAX($H$31:$H$40)</formula>
    </cfRule>
  </conditionalFormatting>
  <conditionalFormatting sqref="F19:F28">
    <cfRule type="cellIs" dxfId="711" priority="23" stopIfTrue="1" operator="lessThan">
      <formula>0</formula>
    </cfRule>
    <cfRule type="cellIs" dxfId="710" priority="24" operator="equal">
      <formula>MIN($F$19:$F$28)</formula>
    </cfRule>
  </conditionalFormatting>
  <conditionalFormatting sqref="E19:E28">
    <cfRule type="cellIs" dxfId="709" priority="21" stopIfTrue="1" operator="lessThan">
      <formula>0</formula>
    </cfRule>
    <cfRule type="cellIs" dxfId="708" priority="22" operator="equal">
      <formula>MIN($E$19:$E$28)</formula>
    </cfRule>
  </conditionalFormatting>
  <conditionalFormatting sqref="F31:F40">
    <cfRule type="cellIs" dxfId="707" priority="19" stopIfTrue="1" operator="lessThan">
      <formula>0</formula>
    </cfRule>
    <cfRule type="cellIs" dxfId="706" priority="20" operator="equal">
      <formula>MIN($F$31:$F$40)</formula>
    </cfRule>
  </conditionalFormatting>
  <conditionalFormatting sqref="E31:E40">
    <cfRule type="cellIs" dxfId="705" priority="17" stopIfTrue="1" operator="lessThan">
      <formula>0</formula>
    </cfRule>
    <cfRule type="cellIs" dxfId="704" priority="18" operator="equal">
      <formula>MIN($E$31:$E$40)</formula>
    </cfRule>
  </conditionalFormatting>
  <conditionalFormatting sqref="F43:F52">
    <cfRule type="cellIs" dxfId="703" priority="15" stopIfTrue="1" operator="lessThan">
      <formula>0</formula>
    </cfRule>
    <cfRule type="cellIs" dxfId="702" priority="16" operator="equal">
      <formula>MIN($F$43:$F$52)</formula>
    </cfRule>
  </conditionalFormatting>
  <conditionalFormatting sqref="E43:E52">
    <cfRule type="cellIs" dxfId="701" priority="13" stopIfTrue="1" operator="lessThan">
      <formula>0</formula>
    </cfRule>
    <cfRule type="cellIs" dxfId="700" priority="14" operator="equal">
      <formula>MIN($E$43:$E$52)</formula>
    </cfRule>
  </conditionalFormatting>
  <conditionalFormatting sqref="Q7:Q16">
    <cfRule type="cellIs" dxfId="699" priority="7" operator="lessThanOrEqual">
      <formula>0</formula>
    </cfRule>
    <cfRule type="cellIs" dxfId="698" priority="8" operator="greaterThan">
      <formula>0</formula>
    </cfRule>
  </conditionalFormatting>
  <conditionalFormatting sqref="R7:R16">
    <cfRule type="cellIs" dxfId="697" priority="5" operator="lessThanOrEqual">
      <formula>0</formula>
    </cfRule>
    <cfRule type="cellIs" dxfId="696" priority="6" operator="greaterThan">
      <formula>0</formula>
    </cfRule>
  </conditionalFormatting>
  <conditionalFormatting sqref="G19:G28">
    <cfRule type="cellIs" dxfId="695" priority="3" operator="lessThanOrEqual">
      <formula>0</formula>
    </cfRule>
    <cfRule type="cellIs" dxfId="694" priority="4" operator="equal">
      <formula>MAX($G$19:$G$28)</formula>
    </cfRule>
  </conditionalFormatting>
  <conditionalFormatting sqref="H19:H28">
    <cfRule type="cellIs" dxfId="693" priority="1" operator="lessThanOrEqual">
      <formula>0</formula>
    </cfRule>
    <cfRule type="cellIs" dxfId="692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U52"/>
  <sheetViews>
    <sheetView topLeftCell="A25" workbookViewId="0">
      <selection activeCell="F45" sqref="F45"/>
    </sheetView>
  </sheetViews>
  <sheetFormatPr baseColWidth="10" defaultColWidth="8.6640625" defaultRowHeight="16" x14ac:dyDescent="0.2"/>
  <cols>
    <col min="14" max="14" width="5.6640625" bestFit="1" customWidth="1"/>
  </cols>
  <sheetData>
    <row r="1" spans="1:21" x14ac:dyDescent="0.2">
      <c r="B1" s="202"/>
      <c r="C1" t="s">
        <v>99</v>
      </c>
      <c r="D1">
        <f>C2+E2</f>
        <v>0.99999999999999911</v>
      </c>
    </row>
    <row r="2" spans="1:21" x14ac:dyDescent="0.2">
      <c r="A2" t="s">
        <v>40</v>
      </c>
      <c r="B2" s="201" t="s">
        <v>129</v>
      </c>
      <c r="C2" s="222">
        <f>Analysis!B12</f>
        <v>0.61177203124863233</v>
      </c>
      <c r="D2" s="199" t="s">
        <v>130</v>
      </c>
      <c r="E2" s="222">
        <f>Analysis!G12</f>
        <v>0.38822796875136684</v>
      </c>
      <c r="F2" s="199" t="s">
        <v>49</v>
      </c>
      <c r="G2" s="222">
        <f>Analysis!S12</f>
        <v>4.2317427474881759</v>
      </c>
      <c r="H2" t="s">
        <v>163</v>
      </c>
      <c r="I2" s="238">
        <f>Analysis!T12</f>
        <v>7.1512948886091223</v>
      </c>
      <c r="J2" t="s">
        <v>50</v>
      </c>
      <c r="K2" s="238">
        <f>C2*G2-E2*I2</f>
        <v>-0.18747083219424221</v>
      </c>
      <c r="L2" t="s">
        <v>49</v>
      </c>
      <c r="M2" s="267">
        <v>1</v>
      </c>
    </row>
    <row r="3" spans="1:21" x14ac:dyDescent="0.2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4</v>
      </c>
    </row>
    <row r="4" spans="1:21" x14ac:dyDescent="0.2">
      <c r="A4" t="s">
        <v>127</v>
      </c>
      <c r="B4" s="202">
        <f>$C$2</f>
        <v>0.61177203124863233</v>
      </c>
      <c r="C4">
        <f>B4*$C$2</f>
        <v>0.37426501821807756</v>
      </c>
      <c r="D4">
        <f t="shared" ref="D4:K4" si="0">C4*$C$2</f>
        <v>0.2289648704205797</v>
      </c>
      <c r="E4">
        <f t="shared" si="0"/>
        <v>0.14007430386177794</v>
      </c>
      <c r="F4">
        <f t="shared" si="0"/>
        <v>8.5693541399258027E-2</v>
      </c>
      <c r="G4">
        <f t="shared" si="0"/>
        <v>5.2424911886712854E-2</v>
      </c>
      <c r="H4">
        <f t="shared" si="0"/>
        <v>3.2072094832964894E-2</v>
      </c>
      <c r="I4">
        <f t="shared" si="0"/>
        <v>1.9620810602361698E-2</v>
      </c>
      <c r="J4">
        <f t="shared" si="0"/>
        <v>1.2003463156951517E-2</v>
      </c>
      <c r="K4">
        <f t="shared" si="0"/>
        <v>7.3433830375463499E-3</v>
      </c>
    </row>
    <row r="5" spans="1:21" ht="17" thickBot="1" x14ac:dyDescent="0.25">
      <c r="A5" t="s">
        <v>128</v>
      </c>
      <c r="B5" s="202">
        <f>$E$2</f>
        <v>0.38822796875136684</v>
      </c>
      <c r="C5">
        <f>B5*$E$2</f>
        <v>0.15072095572081226</v>
      </c>
      <c r="D5">
        <f t="shared" ref="D5:K5" si="1">C5*$E$2</f>
        <v>5.8514090487755646E-2</v>
      </c>
      <c r="E5">
        <f t="shared" si="1"/>
        <v>2.271680649339505E-2</v>
      </c>
      <c r="F5">
        <f t="shared" si="1"/>
        <v>8.8192996414486208E-3</v>
      </c>
      <c r="G5">
        <f t="shared" si="1"/>
        <v>3.4238987856092559E-3</v>
      </c>
      <c r="H5">
        <f t="shared" si="1"/>
        <v>1.329253270747353E-3</v>
      </c>
      <c r="I5">
        <f t="shared" si="1"/>
        <v>5.1605329725835556E-4</v>
      </c>
      <c r="J5">
        <f t="shared" si="1"/>
        <v>2.0034632336205668E-4</v>
      </c>
      <c r="K5">
        <f t="shared" si="1"/>
        <v>7.7780046165655775E-5</v>
      </c>
    </row>
    <row r="6" spans="1:21" ht="17" thickBot="1" x14ac:dyDescent="0.25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">
      <c r="A7" s="208">
        <v>1</v>
      </c>
      <c r="B7" s="114">
        <f>C7*B4</f>
        <v>0.61177203124863233</v>
      </c>
      <c r="C7" s="114">
        <v>1</v>
      </c>
      <c r="D7" s="212">
        <f>C7*B5</f>
        <v>0.38822796875136684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0.99999999999999911</v>
      </c>
      <c r="O7" s="114">
        <f>B7/(B7+D7)</f>
        <v>0.61177203124863289</v>
      </c>
      <c r="P7" s="129">
        <f>B7-D7</f>
        <v>0.22354406249726549</v>
      </c>
      <c r="Q7" s="129">
        <f>($G$2*SUM(C7))*B7</f>
        <v>2.5888618563525094</v>
      </c>
      <c r="R7" s="58">
        <f>($I$2*SUM(C7))*D7*COUNT(D7:M7)</f>
        <v>2.7763326885467516</v>
      </c>
      <c r="S7" s="58">
        <f>Q7-R7</f>
        <v>-0.18747083219424221</v>
      </c>
      <c r="T7" s="129">
        <f>(S7+U7*D7)/B7</f>
        <v>0.32815677458705894</v>
      </c>
      <c r="U7" s="58">
        <f t="shared" ref="U7:U16" si="2">COUNT(D7:M7)</f>
        <v>1</v>
      </c>
    </row>
    <row r="8" spans="1:21" x14ac:dyDescent="0.2">
      <c r="A8" s="209">
        <v>2</v>
      </c>
      <c r="B8" s="116">
        <f>C8*B4</f>
        <v>0.80233135478418105</v>
      </c>
      <c r="C8" s="116">
        <f>1/(1-B4*B5)</f>
        <v>1.3114874721333949</v>
      </c>
      <c r="D8" s="194">
        <f>C8*B5</f>
        <v>0.50915611734921273</v>
      </c>
      <c r="E8" s="1">
        <f>D8*B5</f>
        <v>0.19766864521581742</v>
      </c>
      <c r="F8" s="1"/>
      <c r="G8" s="1"/>
      <c r="H8" s="1"/>
      <c r="I8" s="1"/>
      <c r="J8" s="1"/>
      <c r="K8" s="1"/>
      <c r="L8" s="1"/>
      <c r="M8" s="9"/>
      <c r="N8">
        <f>B8+E8</f>
        <v>0.99999999999999845</v>
      </c>
      <c r="O8" s="116">
        <f>B8/(B8+E8)</f>
        <v>0.80233135478418227</v>
      </c>
      <c r="P8" s="112">
        <f>B8-E8</f>
        <v>0.60466270956836365</v>
      </c>
      <c r="Q8" s="112">
        <f>($G$2*SUM(C8:D8))*B8</f>
        <v>6.181558156433395</v>
      </c>
      <c r="R8" s="9">
        <f>($I$2*SUM(C8:D8))*E8*COUNT(D8:M8)</f>
        <v>5.147275389858045</v>
      </c>
      <c r="S8" s="9">
        <f t="shared" ref="S8:S16" si="3">Q8-R8</f>
        <v>1.03428276657535</v>
      </c>
      <c r="T8" s="112">
        <f>(S8+U8*E8)/B8</f>
        <v>1.7818324667014143</v>
      </c>
      <c r="U8" s="9">
        <f t="shared" si="2"/>
        <v>2</v>
      </c>
    </row>
    <row r="9" spans="1:21" x14ac:dyDescent="0.2">
      <c r="A9" s="209">
        <v>3</v>
      </c>
      <c r="B9" s="116">
        <f>C9*B4</f>
        <v>0.88854161179062707</v>
      </c>
      <c r="C9" s="216">
        <f>1/(1-B5*B4/(1-B5*B4))</f>
        <v>1.4524063971625272</v>
      </c>
      <c r="D9" s="217">
        <f>C9*B5*C8</f>
        <v>0.73950160199243098</v>
      </c>
      <c r="E9" s="218">
        <f>D9*(B5)</f>
        <v>0.28709520482990319</v>
      </c>
      <c r="F9" s="218">
        <f>E9*B5</f>
        <v>0.11145838820937091</v>
      </c>
      <c r="G9" s="218"/>
      <c r="H9" s="218"/>
      <c r="I9" s="218"/>
      <c r="J9" s="218"/>
      <c r="K9" s="218"/>
      <c r="L9" s="218"/>
      <c r="M9" s="219"/>
      <c r="N9">
        <f>B9+F9</f>
        <v>0.999999999999998</v>
      </c>
      <c r="O9" s="116">
        <f>B9/(B9+F9)</f>
        <v>0.88854161179062885</v>
      </c>
      <c r="P9" s="112">
        <f>B9-F9</f>
        <v>0.77708322358125614</v>
      </c>
      <c r="Q9" s="112">
        <f>($G$2*SUM(C9:E9))*B9</f>
        <v>9.3212491811266993</v>
      </c>
      <c r="R9" s="9">
        <f>($I$2*SUM(C9:E9))*F9*COUNT(D9:M9)</f>
        <v>5.9278306521057615</v>
      </c>
      <c r="S9" s="9">
        <f t="shared" si="3"/>
        <v>3.3934185290209378</v>
      </c>
      <c r="T9" s="112">
        <f>(S9+U9*F9)/B9</f>
        <v>4.1954069952184243</v>
      </c>
      <c r="U9" s="9">
        <f t="shared" si="2"/>
        <v>3</v>
      </c>
    </row>
    <row r="10" spans="1:21" x14ac:dyDescent="0.2">
      <c r="A10" s="209">
        <v>4</v>
      </c>
      <c r="B10" s="116">
        <f>C10*B4</f>
        <v>0.93394136846908071</v>
      </c>
      <c r="C10" s="116">
        <f>1/(1-B5*B4/(1-B5*B4/(1-B5*B4)))</f>
        <v>1.5266166492817559</v>
      </c>
      <c r="D10" s="194">
        <f>C10*B5*C9</f>
        <v>0.86080536929242468</v>
      </c>
      <c r="E10" s="1">
        <f>D10*B5*C8</f>
        <v>0.43828431962228614</v>
      </c>
      <c r="F10" s="1">
        <f>E10*B5</f>
        <v>0.17015423114253497</v>
      </c>
      <c r="G10" s="1">
        <f>F10*B5</f>
        <v>6.6058631530916914E-2</v>
      </c>
      <c r="H10" s="1"/>
      <c r="I10" s="1"/>
      <c r="J10" s="1"/>
      <c r="K10" s="1"/>
      <c r="L10" s="1"/>
      <c r="M10" s="9"/>
      <c r="N10">
        <f>B10+G10</f>
        <v>0.99999999999999767</v>
      </c>
      <c r="O10" s="116">
        <f>B10/(B10+G10)</f>
        <v>0.93394136846908293</v>
      </c>
      <c r="P10" s="112">
        <f>B10-G10</f>
        <v>0.86788273693816376</v>
      </c>
      <c r="Q10" s="112">
        <f>($G$2*SUM(C10:F10))*B10</f>
        <v>11.840238981539869</v>
      </c>
      <c r="R10" s="9">
        <f>($I$2*SUM(C10:F10))*G10*COUNT(D10:M10)</f>
        <v>5.6610351012940212</v>
      </c>
      <c r="S10" s="9">
        <f t="shared" si="3"/>
        <v>6.179203880245848</v>
      </c>
      <c r="T10" s="112">
        <f>(S10+U10*G10)/B10</f>
        <v>6.8991894179948554</v>
      </c>
      <c r="U10" s="9">
        <f t="shared" si="2"/>
        <v>4</v>
      </c>
    </row>
    <row r="11" spans="1:21" x14ac:dyDescent="0.2">
      <c r="A11" s="209">
        <v>5</v>
      </c>
      <c r="B11" s="116">
        <f>C11*B4</f>
        <v>0.95976609573025706</v>
      </c>
      <c r="C11" s="116">
        <f>1/(1-B5*B4/(1-B5*B4/(1-B5*B4/(1-B5*B4))))</f>
        <v>1.5688296403014137</v>
      </c>
      <c r="D11" s="194">
        <f>C11*B5*C10</f>
        <v>0.9298065476128865</v>
      </c>
      <c r="E11" s="1">
        <f>D11*B5*C9</f>
        <v>0.52428516940712655</v>
      </c>
      <c r="F11" s="1">
        <f>E11*B5*C8</f>
        <v>0.2669430012391068</v>
      </c>
      <c r="G11" s="1">
        <f>F11*B5</f>
        <v>0.10363473914345203</v>
      </c>
      <c r="H11" s="1">
        <f>G11*B5</f>
        <v>4.0233904269740148E-2</v>
      </c>
      <c r="I11" s="1"/>
      <c r="J11" s="1"/>
      <c r="K11" s="1"/>
      <c r="L11" s="1"/>
      <c r="M11" s="9"/>
      <c r="N11">
        <f>B11+H11</f>
        <v>0.99999999999999722</v>
      </c>
      <c r="O11" s="116">
        <f>B11/(B11+H11)</f>
        <v>0.95976609573025973</v>
      </c>
      <c r="P11" s="112">
        <f>B11-H11</f>
        <v>0.9195321914605169</v>
      </c>
      <c r="Q11" s="112">
        <f>($G$2*SUM(C11:G11))*B11</f>
        <v>13.782639625074385</v>
      </c>
      <c r="R11" s="9">
        <f>($I$2*SUM(C11:G11))*H11*COUNT(D11:M11)</f>
        <v>4.8819643924338028</v>
      </c>
      <c r="S11" s="9">
        <f t="shared" si="3"/>
        <v>8.900675232640582</v>
      </c>
      <c r="T11" s="112">
        <f>(S11+U11*H11)/B11</f>
        <v>9.4833989182165936</v>
      </c>
      <c r="U11" s="9">
        <f t="shared" si="2"/>
        <v>5</v>
      </c>
    </row>
    <row r="12" spans="1:21" x14ac:dyDescent="0.2">
      <c r="A12" s="209">
        <v>6</v>
      </c>
      <c r="B12" s="116">
        <f>C12*B4</f>
        <v>0.97510339951609148</v>
      </c>
      <c r="C12" s="116">
        <f>1/(1-B5*B4/(1-B5*B4/(1-B5*B4/(1-B5*B4/(1-B5*B4)))))</f>
        <v>1.5938999328326542</v>
      </c>
      <c r="D12" s="194">
        <f>C12*B5*C11</f>
        <v>0.97078634278278275</v>
      </c>
      <c r="E12" s="1">
        <f>D12*B5*C10</f>
        <v>0.57536106831789446</v>
      </c>
      <c r="F12" s="1">
        <f>E12*B5*C9</f>
        <v>0.32442584529841606</v>
      </c>
      <c r="G12" s="1">
        <f>F12*B5*C8</f>
        <v>0.16518340375987786</v>
      </c>
      <c r="H12" s="1">
        <f>G12*B5</f>
        <v>6.4128817313134273E-2</v>
      </c>
      <c r="I12" s="1">
        <f>H12*B5</f>
        <v>2.4896600483905604E-2</v>
      </c>
      <c r="J12" s="1"/>
      <c r="K12" s="1"/>
      <c r="L12" s="1"/>
      <c r="M12" s="9"/>
      <c r="N12">
        <f>B12+I12</f>
        <v>0.99999999999999711</v>
      </c>
      <c r="O12" s="116">
        <f>B12/(B12+I12)</f>
        <v>0.97510339951609426</v>
      </c>
      <c r="P12" s="112">
        <f>B12-I12</f>
        <v>0.95020679903218586</v>
      </c>
      <c r="Q12" s="112">
        <f>($G$2*SUM(C12:H12))*B12</f>
        <v>15.241987133620681</v>
      </c>
      <c r="R12" s="9">
        <f>($I$2*SUM(C12:H12))*I12*COUNT(D12:M12)</f>
        <v>3.9459143029963428</v>
      </c>
      <c r="S12" s="9">
        <f t="shared" si="3"/>
        <v>11.296072830624338</v>
      </c>
      <c r="T12" s="112">
        <f>(S12+U12*I12)/B12</f>
        <v>11.737680782579298</v>
      </c>
      <c r="U12" s="9">
        <f t="shared" si="2"/>
        <v>6</v>
      </c>
    </row>
    <row r="13" spans="1:21" x14ac:dyDescent="0.2">
      <c r="A13" s="209">
        <v>7</v>
      </c>
      <c r="B13" s="116">
        <f>C13*B4</f>
        <v>0.98444645637286776</v>
      </c>
      <c r="C13" s="216">
        <f>1/(1-B5*B4/(1-B5*B4/(1-B5*B4/(1-B5*B4/(1-B5*B4/(1-B5*B4))))))</f>
        <v>1.609172054439304</v>
      </c>
      <c r="D13" s="217">
        <f>C13*B5*C12</f>
        <v>0.99575008879693028</v>
      </c>
      <c r="E13" s="218">
        <f>D13*B5*C11</f>
        <v>0.60647507858970096</v>
      </c>
      <c r="F13" s="218">
        <f>E13*B5*C10</f>
        <v>0.35944278750903946</v>
      </c>
      <c r="G13" s="218">
        <f>F13*B5*C9</f>
        <v>0.20267713023226161</v>
      </c>
      <c r="H13" s="218">
        <f>G13*B5*C8</f>
        <v>0.10319430070453905</v>
      </c>
      <c r="I13" s="218">
        <f>H13*B5</f>
        <v>4.0062913749240939E-2</v>
      </c>
      <c r="J13" s="218">
        <f>I13*B5</f>
        <v>1.5553543627129017E-2</v>
      </c>
      <c r="K13" s="218"/>
      <c r="L13" s="218"/>
      <c r="M13" s="219"/>
      <c r="N13">
        <f>B13+J13</f>
        <v>0.99999999999999678</v>
      </c>
      <c r="O13" s="116">
        <f>B13/(B13+J13)</f>
        <v>0.98444645637287098</v>
      </c>
      <c r="P13" s="112">
        <f>B13-J13</f>
        <v>0.96889291274573874</v>
      </c>
      <c r="Q13" s="112">
        <f>($G$2*SUM(C13:I13))*B13</f>
        <v>16.316984879531766</v>
      </c>
      <c r="R13" s="9">
        <f>($I$2*SUM(C13:I13))*J13*COUNT(D13:M13)</f>
        <v>3.0495842154516208</v>
      </c>
      <c r="S13" s="9">
        <f t="shared" si="3"/>
        <v>13.267400664080146</v>
      </c>
      <c r="T13" s="112">
        <f>(S13+U13*J13)/B13</f>
        <v>13.587610969472236</v>
      </c>
      <c r="U13" s="9">
        <f t="shared" si="2"/>
        <v>7</v>
      </c>
    </row>
    <row r="14" spans="1:21" x14ac:dyDescent="0.2">
      <c r="A14" s="209">
        <v>8</v>
      </c>
      <c r="B14" s="116">
        <f>C14*B4</f>
        <v>0.99022625530521013</v>
      </c>
      <c r="C14" s="116">
        <f>1/(1-B5*B4/(1-B5*B4/(1-B5*B4/(1-B5*B4/(1-B5*B4/(1-B5*B4/(1-B5*B4)))))))</f>
        <v>1.6186196895666336</v>
      </c>
      <c r="D14" s="194">
        <f>C14*B5*C13</f>
        <v>1.0111931536066223</v>
      </c>
      <c r="E14" s="1">
        <f>D14*B5*C12</f>
        <v>0.625722817965219</v>
      </c>
      <c r="F14" s="1">
        <f>E14*B5*C11</f>
        <v>0.38110495742894807</v>
      </c>
      <c r="G14" s="1">
        <f>F14*B5*C10</f>
        <v>0.22587148766330392</v>
      </c>
      <c r="H14" s="1">
        <f>G14*B5*C9</f>
        <v>0.12736097791290038</v>
      </c>
      <c r="I14" s="1">
        <f>H14*B5*C8</f>
        <v>6.4846621015931194E-2</v>
      </c>
      <c r="J14" s="1">
        <f>I14*B5</f>
        <v>2.5175271957404665E-2</v>
      </c>
      <c r="K14" s="1">
        <f>J14*B5</f>
        <v>9.7737446947864601E-3</v>
      </c>
      <c r="L14" s="1"/>
      <c r="M14" s="9"/>
      <c r="N14">
        <f>B14+K14</f>
        <v>0.99999999999999656</v>
      </c>
      <c r="O14" s="116">
        <f>B14/(B14+K14)</f>
        <v>0.99022625530521358</v>
      </c>
      <c r="P14" s="112">
        <f>B14-K14</f>
        <v>0.98045251061042371</v>
      </c>
      <c r="Q14" s="112">
        <f>($G$2*SUM(C14:J14))*B14</f>
        <v>17.096321632901631</v>
      </c>
      <c r="R14" s="9">
        <f>($I$2*SUM(C14:J14))*K14*COUNT(D14:M14)</f>
        <v>2.2813118062780084</v>
      </c>
      <c r="S14" s="9">
        <f t="shared" si="3"/>
        <v>14.815009826623623</v>
      </c>
      <c r="T14" s="112">
        <f>(S14+U14*K14)/B14</f>
        <v>15.040198847879967</v>
      </c>
      <c r="U14" s="9">
        <f t="shared" si="2"/>
        <v>8</v>
      </c>
    </row>
    <row r="15" spans="1:21" x14ac:dyDescent="0.2">
      <c r="A15" s="209">
        <v>9</v>
      </c>
      <c r="B15" s="116">
        <f>C15*B4</f>
        <v>0.99383585490648196</v>
      </c>
      <c r="C15" s="116">
        <f>1/(1-B5*B4/(1-B5*B4/(1-B5*B4/(1-B5*B4/(1-B5*B4/(1-B5*B4/(1-B5*B4/(1-B5*B4))))))))</f>
        <v>1.6245199259568206</v>
      </c>
      <c r="D15" s="194">
        <f>C15*B5*C14</f>
        <v>1.0208376552981178</v>
      </c>
      <c r="E15" s="1">
        <f>D15*B5*C13</f>
        <v>0.63774341473485374</v>
      </c>
      <c r="F15" s="1">
        <f>E15*B5*C12</f>
        <v>0.39463341418339354</v>
      </c>
      <c r="G15" s="1">
        <f>F15*B5*C11</f>
        <v>0.2403568260487545</v>
      </c>
      <c r="H15" s="1">
        <f>G15*B5*C10</f>
        <v>0.14245354937368856</v>
      </c>
      <c r="I15" s="1">
        <f>H15*B5*C9</f>
        <v>8.0324540043060097E-2</v>
      </c>
      <c r="J15" s="1">
        <f>I15*B5*C8</f>
        <v>4.0897730936185844E-2</v>
      </c>
      <c r="K15" s="1">
        <f>J15*B5</f>
        <v>1.5877643007895365E-2</v>
      </c>
      <c r="L15" s="1">
        <f>K15*B5</f>
        <v>6.16414509351456E-3</v>
      </c>
      <c r="M15" s="9"/>
      <c r="N15">
        <f>B15+L15</f>
        <v>0.99999999999999656</v>
      </c>
      <c r="O15" s="116">
        <f>B15/(B15+L15)</f>
        <v>0.99383585490648541</v>
      </c>
      <c r="P15" s="112">
        <f>B15-L15</f>
        <v>0.98767170981296737</v>
      </c>
      <c r="Q15" s="112">
        <f>($G$2*SUM(C15:K15))*B15</f>
        <v>17.653856631748017</v>
      </c>
      <c r="R15" s="9">
        <f>($I$2*SUM(C15:K15))*L15*COUNT(D15:M15)</f>
        <v>1.6653507804290935</v>
      </c>
      <c r="S15" s="9">
        <f t="shared" si="3"/>
        <v>15.988505851318923</v>
      </c>
      <c r="T15" s="112">
        <f>(S15+U15*L15)/B15</f>
        <v>16.14349399647114</v>
      </c>
      <c r="U15" s="9">
        <f t="shared" si="2"/>
        <v>9</v>
      </c>
    </row>
    <row r="16" spans="1:21" ht="17" thickBot="1" x14ac:dyDescent="0.25">
      <c r="A16" s="210">
        <v>10</v>
      </c>
      <c r="B16" s="195">
        <f>C16*B4</f>
        <v>0.99610350143275639</v>
      </c>
      <c r="C16" s="195">
        <f>1/(1-B5*B4/(1-B5*B4/(1-B5*B4/(1-B5*B4/(1-B5*B4/(1-B5*B4/(1-B5*B4/(1-B5*B4/(1-B5*B4)))))))))</f>
        <v>1.6282266114711064</v>
      </c>
      <c r="D16" s="213">
        <f>C16*B5*C15</f>
        <v>1.0268965879150933</v>
      </c>
      <c r="E16" s="131">
        <f>D16*B5*C14</f>
        <v>0.64529507351130189</v>
      </c>
      <c r="F16" s="131">
        <f>E16*B5*C13</f>
        <v>0.40313235072867215</v>
      </c>
      <c r="G16" s="131">
        <f>F16*B5*C12</f>
        <v>0.24945690109865848</v>
      </c>
      <c r="H16" s="131">
        <f>G16*B5*C11</f>
        <v>0.15193510440088506</v>
      </c>
      <c r="I16" s="131">
        <f>H16*B5*C10</f>
        <v>9.0048180666097474E-2</v>
      </c>
      <c r="J16" s="131">
        <f>I16*B5*C9</f>
        <v>5.0774998064419027E-2</v>
      </c>
      <c r="K16" s="131">
        <f>J16*B5*C8</f>
        <v>2.585240087289338E-2</v>
      </c>
      <c r="L16" s="131">
        <f>K16*B5</f>
        <v>1.003662507822946E-2</v>
      </c>
      <c r="M16" s="10">
        <f>L16*B5</f>
        <v>3.8964985672400513E-3</v>
      </c>
      <c r="N16">
        <f>B16+M16</f>
        <v>0.99999999999999645</v>
      </c>
      <c r="O16" s="195">
        <f>B16/(B16+M16)</f>
        <v>0.99610350143275994</v>
      </c>
      <c r="P16" s="113">
        <f>B16-M16</f>
        <v>0.99220700286551633</v>
      </c>
      <c r="Q16" s="113">
        <f>($G$2*SUM(C16:L16))*B16</f>
        <v>18.048261671206326</v>
      </c>
      <c r="R16" s="10">
        <f>($I$2*SUM(C16:L16))*M16*COUNT(D16:M16)</f>
        <v>1.1930835599103753</v>
      </c>
      <c r="S16" s="10">
        <f t="shared" si="3"/>
        <v>16.855178111295952</v>
      </c>
      <c r="T16" s="113">
        <f>(S16+U16*M16)/B16</f>
        <v>16.960228603421712</v>
      </c>
      <c r="U16" s="10">
        <f t="shared" si="2"/>
        <v>10</v>
      </c>
    </row>
    <row r="17" spans="1:8" ht="17" thickBot="1" x14ac:dyDescent="0.25"/>
    <row r="18" spans="1:8" ht="17" thickBot="1" x14ac:dyDescent="0.25">
      <c r="A18" s="138" t="s">
        <v>140</v>
      </c>
      <c r="B18" s="139" t="s">
        <v>145</v>
      </c>
      <c r="C18" s="139" t="s">
        <v>144</v>
      </c>
      <c r="D18" s="241" t="s">
        <v>143</v>
      </c>
      <c r="E18" s="231" t="s">
        <v>157</v>
      </c>
      <c r="F18" s="234" t="s">
        <v>156</v>
      </c>
      <c r="G18" s="255" t="s">
        <v>158</v>
      </c>
      <c r="H18" s="256" t="s">
        <v>159</v>
      </c>
    </row>
    <row r="19" spans="1:8" x14ac:dyDescent="0.2">
      <c r="A19" s="264">
        <v>1</v>
      </c>
      <c r="B19" s="146">
        <v>1</v>
      </c>
      <c r="C19" s="150">
        <f>B19*$M$3</f>
        <v>4</v>
      </c>
      <c r="D19" s="151">
        <f>SUM($C$19:C19)</f>
        <v>4</v>
      </c>
      <c r="E19" s="9">
        <f>B19/P7</f>
        <v>4.4733910121734164</v>
      </c>
      <c r="F19" s="9">
        <f>D19/P7</f>
        <v>17.893564048693666</v>
      </c>
      <c r="G19" s="28">
        <f>S7/E19</f>
        <v>-4.1907991428444057E-2</v>
      </c>
      <c r="H19" s="8">
        <f>S7/F19</f>
        <v>-1.0476997857111014E-2</v>
      </c>
    </row>
    <row r="20" spans="1:8" x14ac:dyDescent="0.2">
      <c r="A20" s="265">
        <v>2</v>
      </c>
      <c r="B20" s="141">
        <f>B19*($M$3+1)</f>
        <v>5</v>
      </c>
      <c r="C20" s="140">
        <f>B20*$M$3</f>
        <v>20</v>
      </c>
      <c r="D20" s="142">
        <f>SUM($C$19:C20)</f>
        <v>24</v>
      </c>
      <c r="E20" s="9">
        <f t="shared" ref="E20:E28" si="4">B20/P8</f>
        <v>8.2690728581050283</v>
      </c>
      <c r="F20" s="9">
        <f t="shared" ref="F20:F28" si="5">D20/P8</f>
        <v>39.691549718904142</v>
      </c>
      <c r="G20" s="112">
        <f t="shared" ref="G20:G28" si="6">S8/E20</f>
        <v>0.12507844401946291</v>
      </c>
      <c r="H20" s="9">
        <f t="shared" ref="H20:H28" si="7">S8/F20</f>
        <v>2.6058009170721437E-2</v>
      </c>
    </row>
    <row r="21" spans="1:8" x14ac:dyDescent="0.2">
      <c r="A21" s="265">
        <v>3</v>
      </c>
      <c r="B21" s="141">
        <f t="shared" ref="B21:B28" si="8">B20*($M$3+1)</f>
        <v>25</v>
      </c>
      <c r="C21" s="140">
        <f t="shared" ref="C21:C28" si="9">B21*$M$3</f>
        <v>100</v>
      </c>
      <c r="D21" s="142">
        <f>SUM($C$19:C21)</f>
        <v>124</v>
      </c>
      <c r="E21" s="9">
        <f t="shared" si="4"/>
        <v>32.171586313220494</v>
      </c>
      <c r="F21" s="9">
        <f t="shared" si="5"/>
        <v>159.57106811357363</v>
      </c>
      <c r="G21" s="112">
        <f t="shared" si="6"/>
        <v>0.10547874437967818</v>
      </c>
      <c r="H21" s="9">
        <f t="shared" si="7"/>
        <v>2.1265875882999635E-2</v>
      </c>
    </row>
    <row r="22" spans="1:8" x14ac:dyDescent="0.2">
      <c r="A22" s="265">
        <v>4</v>
      </c>
      <c r="B22" s="141">
        <f t="shared" si="8"/>
        <v>125</v>
      </c>
      <c r="C22" s="140">
        <f t="shared" si="9"/>
        <v>500</v>
      </c>
      <c r="D22" s="142">
        <f>SUM($C$19:C22)</f>
        <v>624</v>
      </c>
      <c r="E22" s="9">
        <f t="shared" si="4"/>
        <v>144.02867424347235</v>
      </c>
      <c r="F22" s="9">
        <f t="shared" si="5"/>
        <v>718.99114182341395</v>
      </c>
      <c r="G22" s="112">
        <f t="shared" si="6"/>
        <v>4.2902595005493503E-2</v>
      </c>
      <c r="H22" s="9">
        <f t="shared" si="7"/>
        <v>8.5942698328312309E-3</v>
      </c>
    </row>
    <row r="23" spans="1:8" x14ac:dyDescent="0.2">
      <c r="A23" s="265">
        <v>5</v>
      </c>
      <c r="B23" s="141">
        <f t="shared" si="8"/>
        <v>625</v>
      </c>
      <c r="C23" s="140">
        <f t="shared" si="9"/>
        <v>2500</v>
      </c>
      <c r="D23" s="142">
        <f>SUM($C$19:C23)</f>
        <v>3124</v>
      </c>
      <c r="E23" s="9">
        <f t="shared" si="4"/>
        <v>679.6934417350808</v>
      </c>
      <c r="F23" s="9">
        <f t="shared" si="5"/>
        <v>3397.3796991686277</v>
      </c>
      <c r="G23" s="112">
        <f t="shared" si="6"/>
        <v>1.3095131843437345E-2</v>
      </c>
      <c r="H23" s="9">
        <f t="shared" si="7"/>
        <v>2.6198647253995971E-3</v>
      </c>
    </row>
    <row r="24" spans="1:8" x14ac:dyDescent="0.2">
      <c r="A24" s="265">
        <v>6</v>
      </c>
      <c r="B24" s="141">
        <f t="shared" si="8"/>
        <v>3125</v>
      </c>
      <c r="C24" s="140">
        <f t="shared" si="9"/>
        <v>12500</v>
      </c>
      <c r="D24" s="142">
        <f>SUM($C$19:C24)</f>
        <v>15624</v>
      </c>
      <c r="E24" s="9">
        <f t="shared" si="4"/>
        <v>3288.7577769206728</v>
      </c>
      <c r="F24" s="9">
        <f t="shared" si="5"/>
        <v>16442.736482114749</v>
      </c>
      <c r="G24" s="112">
        <f t="shared" si="6"/>
        <v>3.4347536659270384E-3</v>
      </c>
      <c r="H24" s="9">
        <f t="shared" si="7"/>
        <v>6.8699470084626179E-4</v>
      </c>
    </row>
    <row r="25" spans="1:8" x14ac:dyDescent="0.2">
      <c r="A25" s="265">
        <v>7</v>
      </c>
      <c r="B25" s="141">
        <f t="shared" si="8"/>
        <v>15625</v>
      </c>
      <c r="C25" s="140">
        <f t="shared" si="9"/>
        <v>62500</v>
      </c>
      <c r="D25" s="142">
        <f>SUM($C$19:C25)</f>
        <v>78124</v>
      </c>
      <c r="E25" s="9">
        <f t="shared" si="4"/>
        <v>16126.653208475253</v>
      </c>
      <c r="F25" s="9">
        <f t="shared" si="5"/>
        <v>80632.233936570919</v>
      </c>
      <c r="G25" s="112">
        <f t="shared" si="6"/>
        <v>8.2270019033506303E-4</v>
      </c>
      <c r="H25" s="9">
        <f t="shared" si="7"/>
        <v>1.6454214420645846E-4</v>
      </c>
    </row>
    <row r="26" spans="1:8" x14ac:dyDescent="0.2">
      <c r="A26" s="265">
        <v>8</v>
      </c>
      <c r="B26" s="141">
        <f t="shared" si="8"/>
        <v>78125</v>
      </c>
      <c r="C26" s="140">
        <f t="shared" si="9"/>
        <v>312500</v>
      </c>
      <c r="D26" s="142">
        <f>SUM($C$19:C26)</f>
        <v>390624</v>
      </c>
      <c r="E26" s="9">
        <f t="shared" si="4"/>
        <v>79682.594673922402</v>
      </c>
      <c r="F26" s="9">
        <f t="shared" si="5"/>
        <v>398411.95343240019</v>
      </c>
      <c r="G26" s="112">
        <f t="shared" si="6"/>
        <v>1.8592529381415975E-4</v>
      </c>
      <c r="H26" s="9">
        <f t="shared" si="7"/>
        <v>3.7185153956826079E-5</v>
      </c>
    </row>
    <row r="27" spans="1:8" x14ac:dyDescent="0.2">
      <c r="A27" s="265">
        <v>9</v>
      </c>
      <c r="B27" s="141">
        <f t="shared" si="8"/>
        <v>390625</v>
      </c>
      <c r="C27" s="140">
        <f t="shared" si="9"/>
        <v>1562500</v>
      </c>
      <c r="D27" s="142">
        <f>SUM($C$19:C27)</f>
        <v>1953124</v>
      </c>
      <c r="E27" s="9">
        <f t="shared" si="4"/>
        <v>395500.84923863172</v>
      </c>
      <c r="F27" s="9">
        <f t="shared" si="5"/>
        <v>1977503.2337109845</v>
      </c>
      <c r="G27" s="112">
        <f t="shared" si="6"/>
        <v>4.0425970973508587E-5</v>
      </c>
      <c r="H27" s="9">
        <f t="shared" si="7"/>
        <v>8.0851983343232652E-6</v>
      </c>
    </row>
    <row r="28" spans="1:8" ht="17" thickBot="1" x14ac:dyDescent="0.25">
      <c r="A28" s="266">
        <v>10</v>
      </c>
      <c r="B28" s="143">
        <f t="shared" si="8"/>
        <v>1953125</v>
      </c>
      <c r="C28" s="144">
        <f t="shared" si="9"/>
        <v>7812500</v>
      </c>
      <c r="D28" s="145">
        <f>SUM($C$19:C28)</f>
        <v>9765624</v>
      </c>
      <c r="E28" s="9">
        <f t="shared" si="4"/>
        <v>1968465.2440058684</v>
      </c>
      <c r="F28" s="9">
        <f t="shared" si="5"/>
        <v>9842325.2121751364</v>
      </c>
      <c r="G28" s="113">
        <f t="shared" si="6"/>
        <v>8.5625987873655861E-6</v>
      </c>
      <c r="H28" s="10">
        <f t="shared" si="7"/>
        <v>1.7125199328351586E-6</v>
      </c>
    </row>
    <row r="29" spans="1:8" ht="17" thickBot="1" x14ac:dyDescent="0.25"/>
    <row r="30" spans="1:8" ht="17" thickBot="1" x14ac:dyDescent="0.25">
      <c r="A30" s="29" t="s">
        <v>140</v>
      </c>
      <c r="B30" s="19" t="s">
        <v>145</v>
      </c>
      <c r="C30" s="19" t="s">
        <v>144</v>
      </c>
      <c r="D30" s="19" t="s">
        <v>143</v>
      </c>
      <c r="E30" s="231" t="s">
        <v>157</v>
      </c>
      <c r="F30" s="234" t="s">
        <v>156</v>
      </c>
      <c r="G30" s="257" t="s">
        <v>158</v>
      </c>
      <c r="H30" s="258" t="s">
        <v>159</v>
      </c>
    </row>
    <row r="31" spans="1:8" x14ac:dyDescent="0.2">
      <c r="A31" s="264">
        <v>1</v>
      </c>
      <c r="B31" s="146">
        <v>1</v>
      </c>
      <c r="C31" s="150">
        <f>B31*$M$3</f>
        <v>4</v>
      </c>
      <c r="D31" s="151">
        <f>SUM($C$31:C31)</f>
        <v>4</v>
      </c>
      <c r="E31" s="129">
        <f>B31/P7</f>
        <v>4.4733910121734164</v>
      </c>
      <c r="F31" s="58">
        <f>D31/P7</f>
        <v>17.893564048693666</v>
      </c>
      <c r="G31" s="28">
        <f>S7/E31</f>
        <v>-4.1907991428444057E-2</v>
      </c>
      <c r="H31" s="8">
        <f>S7/F31</f>
        <v>-1.0476997857111014E-2</v>
      </c>
    </row>
    <row r="32" spans="1:8" x14ac:dyDescent="0.2">
      <c r="A32" s="265">
        <v>2</v>
      </c>
      <c r="B32" s="141">
        <f>C31</f>
        <v>4</v>
      </c>
      <c r="C32" s="140">
        <f>B32*$M$3</f>
        <v>16</v>
      </c>
      <c r="D32" s="142">
        <f>SUM($C$31:C32)</f>
        <v>20</v>
      </c>
      <c r="E32" s="112">
        <f t="shared" ref="E32:E40" si="10">B32/P8</f>
        <v>6.615258286484023</v>
      </c>
      <c r="F32" s="9">
        <f t="shared" ref="F32:F40" si="11">D32/P8</f>
        <v>33.076291432420113</v>
      </c>
      <c r="G32" s="112">
        <f t="shared" ref="G32:G40" si="12">S8/E32</f>
        <v>0.15634805502432864</v>
      </c>
      <c r="H32" s="9">
        <f t="shared" ref="H32:H40" si="13">S8/F32</f>
        <v>3.1269611004865729E-2</v>
      </c>
    </row>
    <row r="33" spans="1:8" x14ac:dyDescent="0.2">
      <c r="A33" s="265">
        <v>3</v>
      </c>
      <c r="B33" s="141">
        <f t="shared" ref="B33:B40" si="14">C32</f>
        <v>16</v>
      </c>
      <c r="C33" s="140">
        <f t="shared" ref="C33:C40" si="15">B33*$M$3</f>
        <v>64</v>
      </c>
      <c r="D33" s="142">
        <f>SUM($C$31:C33)</f>
        <v>84</v>
      </c>
      <c r="E33" s="112">
        <f t="shared" si="10"/>
        <v>20.589815240461114</v>
      </c>
      <c r="F33" s="9">
        <f t="shared" si="11"/>
        <v>108.09653001242086</v>
      </c>
      <c r="G33" s="112">
        <f t="shared" si="12"/>
        <v>0.16481053809324719</v>
      </c>
      <c r="H33" s="9">
        <f t="shared" si="13"/>
        <v>3.1392483446332796E-2</v>
      </c>
    </row>
    <row r="34" spans="1:8" x14ac:dyDescent="0.2">
      <c r="A34" s="265">
        <v>4</v>
      </c>
      <c r="B34" s="141">
        <f t="shared" si="14"/>
        <v>64</v>
      </c>
      <c r="C34" s="140">
        <f t="shared" si="15"/>
        <v>256</v>
      </c>
      <c r="D34" s="142">
        <f>SUM($C$31:C34)</f>
        <v>340</v>
      </c>
      <c r="E34" s="112">
        <f t="shared" si="10"/>
        <v>73.742681212657843</v>
      </c>
      <c r="F34" s="9">
        <f t="shared" si="11"/>
        <v>391.75799394224481</v>
      </c>
      <c r="G34" s="112">
        <f t="shared" si="12"/>
        <v>8.3794130870104511E-2</v>
      </c>
      <c r="H34" s="9">
        <f t="shared" si="13"/>
        <v>1.577301286966673E-2</v>
      </c>
    </row>
    <row r="35" spans="1:8" x14ac:dyDescent="0.2">
      <c r="A35" s="265">
        <v>5</v>
      </c>
      <c r="B35" s="141">
        <f t="shared" si="14"/>
        <v>256</v>
      </c>
      <c r="C35" s="140">
        <f t="shared" si="15"/>
        <v>1024</v>
      </c>
      <c r="D35" s="142">
        <f>SUM($C$31:C35)</f>
        <v>1364</v>
      </c>
      <c r="E35" s="112">
        <f t="shared" si="10"/>
        <v>278.40243373468911</v>
      </c>
      <c r="F35" s="9">
        <f t="shared" si="11"/>
        <v>1483.3629672426403</v>
      </c>
      <c r="G35" s="112">
        <f t="shared" si="12"/>
        <v>3.1970536727141952E-2</v>
      </c>
      <c r="H35" s="9">
        <f t="shared" si="13"/>
        <v>6.0003353388184315E-3</v>
      </c>
    </row>
    <row r="36" spans="1:8" x14ac:dyDescent="0.2">
      <c r="A36" s="265">
        <v>6</v>
      </c>
      <c r="B36" s="141">
        <f t="shared" si="14"/>
        <v>1024</v>
      </c>
      <c r="C36" s="140">
        <f t="shared" si="15"/>
        <v>4096</v>
      </c>
      <c r="D36" s="142">
        <f>SUM($C$31:C36)</f>
        <v>5460</v>
      </c>
      <c r="E36" s="112">
        <f t="shared" si="10"/>
        <v>1077.660148341366</v>
      </c>
      <c r="F36" s="9">
        <f t="shared" si="11"/>
        <v>5746.117587835799</v>
      </c>
      <c r="G36" s="112">
        <f t="shared" si="12"/>
        <v>1.0482036334005854E-2</v>
      </c>
      <c r="H36" s="9">
        <f t="shared" si="13"/>
        <v>1.965861759344688E-3</v>
      </c>
    </row>
    <row r="37" spans="1:8" x14ac:dyDescent="0.2">
      <c r="A37" s="265">
        <v>7</v>
      </c>
      <c r="B37" s="141">
        <f t="shared" si="14"/>
        <v>4096</v>
      </c>
      <c r="C37" s="140">
        <f t="shared" si="15"/>
        <v>16384</v>
      </c>
      <c r="D37" s="142">
        <f>SUM($C$31:C37)</f>
        <v>21844</v>
      </c>
      <c r="E37" s="112">
        <f t="shared" si="10"/>
        <v>4227.5053786825365</v>
      </c>
      <c r="F37" s="9">
        <f t="shared" si="11"/>
        <v>22545.319211899739</v>
      </c>
      <c r="G37" s="112">
        <f t="shared" si="12"/>
        <v>3.1383521665003323E-3</v>
      </c>
      <c r="H37" s="9">
        <f t="shared" si="13"/>
        <v>5.8847694900134408E-4</v>
      </c>
    </row>
    <row r="38" spans="1:8" x14ac:dyDescent="0.2">
      <c r="A38" s="265">
        <v>8</v>
      </c>
      <c r="B38" s="141">
        <f t="shared" si="14"/>
        <v>16384</v>
      </c>
      <c r="C38" s="140">
        <f t="shared" si="15"/>
        <v>65536</v>
      </c>
      <c r="D38" s="142">
        <f>SUM($C$31:C38)</f>
        <v>87380</v>
      </c>
      <c r="E38" s="112">
        <f t="shared" si="10"/>
        <v>16710.651278560574</v>
      </c>
      <c r="F38" s="9">
        <f t="shared" si="11"/>
        <v>89122.113569373949</v>
      </c>
      <c r="G38" s="112">
        <f t="shared" si="12"/>
        <v>8.8656088740424969E-4</v>
      </c>
      <c r="H38" s="9">
        <f t="shared" si="13"/>
        <v>1.6623270289804567E-4</v>
      </c>
    </row>
    <row r="39" spans="1:8" x14ac:dyDescent="0.2">
      <c r="A39" s="265">
        <v>9</v>
      </c>
      <c r="B39" s="141">
        <f t="shared" si="14"/>
        <v>65536</v>
      </c>
      <c r="C39" s="140">
        <f t="shared" si="15"/>
        <v>262144</v>
      </c>
      <c r="D39" s="142">
        <f>SUM($C$31:C39)</f>
        <v>349524</v>
      </c>
      <c r="E39" s="112">
        <f t="shared" si="10"/>
        <v>66354.031758599594</v>
      </c>
      <c r="F39" s="9">
        <f t="shared" si="11"/>
        <v>353886.81940296578</v>
      </c>
      <c r="G39" s="112">
        <f t="shared" si="12"/>
        <v>2.409575639576232E-4</v>
      </c>
      <c r="H39" s="9">
        <f t="shared" si="13"/>
        <v>4.5179715588991866E-5</v>
      </c>
    </row>
    <row r="40" spans="1:8" ht="17" thickBot="1" x14ac:dyDescent="0.25">
      <c r="A40" s="266">
        <v>10</v>
      </c>
      <c r="B40" s="143">
        <f t="shared" si="14"/>
        <v>262144</v>
      </c>
      <c r="C40" s="144">
        <f t="shared" si="15"/>
        <v>1048576</v>
      </c>
      <c r="D40" s="145">
        <f>SUM($C$31:C40)</f>
        <v>1398100</v>
      </c>
      <c r="E40" s="113">
        <f t="shared" si="10"/>
        <v>264202.93269743328</v>
      </c>
      <c r="F40" s="10">
        <f t="shared" si="11"/>
        <v>1409080.9639140377</v>
      </c>
      <c r="G40" s="113">
        <f t="shared" si="12"/>
        <v>6.379633238438954E-5</v>
      </c>
      <c r="H40" s="10">
        <f t="shared" si="13"/>
        <v>1.1961823729757106E-5</v>
      </c>
    </row>
    <row r="41" spans="1:8" ht="17" thickBot="1" x14ac:dyDescent="0.25"/>
    <row r="42" spans="1:8" ht="17" thickBot="1" x14ac:dyDescent="0.25">
      <c r="A42" s="138" t="s">
        <v>140</v>
      </c>
      <c r="B42" s="139" t="s">
        <v>145</v>
      </c>
      <c r="C42" s="139" t="s">
        <v>144</v>
      </c>
      <c r="D42" s="241" t="s">
        <v>143</v>
      </c>
      <c r="E42" s="231" t="s">
        <v>157</v>
      </c>
      <c r="F42" s="234" t="s">
        <v>156</v>
      </c>
      <c r="G42" s="259" t="s">
        <v>158</v>
      </c>
      <c r="H42" s="256" t="s">
        <v>159</v>
      </c>
    </row>
    <row r="43" spans="1:8" x14ac:dyDescent="0.2">
      <c r="A43" s="264">
        <v>1</v>
      </c>
      <c r="B43" s="146">
        <v>1</v>
      </c>
      <c r="C43" s="150">
        <f>B43*$M$3</f>
        <v>4</v>
      </c>
      <c r="D43" s="151">
        <f>SUM(C43:C43)</f>
        <v>4</v>
      </c>
      <c r="E43" s="129">
        <f>B43/P7</f>
        <v>4.4733910121734164</v>
      </c>
      <c r="F43" s="58">
        <f>D43/P7</f>
        <v>17.893564048693666</v>
      </c>
      <c r="G43" s="28">
        <f>S7/E43</f>
        <v>-4.1907991428444057E-2</v>
      </c>
      <c r="H43" s="8">
        <f>S7/F43</f>
        <v>-1.0476997857111014E-2</v>
      </c>
    </row>
    <row r="44" spans="1:8" x14ac:dyDescent="0.2">
      <c r="A44" s="265">
        <v>2</v>
      </c>
      <c r="B44" s="141">
        <f>B43*$M$3*2</f>
        <v>8</v>
      </c>
      <c r="C44" s="140">
        <f>B44*$M$3</f>
        <v>32</v>
      </c>
      <c r="D44" s="142">
        <f>SUM($C$43:C44)</f>
        <v>36</v>
      </c>
      <c r="E44" s="112">
        <f t="shared" ref="E44:E52" si="16">B44/P8</f>
        <v>13.230516572968046</v>
      </c>
      <c r="F44" s="9">
        <f t="shared" ref="F44:F52" si="17">D44/P8</f>
        <v>59.537324578356213</v>
      </c>
      <c r="G44" s="112">
        <f t="shared" ref="G44:G52" si="18">S8/E44</f>
        <v>7.8174027512164318E-2</v>
      </c>
      <c r="H44" s="9">
        <f t="shared" ref="H44:H52" si="19">S8/F44</f>
        <v>1.737200611381429E-2</v>
      </c>
    </row>
    <row r="45" spans="1:8" x14ac:dyDescent="0.2">
      <c r="A45" s="265">
        <v>3</v>
      </c>
      <c r="B45" s="141">
        <f t="shared" ref="B45:B52" si="20">B44*$M$3*2</f>
        <v>64</v>
      </c>
      <c r="C45" s="140">
        <f t="shared" ref="C45:C52" si="21">B45*$M$3</f>
        <v>256</v>
      </c>
      <c r="D45" s="142">
        <f>SUM($C$43:C45)</f>
        <v>292</v>
      </c>
      <c r="E45" s="112">
        <f t="shared" si="16"/>
        <v>82.359260961844456</v>
      </c>
      <c r="F45" s="9">
        <f>D45/P9</f>
        <v>375.76412813841534</v>
      </c>
      <c r="G45" s="112">
        <f t="shared" si="18"/>
        <v>4.1202634523311799E-2</v>
      </c>
      <c r="H45" s="9">
        <f t="shared" si="19"/>
        <v>9.0307144160683382E-3</v>
      </c>
    </row>
    <row r="46" spans="1:8" x14ac:dyDescent="0.2">
      <c r="A46" s="265">
        <v>4</v>
      </c>
      <c r="B46" s="141">
        <f t="shared" si="20"/>
        <v>512</v>
      </c>
      <c r="C46" s="140">
        <f t="shared" si="21"/>
        <v>2048</v>
      </c>
      <c r="D46" s="142">
        <f>SUM($C$43:C46)</f>
        <v>2340</v>
      </c>
      <c r="E46" s="112">
        <f t="shared" si="16"/>
        <v>589.94144970126274</v>
      </c>
      <c r="F46" s="9">
        <f t="shared" si="17"/>
        <v>2696.2167818378025</v>
      </c>
      <c r="G46" s="112">
        <f t="shared" si="18"/>
        <v>1.0474266358763064E-2</v>
      </c>
      <c r="H46" s="9">
        <f t="shared" si="19"/>
        <v>2.2918052887549948E-3</v>
      </c>
    </row>
    <row r="47" spans="1:8" x14ac:dyDescent="0.2">
      <c r="A47" s="265">
        <v>5</v>
      </c>
      <c r="B47" s="141">
        <f t="shared" si="20"/>
        <v>4096</v>
      </c>
      <c r="C47" s="140">
        <f t="shared" si="21"/>
        <v>16384</v>
      </c>
      <c r="D47" s="142">
        <f>SUM($C$43:C47)</f>
        <v>18724</v>
      </c>
      <c r="E47" s="112">
        <f t="shared" si="16"/>
        <v>4454.4389397550258</v>
      </c>
      <c r="F47" s="9">
        <f t="shared" si="17"/>
        <v>20362.528004876243</v>
      </c>
      <c r="G47" s="112">
        <f t="shared" si="18"/>
        <v>1.998158545446372E-3</v>
      </c>
      <c r="H47" s="9">
        <f t="shared" si="19"/>
        <v>4.3711052137087914E-4</v>
      </c>
    </row>
    <row r="48" spans="1:8" x14ac:dyDescent="0.2">
      <c r="A48" s="265">
        <v>6</v>
      </c>
      <c r="B48" s="141">
        <f t="shared" si="20"/>
        <v>32768</v>
      </c>
      <c r="C48" s="140">
        <f t="shared" si="21"/>
        <v>131072</v>
      </c>
      <c r="D48" s="142">
        <f>SUM($C$43:C48)</f>
        <v>149796</v>
      </c>
      <c r="E48" s="112">
        <f t="shared" si="16"/>
        <v>34485.124746923713</v>
      </c>
      <c r="F48" s="9">
        <f t="shared" si="17"/>
        <v>157645.6831845149</v>
      </c>
      <c r="G48" s="112">
        <f t="shared" si="18"/>
        <v>3.2756363543768295E-4</v>
      </c>
      <c r="H48" s="9">
        <f t="shared" si="19"/>
        <v>7.1654818593433708E-5</v>
      </c>
    </row>
    <row r="49" spans="1:8" x14ac:dyDescent="0.2">
      <c r="A49" s="265">
        <v>7</v>
      </c>
      <c r="B49" s="141">
        <f t="shared" si="20"/>
        <v>262144</v>
      </c>
      <c r="C49" s="140">
        <f t="shared" si="21"/>
        <v>1048576</v>
      </c>
      <c r="D49" s="142">
        <f>SUM($C$43:C49)</f>
        <v>1198372</v>
      </c>
      <c r="E49" s="112">
        <f t="shared" si="16"/>
        <v>270560.34423568234</v>
      </c>
      <c r="F49" s="9">
        <f t="shared" si="17"/>
        <v>1236846.698159802</v>
      </c>
      <c r="G49" s="112">
        <f t="shared" si="18"/>
        <v>4.9036752601567691E-5</v>
      </c>
      <c r="H49" s="9">
        <f t="shared" si="19"/>
        <v>1.0726794746527256E-5</v>
      </c>
    </row>
    <row r="50" spans="1:8" x14ac:dyDescent="0.2">
      <c r="A50" s="265">
        <v>8</v>
      </c>
      <c r="B50" s="141">
        <f t="shared" si="20"/>
        <v>2097152</v>
      </c>
      <c r="C50" s="140">
        <f t="shared" si="21"/>
        <v>8388608</v>
      </c>
      <c r="D50" s="142">
        <f>SUM($C$43:C50)</f>
        <v>9586980</v>
      </c>
      <c r="E50" s="112">
        <f t="shared" si="16"/>
        <v>2138963.3636557534</v>
      </c>
      <c r="F50" s="9">
        <f t="shared" si="17"/>
        <v>9778117.6510336082</v>
      </c>
      <c r="G50" s="112">
        <f t="shared" si="18"/>
        <v>6.9262569328457007E-6</v>
      </c>
      <c r="H50" s="9">
        <f t="shared" si="19"/>
        <v>1.5151187943681147E-6</v>
      </c>
    </row>
    <row r="51" spans="1:8" x14ac:dyDescent="0.2">
      <c r="A51" s="265">
        <v>9</v>
      </c>
      <c r="B51" s="141">
        <f t="shared" si="20"/>
        <v>16777216</v>
      </c>
      <c r="C51" s="140">
        <f t="shared" si="21"/>
        <v>67108864</v>
      </c>
      <c r="D51" s="142">
        <f>SUM($C$43:C51)</f>
        <v>76695844</v>
      </c>
      <c r="E51" s="112">
        <f t="shared" si="16"/>
        <v>16986632.130201496</v>
      </c>
      <c r="F51" s="9">
        <f t="shared" si="17"/>
        <v>77653174.873788461</v>
      </c>
      <c r="G51" s="112">
        <f t="shared" si="18"/>
        <v>9.4124048420946562E-7</v>
      </c>
      <c r="H51" s="9">
        <f t="shared" si="19"/>
        <v>2.05896357454868E-7</v>
      </c>
    </row>
    <row r="52" spans="1:8" ht="17" thickBot="1" x14ac:dyDescent="0.25">
      <c r="A52" s="266">
        <v>10</v>
      </c>
      <c r="B52" s="143">
        <f t="shared" si="20"/>
        <v>134217728</v>
      </c>
      <c r="C52" s="144">
        <f t="shared" si="21"/>
        <v>536870912</v>
      </c>
      <c r="D52" s="145">
        <f>SUM($C$43:C52)</f>
        <v>613566756</v>
      </c>
      <c r="E52" s="113">
        <f t="shared" si="16"/>
        <v>135271901.54108584</v>
      </c>
      <c r="F52" s="10">
        <f t="shared" si="17"/>
        <v>618385835.04047573</v>
      </c>
      <c r="G52" s="113">
        <f t="shared" si="18"/>
        <v>1.2460221168826082E-7</v>
      </c>
      <c r="H52" s="10">
        <f t="shared" si="19"/>
        <v>2.7256733832191866E-8</v>
      </c>
    </row>
  </sheetData>
  <conditionalFormatting sqref="O7:O16">
    <cfRule type="cellIs" dxfId="691" priority="63" operator="lessThanOrEqual">
      <formula>0</formula>
    </cfRule>
    <cfRule type="cellIs" dxfId="690" priority="64" operator="greaterThan">
      <formula>0</formula>
    </cfRule>
  </conditionalFormatting>
  <conditionalFormatting sqref="P7:P16 S7:S16">
    <cfRule type="cellIs" dxfId="689" priority="53" operator="lessThanOrEqual">
      <formula>0</formula>
    </cfRule>
    <cfRule type="cellIs" dxfId="688" priority="54" operator="greaterThan">
      <formula>0</formula>
    </cfRule>
  </conditionalFormatting>
  <conditionalFormatting sqref="G43:G52">
    <cfRule type="cellIs" dxfId="687" priority="30" operator="equal">
      <formula>MAX($G$43:$G$52)</formula>
    </cfRule>
  </conditionalFormatting>
  <conditionalFormatting sqref="H43:H52">
    <cfRule type="cellIs" dxfId="686" priority="29" operator="equal">
      <formula>MAX($H$43:$H$52)</formula>
    </cfRule>
  </conditionalFormatting>
  <conditionalFormatting sqref="G31:G40">
    <cfRule type="cellIs" dxfId="685" priority="28" operator="equal">
      <formula>MAX($G$31:$G$40)</formula>
    </cfRule>
  </conditionalFormatting>
  <conditionalFormatting sqref="H31:H40">
    <cfRule type="cellIs" dxfId="684" priority="27" operator="equal">
      <formula>MAX($H$31:$H$40)</formula>
    </cfRule>
  </conditionalFormatting>
  <conditionalFormatting sqref="F19:F28">
    <cfRule type="cellIs" dxfId="683" priority="23" stopIfTrue="1" operator="lessThan">
      <formula>0</formula>
    </cfRule>
    <cfRule type="cellIs" dxfId="682" priority="24" operator="equal">
      <formula>MIN($F$19:$F$28)</formula>
    </cfRule>
  </conditionalFormatting>
  <conditionalFormatting sqref="E19:E28">
    <cfRule type="cellIs" dxfId="681" priority="21" stopIfTrue="1" operator="lessThan">
      <formula>0</formula>
    </cfRule>
    <cfRule type="cellIs" dxfId="680" priority="22" operator="equal">
      <formula>MIN($E$19:$E$28)</formula>
    </cfRule>
  </conditionalFormatting>
  <conditionalFormatting sqref="F31:F40">
    <cfRule type="cellIs" dxfId="679" priority="19" stopIfTrue="1" operator="lessThan">
      <formula>0</formula>
    </cfRule>
    <cfRule type="cellIs" dxfId="678" priority="20" operator="equal">
      <formula>MIN($F$31:$F$40)</formula>
    </cfRule>
  </conditionalFormatting>
  <conditionalFormatting sqref="E31:E40">
    <cfRule type="cellIs" dxfId="677" priority="17" stopIfTrue="1" operator="lessThan">
      <formula>0</formula>
    </cfRule>
    <cfRule type="cellIs" dxfId="676" priority="18" operator="equal">
      <formula>MIN($E$31:$E$40)</formula>
    </cfRule>
  </conditionalFormatting>
  <conditionalFormatting sqref="F43:F52">
    <cfRule type="cellIs" dxfId="675" priority="15" stopIfTrue="1" operator="lessThan">
      <formula>0</formula>
    </cfRule>
    <cfRule type="cellIs" dxfId="674" priority="16" operator="equal">
      <formula>MIN($F$43:$F$52)</formula>
    </cfRule>
  </conditionalFormatting>
  <conditionalFormatting sqref="E43:E52">
    <cfRule type="cellIs" dxfId="673" priority="13" stopIfTrue="1" operator="lessThan">
      <formula>0</formula>
    </cfRule>
    <cfRule type="cellIs" dxfId="672" priority="14" operator="equal">
      <formula>MIN($E$43:$E$52)</formula>
    </cfRule>
  </conditionalFormatting>
  <conditionalFormatting sqref="Q7:Q16">
    <cfRule type="cellIs" dxfId="671" priority="7" operator="lessThanOrEqual">
      <formula>0</formula>
    </cfRule>
    <cfRule type="cellIs" dxfId="670" priority="8" operator="greaterThan">
      <formula>0</formula>
    </cfRule>
  </conditionalFormatting>
  <conditionalFormatting sqref="R7:R16">
    <cfRule type="cellIs" dxfId="669" priority="5" operator="lessThanOrEqual">
      <formula>0</formula>
    </cfRule>
    <cfRule type="cellIs" dxfId="668" priority="6" operator="greaterThan">
      <formula>0</formula>
    </cfRule>
  </conditionalFormatting>
  <conditionalFormatting sqref="G19:G28">
    <cfRule type="cellIs" dxfId="667" priority="3" operator="lessThanOrEqual">
      <formula>0</formula>
    </cfRule>
    <cfRule type="cellIs" dxfId="666" priority="4" operator="equal">
      <formula>MAX($G$19:$G$28)</formula>
    </cfRule>
  </conditionalFormatting>
  <conditionalFormatting sqref="H19:H28">
    <cfRule type="cellIs" dxfId="665" priority="1" operator="lessThanOrEqual">
      <formula>0</formula>
    </cfRule>
    <cfRule type="cellIs" dxfId="664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U52"/>
  <sheetViews>
    <sheetView workbookViewId="0">
      <selection activeCell="B43" sqref="B43:D52"/>
    </sheetView>
  </sheetViews>
  <sheetFormatPr baseColWidth="10" defaultColWidth="8.6640625" defaultRowHeight="16" x14ac:dyDescent="0.2"/>
  <cols>
    <col min="14" max="14" width="5.6640625" bestFit="1" customWidth="1"/>
  </cols>
  <sheetData>
    <row r="1" spans="1:21" x14ac:dyDescent="0.2">
      <c r="B1" s="202"/>
      <c r="C1" t="s">
        <v>99</v>
      </c>
      <c r="D1">
        <f>C2+E2</f>
        <v>0.99999999999999889</v>
      </c>
    </row>
    <row r="2" spans="1:21" x14ac:dyDescent="0.2">
      <c r="A2" t="s">
        <v>40</v>
      </c>
      <c r="B2" s="201" t="s">
        <v>129</v>
      </c>
      <c r="C2" s="222">
        <f>Analysis!B13</f>
        <v>0.62985289283061197</v>
      </c>
      <c r="D2" s="199" t="s">
        <v>130</v>
      </c>
      <c r="E2" s="222">
        <f>Analysis!H13</f>
        <v>0.37014710716938687</v>
      </c>
      <c r="F2" s="199" t="s">
        <v>49</v>
      </c>
      <c r="G2" s="222">
        <f>Analysis!S13</f>
        <v>5.6518226858295559</v>
      </c>
      <c r="H2" t="s">
        <v>163</v>
      </c>
      <c r="I2" s="238">
        <f>Analysis!T13</f>
        <v>11.056101048744571</v>
      </c>
      <c r="J2" t="s">
        <v>50</v>
      </c>
      <c r="K2" s="238">
        <f>C2*G2-E2*I2</f>
        <v>-0.53256695132980214</v>
      </c>
      <c r="L2" t="s">
        <v>49</v>
      </c>
      <c r="M2" s="267">
        <v>1</v>
      </c>
    </row>
    <row r="3" spans="1:21" x14ac:dyDescent="0.2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5</v>
      </c>
    </row>
    <row r="4" spans="1:21" x14ac:dyDescent="0.2">
      <c r="A4" t="s">
        <v>127</v>
      </c>
      <c r="B4" s="202">
        <f>$C$2</f>
        <v>0.62985289283061197</v>
      </c>
      <c r="C4">
        <f>B4*$C$2</f>
        <v>0.39671466660709037</v>
      </c>
      <c r="D4">
        <f t="shared" ref="D4:K4" si="0">C4*$C$2</f>
        <v>0.24987188039080765</v>
      </c>
      <c r="E4">
        <f t="shared" si="0"/>
        <v>0.15738252670117486</v>
      </c>
      <c r="F4">
        <f t="shared" si="0"/>
        <v>9.9127839723726019E-2</v>
      </c>
      <c r="G4">
        <f t="shared" si="0"/>
        <v>6.2435956610038083E-2</v>
      </c>
      <c r="H4">
        <f t="shared" si="0"/>
        <v>3.9325467887479058E-2</v>
      </c>
      <c r="I4">
        <f t="shared" si="0"/>
        <v>2.4769259710846019E-2</v>
      </c>
      <c r="J4">
        <f t="shared" si="0"/>
        <v>1.5600989882149092E-2</v>
      </c>
      <c r="K4">
        <f t="shared" si="0"/>
        <v>9.8263286082927136E-3</v>
      </c>
    </row>
    <row r="5" spans="1:21" ht="17" thickBot="1" x14ac:dyDescent="0.25">
      <c r="A5" t="s">
        <v>128</v>
      </c>
      <c r="B5" s="202">
        <f>$E$2</f>
        <v>0.37014710716938687</v>
      </c>
      <c r="C5">
        <f>B5*$E$2</f>
        <v>0.13700888094586558</v>
      </c>
      <c r="D5">
        <f t="shared" ref="D5:K5" si="1">C5*$E$2</f>
        <v>5.071344093862707E-2</v>
      </c>
      <c r="E5">
        <f t="shared" si="1"/>
        <v>1.8771433458038365E-2</v>
      </c>
      <c r="F5">
        <f t="shared" si="1"/>
        <v>6.9481917919155412E-3</v>
      </c>
      <c r="G5">
        <f t="shared" si="1"/>
        <v>2.5718530918356162E-3</v>
      </c>
      <c r="H5">
        <f t="shared" si="1"/>
        <v>9.5196398200759677E-4</v>
      </c>
      <c r="I5">
        <f t="shared" si="1"/>
        <v>3.5236671406956222E-4</v>
      </c>
      <c r="J5">
        <f t="shared" si="1"/>
        <v>1.3042751987563095E-4</v>
      </c>
      <c r="K5">
        <f t="shared" si="1"/>
        <v>4.8277369177242506E-5</v>
      </c>
    </row>
    <row r="6" spans="1:21" ht="17" thickBot="1" x14ac:dyDescent="0.25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">
      <c r="A7" s="208">
        <v>1</v>
      </c>
      <c r="B7" s="114">
        <f>C7*B4</f>
        <v>0.62985289283061197</v>
      </c>
      <c r="C7" s="114">
        <v>1</v>
      </c>
      <c r="D7" s="212">
        <f>C7*B5</f>
        <v>0.37014710716938687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0.99999999999999889</v>
      </c>
      <c r="O7" s="114">
        <f>B7/(B7+D7)</f>
        <v>0.62985289283061263</v>
      </c>
      <c r="P7" s="129">
        <f>B7-D7</f>
        <v>0.2597057856612251</v>
      </c>
      <c r="Q7" s="129">
        <f>($G$2*SUM(C7))*B7</f>
        <v>3.559816868435425</v>
      </c>
      <c r="R7" s="58">
        <f>($I$2*SUM(C7))*D7*COUNT(D7:M7)</f>
        <v>4.0923838197652271</v>
      </c>
      <c r="S7" s="58">
        <f>Q7-R7</f>
        <v>-0.53256695132980214</v>
      </c>
      <c r="T7" s="129">
        <f>(S7+U7*D7)/B7</f>
        <v>-0.25786948985895231</v>
      </c>
      <c r="U7" s="58">
        <f t="shared" ref="U7:U16" si="2">COUNT(D7:M7)</f>
        <v>1</v>
      </c>
    </row>
    <row r="8" spans="1:21" x14ac:dyDescent="0.2">
      <c r="A8" s="209">
        <v>2</v>
      </c>
      <c r="B8" s="116">
        <f>C8*B4</f>
        <v>0.82133823117671556</v>
      </c>
      <c r="C8" s="116">
        <f>1/(1-B4*B5)</f>
        <v>1.3040159702776823</v>
      </c>
      <c r="D8" s="194">
        <f>C8*B5</f>
        <v>0.48267773910096529</v>
      </c>
      <c r="E8" s="1">
        <f>D8*B5</f>
        <v>0.17866176882328236</v>
      </c>
      <c r="F8" s="1"/>
      <c r="G8" s="1"/>
      <c r="H8" s="1"/>
      <c r="I8" s="1"/>
      <c r="J8" s="1"/>
      <c r="K8" s="1"/>
      <c r="L8" s="1"/>
      <c r="M8" s="9"/>
      <c r="N8">
        <f>B8+E8</f>
        <v>0.99999999999999789</v>
      </c>
      <c r="O8" s="116">
        <f>B8/(B8+E8)</f>
        <v>0.82133823117671734</v>
      </c>
      <c r="P8" s="112">
        <f>B8-E8</f>
        <v>0.64267646235343323</v>
      </c>
      <c r="Q8" s="112">
        <f>($G$2*SUM(C8:D8))*B8</f>
        <v>8.2939359124026932</v>
      </c>
      <c r="R8" s="9">
        <f>($I$2*SUM(C8:D8))*E8*COUNT(D8:M8)</f>
        <v>7.05852135065361</v>
      </c>
      <c r="S8" s="9">
        <f t="shared" ref="S8:S16" si="3">Q8-R8</f>
        <v>1.2354145617490833</v>
      </c>
      <c r="T8" s="112">
        <f>(S8+U8*E8)/B8</f>
        <v>1.9391987842983549</v>
      </c>
      <c r="U8" s="9">
        <f t="shared" si="2"/>
        <v>2</v>
      </c>
    </row>
    <row r="9" spans="1:21" x14ac:dyDescent="0.2">
      <c r="A9" s="209">
        <v>3</v>
      </c>
      <c r="B9" s="116">
        <f>C9*B4</f>
        <v>0.90498181845050307</v>
      </c>
      <c r="C9" s="216">
        <f>1/(1-B5*B4/(1-B5*B4))</f>
        <v>1.4368145780571691</v>
      </c>
      <c r="D9" s="217">
        <f>C9*B5*C8</f>
        <v>0.69351841204394171</v>
      </c>
      <c r="E9" s="218">
        <f>D9*(B5)</f>
        <v>0.25670383398677188</v>
      </c>
      <c r="F9" s="218">
        <f>E9*B5</f>
        <v>9.5018181549494152E-2</v>
      </c>
      <c r="G9" s="218"/>
      <c r="H9" s="218"/>
      <c r="I9" s="218"/>
      <c r="J9" s="218"/>
      <c r="K9" s="218"/>
      <c r="L9" s="218"/>
      <c r="M9" s="219"/>
      <c r="N9">
        <f>B9+F9</f>
        <v>0.99999999999999722</v>
      </c>
      <c r="O9" s="116">
        <f>B9/(B9+F9)</f>
        <v>0.90498181845050563</v>
      </c>
      <c r="P9" s="112">
        <f>B9-F9</f>
        <v>0.80996363690100892</v>
      </c>
      <c r="Q9" s="112">
        <f>($G$2*SUM(C9:E9))*B9</f>
        <v>12.209208241969073</v>
      </c>
      <c r="R9" s="9">
        <f>($I$2*SUM(C9:E9))*F9*COUNT(D9:M9)</f>
        <v>7.5229658005347506</v>
      </c>
      <c r="S9" s="9">
        <f t="shared" si="3"/>
        <v>4.686242441434322</v>
      </c>
      <c r="T9" s="112">
        <f>(S9+U9*F9)/B9</f>
        <v>5.4932562010964903</v>
      </c>
      <c r="U9" s="9">
        <f t="shared" si="2"/>
        <v>3</v>
      </c>
    </row>
    <row r="10" spans="1:21" x14ac:dyDescent="0.2">
      <c r="A10" s="209">
        <v>4</v>
      </c>
      <c r="B10" s="116">
        <f>C10*B4</f>
        <v>0.94711359846141063</v>
      </c>
      <c r="C10" s="116">
        <f>1/(1-B5*B4/(1-B5*B4/(1-B5*B4)))</f>
        <v>1.5037060387307302</v>
      </c>
      <c r="D10" s="194">
        <f>C10*B5*C9</f>
        <v>0.79972013221536986</v>
      </c>
      <c r="E10" s="1">
        <f>D10*B5*C8</f>
        <v>0.38600710533123977</v>
      </c>
      <c r="F10" s="1">
        <f>E10*B5</f>
        <v>0.14287941338518723</v>
      </c>
      <c r="G10" s="1">
        <f>F10*B5</f>
        <v>5.2886401538586023E-2</v>
      </c>
      <c r="H10" s="1"/>
      <c r="I10" s="1"/>
      <c r="J10" s="1"/>
      <c r="K10" s="1"/>
      <c r="L10" s="1"/>
      <c r="M10" s="9"/>
      <c r="N10">
        <f>B10+G10</f>
        <v>0.99999999999999667</v>
      </c>
      <c r="O10" s="116">
        <f>B10/(B10+G10)</f>
        <v>0.94711359846141374</v>
      </c>
      <c r="P10" s="112">
        <f>B10-G10</f>
        <v>0.8942271969228246</v>
      </c>
      <c r="Q10" s="112">
        <f>($G$2*SUM(C10:F10))*B10</f>
        <v>15.161137923217218</v>
      </c>
      <c r="R10" s="9">
        <f>($I$2*SUM(C10:F10))*G10*COUNT(D10:M10)</f>
        <v>6.6244100420522223</v>
      </c>
      <c r="S10" s="9">
        <f t="shared" si="3"/>
        <v>8.536727881164996</v>
      </c>
      <c r="T10" s="112">
        <f>(S10+U10*G10)/B10</f>
        <v>9.2367731827849795</v>
      </c>
      <c r="U10" s="9">
        <f t="shared" si="2"/>
        <v>4</v>
      </c>
    </row>
    <row r="11" spans="1:21" x14ac:dyDescent="0.2">
      <c r="A11" s="209">
        <v>5</v>
      </c>
      <c r="B11" s="116">
        <f>C11*B4</f>
        <v>0.96985696766183394</v>
      </c>
      <c r="C11" s="116">
        <f>1/(1-B5*B4/(1-B5*B4/(1-B5*B4/(1-B5*B4))))</f>
        <v>1.539815056343101</v>
      </c>
      <c r="D11" s="194">
        <f>C11*B5*C10</f>
        <v>0.85704941977344362</v>
      </c>
      <c r="E11" s="1">
        <f>D11*B5*C9</f>
        <v>0.45580695803740101</v>
      </c>
      <c r="F11" s="1">
        <f>E11*B5*C8</f>
        <v>0.22000787197198129</v>
      </c>
      <c r="G11" s="1">
        <f>F11*B5</f>
        <v>8.1435277364921704E-2</v>
      </c>
      <c r="H11" s="1">
        <f>G11*B5</f>
        <v>3.0143032338162418E-2</v>
      </c>
      <c r="I11" s="1"/>
      <c r="J11" s="1"/>
      <c r="K11" s="1"/>
      <c r="L11" s="1"/>
      <c r="M11" s="9"/>
      <c r="N11">
        <f>B11+H11</f>
        <v>0.99999999999999634</v>
      </c>
      <c r="O11" s="116">
        <f>B11/(B11+H11)</f>
        <v>0.96985696766183749</v>
      </c>
      <c r="P11" s="112">
        <f>B11-H11</f>
        <v>0.93971393532367153</v>
      </c>
      <c r="Q11" s="112">
        <f>($G$2*SUM(C11:G11))*B11</f>
        <v>17.289151700523831</v>
      </c>
      <c r="R11" s="9">
        <f>($I$2*SUM(C11:G11))*H11*COUNT(D11:M11)</f>
        <v>5.2557707015063304</v>
      </c>
      <c r="S11" s="9">
        <f t="shared" si="3"/>
        <v>12.033380999017501</v>
      </c>
      <c r="T11" s="112">
        <f>(S11+U11*H11)/B11</f>
        <v>12.56277633400126</v>
      </c>
      <c r="U11" s="9">
        <f t="shared" si="2"/>
        <v>5</v>
      </c>
    </row>
    <row r="12" spans="1:21" x14ac:dyDescent="0.2">
      <c r="A12" s="209">
        <v>6</v>
      </c>
      <c r="B12" s="116">
        <f>C12*B4</f>
        <v>0.98259410635354261</v>
      </c>
      <c r="C12" s="116">
        <f>1/(1-B5*B4/(1-B5*B4/(1-B5*B4/(1-B5*B4/(1-B5*B4)))))</f>
        <v>1.5600374588067412</v>
      </c>
      <c r="D12" s="194">
        <f>C12*B5*C11</f>
        <v>0.8891559682926683</v>
      </c>
      <c r="E12" s="1">
        <f>D12*B5*C10</f>
        <v>0.49489749017204437</v>
      </c>
      <c r="F12" s="1">
        <f>E12*B5*C9</f>
        <v>0.26320269792061041</v>
      </c>
      <c r="G12" s="1">
        <f>F12*B5*C8</f>
        <v>0.12704208315759455</v>
      </c>
      <c r="H12" s="1">
        <f>G12*B5</f>
        <v>4.7024259569556311E-2</v>
      </c>
      <c r="I12" s="1">
        <f>H12*B5</f>
        <v>1.7405893646453625E-2</v>
      </c>
      <c r="J12" s="1"/>
      <c r="K12" s="1"/>
      <c r="L12" s="1"/>
      <c r="M12" s="9"/>
      <c r="N12">
        <f>B12+I12</f>
        <v>0.99999999999999623</v>
      </c>
      <c r="O12" s="116">
        <f>B12/(B12+I12)</f>
        <v>0.98259410635354627</v>
      </c>
      <c r="P12" s="112">
        <f>B12-I12</f>
        <v>0.96518821270708899</v>
      </c>
      <c r="Q12" s="112">
        <f>($G$2*SUM(C12:H12))*B12</f>
        <v>18.778205550155501</v>
      </c>
      <c r="R12" s="9">
        <f>($I$2*SUM(C12:H12))*I12*COUNT(D12:M12)</f>
        <v>3.904280221872078</v>
      </c>
      <c r="S12" s="9">
        <f t="shared" si="3"/>
        <v>14.873925328283423</v>
      </c>
      <c r="T12" s="112">
        <f>(S12+U12*I12)/B12</f>
        <v>15.243690750138542</v>
      </c>
      <c r="U12" s="9">
        <f t="shared" si="2"/>
        <v>6</v>
      </c>
    </row>
    <row r="13" spans="1:21" x14ac:dyDescent="0.2">
      <c r="A13" s="209">
        <v>7</v>
      </c>
      <c r="B13" s="116">
        <f>C13*B4</f>
        <v>0.98987461042233327</v>
      </c>
      <c r="C13" s="216">
        <f>1/(1-B5*B4/(1-B5*B4/(1-B5*B4/(1-B5*B4/(1-B5*B4/(1-B5*B4))))))</f>
        <v>1.5715965135505743</v>
      </c>
      <c r="D13" s="217">
        <f>C13*B5*C12</f>
        <v>0.90750795948839946</v>
      </c>
      <c r="E13" s="218">
        <f>D13*B5*C11</f>
        <v>0.51724150205304331</v>
      </c>
      <c r="F13" s="218">
        <f>E13*B5*C10</f>
        <v>0.28789270983627069</v>
      </c>
      <c r="G13" s="218">
        <f>F13*B5*C9</f>
        <v>0.15311077434286452</v>
      </c>
      <c r="H13" s="218">
        <f>G13*B5*C8</f>
        <v>7.3903162391811938E-2</v>
      </c>
      <c r="I13" s="218">
        <f>H13*B5</f>
        <v>2.7355041769998614E-2</v>
      </c>
      <c r="J13" s="218">
        <f>I13*B5</f>
        <v>1.012538957766273E-2</v>
      </c>
      <c r="K13" s="218"/>
      <c r="L13" s="218"/>
      <c r="M13" s="219"/>
      <c r="N13">
        <f>B13+J13</f>
        <v>0.999999999999996</v>
      </c>
      <c r="O13" s="116">
        <f>B13/(B13+J13)</f>
        <v>0.98987461042233726</v>
      </c>
      <c r="P13" s="112">
        <f>B13-J13</f>
        <v>0.97974922084467053</v>
      </c>
      <c r="Q13" s="112">
        <f>($G$2*SUM(C13:I13))*B13</f>
        <v>19.797079498481864</v>
      </c>
      <c r="R13" s="9">
        <f>($I$2*SUM(C13:I13))*J13*COUNT(D13:M13)</f>
        <v>2.7729637670101361</v>
      </c>
      <c r="S13" s="9">
        <f t="shared" si="3"/>
        <v>17.024115731471728</v>
      </c>
      <c r="T13" s="112">
        <f>(S13+U13*J13)/B13</f>
        <v>17.269857493588741</v>
      </c>
      <c r="U13" s="9">
        <f t="shared" si="2"/>
        <v>7</v>
      </c>
    </row>
    <row r="14" spans="1:21" x14ac:dyDescent="0.2">
      <c r="A14" s="209">
        <v>8</v>
      </c>
      <c r="B14" s="116">
        <f>C14*B4</f>
        <v>0.99408478682445822</v>
      </c>
      <c r="C14" s="116">
        <f>1/(1-B5*B4/(1-B5*B4/(1-B5*B4/(1-B5*B4/(1-B5*B4/(1-B5*B4/(1-B5*B4)))))))</f>
        <v>1.5782808940623538</v>
      </c>
      <c r="D14" s="194">
        <f>C14*B5*C13</f>
        <v>0.91812056536489139</v>
      </c>
      <c r="E14" s="1">
        <f>D14*B5*C12</f>
        <v>0.53016261722052727</v>
      </c>
      <c r="F14" s="1">
        <f>E14*B5*C11</f>
        <v>0.30217047200126895</v>
      </c>
      <c r="G14" s="1">
        <f>F14*B5*C10</f>
        <v>0.16818580038851785</v>
      </c>
      <c r="H14" s="1">
        <f>G14*B5*C9</f>
        <v>8.9446718347281046E-2</v>
      </c>
      <c r="I14" s="1">
        <f>H14*B5*C8</f>
        <v>4.3173939781866441E-2</v>
      </c>
      <c r="J14" s="1">
        <f>I14*B5</f>
        <v>1.5980708915363174E-2</v>
      </c>
      <c r="K14" s="1">
        <f>J14*B5</f>
        <v>5.9152131755377093E-3</v>
      </c>
      <c r="L14" s="1"/>
      <c r="M14" s="9"/>
      <c r="N14">
        <f>B14+K14</f>
        <v>0.99999999999999589</v>
      </c>
      <c r="O14" s="116">
        <f>B14/(B14+K14)</f>
        <v>0.99408478682446233</v>
      </c>
      <c r="P14" s="112">
        <f>B14-K14</f>
        <v>0.98816957364892055</v>
      </c>
      <c r="Q14" s="112">
        <f>($G$2*SUM(C14:J14))*B14</f>
        <v>20.481966216980478</v>
      </c>
      <c r="R14" s="9">
        <f>($I$2*SUM(C14:J14))*K14*COUNT(D14:M14)</f>
        <v>1.9073134728422638</v>
      </c>
      <c r="S14" s="9">
        <f t="shared" si="3"/>
        <v>18.574652744138213</v>
      </c>
      <c r="T14" s="112">
        <f>(S14+U14*K14)/B14</f>
        <v>18.732782853492054</v>
      </c>
      <c r="U14" s="9">
        <f t="shared" si="2"/>
        <v>8</v>
      </c>
    </row>
    <row r="15" spans="1:21" x14ac:dyDescent="0.2">
      <c r="A15" s="209">
        <v>9</v>
      </c>
      <c r="B15" s="116">
        <f>C15*B4</f>
        <v>0.99653583513801969</v>
      </c>
      <c r="C15" s="116">
        <f>1/(1-B5*B4/(1-B5*B4/(1-B5*B4/(1-B5*B4/(1-B5*B4/(1-B5*B4/(1-B5*B4/(1-B5*B4))))))))</f>
        <v>1.5821723556106946</v>
      </c>
      <c r="D15" s="194">
        <f>C15*B5*C14</f>
        <v>0.92429893112717632</v>
      </c>
      <c r="E15" s="1">
        <f>D15*B5*C13</f>
        <v>0.53768493327469835</v>
      </c>
      <c r="F15" s="1">
        <f>E15*B5*C12</f>
        <v>0.31048259043371523</v>
      </c>
      <c r="G15" s="1">
        <f>F15*B5*C11</f>
        <v>0.17696206381240845</v>
      </c>
      <c r="H15" s="1">
        <f>G15*B5*C10</f>
        <v>9.8495746932443146E-2</v>
      </c>
      <c r="I15" s="1">
        <f>H15*B5*C9</f>
        <v>5.2383264900600884E-2</v>
      </c>
      <c r="J15" s="1">
        <f>I15*B5*C8</f>
        <v>2.5284235868948988E-2</v>
      </c>
      <c r="K15" s="1">
        <f>J15*B5</f>
        <v>9.3588867638799162E-3</v>
      </c>
      <c r="L15" s="1">
        <f>K15*B5</f>
        <v>3.4641648619760158E-3</v>
      </c>
      <c r="M15" s="9"/>
      <c r="N15">
        <f>B15+L15</f>
        <v>0.99999999999999567</v>
      </c>
      <c r="O15" s="116">
        <f>B15/(B15+L15)</f>
        <v>0.99653583513802402</v>
      </c>
      <c r="P15" s="112">
        <f>B15-L15</f>
        <v>0.99307167027604371</v>
      </c>
      <c r="Q15" s="112">
        <f>($G$2*SUM(C15:K15))*B15</f>
        <v>20.935743169434012</v>
      </c>
      <c r="R15" s="9">
        <f>($I$2*SUM(C15:K15))*L15*COUNT(D15:M15)</f>
        <v>1.2812975454908455</v>
      </c>
      <c r="S15" s="9">
        <f t="shared" si="3"/>
        <v>19.654445623943168</v>
      </c>
      <c r="T15" s="112">
        <f>(S15+U15*L15)/B15</f>
        <v>19.754054408865791</v>
      </c>
      <c r="U15" s="9">
        <f t="shared" si="2"/>
        <v>9</v>
      </c>
    </row>
    <row r="16" spans="1:21" ht="17" thickBot="1" x14ac:dyDescent="0.25">
      <c r="A16" s="210">
        <v>10</v>
      </c>
      <c r="B16" s="195">
        <f>C16*B4</f>
        <v>0.99796834225480413</v>
      </c>
      <c r="C16" s="195">
        <f>1/(1-B5*B4/(1-B5*B4/(1-B5*B4/(1-B5*B4/(1-B5*B4/(1-B5*B4/(1-B5*B4/(1-B5*B4/(1-B5*B4)))))))))</f>
        <v>1.5844467074999851</v>
      </c>
      <c r="D16" s="213">
        <f>C16*B5*C15</f>
        <v>0.9279098566546744</v>
      </c>
      <c r="E16" s="131">
        <f>D16*B5*C14</f>
        <v>0.54208132612533289</v>
      </c>
      <c r="F16" s="131">
        <f>E16*B5*C13</f>
        <v>0.3153405806839083</v>
      </c>
      <c r="G16" s="131">
        <f>F16*B5*C12</f>
        <v>0.18209132207465381</v>
      </c>
      <c r="H16" s="131">
        <f>G16*B5*C11</f>
        <v>0.10378442189511437</v>
      </c>
      <c r="I16" s="131">
        <f>H16*B5*C10</f>
        <v>5.776562464454213E-2</v>
      </c>
      <c r="J16" s="131">
        <f>I16*B5*C9</f>
        <v>3.0721651565109576E-2</v>
      </c>
      <c r="K16" s="131">
        <f>J16*B5*C8</f>
        <v>1.4828657318894722E-2</v>
      </c>
      <c r="L16" s="131">
        <f>K16*B5</f>
        <v>5.4887846097950374E-3</v>
      </c>
      <c r="M16" s="10">
        <f>L16*B5</f>
        <v>2.031657745191485E-3</v>
      </c>
      <c r="N16">
        <f>B16+M16</f>
        <v>0.99999999999999567</v>
      </c>
      <c r="O16" s="195">
        <f>B16/(B16+M16)</f>
        <v>0.99796834225480846</v>
      </c>
      <c r="P16" s="113">
        <f>B16-M16</f>
        <v>0.99593668450961259</v>
      </c>
      <c r="Q16" s="113">
        <f>($G$2*SUM(C16:L16))*B16</f>
        <v>21.232828737105599</v>
      </c>
      <c r="R16" s="10">
        <f>($I$2*SUM(C16:L16))*M16*COUNT(D16:M16)</f>
        <v>0.84558079616529713</v>
      </c>
      <c r="S16" s="10">
        <f t="shared" si="3"/>
        <v>20.387247940940302</v>
      </c>
      <c r="T16" s="113">
        <f>(S16+U16*M16)/B16</f>
        <v>20.449110111332267</v>
      </c>
      <c r="U16" s="10">
        <f t="shared" si="2"/>
        <v>10</v>
      </c>
    </row>
    <row r="17" spans="1:8" ht="17" thickBot="1" x14ac:dyDescent="0.25"/>
    <row r="18" spans="1:8" ht="17" thickBot="1" x14ac:dyDescent="0.25">
      <c r="A18" s="138" t="s">
        <v>140</v>
      </c>
      <c r="B18" s="139" t="s">
        <v>145</v>
      </c>
      <c r="C18" s="139" t="s">
        <v>144</v>
      </c>
      <c r="D18" s="241" t="s">
        <v>143</v>
      </c>
      <c r="E18" s="231" t="s">
        <v>157</v>
      </c>
      <c r="F18" s="234" t="s">
        <v>156</v>
      </c>
      <c r="G18" s="255" t="s">
        <v>158</v>
      </c>
      <c r="H18" s="256" t="s">
        <v>159</v>
      </c>
    </row>
    <row r="19" spans="1:8" x14ac:dyDescent="0.2">
      <c r="A19" s="264">
        <v>1</v>
      </c>
      <c r="B19" s="146">
        <v>1</v>
      </c>
      <c r="C19" s="150">
        <f>B19*$M$3</f>
        <v>5</v>
      </c>
      <c r="D19" s="151">
        <f>SUM($C$19:C19)</f>
        <v>5</v>
      </c>
      <c r="E19" s="9">
        <f>B19/P7</f>
        <v>3.8505110598670163</v>
      </c>
      <c r="F19" s="9">
        <f>D19/P7</f>
        <v>19.252555299335082</v>
      </c>
      <c r="G19" s="28">
        <f>S7/E19</f>
        <v>-0.13831071851230969</v>
      </c>
      <c r="H19" s="8">
        <f>S7/F19</f>
        <v>-2.7662143702461936E-2</v>
      </c>
    </row>
    <row r="20" spans="1:8" x14ac:dyDescent="0.2">
      <c r="A20" s="265">
        <v>2</v>
      </c>
      <c r="B20" s="141">
        <f>B19*($M$3+1)</f>
        <v>6</v>
      </c>
      <c r="C20" s="140">
        <f>B20*$M$3</f>
        <v>30</v>
      </c>
      <c r="D20" s="142">
        <f>SUM($C$19:C20)</f>
        <v>35</v>
      </c>
      <c r="E20" s="9">
        <f t="shared" ref="E20:E28" si="4">B20/P8</f>
        <v>9.3359572840561924</v>
      </c>
      <c r="F20" s="9">
        <f t="shared" ref="F20:F28" si="5">D20/P8</f>
        <v>54.459750823661118</v>
      </c>
      <c r="G20" s="112">
        <f t="shared" ref="G20:G28" si="6">S8/E20</f>
        <v>0.13232864334746966</v>
      </c>
      <c r="H20" s="9">
        <f t="shared" ref="H20:H28" si="7">S8/F20</f>
        <v>2.2684910288137655E-2</v>
      </c>
    </row>
    <row r="21" spans="1:8" x14ac:dyDescent="0.2">
      <c r="A21" s="265">
        <v>3</v>
      </c>
      <c r="B21" s="141">
        <f t="shared" ref="B21:B28" si="8">B20*($M$3+1)</f>
        <v>36</v>
      </c>
      <c r="C21" s="140">
        <f t="shared" ref="C21:C28" si="9">B21*$M$3</f>
        <v>180</v>
      </c>
      <c r="D21" s="142">
        <f>SUM($C$19:C21)</f>
        <v>215</v>
      </c>
      <c r="E21" s="9">
        <f t="shared" si="4"/>
        <v>44.446439765788895</v>
      </c>
      <c r="F21" s="9">
        <f t="shared" si="5"/>
        <v>265.44401526790591</v>
      </c>
      <c r="G21" s="112">
        <f t="shared" si="6"/>
        <v>0.10543572142400019</v>
      </c>
      <c r="H21" s="9">
        <f t="shared" si="7"/>
        <v>1.765435335471631E-2</v>
      </c>
    </row>
    <row r="22" spans="1:8" x14ac:dyDescent="0.2">
      <c r="A22" s="265">
        <v>4</v>
      </c>
      <c r="B22" s="141">
        <f t="shared" si="8"/>
        <v>216</v>
      </c>
      <c r="C22" s="140">
        <f t="shared" si="9"/>
        <v>1080</v>
      </c>
      <c r="D22" s="142">
        <f>SUM($C$19:C22)</f>
        <v>1295</v>
      </c>
      <c r="E22" s="9">
        <f t="shared" si="4"/>
        <v>241.5493520475442</v>
      </c>
      <c r="F22" s="9">
        <f t="shared" si="5"/>
        <v>1448.1778282480082</v>
      </c>
      <c r="G22" s="112">
        <f t="shared" si="6"/>
        <v>3.5341547426236568E-2</v>
      </c>
      <c r="H22" s="9">
        <f t="shared" si="7"/>
        <v>5.8948063660749792E-3</v>
      </c>
    </row>
    <row r="23" spans="1:8" x14ac:dyDescent="0.2">
      <c r="A23" s="265">
        <v>5</v>
      </c>
      <c r="B23" s="141">
        <f t="shared" si="8"/>
        <v>1296</v>
      </c>
      <c r="C23" s="140">
        <f t="shared" si="9"/>
        <v>6480</v>
      </c>
      <c r="D23" s="142">
        <f>SUM($C$19:C23)</f>
        <v>7775</v>
      </c>
      <c r="E23" s="9">
        <f t="shared" si="4"/>
        <v>1379.1431107740364</v>
      </c>
      <c r="F23" s="9">
        <f t="shared" si="5"/>
        <v>8273.7945110093624</v>
      </c>
      <c r="G23" s="112">
        <f t="shared" si="6"/>
        <v>8.725259115614066E-3</v>
      </c>
      <c r="H23" s="9">
        <f t="shared" si="7"/>
        <v>1.4543968892393349E-3</v>
      </c>
    </row>
    <row r="24" spans="1:8" x14ac:dyDescent="0.2">
      <c r="A24" s="265">
        <v>6</v>
      </c>
      <c r="B24" s="141">
        <f t="shared" si="8"/>
        <v>7776</v>
      </c>
      <c r="C24" s="140">
        <f t="shared" si="9"/>
        <v>38880</v>
      </c>
      <c r="D24" s="142">
        <f>SUM($C$19:C24)</f>
        <v>46655</v>
      </c>
      <c r="E24" s="9">
        <f t="shared" si="4"/>
        <v>8056.4597636252174</v>
      </c>
      <c r="F24" s="9">
        <f t="shared" si="5"/>
        <v>48337.722514394867</v>
      </c>
      <c r="G24" s="112">
        <f t="shared" si="6"/>
        <v>1.8462110858467823E-3</v>
      </c>
      <c r="H24" s="9">
        <f t="shared" si="7"/>
        <v>3.0770844290096624E-4</v>
      </c>
    </row>
    <row r="25" spans="1:8" x14ac:dyDescent="0.2">
      <c r="A25" s="265">
        <v>7</v>
      </c>
      <c r="B25" s="141">
        <f t="shared" si="8"/>
        <v>46656</v>
      </c>
      <c r="C25" s="140">
        <f t="shared" si="9"/>
        <v>233280</v>
      </c>
      <c r="D25" s="142">
        <f>SUM($C$19:C25)</f>
        <v>279935</v>
      </c>
      <c r="E25" s="9">
        <f t="shared" si="4"/>
        <v>47620.349174431081</v>
      </c>
      <c r="F25" s="9">
        <f t="shared" si="5"/>
        <v>285721.07437723689</v>
      </c>
      <c r="G25" s="112">
        <f t="shared" si="6"/>
        <v>3.5749665902518269E-4</v>
      </c>
      <c r="H25" s="9">
        <f t="shared" si="7"/>
        <v>5.9582989349237944E-5</v>
      </c>
    </row>
    <row r="26" spans="1:8" x14ac:dyDescent="0.2">
      <c r="A26" s="265">
        <v>8</v>
      </c>
      <c r="B26" s="141">
        <f t="shared" si="8"/>
        <v>279936</v>
      </c>
      <c r="C26" s="140">
        <f t="shared" si="9"/>
        <v>1399680</v>
      </c>
      <c r="D26" s="142">
        <f>SUM($C$19:C26)</f>
        <v>1679615</v>
      </c>
      <c r="E26" s="9">
        <f t="shared" si="4"/>
        <v>283287.41085025191</v>
      </c>
      <c r="F26" s="9">
        <f t="shared" si="5"/>
        <v>1699723.4531294503</v>
      </c>
      <c r="G26" s="112">
        <f t="shared" si="6"/>
        <v>6.5568225175939533E-5</v>
      </c>
      <c r="H26" s="9">
        <f t="shared" si="7"/>
        <v>1.0928044035598521E-5</v>
      </c>
    </row>
    <row r="27" spans="1:8" x14ac:dyDescent="0.2">
      <c r="A27" s="265">
        <v>9</v>
      </c>
      <c r="B27" s="141">
        <f t="shared" si="8"/>
        <v>1679616</v>
      </c>
      <c r="C27" s="140">
        <f t="shared" si="9"/>
        <v>8398080</v>
      </c>
      <c r="D27" s="142">
        <f>SUM($C$19:C27)</f>
        <v>10077695</v>
      </c>
      <c r="E27" s="9">
        <f t="shared" si="4"/>
        <v>1691334.120459924</v>
      </c>
      <c r="F27" s="9">
        <f t="shared" si="5"/>
        <v>10148003.715782877</v>
      </c>
      <c r="G27" s="112">
        <f t="shared" si="6"/>
        <v>1.1620675883129787E-5</v>
      </c>
      <c r="H27" s="9">
        <f t="shared" si="7"/>
        <v>1.9367795060397163E-6</v>
      </c>
    </row>
    <row r="28" spans="1:8" ht="17" thickBot="1" x14ac:dyDescent="0.25">
      <c r="A28" s="266">
        <v>10</v>
      </c>
      <c r="B28" s="143">
        <f t="shared" si="8"/>
        <v>10077696</v>
      </c>
      <c r="C28" s="144">
        <f t="shared" si="9"/>
        <v>50388480</v>
      </c>
      <c r="D28" s="145">
        <f>SUM($C$19:C28)</f>
        <v>60466175</v>
      </c>
      <c r="E28" s="9">
        <f t="shared" si="4"/>
        <v>10118811.925240146</v>
      </c>
      <c r="F28" s="9">
        <f t="shared" si="5"/>
        <v>60712870.547360979</v>
      </c>
      <c r="G28" s="113">
        <f t="shared" si="6"/>
        <v>2.0147867251180736E-6</v>
      </c>
      <c r="H28" s="10">
        <f t="shared" si="7"/>
        <v>3.3579779307316048E-7</v>
      </c>
    </row>
    <row r="29" spans="1:8" ht="17" thickBot="1" x14ac:dyDescent="0.25"/>
    <row r="30" spans="1:8" ht="17" thickBot="1" x14ac:dyDescent="0.25">
      <c r="A30" s="29" t="s">
        <v>140</v>
      </c>
      <c r="B30" s="19" t="s">
        <v>145</v>
      </c>
      <c r="C30" s="19" t="s">
        <v>144</v>
      </c>
      <c r="D30" s="19" t="s">
        <v>143</v>
      </c>
      <c r="E30" s="231" t="s">
        <v>157</v>
      </c>
      <c r="F30" s="234" t="s">
        <v>156</v>
      </c>
      <c r="G30" s="257" t="s">
        <v>158</v>
      </c>
      <c r="H30" s="258" t="s">
        <v>159</v>
      </c>
    </row>
    <row r="31" spans="1:8" x14ac:dyDescent="0.2">
      <c r="A31" s="264">
        <v>1</v>
      </c>
      <c r="B31" s="146">
        <v>1</v>
      </c>
      <c r="C31" s="150">
        <f>B31*$M$3</f>
        <v>5</v>
      </c>
      <c r="D31" s="151">
        <f>SUM($C$31:C31)</f>
        <v>5</v>
      </c>
      <c r="E31" s="129">
        <f>B31/P7</f>
        <v>3.8505110598670163</v>
      </c>
      <c r="F31" s="58">
        <f>D31/P7</f>
        <v>19.252555299335082</v>
      </c>
      <c r="G31" s="28">
        <f>S7/E31</f>
        <v>-0.13831071851230969</v>
      </c>
      <c r="H31" s="8">
        <f>S7/F31</f>
        <v>-2.7662143702461936E-2</v>
      </c>
    </row>
    <row r="32" spans="1:8" x14ac:dyDescent="0.2">
      <c r="A32" s="265">
        <v>2</v>
      </c>
      <c r="B32" s="141">
        <f>C31</f>
        <v>5</v>
      </c>
      <c r="C32" s="140">
        <f>B32*$M$3</f>
        <v>25</v>
      </c>
      <c r="D32" s="142">
        <f>SUM($C$31:C32)</f>
        <v>30</v>
      </c>
      <c r="E32" s="112">
        <f t="shared" ref="E32:E40" si="10">B32/P8</f>
        <v>7.77996440338016</v>
      </c>
      <c r="F32" s="9">
        <f t="shared" ref="F32:F40" si="11">D32/P8</f>
        <v>46.679786420280962</v>
      </c>
      <c r="G32" s="112">
        <f t="shared" ref="G32:G40" si="12">S8/E32</f>
        <v>0.15879437201696359</v>
      </c>
      <c r="H32" s="9">
        <f t="shared" ref="H32:H40" si="13">S8/F32</f>
        <v>2.646572866949393E-2</v>
      </c>
    </row>
    <row r="33" spans="1:8" x14ac:dyDescent="0.2">
      <c r="A33" s="265">
        <v>3</v>
      </c>
      <c r="B33" s="141">
        <f t="shared" ref="B33:B40" si="14">C32</f>
        <v>25</v>
      </c>
      <c r="C33" s="140">
        <f t="shared" ref="C33:C40" si="15">B33*$M$3</f>
        <v>125</v>
      </c>
      <c r="D33" s="142">
        <f>SUM($C$31:C33)</f>
        <v>155</v>
      </c>
      <c r="E33" s="112">
        <f t="shared" si="10"/>
        <v>30.865583170686733</v>
      </c>
      <c r="F33" s="9">
        <f t="shared" si="11"/>
        <v>191.36661565825773</v>
      </c>
      <c r="G33" s="112">
        <f t="shared" si="12"/>
        <v>0.15182743885056027</v>
      </c>
      <c r="H33" s="9">
        <f t="shared" si="13"/>
        <v>2.4488296588800047E-2</v>
      </c>
    </row>
    <row r="34" spans="1:8" x14ac:dyDescent="0.2">
      <c r="A34" s="265">
        <v>4</v>
      </c>
      <c r="B34" s="141">
        <f t="shared" si="14"/>
        <v>125</v>
      </c>
      <c r="C34" s="140">
        <f t="shared" si="15"/>
        <v>625</v>
      </c>
      <c r="D34" s="142">
        <f>SUM($C$31:C34)</f>
        <v>780</v>
      </c>
      <c r="E34" s="112">
        <f t="shared" si="10"/>
        <v>139.78550465714363</v>
      </c>
      <c r="F34" s="9">
        <f t="shared" si="11"/>
        <v>872.26154906057627</v>
      </c>
      <c r="G34" s="112">
        <f t="shared" si="12"/>
        <v>6.1070193952536787E-2</v>
      </c>
      <c r="H34" s="9">
        <f t="shared" si="13"/>
        <v>9.7868900564962794E-3</v>
      </c>
    </row>
    <row r="35" spans="1:8" x14ac:dyDescent="0.2">
      <c r="A35" s="265">
        <v>5</v>
      </c>
      <c r="B35" s="141">
        <f t="shared" si="14"/>
        <v>625</v>
      </c>
      <c r="C35" s="140">
        <f t="shared" si="15"/>
        <v>3125</v>
      </c>
      <c r="D35" s="142">
        <f>SUM($C$31:C35)</f>
        <v>3905</v>
      </c>
      <c r="E35" s="112">
        <f t="shared" si="10"/>
        <v>665.0960217853185</v>
      </c>
      <c r="F35" s="9">
        <f t="shared" si="11"/>
        <v>4155.5199441146697</v>
      </c>
      <c r="G35" s="112">
        <f t="shared" si="12"/>
        <v>1.8092697302137327E-2</v>
      </c>
      <c r="H35" s="9">
        <f t="shared" si="13"/>
        <v>2.8957582109694828E-3</v>
      </c>
    </row>
    <row r="36" spans="1:8" x14ac:dyDescent="0.2">
      <c r="A36" s="265">
        <v>6</v>
      </c>
      <c r="B36" s="141">
        <f t="shared" si="14"/>
        <v>3125</v>
      </c>
      <c r="C36" s="140">
        <f t="shared" si="15"/>
        <v>15625</v>
      </c>
      <c r="D36" s="142">
        <f>SUM($C$31:C36)</f>
        <v>19530</v>
      </c>
      <c r="E36" s="112">
        <f t="shared" si="10"/>
        <v>3237.710488854013</v>
      </c>
      <c r="F36" s="9">
        <f t="shared" si="11"/>
        <v>20234.395471142037</v>
      </c>
      <c r="G36" s="112">
        <f t="shared" si="12"/>
        <v>4.5939639691342654E-3</v>
      </c>
      <c r="H36" s="9">
        <f t="shared" si="13"/>
        <v>7.3508128026341941E-4</v>
      </c>
    </row>
    <row r="37" spans="1:8" x14ac:dyDescent="0.2">
      <c r="A37" s="265">
        <v>7</v>
      </c>
      <c r="B37" s="141">
        <f t="shared" si="14"/>
        <v>15625</v>
      </c>
      <c r="C37" s="140">
        <f t="shared" si="15"/>
        <v>78125</v>
      </c>
      <c r="D37" s="142">
        <f>SUM($C$31:C37)</f>
        <v>97655</v>
      </c>
      <c r="E37" s="112">
        <f t="shared" si="10"/>
        <v>15947.958587330368</v>
      </c>
      <c r="F37" s="9">
        <f t="shared" si="11"/>
        <v>99673.465334127803</v>
      </c>
      <c r="G37" s="112">
        <f t="shared" si="12"/>
        <v>1.0674793039026512E-3</v>
      </c>
      <c r="H37" s="9">
        <f t="shared" si="13"/>
        <v>1.7079887485002226E-4</v>
      </c>
    </row>
    <row r="38" spans="1:8" x14ac:dyDescent="0.2">
      <c r="A38" s="265">
        <v>8</v>
      </c>
      <c r="B38" s="141">
        <f t="shared" si="14"/>
        <v>78125</v>
      </c>
      <c r="C38" s="140">
        <f t="shared" si="15"/>
        <v>390625</v>
      </c>
      <c r="D38" s="142">
        <f>SUM($C$31:C38)</f>
        <v>488280</v>
      </c>
      <c r="E38" s="112">
        <f t="shared" si="10"/>
        <v>79060.317260645039</v>
      </c>
      <c r="F38" s="9">
        <f t="shared" si="11"/>
        <v>494125.71791395533</v>
      </c>
      <c r="G38" s="112">
        <f t="shared" si="12"/>
        <v>2.3494280554050317E-4</v>
      </c>
      <c r="H38" s="9">
        <f t="shared" si="13"/>
        <v>3.7590945119300013E-5</v>
      </c>
    </row>
    <row r="39" spans="1:8" x14ac:dyDescent="0.2">
      <c r="A39" s="265">
        <v>9</v>
      </c>
      <c r="B39" s="141">
        <f t="shared" si="14"/>
        <v>390625</v>
      </c>
      <c r="C39" s="140">
        <f t="shared" si="15"/>
        <v>1953125</v>
      </c>
      <c r="D39" s="142">
        <f>SUM($C$31:C39)</f>
        <v>2441405</v>
      </c>
      <c r="E39" s="112">
        <f t="shared" si="10"/>
        <v>393350.26030036499</v>
      </c>
      <c r="F39" s="9">
        <f t="shared" si="11"/>
        <v>2458437.868156448</v>
      </c>
      <c r="G39" s="112">
        <f t="shared" si="12"/>
        <v>4.9966779248944433E-5</v>
      </c>
      <c r="H39" s="9">
        <f t="shared" si="13"/>
        <v>7.9946887731117623E-6</v>
      </c>
    </row>
    <row r="40" spans="1:8" ht="17" thickBot="1" x14ac:dyDescent="0.25">
      <c r="A40" s="266">
        <v>10</v>
      </c>
      <c r="B40" s="143">
        <f t="shared" si="14"/>
        <v>1953125</v>
      </c>
      <c r="C40" s="144">
        <f t="shared" si="15"/>
        <v>9765625</v>
      </c>
      <c r="D40" s="145">
        <f>SUM($C$31:C40)</f>
        <v>12207030</v>
      </c>
      <c r="E40" s="113">
        <f t="shared" si="10"/>
        <v>1961093.5417663578</v>
      </c>
      <c r="F40" s="10">
        <f t="shared" si="11"/>
        <v>12256833.380939871</v>
      </c>
      <c r="G40" s="113">
        <f t="shared" si="12"/>
        <v>1.0395856957734662E-5</v>
      </c>
      <c r="H40" s="10">
        <f t="shared" si="13"/>
        <v>1.6633372835632835E-6</v>
      </c>
    </row>
    <row r="41" spans="1:8" ht="17" thickBot="1" x14ac:dyDescent="0.25"/>
    <row r="42" spans="1:8" ht="17" thickBot="1" x14ac:dyDescent="0.25">
      <c r="A42" s="138" t="s">
        <v>140</v>
      </c>
      <c r="B42" s="139" t="s">
        <v>145</v>
      </c>
      <c r="C42" s="139" t="s">
        <v>144</v>
      </c>
      <c r="D42" s="241" t="s">
        <v>143</v>
      </c>
      <c r="E42" s="231" t="s">
        <v>157</v>
      </c>
      <c r="F42" s="234" t="s">
        <v>156</v>
      </c>
      <c r="G42" s="259" t="s">
        <v>158</v>
      </c>
      <c r="H42" s="256" t="s">
        <v>159</v>
      </c>
    </row>
    <row r="43" spans="1:8" x14ac:dyDescent="0.2">
      <c r="A43" s="264">
        <v>1</v>
      </c>
      <c r="B43" s="146">
        <v>1</v>
      </c>
      <c r="C43" s="150">
        <f>B43*$M$3</f>
        <v>5</v>
      </c>
      <c r="D43" s="151">
        <f>SUM(C43:C43)</f>
        <v>5</v>
      </c>
      <c r="E43" s="129">
        <f>B43/P7</f>
        <v>3.8505110598670163</v>
      </c>
      <c r="F43" s="58">
        <f>D43/P7</f>
        <v>19.252555299335082</v>
      </c>
      <c r="G43" s="28">
        <f>S7/E43</f>
        <v>-0.13831071851230969</v>
      </c>
      <c r="H43" s="8">
        <f>S7/F43</f>
        <v>-2.7662143702461936E-2</v>
      </c>
    </row>
    <row r="44" spans="1:8" x14ac:dyDescent="0.2">
      <c r="A44" s="265">
        <v>2</v>
      </c>
      <c r="B44" s="141">
        <f>B43*$M$3*2</f>
        <v>10</v>
      </c>
      <c r="C44" s="140">
        <f>B44*$M$3</f>
        <v>50</v>
      </c>
      <c r="D44" s="142">
        <f>SUM($C$43:C44)</f>
        <v>55</v>
      </c>
      <c r="E44" s="112">
        <f t="shared" ref="E44:E52" si="16">B44/P8</f>
        <v>15.55992880676032</v>
      </c>
      <c r="F44" s="9">
        <f t="shared" ref="F44:F52" si="17">D44/P8</f>
        <v>85.579608437181761</v>
      </c>
      <c r="G44" s="112">
        <f t="shared" ref="G44:G52" si="18">S8/E44</f>
        <v>7.9397186008481793E-2</v>
      </c>
      <c r="H44" s="9">
        <f t="shared" ref="H44:H52" si="19">S8/F44</f>
        <v>1.4435852001542144E-2</v>
      </c>
    </row>
    <row r="45" spans="1:8" x14ac:dyDescent="0.2">
      <c r="A45" s="265">
        <v>3</v>
      </c>
      <c r="B45" s="141">
        <f t="shared" ref="B45:B52" si="20">B44*$M$3*2</f>
        <v>100</v>
      </c>
      <c r="C45" s="140">
        <f t="shared" ref="C45:C52" si="21">B45*$M$3</f>
        <v>500</v>
      </c>
      <c r="D45" s="142">
        <f>SUM($C$43:C45)</f>
        <v>555</v>
      </c>
      <c r="E45" s="112">
        <f t="shared" si="16"/>
        <v>123.46233268274693</v>
      </c>
      <c r="F45" s="9">
        <f t="shared" si="17"/>
        <v>685.21594638924546</v>
      </c>
      <c r="G45" s="112">
        <f t="shared" si="18"/>
        <v>3.7956859712640068E-2</v>
      </c>
      <c r="H45" s="9">
        <f t="shared" si="19"/>
        <v>6.8390738220973097E-3</v>
      </c>
    </row>
    <row r="46" spans="1:8" x14ac:dyDescent="0.2">
      <c r="A46" s="265">
        <v>4</v>
      </c>
      <c r="B46" s="141">
        <f t="shared" si="20"/>
        <v>1000</v>
      </c>
      <c r="C46" s="140">
        <f t="shared" si="21"/>
        <v>5000</v>
      </c>
      <c r="D46" s="142">
        <f>SUM($C$43:C46)</f>
        <v>5555</v>
      </c>
      <c r="E46" s="112">
        <f t="shared" si="16"/>
        <v>1118.2840372571491</v>
      </c>
      <c r="F46" s="9">
        <f t="shared" si="17"/>
        <v>6212.0678269634636</v>
      </c>
      <c r="G46" s="112">
        <f t="shared" si="18"/>
        <v>7.6337742440670984E-3</v>
      </c>
      <c r="H46" s="9">
        <f t="shared" si="19"/>
        <v>1.3742167856106388E-3</v>
      </c>
    </row>
    <row r="47" spans="1:8" x14ac:dyDescent="0.2">
      <c r="A47" s="265">
        <v>5</v>
      </c>
      <c r="B47" s="141">
        <f t="shared" si="20"/>
        <v>10000</v>
      </c>
      <c r="C47" s="140">
        <f t="shared" si="21"/>
        <v>50000</v>
      </c>
      <c r="D47" s="142">
        <f>SUM($C$43:C47)</f>
        <v>55555</v>
      </c>
      <c r="E47" s="112">
        <f t="shared" si="16"/>
        <v>10641.536348565096</v>
      </c>
      <c r="F47" s="9">
        <f t="shared" si="17"/>
        <v>59119.055184453391</v>
      </c>
      <c r="G47" s="112">
        <f t="shared" si="18"/>
        <v>1.1307935813835829E-3</v>
      </c>
      <c r="H47" s="9">
        <f t="shared" si="19"/>
        <v>2.0354488009784589E-4</v>
      </c>
    </row>
    <row r="48" spans="1:8" x14ac:dyDescent="0.2">
      <c r="A48" s="265">
        <v>6</v>
      </c>
      <c r="B48" s="141">
        <f t="shared" si="20"/>
        <v>100000</v>
      </c>
      <c r="C48" s="140">
        <f t="shared" si="21"/>
        <v>500000</v>
      </c>
      <c r="D48" s="142">
        <f>SUM($C$43:C48)</f>
        <v>555555</v>
      </c>
      <c r="E48" s="112">
        <f t="shared" si="16"/>
        <v>103606.73564332841</v>
      </c>
      <c r="F48" s="9">
        <f t="shared" si="17"/>
        <v>575592.40020329319</v>
      </c>
      <c r="G48" s="112">
        <f t="shared" si="18"/>
        <v>1.4356137403544579E-4</v>
      </c>
      <c r="H48" s="9">
        <f t="shared" si="19"/>
        <v>2.5841073167453408E-5</v>
      </c>
    </row>
    <row r="49" spans="1:8" x14ac:dyDescent="0.2">
      <c r="A49" s="265">
        <v>7</v>
      </c>
      <c r="B49" s="141">
        <f t="shared" si="20"/>
        <v>1000000</v>
      </c>
      <c r="C49" s="140">
        <f t="shared" si="21"/>
        <v>5000000</v>
      </c>
      <c r="D49" s="142">
        <f>SUM($C$43:C49)</f>
        <v>5555555</v>
      </c>
      <c r="E49" s="112">
        <f t="shared" si="16"/>
        <v>1020669.3495891435</v>
      </c>
      <c r="F49" s="9">
        <f t="shared" si="17"/>
        <v>5670384.7084567146</v>
      </c>
      <c r="G49" s="112">
        <f t="shared" si="18"/>
        <v>1.6679364123478925E-5</v>
      </c>
      <c r="H49" s="9">
        <f t="shared" si="19"/>
        <v>3.0022858424547903E-6</v>
      </c>
    </row>
    <row r="50" spans="1:8" x14ac:dyDescent="0.2">
      <c r="A50" s="265">
        <v>8</v>
      </c>
      <c r="B50" s="141">
        <f t="shared" si="20"/>
        <v>10000000</v>
      </c>
      <c r="C50" s="140">
        <f t="shared" si="21"/>
        <v>50000000</v>
      </c>
      <c r="D50" s="142">
        <f>SUM($C$43:C50)</f>
        <v>55555555</v>
      </c>
      <c r="E50" s="112">
        <f t="shared" si="16"/>
        <v>10119720.609362565</v>
      </c>
      <c r="F50" s="9">
        <f t="shared" si="17"/>
        <v>56220669.489807546</v>
      </c>
      <c r="G50" s="112">
        <f t="shared" si="18"/>
        <v>1.835490668285181E-6</v>
      </c>
      <c r="H50" s="9">
        <f t="shared" si="19"/>
        <v>3.3038832359521581E-7</v>
      </c>
    </row>
    <row r="51" spans="1:8" x14ac:dyDescent="0.2">
      <c r="A51" s="265">
        <v>9</v>
      </c>
      <c r="B51" s="141">
        <f t="shared" si="20"/>
        <v>100000000</v>
      </c>
      <c r="C51" s="140">
        <f t="shared" si="21"/>
        <v>500000000</v>
      </c>
      <c r="D51" s="142">
        <f>SUM($C$43:C51)</f>
        <v>555555555</v>
      </c>
      <c r="E51" s="112">
        <f t="shared" si="16"/>
        <v>100697666.63689344</v>
      </c>
      <c r="F51" s="9">
        <f t="shared" si="17"/>
        <v>559431480.75664318</v>
      </c>
      <c r="G51" s="112">
        <f t="shared" si="18"/>
        <v>1.9518273144118919E-7</v>
      </c>
      <c r="H51" s="9">
        <f t="shared" si="19"/>
        <v>3.5132891694546942E-8</v>
      </c>
    </row>
    <row r="52" spans="1:8" ht="17" thickBot="1" x14ac:dyDescent="0.25">
      <c r="A52" s="266">
        <v>10</v>
      </c>
      <c r="B52" s="143">
        <f t="shared" si="20"/>
        <v>1000000000</v>
      </c>
      <c r="C52" s="144">
        <f t="shared" si="21"/>
        <v>5000000000</v>
      </c>
      <c r="D52" s="145">
        <f>SUM($C$43:C52)</f>
        <v>5555555555</v>
      </c>
      <c r="E52" s="113">
        <f t="shared" si="16"/>
        <v>1004079893.3843752</v>
      </c>
      <c r="F52" s="10">
        <f t="shared" si="17"/>
        <v>5578221629.3553734</v>
      </c>
      <c r="G52" s="113">
        <f t="shared" si="18"/>
        <v>2.0304408120575513E-8</v>
      </c>
      <c r="H52" s="10">
        <f t="shared" si="19"/>
        <v>3.6547934620690716E-9</v>
      </c>
    </row>
  </sheetData>
  <conditionalFormatting sqref="O7:O16">
    <cfRule type="cellIs" dxfId="663" priority="63" operator="lessThanOrEqual">
      <formula>0</formula>
    </cfRule>
    <cfRule type="cellIs" dxfId="662" priority="64" operator="greaterThan">
      <formula>0</formula>
    </cfRule>
  </conditionalFormatting>
  <conditionalFormatting sqref="P7:P16 S7:S16">
    <cfRule type="cellIs" dxfId="661" priority="53" operator="lessThanOrEqual">
      <formula>0</formula>
    </cfRule>
    <cfRule type="cellIs" dxfId="660" priority="54" operator="greaterThan">
      <formula>0</formula>
    </cfRule>
  </conditionalFormatting>
  <conditionalFormatting sqref="G43:G52">
    <cfRule type="cellIs" dxfId="659" priority="30" operator="equal">
      <formula>MAX($G$43:$G$52)</formula>
    </cfRule>
  </conditionalFormatting>
  <conditionalFormatting sqref="H43:H52">
    <cfRule type="cellIs" dxfId="658" priority="29" operator="equal">
      <formula>MAX($H$43:$H$52)</formula>
    </cfRule>
  </conditionalFormatting>
  <conditionalFormatting sqref="G31:G40">
    <cfRule type="cellIs" dxfId="657" priority="28" operator="equal">
      <formula>MAX($G$31:$G$40)</formula>
    </cfRule>
  </conditionalFormatting>
  <conditionalFormatting sqref="H31:H40">
    <cfRule type="cellIs" dxfId="656" priority="27" operator="equal">
      <formula>MAX($H$31:$H$40)</formula>
    </cfRule>
  </conditionalFormatting>
  <conditionalFormatting sqref="F19:F28">
    <cfRule type="cellIs" dxfId="655" priority="23" stopIfTrue="1" operator="lessThan">
      <formula>0</formula>
    </cfRule>
    <cfRule type="cellIs" dxfId="654" priority="24" operator="equal">
      <formula>MIN($F$19:$F$28)</formula>
    </cfRule>
  </conditionalFormatting>
  <conditionalFormatting sqref="E19:E28">
    <cfRule type="cellIs" dxfId="653" priority="21" stopIfTrue="1" operator="lessThan">
      <formula>0</formula>
    </cfRule>
    <cfRule type="cellIs" dxfId="652" priority="22" operator="equal">
      <formula>MIN($E$19:$E$28)</formula>
    </cfRule>
  </conditionalFormatting>
  <conditionalFormatting sqref="F31:F40">
    <cfRule type="cellIs" dxfId="651" priority="19" stopIfTrue="1" operator="lessThan">
      <formula>0</formula>
    </cfRule>
    <cfRule type="cellIs" dxfId="650" priority="20" operator="equal">
      <formula>MIN($F$31:$F$40)</formula>
    </cfRule>
  </conditionalFormatting>
  <conditionalFormatting sqref="E31:E40">
    <cfRule type="cellIs" dxfId="649" priority="17" stopIfTrue="1" operator="lessThan">
      <formula>0</formula>
    </cfRule>
    <cfRule type="cellIs" dxfId="648" priority="18" operator="equal">
      <formula>MIN($E$31:$E$40)</formula>
    </cfRule>
  </conditionalFormatting>
  <conditionalFormatting sqref="F43:F52">
    <cfRule type="cellIs" dxfId="647" priority="15" stopIfTrue="1" operator="lessThan">
      <formula>0</formula>
    </cfRule>
    <cfRule type="cellIs" dxfId="646" priority="16" operator="equal">
      <formula>MIN($F$43:$F$52)</formula>
    </cfRule>
  </conditionalFormatting>
  <conditionalFormatting sqref="E43:E52">
    <cfRule type="cellIs" dxfId="645" priority="13" stopIfTrue="1" operator="lessThan">
      <formula>0</formula>
    </cfRule>
    <cfRule type="cellIs" dxfId="644" priority="14" operator="equal">
      <formula>MIN($E$43:$E$52)</formula>
    </cfRule>
  </conditionalFormatting>
  <conditionalFormatting sqref="Q7:Q16">
    <cfRule type="cellIs" dxfId="643" priority="7" operator="lessThanOrEqual">
      <formula>0</formula>
    </cfRule>
    <cfRule type="cellIs" dxfId="642" priority="8" operator="greaterThan">
      <formula>0</formula>
    </cfRule>
  </conditionalFormatting>
  <conditionalFormatting sqref="R7:R16">
    <cfRule type="cellIs" dxfId="641" priority="5" operator="lessThanOrEqual">
      <formula>0</formula>
    </cfRule>
    <cfRule type="cellIs" dxfId="640" priority="6" operator="greaterThan">
      <formula>0</formula>
    </cfRule>
  </conditionalFormatting>
  <conditionalFormatting sqref="G19:G28">
    <cfRule type="cellIs" dxfId="639" priority="3" operator="lessThanOrEqual">
      <formula>0</formula>
    </cfRule>
    <cfRule type="cellIs" dxfId="638" priority="4" operator="equal">
      <formula>MAX($G$19:$G$28)</formula>
    </cfRule>
  </conditionalFormatting>
  <conditionalFormatting sqref="H19:H28">
    <cfRule type="cellIs" dxfId="637" priority="1" operator="lessThanOrEqual">
      <formula>0</formula>
    </cfRule>
    <cfRule type="cellIs" dxfId="636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U52"/>
  <sheetViews>
    <sheetView workbookViewId="0">
      <selection activeCell="B43" sqref="B43:D52"/>
    </sheetView>
  </sheetViews>
  <sheetFormatPr baseColWidth="10" defaultColWidth="8.6640625" defaultRowHeight="16" x14ac:dyDescent="0.2"/>
  <cols>
    <col min="14" max="14" width="5.6640625" bestFit="1" customWidth="1"/>
  </cols>
  <sheetData>
    <row r="1" spans="1:21" x14ac:dyDescent="0.2">
      <c r="B1" s="202"/>
      <c r="C1" t="s">
        <v>99</v>
      </c>
      <c r="D1">
        <f>C2+E2</f>
        <v>0.99999999999999867</v>
      </c>
    </row>
    <row r="2" spans="1:21" x14ac:dyDescent="0.2">
      <c r="A2" t="s">
        <v>40</v>
      </c>
      <c r="B2" s="201" t="s">
        <v>129</v>
      </c>
      <c r="C2" s="222">
        <f>Analysis!B14</f>
        <v>0.64090125192582093</v>
      </c>
      <c r="D2" s="199" t="s">
        <v>130</v>
      </c>
      <c r="E2" s="222">
        <f>Analysis!I14</f>
        <v>0.35909874807417769</v>
      </c>
      <c r="F2" s="199" t="s">
        <v>49</v>
      </c>
      <c r="G2" s="222">
        <f>Analysis!S14</f>
        <v>7.1302358747979655</v>
      </c>
      <c r="H2" t="s">
        <v>163</v>
      </c>
      <c r="I2" s="238">
        <f>Analysis!T14</f>
        <v>15.95828268677244</v>
      </c>
      <c r="J2" t="s">
        <v>50</v>
      </c>
      <c r="K2" s="238">
        <f>C2*G2-E2*I2</f>
        <v>-1.1608222355493911</v>
      </c>
      <c r="L2" t="s">
        <v>49</v>
      </c>
      <c r="M2" s="267">
        <v>1</v>
      </c>
    </row>
    <row r="3" spans="1:21" x14ac:dyDescent="0.2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6</v>
      </c>
    </row>
    <row r="4" spans="1:21" x14ac:dyDescent="0.2">
      <c r="A4" t="s">
        <v>127</v>
      </c>
      <c r="B4" s="202">
        <f>$C$2</f>
        <v>0.64090125192582093</v>
      </c>
      <c r="C4">
        <f>B4*$C$2</f>
        <v>0.41075441472008456</v>
      </c>
      <c r="D4">
        <f t="shared" ref="D4:K4" si="0">C4*$C$2</f>
        <v>0.26325301862816003</v>
      </c>
      <c r="E4">
        <f t="shared" si="0"/>
        <v>0.16871918921203921</v>
      </c>
      <c r="F4">
        <f t="shared" si="0"/>
        <v>0.1081323395899054</v>
      </c>
      <c r="G4">
        <f t="shared" si="0"/>
        <v>6.9302151816838381E-2</v>
      </c>
      <c r="H4">
        <f t="shared" si="0"/>
        <v>4.4415835860565023E-2</v>
      </c>
      <c r="I4">
        <f t="shared" si="0"/>
        <v>2.8466164808367896E-2</v>
      </c>
      <c r="J4">
        <f t="shared" si="0"/>
        <v>1.824400066320973E-2</v>
      </c>
      <c r="K4">
        <f t="shared" si="0"/>
        <v>1.1692602865186624E-2</v>
      </c>
    </row>
    <row r="5" spans="1:21" ht="17" thickBot="1" x14ac:dyDescent="0.25">
      <c r="A5" t="s">
        <v>128</v>
      </c>
      <c r="B5" s="202">
        <f>$E$2</f>
        <v>0.35909874807417769</v>
      </c>
      <c r="C5">
        <f>B5*$E$2</f>
        <v>0.12895191086844174</v>
      </c>
      <c r="D5">
        <f t="shared" ref="D5:K5" si="1">C5*$E$2</f>
        <v>4.6306469754630375E-2</v>
      </c>
      <c r="E5">
        <f t="shared" si="1"/>
        <v>1.662859531662254E-2</v>
      </c>
      <c r="F5">
        <f t="shared" si="1"/>
        <v>5.9713077604312886E-3</v>
      </c>
      <c r="G5">
        <f t="shared" si="1"/>
        <v>2.1442891411364976E-3</v>
      </c>
      <c r="H5">
        <f t="shared" si="1"/>
        <v>7.7001154609117003E-4</v>
      </c>
      <c r="I5">
        <f t="shared" si="1"/>
        <v>2.7651018220400112E-4</v>
      </c>
      <c r="J5">
        <f t="shared" si="1"/>
        <v>9.9294460259219573E-5</v>
      </c>
      <c r="K5">
        <f t="shared" si="1"/>
        <v>3.5656516369786935E-5</v>
      </c>
    </row>
    <row r="6" spans="1:21" ht="17" thickBot="1" x14ac:dyDescent="0.25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">
      <c r="A7" s="208">
        <v>1</v>
      </c>
      <c r="B7" s="114">
        <f>C7*B4</f>
        <v>0.64090125192582093</v>
      </c>
      <c r="C7" s="114">
        <v>1</v>
      </c>
      <c r="D7" s="212">
        <f>C7*B5</f>
        <v>0.35909874807417769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0.99999999999999867</v>
      </c>
      <c r="O7" s="114">
        <f>B7/(B7+D7)</f>
        <v>0.64090125192582181</v>
      </c>
      <c r="P7" s="129">
        <f>B7-D7</f>
        <v>0.28180250385164324</v>
      </c>
      <c r="Q7" s="129">
        <f>($G$2*SUM(C7))*B7</f>
        <v>4.5697770986844173</v>
      </c>
      <c r="R7" s="58">
        <f>($I$2*SUM(C7))*D7*COUNT(D7:M7)</f>
        <v>5.7305993342338084</v>
      </c>
      <c r="S7" s="58">
        <f>Q7-R7</f>
        <v>-1.1608222355493911</v>
      </c>
      <c r="T7" s="129">
        <f>(S7+U7*D7)/B7</f>
        <v>-1.2509313799374611</v>
      </c>
      <c r="U7" s="58">
        <f t="shared" ref="U7:U16" si="2">COUNT(D7:M7)</f>
        <v>1</v>
      </c>
    </row>
    <row r="8" spans="1:21" x14ac:dyDescent="0.2">
      <c r="A8" s="209">
        <v>2</v>
      </c>
      <c r="B8" s="116">
        <f>C8*B4</f>
        <v>0.83249804365237812</v>
      </c>
      <c r="C8" s="116">
        <f>1/(1-B4*B5)</f>
        <v>1.2989490052497712</v>
      </c>
      <c r="D8" s="194">
        <f>C8*B5</f>
        <v>0.4664509615973913</v>
      </c>
      <c r="E8" s="1">
        <f>D8*B5</f>
        <v>0.16750195634761955</v>
      </c>
      <c r="F8" s="1"/>
      <c r="G8" s="1"/>
      <c r="H8" s="1"/>
      <c r="I8" s="1"/>
      <c r="J8" s="1"/>
      <c r="K8" s="1"/>
      <c r="L8" s="1"/>
      <c r="M8" s="9"/>
      <c r="N8">
        <f>B8+E8</f>
        <v>0.99999999999999767</v>
      </c>
      <c r="O8" s="116">
        <f>B8/(B8+E8)</f>
        <v>0.83249804365238</v>
      </c>
      <c r="P8" s="112">
        <f>B8-E8</f>
        <v>0.66499608730475857</v>
      </c>
      <c r="Q8" s="112">
        <f>($G$2*SUM(C8:D8))*B8</f>
        <v>10.479250756383976</v>
      </c>
      <c r="R8" s="9">
        <f>($I$2*SUM(C8:D8))*E8*COUNT(D8:M8)</f>
        <v>9.4379820596570649</v>
      </c>
      <c r="S8" s="9">
        <f t="shared" ref="S8:S16" si="3">Q8-R8</f>
        <v>1.0412686967269114</v>
      </c>
      <c r="T8" s="112">
        <f>(S8+U8*E8)/B8</f>
        <v>1.6531841965466929</v>
      </c>
      <c r="U8" s="9">
        <f t="shared" si="2"/>
        <v>2</v>
      </c>
    </row>
    <row r="9" spans="1:21" x14ac:dyDescent="0.2">
      <c r="A9" s="209">
        <v>3</v>
      </c>
      <c r="B9" s="116">
        <f>C9*B4</f>
        <v>0.91420061696676114</v>
      </c>
      <c r="C9" s="216">
        <f>1/(1-B5*B4/(1-B5*B4))</f>
        <v>1.4264297568770741</v>
      </c>
      <c r="D9" s="217">
        <f>C9*B5*C8</f>
        <v>0.66535953174644424</v>
      </c>
      <c r="E9" s="218">
        <f>D9*(B5)</f>
        <v>0.2389297748693692</v>
      </c>
      <c r="F9" s="218">
        <f>E9*B5</f>
        <v>8.5799383033235602E-2</v>
      </c>
      <c r="G9" s="218"/>
      <c r="H9" s="218"/>
      <c r="I9" s="218"/>
      <c r="J9" s="218"/>
      <c r="K9" s="218"/>
      <c r="L9" s="218"/>
      <c r="M9" s="219"/>
      <c r="N9">
        <f>B9+F9</f>
        <v>0.99999999999999678</v>
      </c>
      <c r="O9" s="116">
        <f>B9/(B9+F9)</f>
        <v>0.91420061696676413</v>
      </c>
      <c r="P9" s="112">
        <f>B9-F9</f>
        <v>0.82840123393352549</v>
      </c>
      <c r="Q9" s="112">
        <f>($G$2*SUM(C9:E9))*B9</f>
        <v>15.192713054507097</v>
      </c>
      <c r="R9" s="9">
        <f>($I$2*SUM(C9:E9))*F9*COUNT(D9:M9)</f>
        <v>9.5737372019973499</v>
      </c>
      <c r="S9" s="9">
        <f t="shared" si="3"/>
        <v>5.6189758525097471</v>
      </c>
      <c r="T9" s="112">
        <f>(S9+U9*F9)/B9</f>
        <v>6.4278823406472387</v>
      </c>
      <c r="U9" s="9">
        <f t="shared" si="2"/>
        <v>3</v>
      </c>
    </row>
    <row r="10" spans="1:21" x14ac:dyDescent="0.2">
      <c r="A10" s="209">
        <v>4</v>
      </c>
      <c r="B10" s="116">
        <f>C10*B4</f>
        <v>0.95413143630359887</v>
      </c>
      <c r="C10" s="116">
        <f>1/(1-B5*B4/(1-B5*B4/(1-B5*B4)))</f>
        <v>1.488733924979182</v>
      </c>
      <c r="D10" s="194">
        <f>C10*B5*C9</f>
        <v>0.76257289794738781</v>
      </c>
      <c r="E10" s="1">
        <f>D10*B5*C8</f>
        <v>0.35570286153566838</v>
      </c>
      <c r="F10" s="1">
        <f>E10*B5</f>
        <v>0.1277324522638611</v>
      </c>
      <c r="G10" s="1">
        <f>F10*B5</f>
        <v>4.5868563696397184E-2</v>
      </c>
      <c r="H10" s="1"/>
      <c r="I10" s="1"/>
      <c r="J10" s="1"/>
      <c r="K10" s="1"/>
      <c r="L10" s="1"/>
      <c r="M10" s="9"/>
      <c r="N10">
        <f>B10+G10</f>
        <v>0.999999999999996</v>
      </c>
      <c r="O10" s="116">
        <f>B10/(B10+G10)</f>
        <v>0.95413143630360264</v>
      </c>
      <c r="P10" s="112">
        <f>B10-G10</f>
        <v>0.90826287260720173</v>
      </c>
      <c r="Q10" s="112">
        <f>($G$2*SUM(C10:F10))*B10</f>
        <v>18.604949016332014</v>
      </c>
      <c r="R10" s="9">
        <f>($I$2*SUM(C10:F10))*G10*COUNT(D10:M10)</f>
        <v>8.0071445479293804</v>
      </c>
      <c r="S10" s="9">
        <f t="shared" si="3"/>
        <v>10.597804468402634</v>
      </c>
      <c r="T10" s="112">
        <f>(S10+U10*G10)/B10</f>
        <v>11.299573950687529</v>
      </c>
      <c r="U10" s="9">
        <f t="shared" si="2"/>
        <v>4</v>
      </c>
    </row>
    <row r="11" spans="1:21" x14ac:dyDescent="0.2">
      <c r="A11" s="209">
        <v>5</v>
      </c>
      <c r="B11" s="116">
        <f>C11*B4</f>
        <v>0.97494367135707893</v>
      </c>
      <c r="C11" s="116">
        <f>1/(1-B5*B4/(1-B5*B4/(1-B5*B4/(1-B5*B4))))</f>
        <v>1.5212073130260022</v>
      </c>
      <c r="D11" s="194">
        <f>C11*B5*C10</f>
        <v>0.81324121533519445</v>
      </c>
      <c r="E11" s="1">
        <f>D11*B5*C9</f>
        <v>0.41656584827076265</v>
      </c>
      <c r="F11" s="1">
        <f>E11*B5*C8</f>
        <v>0.19430754049453025</v>
      </c>
      <c r="G11" s="1">
        <f>F11*B5</f>
        <v>6.9775594532958396E-2</v>
      </c>
      <c r="H11" s="1">
        <f>G11*B5</f>
        <v>2.5056328642916795E-2</v>
      </c>
      <c r="I11" s="1"/>
      <c r="J11" s="1"/>
      <c r="K11" s="1"/>
      <c r="L11" s="1"/>
      <c r="M11" s="9"/>
      <c r="N11">
        <f>B11+H11</f>
        <v>0.99999999999999578</v>
      </c>
      <c r="O11" s="116">
        <f>B11/(B11+H11)</f>
        <v>0.97494367135708304</v>
      </c>
      <c r="P11" s="112">
        <f>B11-H11</f>
        <v>0.94988734271416209</v>
      </c>
      <c r="Q11" s="112">
        <f>($G$2*SUM(C11:G11))*B11</f>
        <v>20.95968655931356</v>
      </c>
      <c r="R11" s="9">
        <f>($I$2*SUM(C11:G11))*H11*COUNT(D11:M11)</f>
        <v>6.0280237849119107</v>
      </c>
      <c r="S11" s="9">
        <f t="shared" si="3"/>
        <v>14.93166277440165</v>
      </c>
      <c r="T11" s="112">
        <f>(S11+U11*H11)/B11</f>
        <v>15.443912156132697</v>
      </c>
      <c r="U11" s="9">
        <f t="shared" si="2"/>
        <v>5</v>
      </c>
    </row>
    <row r="12" spans="1:21" x14ac:dyDescent="0.2">
      <c r="A12" s="209">
        <v>6</v>
      </c>
      <c r="B12" s="116">
        <f>C12*B4</f>
        <v>0.98615523802230154</v>
      </c>
      <c r="C12" s="116">
        <f>1/(1-B5*B4/(1-B5*B4/(1-B5*B4/(1-B5*B4/(1-B5*B4)))))</f>
        <v>1.5387007515729443</v>
      </c>
      <c r="D12" s="194">
        <f>C12*B5*C11</f>
        <v>0.84053627599294256</v>
      </c>
      <c r="E12" s="1">
        <f>D12*B5*C10</f>
        <v>0.44935278496793213</v>
      </c>
      <c r="F12" s="1">
        <f>E12*B5*C9</f>
        <v>0.23017159056042677</v>
      </c>
      <c r="G12" s="1">
        <f>F12*B5*C8</f>
        <v>0.1073637597493121</v>
      </c>
      <c r="H12" s="1">
        <f>G12*B5</f>
        <v>3.8554191714514768E-2</v>
      </c>
      <c r="I12" s="1">
        <f>H12*B5</f>
        <v>1.3844761977694088E-2</v>
      </c>
      <c r="J12" s="1"/>
      <c r="K12" s="1"/>
      <c r="L12" s="1"/>
      <c r="M12" s="9"/>
      <c r="N12">
        <f>B12+I12</f>
        <v>0.99999999999999567</v>
      </c>
      <c r="O12" s="116">
        <f>B12/(B12+I12)</f>
        <v>0.98615523802230576</v>
      </c>
      <c r="P12" s="112">
        <f>B12-I12</f>
        <v>0.97231047604460741</v>
      </c>
      <c r="Q12" s="112">
        <f>($G$2*SUM(C12:H12))*B12</f>
        <v>22.533765232670792</v>
      </c>
      <c r="R12" s="9">
        <f>($I$2*SUM(C12:H12))*I12*COUNT(D12:M12)</f>
        <v>4.2482247081076299</v>
      </c>
      <c r="S12" s="9">
        <f t="shared" si="3"/>
        <v>18.28554052456316</v>
      </c>
      <c r="T12" s="112">
        <f>(S12+U12*I12)/B12</f>
        <v>18.626488394734789</v>
      </c>
      <c r="U12" s="9">
        <f t="shared" si="2"/>
        <v>6</v>
      </c>
    </row>
    <row r="13" spans="1:21" x14ac:dyDescent="0.2">
      <c r="A13" s="209">
        <v>7</v>
      </c>
      <c r="B13" s="116">
        <f>C13*B4</f>
        <v>0.9923024533446434</v>
      </c>
      <c r="C13" s="216">
        <f>1/(1-B5*B4/(1-B5*B4/(1-B5*B4/(1-B5*B4/(1-B5*B4/(1-B5*B4))))))</f>
        <v>1.5482922686808767</v>
      </c>
      <c r="D13" s="217">
        <f>C13*B5*C12</f>
        <v>0.85550194672476143</v>
      </c>
      <c r="E13" s="218">
        <f>D13*B5*C11</f>
        <v>0.46732960887271952</v>
      </c>
      <c r="F13" s="218">
        <f>E13*B5*C10</f>
        <v>0.24983557193514175</v>
      </c>
      <c r="G13" s="218">
        <f>F13*B5*C9</f>
        <v>0.12797306013133827</v>
      </c>
      <c r="H13" s="218">
        <f>G13*B5*C8</f>
        <v>5.9693156956823513E-2</v>
      </c>
      <c r="I13" s="218">
        <f>H13*B5</f>
        <v>2.1435737931790714E-2</v>
      </c>
      <c r="J13" s="218">
        <f>I13*B5</f>
        <v>7.6975466553522078E-3</v>
      </c>
      <c r="K13" s="218"/>
      <c r="L13" s="218"/>
      <c r="M13" s="219"/>
      <c r="N13">
        <f>B13+J13</f>
        <v>0.99999999999999556</v>
      </c>
      <c r="O13" s="116">
        <f>B13/(B13+J13)</f>
        <v>0.99230245334464784</v>
      </c>
      <c r="P13" s="112">
        <f>B13-J13</f>
        <v>0.98460490668929124</v>
      </c>
      <c r="Q13" s="112">
        <f>($G$2*SUM(C13:I13))*B13</f>
        <v>23.561351417938518</v>
      </c>
      <c r="R13" s="9">
        <f>($I$2*SUM(C13:I13))*J13*COUNT(D13:M13)</f>
        <v>2.8634444254260196</v>
      </c>
      <c r="S13" s="9">
        <f t="shared" si="3"/>
        <v>20.697906992512497</v>
      </c>
      <c r="T13" s="112">
        <f>(S13+U13*J13)/B13</f>
        <v>20.912766817369256</v>
      </c>
      <c r="U13" s="9">
        <f t="shared" si="2"/>
        <v>7</v>
      </c>
    </row>
    <row r="14" spans="1:21" x14ac:dyDescent="0.2">
      <c r="A14" s="209">
        <v>8</v>
      </c>
      <c r="B14" s="116">
        <f>C14*B4</f>
        <v>0.9957055649833022</v>
      </c>
      <c r="C14" s="116">
        <f>1/(1-B5*B4/(1-B5*B4/(1-B5*B4/(1-B5*B4/(1-B5*B4/(1-B5*B4/(1-B5*B4)))))))</f>
        <v>1.5536021532043238</v>
      </c>
      <c r="D14" s="194">
        <f>C14*B5*C13</f>
        <v>0.86378697426604312</v>
      </c>
      <c r="E14" s="1">
        <f>D14*B5*C12</f>
        <v>0.47728161729418478</v>
      </c>
      <c r="F14" s="1">
        <f>E14*B5*C11</f>
        <v>0.26072159436475373</v>
      </c>
      <c r="G14" s="1">
        <f>F14*B5*C10</f>
        <v>0.13938241319886269</v>
      </c>
      <c r="H14" s="1">
        <f>G14*B5*C9</f>
        <v>7.1395733631476999E-2</v>
      </c>
      <c r="I14" s="1">
        <f>H14*B5*C8</f>
        <v>3.3302608606353652E-2</v>
      </c>
      <c r="J14" s="1">
        <f>I14*B5</f>
        <v>1.1958925058145931E-2</v>
      </c>
      <c r="K14" s="1">
        <f>J14*B5</f>
        <v>4.2944350166931166E-3</v>
      </c>
      <c r="L14" s="1"/>
      <c r="M14" s="9"/>
      <c r="N14">
        <f>B14+K14</f>
        <v>0.99999999999999534</v>
      </c>
      <c r="O14" s="116">
        <f>B14/(B14+K14)</f>
        <v>0.99570556498330687</v>
      </c>
      <c r="P14" s="112">
        <f>B14-K14</f>
        <v>0.99141112996660907</v>
      </c>
      <c r="Q14" s="112">
        <f>($G$2*SUM(C14:J14))*B14</f>
        <v>24.219855780790937</v>
      </c>
      <c r="R14" s="9">
        <f>($I$2*SUM(C14:J14))*K14*COUNT(D14:M14)</f>
        <v>1.8703328327463866</v>
      </c>
      <c r="S14" s="9">
        <f t="shared" si="3"/>
        <v>22.349522948044552</v>
      </c>
      <c r="T14" s="112">
        <f>(S14+U14*K14)/B14</f>
        <v>22.480419127268281</v>
      </c>
      <c r="U14" s="9">
        <f t="shared" si="2"/>
        <v>8</v>
      </c>
    </row>
    <row r="15" spans="1:21" x14ac:dyDescent="0.2">
      <c r="A15" s="209">
        <v>9</v>
      </c>
      <c r="B15" s="116">
        <f>C15*B4</f>
        <v>0.9975995919786883</v>
      </c>
      <c r="C15" s="116">
        <f>1/(1-B5*B4/(1-B5*B4/(1-B5*B4/(1-B5*B4/(1-B5*B4/(1-B5*B4/(1-B5*B4/(1-B5*B4))))))))</f>
        <v>1.5565574087755913</v>
      </c>
      <c r="D15" s="194">
        <f>C15*B5*C14</f>
        <v>0.86839806772605321</v>
      </c>
      <c r="E15" s="1">
        <f>D15*B5*C13</f>
        <v>0.48282048131334832</v>
      </c>
      <c r="F15" s="1">
        <f>E15*B5*C12</f>
        <v>0.2667802908000515</v>
      </c>
      <c r="G15" s="1">
        <f>F15*B5*C11</f>
        <v>0.14573237317792989</v>
      </c>
      <c r="H15" s="1">
        <f>G15*B5*C10</f>
        <v>7.7908889381519811E-2</v>
      </c>
      <c r="I15" s="1">
        <f>H15*B5*C9</f>
        <v>3.9907203399263451E-2</v>
      </c>
      <c r="J15" s="1">
        <f>I15*B5*C8</f>
        <v>1.861475340024912E-2</v>
      </c>
      <c r="K15" s="1">
        <f>J15*B5</f>
        <v>6.6845346417390011E-3</v>
      </c>
      <c r="L15" s="1">
        <f>K15*B5</f>
        <v>2.4004080213069472E-3</v>
      </c>
      <c r="M15" s="9"/>
      <c r="N15">
        <f>B15+L15</f>
        <v>0.99999999999999523</v>
      </c>
      <c r="O15" s="116">
        <f>B15/(B15+L15)</f>
        <v>0.99759959197869308</v>
      </c>
      <c r="P15" s="112">
        <f>B15-L15</f>
        <v>0.99519918395738138</v>
      </c>
      <c r="Q15" s="112">
        <f>($G$2*SUM(C15:K15))*B15</f>
        <v>24.635609662405194</v>
      </c>
      <c r="R15" s="9">
        <f>($I$2*SUM(C15:K15))*L15*COUNT(D15:M15)</f>
        <v>1.1940345328221669</v>
      </c>
      <c r="S15" s="9">
        <f t="shared" si="3"/>
        <v>23.441575129583029</v>
      </c>
      <c r="T15" s="112">
        <f>(S15+U15*L15)/B15</f>
        <v>23.519635523543833</v>
      </c>
      <c r="U15" s="9">
        <f t="shared" si="2"/>
        <v>9</v>
      </c>
    </row>
    <row r="16" spans="1:21" ht="17" thickBot="1" x14ac:dyDescent="0.25">
      <c r="A16" s="210">
        <v>10</v>
      </c>
      <c r="B16" s="195">
        <f>C16*B4</f>
        <v>0.99865685120661485</v>
      </c>
      <c r="C16" s="195">
        <f>1/(1-B5*B4/(1-B5*B4/(1-B5*B4/(1-B5*B4/(1-B5*B4/(1-B5*B4/(1-B5*B4/(1-B5*B4/(1-B5*B4)))))))))</f>
        <v>1.5582070532797168</v>
      </c>
      <c r="D16" s="213">
        <f>C16*B5*C15</f>
        <v>0.87097201261876278</v>
      </c>
      <c r="E16" s="131">
        <f>D16*B5*C14</f>
        <v>0.48591231427600245</v>
      </c>
      <c r="F16" s="131">
        <f>E16*B5*C13</f>
        <v>0.27016229788391533</v>
      </c>
      <c r="G16" s="131">
        <f>F16*B5*C12</f>
        <v>0.14927696562628914</v>
      </c>
      <c r="H16" s="131">
        <f>G16*B5*C11</f>
        <v>8.1544578860303071E-2</v>
      </c>
      <c r="I16" s="131">
        <f>H16*B5*C10</f>
        <v>4.3593934796720198E-2</v>
      </c>
      <c r="J16" s="131">
        <f>I16*B5*C9</f>
        <v>2.2330083726230163E-2</v>
      </c>
      <c r="K16" s="131">
        <f>J16*B5*C8</f>
        <v>1.0415889026650318E-2</v>
      </c>
      <c r="L16" s="131">
        <f>K16*B5</f>
        <v>3.7403327095496945E-3</v>
      </c>
      <c r="M16" s="10">
        <f>L16*B5</f>
        <v>1.3431487933801922E-3</v>
      </c>
      <c r="N16">
        <f>B16+M16</f>
        <v>0.999999999999995</v>
      </c>
      <c r="O16" s="195">
        <f>B16/(B16+M16)</f>
        <v>0.99865685120661984</v>
      </c>
      <c r="P16" s="113">
        <f>B16-M16</f>
        <v>0.99731370241323469</v>
      </c>
      <c r="Q16" s="113">
        <f>($G$2*SUM(C16:L16))*B16</f>
        <v>24.8949305367743</v>
      </c>
      <c r="R16" s="10">
        <f>($I$2*SUM(C16:L16))*M16*COUNT(D16:M16)</f>
        <v>0.74937813324379809</v>
      </c>
      <c r="S16" s="10">
        <f t="shared" si="3"/>
        <v>24.145552403530502</v>
      </c>
      <c r="T16" s="113">
        <f>(S16+U16*M16)/B16</f>
        <v>24.191476644129068</v>
      </c>
      <c r="U16" s="10">
        <f t="shared" si="2"/>
        <v>10</v>
      </c>
    </row>
    <row r="17" spans="1:8" ht="17" thickBot="1" x14ac:dyDescent="0.25"/>
    <row r="18" spans="1:8" ht="17" thickBot="1" x14ac:dyDescent="0.25">
      <c r="A18" s="138" t="s">
        <v>140</v>
      </c>
      <c r="B18" s="139" t="s">
        <v>145</v>
      </c>
      <c r="C18" s="139" t="s">
        <v>144</v>
      </c>
      <c r="D18" s="241" t="s">
        <v>143</v>
      </c>
      <c r="E18" s="231" t="s">
        <v>157</v>
      </c>
      <c r="F18" s="234" t="s">
        <v>156</v>
      </c>
      <c r="G18" s="255" t="s">
        <v>158</v>
      </c>
      <c r="H18" s="256" t="s">
        <v>159</v>
      </c>
    </row>
    <row r="19" spans="1:8" x14ac:dyDescent="0.2">
      <c r="A19" s="264">
        <v>1</v>
      </c>
      <c r="B19" s="146">
        <v>1</v>
      </c>
      <c r="C19" s="150">
        <f>B19*$M$3</f>
        <v>6</v>
      </c>
      <c r="D19" s="151">
        <f>SUM($C$19:C19)</f>
        <v>6</v>
      </c>
      <c r="E19" s="9">
        <f>B19/P7</f>
        <v>3.5485845098326609</v>
      </c>
      <c r="F19" s="9">
        <f>D19/P7</f>
        <v>21.291507058995965</v>
      </c>
      <c r="G19" s="28">
        <f>S7/E19</f>
        <v>-0.32712261250448044</v>
      </c>
      <c r="H19" s="8">
        <f>S7/F19</f>
        <v>-5.4520435417413408E-2</v>
      </c>
    </row>
    <row r="20" spans="1:8" x14ac:dyDescent="0.2">
      <c r="A20" s="265">
        <v>2</v>
      </c>
      <c r="B20" s="141">
        <f>B19*($M$3+1)</f>
        <v>7</v>
      </c>
      <c r="C20" s="140">
        <f>B20*$M$3</f>
        <v>42</v>
      </c>
      <c r="D20" s="142">
        <f>SUM($C$19:C20)</f>
        <v>48</v>
      </c>
      <c r="E20" s="9">
        <f t="shared" ref="E20:E28" si="4">B20/P8</f>
        <v>10.526377724072226</v>
      </c>
      <c r="F20" s="9">
        <f t="shared" ref="F20:F28" si="5">D20/P8</f>
        <v>72.180875822209558</v>
      </c>
      <c r="G20" s="112">
        <f t="shared" ref="G20:G28" si="6">S8/E20</f>
        <v>9.8919944165188761E-2</v>
      </c>
      <c r="H20" s="9">
        <f t="shared" ref="H20:H28" si="7">S8/F20</f>
        <v>1.4425825190756693E-2</v>
      </c>
    </row>
    <row r="21" spans="1:8" x14ac:dyDescent="0.2">
      <c r="A21" s="265">
        <v>3</v>
      </c>
      <c r="B21" s="141">
        <f t="shared" ref="B21:B28" si="8">B20*($M$3+1)</f>
        <v>49</v>
      </c>
      <c r="C21" s="140">
        <f t="shared" ref="C21:C28" si="9">B21*$M$3</f>
        <v>294</v>
      </c>
      <c r="D21" s="142">
        <f>SUM($C$19:C21)</f>
        <v>342</v>
      </c>
      <c r="E21" s="9">
        <f t="shared" si="4"/>
        <v>59.150080894172078</v>
      </c>
      <c r="F21" s="9">
        <f t="shared" si="5"/>
        <v>412.84342175116024</v>
      </c>
      <c r="G21" s="112">
        <f t="shared" si="6"/>
        <v>9.4995235299219549E-2</v>
      </c>
      <c r="H21" s="9">
        <f t="shared" si="7"/>
        <v>1.3610428449303385E-2</v>
      </c>
    </row>
    <row r="22" spans="1:8" x14ac:dyDescent="0.2">
      <c r="A22" s="265">
        <v>4</v>
      </c>
      <c r="B22" s="141">
        <f t="shared" si="8"/>
        <v>343</v>
      </c>
      <c r="C22" s="140">
        <f t="shared" si="9"/>
        <v>2058</v>
      </c>
      <c r="D22" s="142">
        <f>SUM($C$19:C22)</f>
        <v>2400</v>
      </c>
      <c r="E22" s="9">
        <f t="shared" si="4"/>
        <v>377.64397328650676</v>
      </c>
      <c r="F22" s="9">
        <f t="shared" si="5"/>
        <v>2642.4068101679773</v>
      </c>
      <c r="G22" s="112">
        <f t="shared" si="6"/>
        <v>2.8062951398836196E-2</v>
      </c>
      <c r="H22" s="9">
        <f t="shared" si="7"/>
        <v>4.01066347075034E-3</v>
      </c>
    </row>
    <row r="23" spans="1:8" x14ac:dyDescent="0.2">
      <c r="A23" s="265">
        <v>5</v>
      </c>
      <c r="B23" s="141">
        <f t="shared" si="8"/>
        <v>2401</v>
      </c>
      <c r="C23" s="140">
        <f t="shared" si="9"/>
        <v>14406</v>
      </c>
      <c r="D23" s="142">
        <f>SUM($C$19:C23)</f>
        <v>16806</v>
      </c>
      <c r="E23" s="9">
        <f t="shared" si="4"/>
        <v>2527.6681686688221</v>
      </c>
      <c r="F23" s="9">
        <f t="shared" si="5"/>
        <v>17692.624424259986</v>
      </c>
      <c r="G23" s="112">
        <f t="shared" si="6"/>
        <v>5.9072875781259297E-3</v>
      </c>
      <c r="H23" s="9">
        <f t="shared" si="7"/>
        <v>8.4394843955018181E-4</v>
      </c>
    </row>
    <row r="24" spans="1:8" x14ac:dyDescent="0.2">
      <c r="A24" s="265">
        <v>6</v>
      </c>
      <c r="B24" s="141">
        <f t="shared" si="8"/>
        <v>16807</v>
      </c>
      <c r="C24" s="140">
        <f t="shared" si="9"/>
        <v>100842</v>
      </c>
      <c r="D24" s="142">
        <f>SUM($C$19:C24)</f>
        <v>117648</v>
      </c>
      <c r="E24" s="9">
        <f t="shared" si="4"/>
        <v>17285.630890630178</v>
      </c>
      <c r="F24" s="9">
        <f t="shared" si="5"/>
        <v>120998.38775634315</v>
      </c>
      <c r="G24" s="112">
        <f t="shared" si="6"/>
        <v>1.0578462909603718E-3</v>
      </c>
      <c r="H24" s="9">
        <f t="shared" si="7"/>
        <v>1.511221832259874E-4</v>
      </c>
    </row>
    <row r="25" spans="1:8" x14ac:dyDescent="0.2">
      <c r="A25" s="265">
        <v>7</v>
      </c>
      <c r="B25" s="141">
        <f t="shared" si="8"/>
        <v>117649</v>
      </c>
      <c r="C25" s="140">
        <f t="shared" si="9"/>
        <v>705894</v>
      </c>
      <c r="D25" s="142">
        <f>SUM($C$19:C25)</f>
        <v>823542</v>
      </c>
      <c r="E25" s="9">
        <f t="shared" si="4"/>
        <v>119488.53717943754</v>
      </c>
      <c r="F25" s="9">
        <f t="shared" si="5"/>
        <v>836418.74462025473</v>
      </c>
      <c r="G25" s="112">
        <f t="shared" si="6"/>
        <v>1.7322085851155891E-4</v>
      </c>
      <c r="H25" s="9">
        <f t="shared" si="7"/>
        <v>2.4745866978279669E-5</v>
      </c>
    </row>
    <row r="26" spans="1:8" x14ac:dyDescent="0.2">
      <c r="A26" s="265">
        <v>8</v>
      </c>
      <c r="B26" s="141">
        <f t="shared" si="8"/>
        <v>823543</v>
      </c>
      <c r="C26" s="140">
        <f t="shared" si="9"/>
        <v>4941258</v>
      </c>
      <c r="D26" s="142">
        <f>SUM($C$19:C26)</f>
        <v>5764800</v>
      </c>
      <c r="E26" s="9">
        <f t="shared" si="4"/>
        <v>830677.58178964269</v>
      </c>
      <c r="F26" s="9">
        <f t="shared" si="5"/>
        <v>5814742.0638642209</v>
      </c>
      <c r="G26" s="112">
        <f t="shared" si="6"/>
        <v>2.6905171679117554E-5</v>
      </c>
      <c r="H26" s="9">
        <f t="shared" si="7"/>
        <v>3.8435966208950021E-6</v>
      </c>
    </row>
    <row r="27" spans="1:8" x14ac:dyDescent="0.2">
      <c r="A27" s="265">
        <v>9</v>
      </c>
      <c r="B27" s="141">
        <f t="shared" si="8"/>
        <v>5764801</v>
      </c>
      <c r="C27" s="140">
        <f t="shared" si="9"/>
        <v>34588806</v>
      </c>
      <c r="D27" s="142">
        <f>SUM($C$19:C27)</f>
        <v>40353606</v>
      </c>
      <c r="E27" s="9">
        <f t="shared" si="4"/>
        <v>5792610.2562468266</v>
      </c>
      <c r="F27" s="9">
        <f t="shared" si="5"/>
        <v>40548270.78890381</v>
      </c>
      <c r="G27" s="112">
        <f t="shared" si="6"/>
        <v>4.04680689578646E-6</v>
      </c>
      <c r="H27" s="9">
        <f t="shared" si="7"/>
        <v>5.7811528515287281E-7</v>
      </c>
    </row>
    <row r="28" spans="1:8" ht="17" thickBot="1" x14ac:dyDescent="0.25">
      <c r="A28" s="266">
        <v>10</v>
      </c>
      <c r="B28" s="143">
        <f t="shared" si="8"/>
        <v>40353607</v>
      </c>
      <c r="C28" s="144">
        <f t="shared" si="9"/>
        <v>242121642</v>
      </c>
      <c r="D28" s="145">
        <f>SUM($C$19:C28)</f>
        <v>282475248</v>
      </c>
      <c r="E28" s="9">
        <f t="shared" si="4"/>
        <v>40462300.78094282</v>
      </c>
      <c r="F28" s="9">
        <f t="shared" si="5"/>
        <v>283236104.46390617</v>
      </c>
      <c r="G28" s="113">
        <f t="shared" si="6"/>
        <v>5.9674195331232177E-7</v>
      </c>
      <c r="H28" s="10">
        <f t="shared" si="7"/>
        <v>8.5248850774981118E-8</v>
      </c>
    </row>
    <row r="29" spans="1:8" ht="17" thickBot="1" x14ac:dyDescent="0.25"/>
    <row r="30" spans="1:8" ht="17" thickBot="1" x14ac:dyDescent="0.25">
      <c r="A30" s="29" t="s">
        <v>140</v>
      </c>
      <c r="B30" s="19" t="s">
        <v>145</v>
      </c>
      <c r="C30" s="19" t="s">
        <v>144</v>
      </c>
      <c r="D30" s="19" t="s">
        <v>143</v>
      </c>
      <c r="E30" s="231" t="s">
        <v>157</v>
      </c>
      <c r="F30" s="234" t="s">
        <v>156</v>
      </c>
      <c r="G30" s="257" t="s">
        <v>158</v>
      </c>
      <c r="H30" s="258" t="s">
        <v>159</v>
      </c>
    </row>
    <row r="31" spans="1:8" x14ac:dyDescent="0.2">
      <c r="A31" s="264">
        <v>1</v>
      </c>
      <c r="B31" s="146">
        <v>1</v>
      </c>
      <c r="C31" s="150">
        <f>B31*$M$3</f>
        <v>6</v>
      </c>
      <c r="D31" s="151">
        <f>SUM($C$31:C31)</f>
        <v>6</v>
      </c>
      <c r="E31" s="129">
        <f>B31/P7</f>
        <v>3.5485845098326609</v>
      </c>
      <c r="F31" s="58">
        <f>D31/P7</f>
        <v>21.291507058995965</v>
      </c>
      <c r="G31" s="28">
        <f>S7/E31</f>
        <v>-0.32712261250448044</v>
      </c>
      <c r="H31" s="8">
        <f>S7/F31</f>
        <v>-5.4520435417413408E-2</v>
      </c>
    </row>
    <row r="32" spans="1:8" x14ac:dyDescent="0.2">
      <c r="A32" s="265">
        <v>2</v>
      </c>
      <c r="B32" s="141">
        <f>C31</f>
        <v>6</v>
      </c>
      <c r="C32" s="140">
        <f>B32*$M$3</f>
        <v>36</v>
      </c>
      <c r="D32" s="142">
        <f>SUM($C$31:C32)</f>
        <v>42</v>
      </c>
      <c r="E32" s="112">
        <f t="shared" ref="E32:E40" si="10">B32/P8</f>
        <v>9.0226094777761947</v>
      </c>
      <c r="F32" s="9">
        <f t="shared" ref="F32:F40" si="11">D32/P8</f>
        <v>63.158266344433358</v>
      </c>
      <c r="G32" s="112">
        <f t="shared" ref="G32:G40" si="12">S8/E32</f>
        <v>0.11540660152605355</v>
      </c>
      <c r="H32" s="9">
        <f t="shared" ref="H32:H40" si="13">S8/F32</f>
        <v>1.6486657360864795E-2</v>
      </c>
    </row>
    <row r="33" spans="1:8" x14ac:dyDescent="0.2">
      <c r="A33" s="265">
        <v>3</v>
      </c>
      <c r="B33" s="141">
        <f t="shared" ref="B33:B40" si="14">C32</f>
        <v>36</v>
      </c>
      <c r="C33" s="140">
        <f t="shared" ref="C33:C40" si="15">B33*$M$3</f>
        <v>216</v>
      </c>
      <c r="D33" s="142">
        <f>SUM($C$31:C33)</f>
        <v>258</v>
      </c>
      <c r="E33" s="112">
        <f t="shared" si="10"/>
        <v>43.457202289595813</v>
      </c>
      <c r="F33" s="9">
        <f t="shared" si="11"/>
        <v>311.44328307543663</v>
      </c>
      <c r="G33" s="112">
        <f t="shared" si="12"/>
        <v>0.12929907026838217</v>
      </c>
      <c r="H33" s="9">
        <f t="shared" si="13"/>
        <v>1.8041730735123093E-2</v>
      </c>
    </row>
    <row r="34" spans="1:8" x14ac:dyDescent="0.2">
      <c r="A34" s="265">
        <v>4</v>
      </c>
      <c r="B34" s="141">
        <f t="shared" si="14"/>
        <v>216</v>
      </c>
      <c r="C34" s="140">
        <f t="shared" si="15"/>
        <v>1296</v>
      </c>
      <c r="D34" s="142">
        <f>SUM($C$31:C34)</f>
        <v>1554</v>
      </c>
      <c r="E34" s="112">
        <f t="shared" si="10"/>
        <v>237.81661291511796</v>
      </c>
      <c r="F34" s="9">
        <f t="shared" si="11"/>
        <v>1710.9584095837654</v>
      </c>
      <c r="G34" s="112">
        <f t="shared" si="12"/>
        <v>4.4562927452781551E-2</v>
      </c>
      <c r="H34" s="9">
        <f t="shared" si="13"/>
        <v>6.1940748583016831E-3</v>
      </c>
    </row>
    <row r="35" spans="1:8" x14ac:dyDescent="0.2">
      <c r="A35" s="265">
        <v>5</v>
      </c>
      <c r="B35" s="141">
        <f t="shared" si="14"/>
        <v>1296</v>
      </c>
      <c r="C35" s="140">
        <f t="shared" si="15"/>
        <v>7776</v>
      </c>
      <c r="D35" s="142">
        <f>SUM($C$31:C35)</f>
        <v>9330</v>
      </c>
      <c r="E35" s="112">
        <f t="shared" si="10"/>
        <v>1364.3723226134084</v>
      </c>
      <c r="F35" s="9">
        <f t="shared" si="11"/>
        <v>9822.2174151104173</v>
      </c>
      <c r="G35" s="112">
        <f t="shared" si="12"/>
        <v>1.0943979533241015E-2</v>
      </c>
      <c r="H35" s="9">
        <f t="shared" si="13"/>
        <v>1.5201926554212601E-3</v>
      </c>
    </row>
    <row r="36" spans="1:8" x14ac:dyDescent="0.2">
      <c r="A36" s="265">
        <v>6</v>
      </c>
      <c r="B36" s="141">
        <f t="shared" si="14"/>
        <v>7776</v>
      </c>
      <c r="C36" s="140">
        <f t="shared" si="15"/>
        <v>46656</v>
      </c>
      <c r="D36" s="142">
        <f>SUM($C$31:C36)</f>
        <v>55986</v>
      </c>
      <c r="E36" s="112">
        <f t="shared" si="10"/>
        <v>7997.4454575795962</v>
      </c>
      <c r="F36" s="9">
        <f t="shared" si="11"/>
        <v>57580.373120891367</v>
      </c>
      <c r="G36" s="112">
        <f t="shared" si="12"/>
        <v>2.2864226610302169E-3</v>
      </c>
      <c r="H36" s="9">
        <f t="shared" si="13"/>
        <v>3.1756550945184449E-4</v>
      </c>
    </row>
    <row r="37" spans="1:8" x14ac:dyDescent="0.2">
      <c r="A37" s="265">
        <v>7</v>
      </c>
      <c r="B37" s="141">
        <f t="shared" si="14"/>
        <v>46656</v>
      </c>
      <c r="C37" s="140">
        <f t="shared" si="15"/>
        <v>279936</v>
      </c>
      <c r="D37" s="142">
        <f>SUM($C$31:C37)</f>
        <v>335922</v>
      </c>
      <c r="E37" s="112">
        <f t="shared" si="10"/>
        <v>47385.504259652334</v>
      </c>
      <c r="F37" s="9">
        <f t="shared" si="11"/>
        <v>341174.41190652718</v>
      </c>
      <c r="G37" s="112">
        <f t="shared" si="12"/>
        <v>4.3679828495855617E-4</v>
      </c>
      <c r="H37" s="9">
        <f t="shared" si="13"/>
        <v>6.0666645182591182E-5</v>
      </c>
    </row>
    <row r="38" spans="1:8" x14ac:dyDescent="0.2">
      <c r="A38" s="265">
        <v>8</v>
      </c>
      <c r="B38" s="141">
        <f t="shared" si="14"/>
        <v>279936</v>
      </c>
      <c r="C38" s="140">
        <f t="shared" si="15"/>
        <v>1679616</v>
      </c>
      <c r="D38" s="142">
        <f>SUM($C$31:C38)</f>
        <v>2015538</v>
      </c>
      <c r="E38" s="112">
        <f t="shared" si="10"/>
        <v>282361.16333435586</v>
      </c>
      <c r="F38" s="9">
        <f t="shared" si="11"/>
        <v>2032999.1656114287</v>
      </c>
      <c r="G38" s="112">
        <f t="shared" si="12"/>
        <v>7.9152255516030484E-5</v>
      </c>
      <c r="H38" s="9">
        <f t="shared" si="13"/>
        <v>1.0993375366842753E-5</v>
      </c>
    </row>
    <row r="39" spans="1:8" x14ac:dyDescent="0.2">
      <c r="A39" s="265">
        <v>9</v>
      </c>
      <c r="B39" s="141">
        <f t="shared" si="14"/>
        <v>1679616</v>
      </c>
      <c r="C39" s="140">
        <f t="shared" si="15"/>
        <v>10077696</v>
      </c>
      <c r="D39" s="142">
        <f>SUM($C$31:C39)</f>
        <v>12093234</v>
      </c>
      <c r="E39" s="112">
        <f t="shared" si="10"/>
        <v>1687718.4256934924</v>
      </c>
      <c r="F39" s="9">
        <f t="shared" si="11"/>
        <v>12151571.459204376</v>
      </c>
      <c r="G39" s="112">
        <f t="shared" si="12"/>
        <v>1.3889505958288487E-5</v>
      </c>
      <c r="H39" s="9">
        <f t="shared" si="13"/>
        <v>1.9290982411848376E-6</v>
      </c>
    </row>
    <row r="40" spans="1:8" ht="17" thickBot="1" x14ac:dyDescent="0.25">
      <c r="A40" s="266">
        <v>10</v>
      </c>
      <c r="B40" s="143">
        <f t="shared" si="14"/>
        <v>10077696</v>
      </c>
      <c r="C40" s="144">
        <f t="shared" si="15"/>
        <v>60466176</v>
      </c>
      <c r="D40" s="145">
        <f>SUM($C$31:C40)</f>
        <v>72559410</v>
      </c>
      <c r="E40" s="113">
        <f t="shared" si="10"/>
        <v>10104840.608942451</v>
      </c>
      <c r="F40" s="10">
        <f t="shared" si="11"/>
        <v>72754851.181153402</v>
      </c>
      <c r="G40" s="113">
        <f t="shared" si="12"/>
        <v>2.3895035397354495E-6</v>
      </c>
      <c r="H40" s="10">
        <f t="shared" si="13"/>
        <v>3.318754971185375E-7</v>
      </c>
    </row>
    <row r="41" spans="1:8" ht="17" thickBot="1" x14ac:dyDescent="0.25"/>
    <row r="42" spans="1:8" ht="17" thickBot="1" x14ac:dyDescent="0.25">
      <c r="A42" s="138" t="s">
        <v>140</v>
      </c>
      <c r="B42" s="139" t="s">
        <v>145</v>
      </c>
      <c r="C42" s="139" t="s">
        <v>144</v>
      </c>
      <c r="D42" s="241" t="s">
        <v>143</v>
      </c>
      <c r="E42" s="231" t="s">
        <v>157</v>
      </c>
      <c r="F42" s="234" t="s">
        <v>156</v>
      </c>
      <c r="G42" s="259" t="s">
        <v>158</v>
      </c>
      <c r="H42" s="256" t="s">
        <v>159</v>
      </c>
    </row>
    <row r="43" spans="1:8" x14ac:dyDescent="0.2">
      <c r="A43" s="264">
        <v>1</v>
      </c>
      <c r="B43" s="146">
        <v>1</v>
      </c>
      <c r="C43" s="150">
        <f>B43*$M$3</f>
        <v>6</v>
      </c>
      <c r="D43" s="151">
        <f>SUM(C43:C43)</f>
        <v>6</v>
      </c>
      <c r="E43" s="129">
        <f>B43/P7</f>
        <v>3.5485845098326609</v>
      </c>
      <c r="F43" s="58">
        <f>D43/P7</f>
        <v>21.291507058995965</v>
      </c>
      <c r="G43" s="28">
        <f>S7/E43</f>
        <v>-0.32712261250448044</v>
      </c>
      <c r="H43" s="8">
        <f>S7/F43</f>
        <v>-5.4520435417413408E-2</v>
      </c>
    </row>
    <row r="44" spans="1:8" x14ac:dyDescent="0.2">
      <c r="A44" s="265">
        <v>2</v>
      </c>
      <c r="B44" s="141">
        <f>B43*$M$3*2</f>
        <v>12</v>
      </c>
      <c r="C44" s="140">
        <f>B44*$M$3</f>
        <v>72</v>
      </c>
      <c r="D44" s="142">
        <f>SUM($C$43:C44)</f>
        <v>78</v>
      </c>
      <c r="E44" s="112">
        <f t="shared" ref="E44:E52" si="16">B44/P8</f>
        <v>18.045218955552389</v>
      </c>
      <c r="F44" s="9">
        <f t="shared" ref="F44:F52" si="17">D44/P8</f>
        <v>117.29392321109052</v>
      </c>
      <c r="G44" s="112">
        <f t="shared" ref="G44:G52" si="18">S8/E44</f>
        <v>5.7703300763026773E-2</v>
      </c>
      <c r="H44" s="9">
        <f t="shared" ref="H44:H52" si="19">S8/F44</f>
        <v>8.8774308866195039E-3</v>
      </c>
    </row>
    <row r="45" spans="1:8" x14ac:dyDescent="0.2">
      <c r="A45" s="265">
        <v>3</v>
      </c>
      <c r="B45" s="141">
        <f t="shared" ref="B45:B52" si="20">B44*$M$3*2</f>
        <v>144</v>
      </c>
      <c r="C45" s="140">
        <f t="shared" ref="C45:C52" si="21">B45*$M$3</f>
        <v>864</v>
      </c>
      <c r="D45" s="142">
        <f>SUM($C$43:C45)</f>
        <v>942</v>
      </c>
      <c r="E45" s="112">
        <f t="shared" si="16"/>
        <v>173.82880915838325</v>
      </c>
      <c r="F45" s="9">
        <f t="shared" si="17"/>
        <v>1137.130126577757</v>
      </c>
      <c r="G45" s="112">
        <f t="shared" si="18"/>
        <v>3.2324767567095541E-2</v>
      </c>
      <c r="H45" s="9">
        <f t="shared" si="19"/>
        <v>4.9413657427407201E-3</v>
      </c>
    </row>
    <row r="46" spans="1:8" x14ac:dyDescent="0.2">
      <c r="A46" s="265">
        <v>4</v>
      </c>
      <c r="B46" s="141">
        <f t="shared" si="20"/>
        <v>1728</v>
      </c>
      <c r="C46" s="140">
        <f t="shared" si="21"/>
        <v>10368</v>
      </c>
      <c r="D46" s="142">
        <f>SUM($C$43:C46)</f>
        <v>11310</v>
      </c>
      <c r="E46" s="112">
        <f t="shared" si="16"/>
        <v>1902.5329033209437</v>
      </c>
      <c r="F46" s="9">
        <f t="shared" si="17"/>
        <v>12452.342092916593</v>
      </c>
      <c r="G46" s="112">
        <f t="shared" si="18"/>
        <v>5.5703659315976938E-3</v>
      </c>
      <c r="H46" s="9">
        <f t="shared" si="19"/>
        <v>8.5106917151200846E-4</v>
      </c>
    </row>
    <row r="47" spans="1:8" x14ac:dyDescent="0.2">
      <c r="A47" s="265">
        <v>5</v>
      </c>
      <c r="B47" s="141">
        <f t="shared" si="20"/>
        <v>20736</v>
      </c>
      <c r="C47" s="140">
        <f t="shared" si="21"/>
        <v>124416</v>
      </c>
      <c r="D47" s="142">
        <f>SUM($C$43:C47)</f>
        <v>135726</v>
      </c>
      <c r="E47" s="112">
        <f t="shared" si="16"/>
        <v>21829.957161814535</v>
      </c>
      <c r="F47" s="9">
        <f t="shared" si="17"/>
        <v>142886.41810110144</v>
      </c>
      <c r="G47" s="112">
        <f t="shared" si="18"/>
        <v>6.8399872082756344E-4</v>
      </c>
      <c r="H47" s="9">
        <f t="shared" si="19"/>
        <v>1.0450022453384286E-4</v>
      </c>
    </row>
    <row r="48" spans="1:8" x14ac:dyDescent="0.2">
      <c r="A48" s="265">
        <v>6</v>
      </c>
      <c r="B48" s="141">
        <f t="shared" si="20"/>
        <v>248832</v>
      </c>
      <c r="C48" s="140">
        <f t="shared" si="21"/>
        <v>1492992</v>
      </c>
      <c r="D48" s="142">
        <f>SUM($C$43:C48)</f>
        <v>1628718</v>
      </c>
      <c r="E48" s="112">
        <f t="shared" si="16"/>
        <v>255918.25464254708</v>
      </c>
      <c r="F48" s="9">
        <f t="shared" si="17"/>
        <v>1675100.7421268164</v>
      </c>
      <c r="G48" s="112">
        <f t="shared" si="18"/>
        <v>7.1450708157194277E-5</v>
      </c>
      <c r="H48" s="9">
        <f t="shared" si="19"/>
        <v>1.0916084068679149E-5</v>
      </c>
    </row>
    <row r="49" spans="1:8" x14ac:dyDescent="0.2">
      <c r="A49" s="265">
        <v>7</v>
      </c>
      <c r="B49" s="141">
        <f t="shared" si="20"/>
        <v>2985984</v>
      </c>
      <c r="C49" s="140">
        <f t="shared" si="21"/>
        <v>17915904</v>
      </c>
      <c r="D49" s="142">
        <f>SUM($C$43:C49)</f>
        <v>19544622</v>
      </c>
      <c r="E49" s="112">
        <f t="shared" si="16"/>
        <v>3032672.2726177494</v>
      </c>
      <c r="F49" s="9">
        <f t="shared" si="17"/>
        <v>19850217.957696646</v>
      </c>
      <c r="G49" s="112">
        <f t="shared" si="18"/>
        <v>6.8249732024774401E-6</v>
      </c>
      <c r="H49" s="9">
        <f t="shared" si="19"/>
        <v>1.0427042683673491E-6</v>
      </c>
    </row>
    <row r="50" spans="1:8" x14ac:dyDescent="0.2">
      <c r="A50" s="265">
        <v>8</v>
      </c>
      <c r="B50" s="141">
        <f t="shared" si="20"/>
        <v>35831808</v>
      </c>
      <c r="C50" s="140">
        <f t="shared" si="21"/>
        <v>214990848</v>
      </c>
      <c r="D50" s="142">
        <f>SUM($C$43:C50)</f>
        <v>234535470</v>
      </c>
      <c r="E50" s="112">
        <f t="shared" si="16"/>
        <v>36142228.906797551</v>
      </c>
      <c r="F50" s="9">
        <f t="shared" si="17"/>
        <v>236567315.9306767</v>
      </c>
      <c r="G50" s="112">
        <f t="shared" si="18"/>
        <v>6.1837699621898816E-7</v>
      </c>
      <c r="H50" s="9">
        <f t="shared" si="19"/>
        <v>9.4474263530951251E-8</v>
      </c>
    </row>
    <row r="51" spans="1:8" x14ac:dyDescent="0.2">
      <c r="A51" s="265">
        <v>9</v>
      </c>
      <c r="B51" s="141">
        <f t="shared" si="20"/>
        <v>429981696</v>
      </c>
      <c r="C51" s="140">
        <f t="shared" si="21"/>
        <v>2579890176</v>
      </c>
      <c r="D51" s="142">
        <f>SUM($C$43:C51)</f>
        <v>2814425646</v>
      </c>
      <c r="E51" s="112">
        <f t="shared" si="16"/>
        <v>432055916.97753406</v>
      </c>
      <c r="F51" s="9">
        <f t="shared" si="17"/>
        <v>2828002365.1230459</v>
      </c>
      <c r="G51" s="112">
        <f t="shared" si="18"/>
        <v>5.4255882649564403E-8</v>
      </c>
      <c r="H51" s="9">
        <f t="shared" si="19"/>
        <v>8.289093184178823E-9</v>
      </c>
    </row>
    <row r="52" spans="1:8" ht="17" thickBot="1" x14ac:dyDescent="0.25">
      <c r="A52" s="266">
        <v>10</v>
      </c>
      <c r="B52" s="143">
        <f t="shared" si="20"/>
        <v>5159780352</v>
      </c>
      <c r="C52" s="144">
        <f t="shared" si="21"/>
        <v>30958682112</v>
      </c>
      <c r="D52" s="145">
        <f>SUM($C$43:C52)</f>
        <v>33773107758</v>
      </c>
      <c r="E52" s="113">
        <f t="shared" si="16"/>
        <v>5173678391.7785349</v>
      </c>
      <c r="F52" s="10">
        <f t="shared" si="17"/>
        <v>33864076745.639847</v>
      </c>
      <c r="G52" s="113">
        <f t="shared" si="18"/>
        <v>4.6669991010457997E-9</v>
      </c>
      <c r="H52" s="10">
        <f t="shared" si="19"/>
        <v>7.1301375156017953E-10</v>
      </c>
    </row>
  </sheetData>
  <conditionalFormatting sqref="O7:O16">
    <cfRule type="cellIs" dxfId="635" priority="59" operator="lessThanOrEqual">
      <formula>0</formula>
    </cfRule>
    <cfRule type="cellIs" dxfId="634" priority="60" operator="greaterThan">
      <formula>0</formula>
    </cfRule>
  </conditionalFormatting>
  <conditionalFormatting sqref="P7:P16 S7:S16">
    <cfRule type="cellIs" dxfId="633" priority="49" operator="lessThanOrEqual">
      <formula>0</formula>
    </cfRule>
    <cfRule type="cellIs" dxfId="632" priority="50" operator="greaterThan">
      <formula>0</formula>
    </cfRule>
  </conditionalFormatting>
  <conditionalFormatting sqref="F19:F28">
    <cfRule type="cellIs" dxfId="631" priority="37" stopIfTrue="1" operator="lessThan">
      <formula>0</formula>
    </cfRule>
    <cfRule type="cellIs" dxfId="630" priority="38" operator="equal">
      <formula>MIN($F$19:$F$28)</formula>
    </cfRule>
  </conditionalFormatting>
  <conditionalFormatting sqref="E19:E28">
    <cfRule type="cellIs" dxfId="629" priority="35" stopIfTrue="1" operator="lessThan">
      <formula>0</formula>
    </cfRule>
    <cfRule type="cellIs" dxfId="628" priority="36" operator="equal">
      <formula>MIN($E$19:$E$28)</formula>
    </cfRule>
  </conditionalFormatting>
  <conditionalFormatting sqref="G43:G52">
    <cfRule type="cellIs" dxfId="627" priority="26" operator="equal">
      <formula>MAX($G$43:$G$52)</formula>
    </cfRule>
  </conditionalFormatting>
  <conditionalFormatting sqref="H43:H52">
    <cfRule type="cellIs" dxfId="626" priority="25" operator="equal">
      <formula>MAX($H$43:$H$52)</formula>
    </cfRule>
  </conditionalFormatting>
  <conditionalFormatting sqref="G31:G40">
    <cfRule type="cellIs" dxfId="625" priority="24" operator="equal">
      <formula>MAX($G$31:$G$40)</formula>
    </cfRule>
  </conditionalFormatting>
  <conditionalFormatting sqref="H31:H40">
    <cfRule type="cellIs" dxfId="624" priority="23" operator="equal">
      <formula>MAX($H$31:$H$40)</formula>
    </cfRule>
  </conditionalFormatting>
  <conditionalFormatting sqref="F31:F40">
    <cfRule type="cellIs" dxfId="623" priority="19" stopIfTrue="1" operator="lessThan">
      <formula>0</formula>
    </cfRule>
    <cfRule type="cellIs" dxfId="622" priority="20" operator="equal">
      <formula>MIN($F$31:$F$40)</formula>
    </cfRule>
  </conditionalFormatting>
  <conditionalFormatting sqref="E31:E40">
    <cfRule type="cellIs" dxfId="621" priority="17" stopIfTrue="1" operator="lessThan">
      <formula>0</formula>
    </cfRule>
    <cfRule type="cellIs" dxfId="620" priority="18" operator="equal">
      <formula>MIN($E$31:$E$40)</formula>
    </cfRule>
  </conditionalFormatting>
  <conditionalFormatting sqref="F43:F52">
    <cfRule type="cellIs" dxfId="619" priority="15" stopIfTrue="1" operator="lessThan">
      <formula>0</formula>
    </cfRule>
    <cfRule type="cellIs" dxfId="618" priority="16" operator="equal">
      <formula>MIN($F$43:$F$52)</formula>
    </cfRule>
  </conditionalFormatting>
  <conditionalFormatting sqref="E43:E52">
    <cfRule type="cellIs" dxfId="617" priority="13" stopIfTrue="1" operator="lessThan">
      <formula>0</formula>
    </cfRule>
    <cfRule type="cellIs" dxfId="616" priority="14" operator="equal">
      <formula>MIN($E$43:$E$52)</formula>
    </cfRule>
  </conditionalFormatting>
  <conditionalFormatting sqref="Q7:Q16">
    <cfRule type="cellIs" dxfId="615" priority="7" operator="lessThanOrEqual">
      <formula>0</formula>
    </cfRule>
    <cfRule type="cellIs" dxfId="614" priority="8" operator="greaterThan">
      <formula>0</formula>
    </cfRule>
  </conditionalFormatting>
  <conditionalFormatting sqref="R7:R16">
    <cfRule type="cellIs" dxfId="613" priority="5" operator="lessThanOrEqual">
      <formula>0</formula>
    </cfRule>
    <cfRule type="cellIs" dxfId="612" priority="6" operator="greaterThan">
      <formula>0</formula>
    </cfRule>
  </conditionalFormatting>
  <conditionalFormatting sqref="G19:G28">
    <cfRule type="cellIs" dxfId="611" priority="3" operator="lessThanOrEqual">
      <formula>0</formula>
    </cfRule>
    <cfRule type="cellIs" dxfId="610" priority="4" operator="equal">
      <formula>MAX($G$19:$G$28)</formula>
    </cfRule>
  </conditionalFormatting>
  <conditionalFormatting sqref="H19:H28">
    <cfRule type="cellIs" dxfId="609" priority="1" operator="lessThanOrEqual">
      <formula>0</formula>
    </cfRule>
    <cfRule type="cellIs" dxfId="608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U52"/>
  <sheetViews>
    <sheetView workbookViewId="0">
      <selection activeCell="B43" sqref="B43:D52"/>
    </sheetView>
  </sheetViews>
  <sheetFormatPr baseColWidth="10" defaultColWidth="8.6640625" defaultRowHeight="16" x14ac:dyDescent="0.2"/>
  <cols>
    <col min="14" max="14" width="5.6640625" bestFit="1" customWidth="1"/>
  </cols>
  <sheetData>
    <row r="1" spans="1:21" x14ac:dyDescent="0.2">
      <c r="B1" s="202"/>
      <c r="C1" t="s">
        <v>99</v>
      </c>
      <c r="D1">
        <f>C2+E2</f>
        <v>0.99999999999999833</v>
      </c>
    </row>
    <row r="2" spans="1:21" x14ac:dyDescent="0.2">
      <c r="A2" t="s">
        <v>40</v>
      </c>
      <c r="B2" s="201" t="s">
        <v>129</v>
      </c>
      <c r="C2" s="222">
        <f>Analysis!B15</f>
        <v>0.64784523383639259</v>
      </c>
      <c r="D2" s="199" t="s">
        <v>130</v>
      </c>
      <c r="E2" s="222">
        <f>Analysis!J15</f>
        <v>0.35215476616360575</v>
      </c>
      <c r="F2" s="199" t="s">
        <v>49</v>
      </c>
      <c r="G2" s="222">
        <f>Analysis!S15</f>
        <v>8.6528383231447954</v>
      </c>
      <c r="H2" t="s">
        <v>163</v>
      </c>
      <c r="I2" s="238">
        <f>Analysis!T15</f>
        <v>21.919324553035803</v>
      </c>
      <c r="J2" t="s">
        <v>50</v>
      </c>
      <c r="K2" s="238">
        <f>C2*G2-E2*I2</f>
        <v>-2.1132945456322663</v>
      </c>
      <c r="L2" t="s">
        <v>49</v>
      </c>
      <c r="M2" s="267">
        <v>1</v>
      </c>
    </row>
    <row r="3" spans="1:21" x14ac:dyDescent="0.2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7</v>
      </c>
    </row>
    <row r="4" spans="1:21" x14ac:dyDescent="0.2">
      <c r="A4" t="s">
        <v>127</v>
      </c>
      <c r="B4" s="202">
        <f>$C$2</f>
        <v>0.64784523383639259</v>
      </c>
      <c r="C4">
        <f>B4*$C$2</f>
        <v>0.41970344700453022</v>
      </c>
      <c r="D4">
        <f t="shared" ref="D4:K4" si="0">C4*$C$2</f>
        <v>0.27190287776658989</v>
      </c>
      <c r="E4">
        <f t="shared" si="0"/>
        <v>0.1761509834274845</v>
      </c>
      <c r="F4">
        <f t="shared" si="0"/>
        <v>0.11411857504908922</v>
      </c>
      <c r="G4">
        <f t="shared" si="0"/>
        <v>7.3931174937753127E-2</v>
      </c>
      <c r="H4">
        <f t="shared" si="0"/>
        <v>4.7895959315347923E-2</v>
      </c>
      <c r="I4">
        <f t="shared" si="0"/>
        <v>3.1029168962469923E-2</v>
      </c>
      <c r="J4">
        <f t="shared" si="0"/>
        <v>2.0102099222240263E-2</v>
      </c>
      <c r="K4">
        <f t="shared" si="0"/>
        <v>1.3023049171234608E-2</v>
      </c>
    </row>
    <row r="5" spans="1:21" ht="17" thickBot="1" x14ac:dyDescent="0.25">
      <c r="A5" t="s">
        <v>128</v>
      </c>
      <c r="B5" s="202">
        <f>$E$2</f>
        <v>0.35215476616360575</v>
      </c>
      <c r="C5">
        <f>B5*$E$2</f>
        <v>0.12401297933174385</v>
      </c>
      <c r="D5">
        <f t="shared" ref="D5:K5" si="1">C5*$E$2</f>
        <v>4.3671761737822327E-2</v>
      </c>
      <c r="E5">
        <f t="shared" si="1"/>
        <v>1.5379219042735526E-2</v>
      </c>
      <c r="F5">
        <f t="shared" si="1"/>
        <v>5.4158652857734021E-3</v>
      </c>
      <c r="G5">
        <f t="shared" si="1"/>
        <v>1.9072227732851222E-3</v>
      </c>
      <c r="H5">
        <f t="shared" si="1"/>
        <v>6.7163758974812587E-4</v>
      </c>
      <c r="I5">
        <f t="shared" si="1"/>
        <v>2.3652037836443903E-4</v>
      </c>
      <c r="J5">
        <f t="shared" si="1"/>
        <v>8.3291778535856577E-5</v>
      </c>
      <c r="K5">
        <f t="shared" si="1"/>
        <v>2.9331596793645411E-5</v>
      </c>
    </row>
    <row r="6" spans="1:21" ht="17" thickBot="1" x14ac:dyDescent="0.25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">
      <c r="A7" s="208">
        <v>1</v>
      </c>
      <c r="B7" s="114">
        <f>C7*B4</f>
        <v>0.64784523383639259</v>
      </c>
      <c r="C7" s="114">
        <v>1</v>
      </c>
      <c r="D7" s="212">
        <f>C7*B5</f>
        <v>0.35215476616360575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0.99999999999999833</v>
      </c>
      <c r="O7" s="114">
        <f>B7/(B7+D7)</f>
        <v>0.6478452338363937</v>
      </c>
      <c r="P7" s="129">
        <f>B7-D7</f>
        <v>0.29569046767278684</v>
      </c>
      <c r="Q7" s="129">
        <f>($G$2*SUM(C7))*B7</f>
        <v>5.6057000668062393</v>
      </c>
      <c r="R7" s="58">
        <f>($I$2*SUM(C7))*D7*COUNT(D7:M7)</f>
        <v>7.7189946124385056</v>
      </c>
      <c r="S7" s="58">
        <f>Q7-R7</f>
        <v>-2.1132945456322663</v>
      </c>
      <c r="T7" s="129">
        <f>(S7+U7*D7)/B7</f>
        <v>-2.718457569008558</v>
      </c>
      <c r="U7" s="58">
        <f t="shared" ref="U7:U16" si="2">COUNT(D7:M7)</f>
        <v>1</v>
      </c>
    </row>
    <row r="8" spans="1:21" x14ac:dyDescent="0.2">
      <c r="A8" s="209">
        <v>2</v>
      </c>
      <c r="B8" s="116">
        <f>C8*B4</f>
        <v>0.83933191716296285</v>
      </c>
      <c r="C8" s="116">
        <f>1/(1-B4*B5)</f>
        <v>1.2955747350221742</v>
      </c>
      <c r="D8" s="194">
        <f>C8*B5</f>
        <v>0.45624281785920923</v>
      </c>
      <c r="E8" s="1">
        <f>D8*B5</f>
        <v>0.1606680828370344</v>
      </c>
      <c r="F8" s="1"/>
      <c r="G8" s="1"/>
      <c r="H8" s="1"/>
      <c r="I8" s="1"/>
      <c r="J8" s="1"/>
      <c r="K8" s="1"/>
      <c r="L8" s="1"/>
      <c r="M8" s="9"/>
      <c r="N8">
        <f>B8+E8</f>
        <v>0.99999999999999722</v>
      </c>
      <c r="O8" s="116">
        <f>B8/(B8+E8)</f>
        <v>0.83933191716296518</v>
      </c>
      <c r="P8" s="112">
        <f>B8-E8</f>
        <v>0.67866383432592847</v>
      </c>
      <c r="Q8" s="112">
        <f>($G$2*SUM(C8:D8))*B8</f>
        <v>12.722756078363226</v>
      </c>
      <c r="R8" s="9">
        <f>($I$2*SUM(C8:D8))*E8*COUNT(D8:M8)</f>
        <v>12.338877367860748</v>
      </c>
      <c r="S8" s="9">
        <f t="shared" ref="S8:S16" si="3">Q8-R8</f>
        <v>0.38387871050247746</v>
      </c>
      <c r="T8" s="112">
        <f>(S8+U8*E8)/B8</f>
        <v>0.84020976893176247</v>
      </c>
      <c r="U8" s="9">
        <f t="shared" si="2"/>
        <v>2</v>
      </c>
    </row>
    <row r="9" spans="1:21" x14ac:dyDescent="0.2">
      <c r="A9" s="209">
        <v>3</v>
      </c>
      <c r="B9" s="116">
        <f>C9*B4</f>
        <v>0.9196791569603705</v>
      </c>
      <c r="C9" s="216">
        <f>1/(1-B5*B4/(1-B5*B4))</f>
        <v>1.4195970100979813</v>
      </c>
      <c r="D9" s="217">
        <f>C9*B5*C8</f>
        <v>0.64768094011161137</v>
      </c>
      <c r="E9" s="218">
        <f>D9*(B5)</f>
        <v>0.22808393001362884</v>
      </c>
      <c r="F9" s="218">
        <f>E9*B5</f>
        <v>8.0320843039625681E-2</v>
      </c>
      <c r="G9" s="218"/>
      <c r="H9" s="218"/>
      <c r="I9" s="218"/>
      <c r="J9" s="218"/>
      <c r="K9" s="218"/>
      <c r="L9" s="218"/>
      <c r="M9" s="219"/>
      <c r="N9">
        <f>B9+F9</f>
        <v>0.99999999999999623</v>
      </c>
      <c r="O9" s="116">
        <f>B9/(B9+F9)</f>
        <v>0.91967915696037394</v>
      </c>
      <c r="P9" s="112">
        <f>B9-F9</f>
        <v>0.83935831392074478</v>
      </c>
      <c r="Q9" s="112">
        <f>($G$2*SUM(C9:E9))*B9</f>
        <v>18.266111232845748</v>
      </c>
      <c r="R9" s="9">
        <f>($I$2*SUM(C9:E9))*F9*COUNT(D9:M9)</f>
        <v>12.123495202372299</v>
      </c>
      <c r="S9" s="9">
        <f t="shared" si="3"/>
        <v>6.1426160304734498</v>
      </c>
      <c r="T9" s="112">
        <f>(S9+U9*F9)/B9</f>
        <v>6.9410930010534084</v>
      </c>
      <c r="U9" s="9">
        <f t="shared" si="2"/>
        <v>3</v>
      </c>
    </row>
    <row r="10" spans="1:21" x14ac:dyDescent="0.2">
      <c r="A10" s="209">
        <v>4</v>
      </c>
      <c r="B10" s="116">
        <f>C10*B4</f>
        <v>0.95816582235078951</v>
      </c>
      <c r="C10" s="116">
        <f>1/(1-B5*B4/(1-B5*B4/(1-B5*B4)))</f>
        <v>1.479004200859438</v>
      </c>
      <c r="D10" s="194">
        <f>C10*B5*C9</f>
        <v>0.73938060487515456</v>
      </c>
      <c r="E10" s="1">
        <f>D10*B5*C8</f>
        <v>0.33733709063868711</v>
      </c>
      <c r="F10" s="1">
        <f>E10*B5</f>
        <v>0.11879486427217793</v>
      </c>
      <c r="G10" s="1">
        <f>F10*B5</f>
        <v>4.1834177649206106E-2</v>
      </c>
      <c r="H10" s="1"/>
      <c r="I10" s="1"/>
      <c r="J10" s="1"/>
      <c r="K10" s="1"/>
      <c r="L10" s="1"/>
      <c r="M10" s="9"/>
      <c r="N10">
        <f>B10+G10</f>
        <v>0.99999999999999556</v>
      </c>
      <c r="O10" s="116">
        <f>B10/(B10+G10)</f>
        <v>0.95816582235079373</v>
      </c>
      <c r="P10" s="112">
        <f>B10-G10</f>
        <v>0.91633164470158346</v>
      </c>
      <c r="Q10" s="112">
        <f>($G$2*SUM(C10:F10))*B10</f>
        <v>22.174027842824703</v>
      </c>
      <c r="R10" s="9">
        <f>($I$2*SUM(C10:F10))*G10*COUNT(D10:M10)</f>
        <v>9.8098805378000726</v>
      </c>
      <c r="S10" s="9">
        <f t="shared" si="3"/>
        <v>12.36414730502463</v>
      </c>
      <c r="T10" s="112">
        <f>(S10+U10*G10)/B10</f>
        <v>13.078617211451332</v>
      </c>
      <c r="U10" s="9">
        <f t="shared" si="2"/>
        <v>4</v>
      </c>
    </row>
    <row r="11" spans="1:21" x14ac:dyDescent="0.2">
      <c r="A11" s="209">
        <v>5</v>
      </c>
      <c r="B11" s="116">
        <f>C11*B4</f>
        <v>0.97776545592018327</v>
      </c>
      <c r="C11" s="116">
        <f>1/(1-B5*B4/(1-B5*B4/(1-B5*B4/(1-B5*B4))))</f>
        <v>1.5092577746232352</v>
      </c>
      <c r="D11" s="194">
        <f>C11*B5*C10</f>
        <v>0.78607937208633327</v>
      </c>
      <c r="E11" s="1">
        <f>D11*B5*C9</f>
        <v>0.39297511208915903</v>
      </c>
      <c r="F11" s="1">
        <f>E11*B5*C8</f>
        <v>0.17929207248809653</v>
      </c>
      <c r="G11" s="1">
        <f>F11*B5</f>
        <v>6.3138557862033887E-2</v>
      </c>
      <c r="H11" s="1">
        <f>G11*B5</f>
        <v>2.2234544079811836E-2</v>
      </c>
      <c r="I11" s="1"/>
      <c r="J11" s="1"/>
      <c r="K11" s="1"/>
      <c r="L11" s="1"/>
      <c r="M11" s="9"/>
      <c r="N11">
        <f>B11+H11</f>
        <v>0.99999999999999512</v>
      </c>
      <c r="O11" s="116">
        <f>B11/(B11+H11)</f>
        <v>0.97776545592018804</v>
      </c>
      <c r="P11" s="112">
        <f>B11-H11</f>
        <v>0.95553091184037142</v>
      </c>
      <c r="Q11" s="112">
        <f>($G$2*SUM(C11:G11))*B11</f>
        <v>24.795393149368607</v>
      </c>
      <c r="R11" s="9">
        <f>($I$2*SUM(C11:G11))*H11*COUNT(D11:M11)</f>
        <v>7.1417249490845158</v>
      </c>
      <c r="S11" s="9">
        <f t="shared" si="3"/>
        <v>17.653668200284091</v>
      </c>
      <c r="T11" s="112">
        <f>(S11+U11*H11)/B11</f>
        <v>18.168816266846438</v>
      </c>
      <c r="U11" s="9">
        <f t="shared" si="2"/>
        <v>5</v>
      </c>
    </row>
    <row r="12" spans="1:21" x14ac:dyDescent="0.2">
      <c r="A12" s="209">
        <v>6</v>
      </c>
      <c r="B12" s="116">
        <f>C12*B4</f>
        <v>0.98805811130404464</v>
      </c>
      <c r="C12" s="116">
        <f>1/(1-B5*B4/(1-B5*B4/(1-B5*B4/(1-B5*B4/(1-B5*B4)))))</f>
        <v>1.5251452965903423</v>
      </c>
      <c r="D12" s="194">
        <f>C12*B5*C11</f>
        <v>0.81060301004385082</v>
      </c>
      <c r="E12" s="1">
        <f>D12*B5*C10</f>
        <v>0.42219315736546692</v>
      </c>
      <c r="F12" s="1">
        <f>E12*B5*C9</f>
        <v>0.21106189683953272</v>
      </c>
      <c r="G12" s="1">
        <f>F12*B5*C8</f>
        <v>9.6295474556778143E-2</v>
      </c>
      <c r="H12" s="1">
        <f>G12*B5</f>
        <v>3.3910910325155655E-2</v>
      </c>
      <c r="I12" s="1">
        <f>H12*B5</f>
        <v>1.1941888695950193E-2</v>
      </c>
      <c r="J12" s="1"/>
      <c r="K12" s="1"/>
      <c r="L12" s="1"/>
      <c r="M12" s="9"/>
      <c r="N12">
        <f>B12+I12</f>
        <v>0.99999999999999478</v>
      </c>
      <c r="O12" s="116">
        <f>B12/(B12+I12)</f>
        <v>0.98805811130404975</v>
      </c>
      <c r="P12" s="112">
        <f>B12-I12</f>
        <v>0.9761162226080945</v>
      </c>
      <c r="Q12" s="112">
        <f>($G$2*SUM(C12:H12))*B12</f>
        <v>26.496715697494775</v>
      </c>
      <c r="R12" s="9">
        <f>($I$2*SUM(C12:H12))*I12*COUNT(D12:M12)</f>
        <v>4.8674601613983421</v>
      </c>
      <c r="S12" s="9">
        <f t="shared" si="3"/>
        <v>21.629255536096434</v>
      </c>
      <c r="T12" s="112">
        <f>(S12+U12*I12)/B12</f>
        <v>21.963188824624044</v>
      </c>
      <c r="U12" s="9">
        <f t="shared" si="2"/>
        <v>6</v>
      </c>
    </row>
    <row r="13" spans="1:21" x14ac:dyDescent="0.2">
      <c r="A13" s="209">
        <v>7</v>
      </c>
      <c r="B13" s="116">
        <f>C13*B4</f>
        <v>0.99355051149702278</v>
      </c>
      <c r="C13" s="216">
        <f>1/(1-B5*B4/(1-B5*B4/(1-B5*B4/(1-B5*B4/(1-B5*B4/(1-B5*B4))))))</f>
        <v>1.5336232476596947</v>
      </c>
      <c r="D13" s="217">
        <f>C13*B5*C12</f>
        <v>0.823689393375172</v>
      </c>
      <c r="E13" s="218">
        <f>D13*B5*C11</f>
        <v>0.4377845855760783</v>
      </c>
      <c r="F13" s="218">
        <f>E13*B5*C10</f>
        <v>0.22801501368752417</v>
      </c>
      <c r="G13" s="218">
        <f>F13*B5*C9</f>
        <v>0.11398877612580949</v>
      </c>
      <c r="H13" s="218">
        <f>G13*B5*C8</f>
        <v>5.2006560423961873E-2</v>
      </c>
      <c r="I13" s="218">
        <f>H13*B5</f>
        <v>1.8314358125073725E-2</v>
      </c>
      <c r="J13" s="218">
        <f>I13*B5</f>
        <v>6.4494885029718705E-3</v>
      </c>
      <c r="K13" s="218"/>
      <c r="L13" s="218"/>
      <c r="M13" s="219"/>
      <c r="N13">
        <f>B13+J13</f>
        <v>0.99999999999999467</v>
      </c>
      <c r="O13" s="116">
        <f>B13/(B13+J13)</f>
        <v>0.99355051149702811</v>
      </c>
      <c r="P13" s="112">
        <f>B13-J13</f>
        <v>0.98710102299405089</v>
      </c>
      <c r="Q13" s="112">
        <f>($G$2*SUM(C13:I13))*B13</f>
        <v>27.574308825992972</v>
      </c>
      <c r="R13" s="9">
        <f>($I$2*SUM(C13:I13))*J13*COUNT(D13:M13)</f>
        <v>3.1739974611801602</v>
      </c>
      <c r="S13" s="9">
        <f t="shared" si="3"/>
        <v>24.400311364812811</v>
      </c>
      <c r="T13" s="112">
        <f>(S13+U13*J13)/B13</f>
        <v>24.604141914738342</v>
      </c>
      <c r="U13" s="9">
        <f t="shared" si="2"/>
        <v>7</v>
      </c>
    </row>
    <row r="14" spans="1:21" x14ac:dyDescent="0.2">
      <c r="A14" s="209">
        <v>8</v>
      </c>
      <c r="B14" s="116">
        <f>C14*B4</f>
        <v>0.99650644417808087</v>
      </c>
      <c r="C14" s="116">
        <f>1/(1-B5*B4/(1-B5*B4/(1-B5*B4/(1-B5*B4/(1-B5*B4/(1-B5*B4/(1-B5*B4)))))))</f>
        <v>1.5381859619109886</v>
      </c>
      <c r="D14" s="194">
        <f>C14*B5*C13</f>
        <v>0.83073230117627517</v>
      </c>
      <c r="E14" s="1">
        <f>D14*B5*C12</f>
        <v>0.44617567336517239</v>
      </c>
      <c r="F14" s="1">
        <f>E14*B5*C11</f>
        <v>0.23713894318574985</v>
      </c>
      <c r="G14" s="1">
        <f>F14*B5*C10</f>
        <v>0.12351106265011988</v>
      </c>
      <c r="H14" s="1">
        <f>G14*B5*C9</f>
        <v>6.1745385278792586E-2</v>
      </c>
      <c r="I14" s="1">
        <f>H14*B5*C8</f>
        <v>2.8170888569398863E-2</v>
      </c>
      <c r="J14" s="1">
        <f>I14*B5</f>
        <v>9.9205126767776507E-3</v>
      </c>
      <c r="K14" s="1">
        <f>J14*B5</f>
        <v>3.49355582191372E-3</v>
      </c>
      <c r="L14" s="1"/>
      <c r="M14" s="9"/>
      <c r="N14">
        <f>B14+K14</f>
        <v>0.99999999999999456</v>
      </c>
      <c r="O14" s="116">
        <f>B14/(B14+K14)</f>
        <v>0.99650644417808631</v>
      </c>
      <c r="P14" s="112">
        <f>B14-K14</f>
        <v>0.99301288835616719</v>
      </c>
      <c r="Q14" s="112">
        <f>($G$2*SUM(C14:J14))*B14</f>
        <v>28.244052362010567</v>
      </c>
      <c r="R14" s="9">
        <f>($I$2*SUM(C14:J14))*K14*COUNT(D14:M14)</f>
        <v>2.0066570192028728</v>
      </c>
      <c r="S14" s="9">
        <f t="shared" si="3"/>
        <v>26.237395342807694</v>
      </c>
      <c r="T14" s="112">
        <f>(S14+U14*K14)/B14</f>
        <v>26.357424924679414</v>
      </c>
      <c r="U14" s="9">
        <f t="shared" si="2"/>
        <v>8</v>
      </c>
    </row>
    <row r="15" spans="1:21" x14ac:dyDescent="0.2">
      <c r="A15" s="209">
        <v>9</v>
      </c>
      <c r="B15" s="116">
        <f>C15*B4</f>
        <v>0.99810457747695847</v>
      </c>
      <c r="C15" s="116">
        <f>1/(1-B5*B4/(1-B5*B4/(1-B5*B4/(1-B5*B4/(1-B5*B4/(1-B5*B4/(1-B5*B4/(1-B5*B4))))))))</f>
        <v>1.540652806174724</v>
      </c>
      <c r="D15" s="194">
        <f>C15*B5*C14</f>
        <v>0.83454006904257161</v>
      </c>
      <c r="E15" s="1">
        <f>D15*B5*C13</f>
        <v>0.4507123385252047</v>
      </c>
      <c r="F15" s="1">
        <f>E15*B5*C12</f>
        <v>0.242071821272306</v>
      </c>
      <c r="G15" s="1">
        <f>F15*B5*C11</f>
        <v>0.12865931358068805</v>
      </c>
      <c r="H15" s="1">
        <f>G15*B5*C10</f>
        <v>6.7010708265400981E-2</v>
      </c>
      <c r="I15" s="1">
        <f>H15*B5*C9</f>
        <v>3.3499849413269854E-2</v>
      </c>
      <c r="J15" s="1">
        <f>I15*B5*C8</f>
        <v>1.5284065694169416E-2</v>
      </c>
      <c r="K15" s="1">
        <f>J15*B5</f>
        <v>5.3823565805594196E-3</v>
      </c>
      <c r="L15" s="1">
        <f>K15*B5</f>
        <v>1.8954225230360471E-3</v>
      </c>
      <c r="M15" s="9"/>
      <c r="N15">
        <f>B15+L15</f>
        <v>0.99999999999999456</v>
      </c>
      <c r="O15" s="116">
        <f>B15/(B15+L15)</f>
        <v>0.99810457747696391</v>
      </c>
      <c r="P15" s="112">
        <f>B15-L15</f>
        <v>0.99620915495392237</v>
      </c>
      <c r="Q15" s="112">
        <f>($G$2*SUM(C15:K15))*B15</f>
        <v>28.654087576411548</v>
      </c>
      <c r="R15" s="9">
        <f>($I$2*SUM(C15:K15))*L15*COUNT(D15:M15)</f>
        <v>1.2405882430772521</v>
      </c>
      <c r="S15" s="9">
        <f t="shared" si="3"/>
        <v>27.413499333334297</v>
      </c>
      <c r="T15" s="112">
        <f>(S15+U15*L15)/B15</f>
        <v>27.482649368647809</v>
      </c>
      <c r="U15" s="9">
        <f t="shared" si="2"/>
        <v>9</v>
      </c>
    </row>
    <row r="16" spans="1:21" ht="17" thickBot="1" x14ac:dyDescent="0.25">
      <c r="A16" s="210">
        <v>10</v>
      </c>
      <c r="B16" s="195">
        <f>C16*B4</f>
        <v>0.99897074944097874</v>
      </c>
      <c r="C16" s="195">
        <f>1/(1-B5*B4/(1-B5*B4/(1-B5*B4/(1-B5*B4/(1-B5*B4/(1-B5*B4/(1-B5*B4/(1-B5*B4/(1-B5*B4)))))))))</f>
        <v>1.5419898106300798</v>
      </c>
      <c r="D16" s="213">
        <f>C16*B5*C15</f>
        <v>0.8366038404273487</v>
      </c>
      <c r="E16" s="131">
        <f>D16*B5*C14</f>
        <v>0.45317116481618258</v>
      </c>
      <c r="F16" s="131">
        <f>E16*B5*C13</f>
        <v>0.24474539093229974</v>
      </c>
      <c r="G16" s="131">
        <f>F16*B5*C12</f>
        <v>0.13144961312762279</v>
      </c>
      <c r="H16" s="131">
        <f>G16*B5*C11</f>
        <v>6.9864459673819032E-2</v>
      </c>
      <c r="I16" s="131">
        <f>H16*B5*C10</f>
        <v>3.6388091891894583E-2</v>
      </c>
      <c r="J16" s="131">
        <f>I16*B5*C9</f>
        <v>1.8191056778369956E-2</v>
      </c>
      <c r="K16" s="131">
        <f>J16*B5*C8</f>
        <v>8.2995390044003775E-3</v>
      </c>
      <c r="L16" s="131">
        <f>K16*B5</f>
        <v>2.9227222173603402E-3</v>
      </c>
      <c r="M16" s="10">
        <f>L16*B5</f>
        <v>1.0292505590157059E-3</v>
      </c>
      <c r="N16">
        <f>B16+M16</f>
        <v>0.99999999999999445</v>
      </c>
      <c r="O16" s="195">
        <f>B16/(B16+M16)</f>
        <v>0.9989707494409843</v>
      </c>
      <c r="P16" s="113">
        <f>B16-M16</f>
        <v>0.99794149888196304</v>
      </c>
      <c r="Q16" s="113">
        <f>($G$2*SUM(C16:L16))*B16</f>
        <v>28.902074378988033</v>
      </c>
      <c r="R16" s="10">
        <f>($I$2*SUM(C16:L16))*M16*COUNT(D16:M16)</f>
        <v>0.75433790629931541</v>
      </c>
      <c r="S16" s="10">
        <f t="shared" si="3"/>
        <v>28.147736472688717</v>
      </c>
      <c r="T16" s="113">
        <f>(S16+U16*M16)/B16</f>
        <v>28.18704050547629</v>
      </c>
      <c r="U16" s="10">
        <f t="shared" si="2"/>
        <v>10</v>
      </c>
    </row>
    <row r="17" spans="1:8" ht="17" thickBot="1" x14ac:dyDescent="0.25"/>
    <row r="18" spans="1:8" ht="17" thickBot="1" x14ac:dyDescent="0.25">
      <c r="A18" s="138" t="s">
        <v>140</v>
      </c>
      <c r="B18" s="139" t="s">
        <v>145</v>
      </c>
      <c r="C18" s="139" t="s">
        <v>144</v>
      </c>
      <c r="D18" s="241" t="s">
        <v>143</v>
      </c>
      <c r="E18" s="231" t="s">
        <v>157</v>
      </c>
      <c r="F18" s="234" t="s">
        <v>156</v>
      </c>
      <c r="G18" s="255" t="s">
        <v>158</v>
      </c>
      <c r="H18" s="256" t="s">
        <v>159</v>
      </c>
    </row>
    <row r="19" spans="1:8" x14ac:dyDescent="0.2">
      <c r="A19" s="264">
        <v>1</v>
      </c>
      <c r="B19" s="146">
        <v>1</v>
      </c>
      <c r="C19" s="150">
        <f>B19*$M$3</f>
        <v>7</v>
      </c>
      <c r="D19" s="151">
        <f>SUM($C$19:C19)</f>
        <v>7</v>
      </c>
      <c r="E19" s="9">
        <f>B19/P7</f>
        <v>3.3819149053753299</v>
      </c>
      <c r="F19" s="9">
        <f>D19/P7</f>
        <v>23.673404337627311</v>
      </c>
      <c r="G19" s="28">
        <f>S7/E19</f>
        <v>-0.62488105252835446</v>
      </c>
      <c r="H19" s="8">
        <f>S7/F19</f>
        <v>-8.9268721789764915E-2</v>
      </c>
    </row>
    <row r="20" spans="1:8" x14ac:dyDescent="0.2">
      <c r="A20" s="265">
        <v>2</v>
      </c>
      <c r="B20" s="141">
        <f>B19*($M$3+1)</f>
        <v>8</v>
      </c>
      <c r="C20" s="140">
        <f>B20*$M$3</f>
        <v>56</v>
      </c>
      <c r="D20" s="142">
        <f>SUM($C$19:C20)</f>
        <v>63</v>
      </c>
      <c r="E20" s="9">
        <f t="shared" ref="E20:E28" si="4">B20/P8</f>
        <v>11.78786844881143</v>
      </c>
      <c r="F20" s="9">
        <f t="shared" ref="F20:F28" si="5">D20/P8</f>
        <v>92.829464034390014</v>
      </c>
      <c r="G20" s="112">
        <f t="shared" ref="G20:G28" si="6">S8/E20</f>
        <v>3.256557469821305E-2</v>
      </c>
      <c r="H20" s="9">
        <f t="shared" ref="H20:H28" si="7">S8/F20</f>
        <v>4.1353110727889589E-3</v>
      </c>
    </row>
    <row r="21" spans="1:8" x14ac:dyDescent="0.2">
      <c r="A21" s="265">
        <v>3</v>
      </c>
      <c r="B21" s="141">
        <f t="shared" ref="B21:B28" si="8">B20*($M$3+1)</f>
        <v>64</v>
      </c>
      <c r="C21" s="140">
        <f t="shared" ref="C21:C28" si="9">B21*$M$3</f>
        <v>448</v>
      </c>
      <c r="D21" s="142">
        <f>SUM($C$19:C21)</f>
        <v>511</v>
      </c>
      <c r="E21" s="9">
        <f t="shared" si="4"/>
        <v>76.248723505278946</v>
      </c>
      <c r="F21" s="9">
        <f t="shared" si="5"/>
        <v>608.79840173746163</v>
      </c>
      <c r="G21" s="112">
        <f t="shared" si="6"/>
        <v>8.0560247412511457E-2</v>
      </c>
      <c r="H21" s="9">
        <f t="shared" si="7"/>
        <v>1.0089737445011219E-2</v>
      </c>
    </row>
    <row r="22" spans="1:8" x14ac:dyDescent="0.2">
      <c r="A22" s="265">
        <v>4</v>
      </c>
      <c r="B22" s="141">
        <f t="shared" si="8"/>
        <v>512</v>
      </c>
      <c r="C22" s="140">
        <f t="shared" si="9"/>
        <v>3584</v>
      </c>
      <c r="D22" s="142">
        <f>SUM($C$19:C22)</f>
        <v>4095</v>
      </c>
      <c r="E22" s="9">
        <f t="shared" si="4"/>
        <v>558.74966553920569</v>
      </c>
      <c r="F22" s="9">
        <f t="shared" si="5"/>
        <v>4468.9060163731392</v>
      </c>
      <c r="G22" s="112">
        <f t="shared" si="6"/>
        <v>2.2128241084659901E-2</v>
      </c>
      <c r="H22" s="9">
        <f t="shared" si="7"/>
        <v>2.7667056008170623E-3</v>
      </c>
    </row>
    <row r="23" spans="1:8" x14ac:dyDescent="0.2">
      <c r="A23" s="265">
        <v>5</v>
      </c>
      <c r="B23" s="141">
        <f t="shared" si="8"/>
        <v>4096</v>
      </c>
      <c r="C23" s="140">
        <f t="shared" si="9"/>
        <v>28672</v>
      </c>
      <c r="D23" s="142">
        <f>SUM($C$19:C23)</f>
        <v>32767</v>
      </c>
      <c r="E23" s="9">
        <f t="shared" si="4"/>
        <v>4286.6221796121936</v>
      </c>
      <c r="F23" s="9">
        <f t="shared" si="5"/>
        <v>34291.930898279483</v>
      </c>
      <c r="G23" s="112">
        <f t="shared" si="6"/>
        <v>4.1183168146349675E-3</v>
      </c>
      <c r="H23" s="9">
        <f t="shared" si="7"/>
        <v>5.1480531244071253E-4</v>
      </c>
    </row>
    <row r="24" spans="1:8" x14ac:dyDescent="0.2">
      <c r="A24" s="265">
        <v>6</v>
      </c>
      <c r="B24" s="141">
        <f t="shared" si="8"/>
        <v>32768</v>
      </c>
      <c r="C24" s="140">
        <f t="shared" si="9"/>
        <v>229376</v>
      </c>
      <c r="D24" s="142">
        <f>SUM($C$19:C24)</f>
        <v>262143</v>
      </c>
      <c r="E24" s="9">
        <f t="shared" si="4"/>
        <v>33569.772985072268</v>
      </c>
      <c r="F24" s="9">
        <f t="shared" si="5"/>
        <v>268557.15941240842</v>
      </c>
      <c r="G24" s="112">
        <f t="shared" si="6"/>
        <v>6.4430747106078087E-4</v>
      </c>
      <c r="H24" s="9">
        <f t="shared" si="7"/>
        <v>8.0538741113513109E-5</v>
      </c>
    </row>
    <row r="25" spans="1:8" x14ac:dyDescent="0.2">
      <c r="A25" s="265">
        <v>7</v>
      </c>
      <c r="B25" s="141">
        <f t="shared" si="8"/>
        <v>262144</v>
      </c>
      <c r="C25" s="140">
        <f t="shared" si="9"/>
        <v>1835008</v>
      </c>
      <c r="D25" s="142">
        <f>SUM($C$19:C25)</f>
        <v>2097151</v>
      </c>
      <c r="E25" s="9">
        <f t="shared" si="4"/>
        <v>265569.57585239975</v>
      </c>
      <c r="F25" s="9">
        <f t="shared" si="5"/>
        <v>2124555.5937516633</v>
      </c>
      <c r="G25" s="112">
        <f t="shared" si="6"/>
        <v>9.1879166830368401E-5</v>
      </c>
      <c r="H25" s="9">
        <f t="shared" si="7"/>
        <v>1.1484901330223762E-5</v>
      </c>
    </row>
    <row r="26" spans="1:8" x14ac:dyDescent="0.2">
      <c r="A26" s="265">
        <v>8</v>
      </c>
      <c r="B26" s="141">
        <f t="shared" si="8"/>
        <v>2097152</v>
      </c>
      <c r="C26" s="140">
        <f t="shared" si="9"/>
        <v>14680064</v>
      </c>
      <c r="D26" s="142">
        <f>SUM($C$19:C26)</f>
        <v>16777215</v>
      </c>
      <c r="E26" s="9">
        <f t="shared" si="4"/>
        <v>2111908.1379413148</v>
      </c>
      <c r="F26" s="9">
        <f t="shared" si="5"/>
        <v>16895264.096494246</v>
      </c>
      <c r="G26" s="112">
        <f t="shared" si="6"/>
        <v>1.2423549524452267E-5</v>
      </c>
      <c r="H26" s="9">
        <f t="shared" si="7"/>
        <v>1.5529437831191956E-6</v>
      </c>
    </row>
    <row r="27" spans="1:8" x14ac:dyDescent="0.2">
      <c r="A27" s="265">
        <v>9</v>
      </c>
      <c r="B27" s="141">
        <f t="shared" si="8"/>
        <v>16777216</v>
      </c>
      <c r="C27" s="140">
        <f t="shared" si="9"/>
        <v>117440512</v>
      </c>
      <c r="D27" s="142">
        <f>SUM($C$19:C27)</f>
        <v>134217727</v>
      </c>
      <c r="E27" s="9">
        <f t="shared" si="4"/>
        <v>16841057.840686072</v>
      </c>
      <c r="F27" s="9">
        <f t="shared" si="5"/>
        <v>134728461.72168329</v>
      </c>
      <c r="G27" s="112">
        <f t="shared" si="6"/>
        <v>1.6277777555698677E-6</v>
      </c>
      <c r="H27" s="9">
        <f t="shared" si="7"/>
        <v>2.0347222096221968E-7</v>
      </c>
    </row>
    <row r="28" spans="1:8" ht="17" thickBot="1" x14ac:dyDescent="0.25">
      <c r="A28" s="266">
        <v>10</v>
      </c>
      <c r="B28" s="143">
        <f t="shared" si="8"/>
        <v>134217728</v>
      </c>
      <c r="C28" s="144">
        <f t="shared" si="9"/>
        <v>939524096</v>
      </c>
      <c r="D28" s="145">
        <f>SUM($C$19:C28)</f>
        <v>1073741823</v>
      </c>
      <c r="E28" s="9">
        <f t="shared" si="4"/>
        <v>134494585.25411552</v>
      </c>
      <c r="F28" s="9">
        <f t="shared" si="5"/>
        <v>1075956681.0308614</v>
      </c>
      <c r="G28" s="113">
        <f t="shared" si="6"/>
        <v>2.0928527657456305E-7</v>
      </c>
      <c r="H28" s="10">
        <f t="shared" si="7"/>
        <v>2.6160659596184397E-8</v>
      </c>
    </row>
    <row r="29" spans="1:8" ht="17" thickBot="1" x14ac:dyDescent="0.25"/>
    <row r="30" spans="1:8" ht="17" thickBot="1" x14ac:dyDescent="0.25">
      <c r="A30" s="29" t="s">
        <v>140</v>
      </c>
      <c r="B30" s="19" t="s">
        <v>145</v>
      </c>
      <c r="C30" s="19" t="s">
        <v>144</v>
      </c>
      <c r="D30" s="19" t="s">
        <v>143</v>
      </c>
      <c r="E30" s="231" t="s">
        <v>157</v>
      </c>
      <c r="F30" s="234" t="s">
        <v>156</v>
      </c>
      <c r="G30" s="257" t="s">
        <v>158</v>
      </c>
      <c r="H30" s="258" t="s">
        <v>159</v>
      </c>
    </row>
    <row r="31" spans="1:8" x14ac:dyDescent="0.2">
      <c r="A31" s="264">
        <v>1</v>
      </c>
      <c r="B31" s="146">
        <v>1</v>
      </c>
      <c r="C31" s="150">
        <f>B31*$M$3</f>
        <v>7</v>
      </c>
      <c r="D31" s="151">
        <f>SUM($C$31:C31)</f>
        <v>7</v>
      </c>
      <c r="E31" s="129">
        <f>B31/P7</f>
        <v>3.3819149053753299</v>
      </c>
      <c r="F31" s="58">
        <f>D31/P7</f>
        <v>23.673404337627311</v>
      </c>
      <c r="G31" s="28">
        <f>S7/E31</f>
        <v>-0.62488105252835446</v>
      </c>
      <c r="H31" s="8">
        <f>S7/F31</f>
        <v>-8.9268721789764915E-2</v>
      </c>
    </row>
    <row r="32" spans="1:8" x14ac:dyDescent="0.2">
      <c r="A32" s="265">
        <v>2</v>
      </c>
      <c r="B32" s="141">
        <f>C31</f>
        <v>7</v>
      </c>
      <c r="C32" s="140">
        <f>B32*$M$3</f>
        <v>49</v>
      </c>
      <c r="D32" s="142">
        <f>SUM($C$31:C32)</f>
        <v>56</v>
      </c>
      <c r="E32" s="112">
        <f t="shared" ref="E32:E40" si="10">B32/P8</f>
        <v>10.314384892710002</v>
      </c>
      <c r="F32" s="9">
        <f t="shared" ref="F32:F40" si="11">D32/P8</f>
        <v>82.515079141680019</v>
      </c>
      <c r="G32" s="112">
        <f t="shared" ref="G32:G40" si="12">S8/E32</f>
        <v>3.7217799655100629E-2</v>
      </c>
      <c r="H32" s="9">
        <f t="shared" ref="H32:H40" si="13">S8/F32</f>
        <v>4.6522249568875787E-3</v>
      </c>
    </row>
    <row r="33" spans="1:8" x14ac:dyDescent="0.2">
      <c r="A33" s="265">
        <v>3</v>
      </c>
      <c r="B33" s="141">
        <f t="shared" ref="B33:B40" si="14">C32</f>
        <v>49</v>
      </c>
      <c r="C33" s="140">
        <f t="shared" ref="C33:C40" si="15">B33*$M$3</f>
        <v>343</v>
      </c>
      <c r="D33" s="142">
        <f>SUM($C$31:C33)</f>
        <v>399</v>
      </c>
      <c r="E33" s="112">
        <f t="shared" si="10"/>
        <v>58.377928933729194</v>
      </c>
      <c r="F33" s="9">
        <f t="shared" si="11"/>
        <v>475.36313560322344</v>
      </c>
      <c r="G33" s="112">
        <f t="shared" si="12"/>
        <v>0.10522154764083129</v>
      </c>
      <c r="H33" s="9">
        <f t="shared" si="13"/>
        <v>1.2921944447119632E-2</v>
      </c>
    </row>
    <row r="34" spans="1:8" x14ac:dyDescent="0.2">
      <c r="A34" s="265">
        <v>4</v>
      </c>
      <c r="B34" s="141">
        <f t="shared" si="14"/>
        <v>343</v>
      </c>
      <c r="C34" s="140">
        <f t="shared" si="15"/>
        <v>2401</v>
      </c>
      <c r="D34" s="142">
        <f>SUM($C$31:C34)</f>
        <v>2800</v>
      </c>
      <c r="E34" s="112">
        <f t="shared" si="10"/>
        <v>374.31862359364754</v>
      </c>
      <c r="F34" s="9">
        <f t="shared" si="11"/>
        <v>3055.6622334175308</v>
      </c>
      <c r="G34" s="112">
        <f t="shared" si="12"/>
        <v>3.3031077070979215E-2</v>
      </c>
      <c r="H34" s="9">
        <f t="shared" si="13"/>
        <v>4.046306941194954E-3</v>
      </c>
    </row>
    <row r="35" spans="1:8" x14ac:dyDescent="0.2">
      <c r="A35" s="265">
        <v>5</v>
      </c>
      <c r="B35" s="141">
        <f t="shared" si="14"/>
        <v>2401</v>
      </c>
      <c r="C35" s="140">
        <f t="shared" si="15"/>
        <v>16807</v>
      </c>
      <c r="D35" s="142">
        <f>SUM($C$31:C35)</f>
        <v>19607</v>
      </c>
      <c r="E35" s="112">
        <f t="shared" si="10"/>
        <v>2512.7392219845892</v>
      </c>
      <c r="F35" s="9">
        <f t="shared" si="11"/>
        <v>20519.482684486396</v>
      </c>
      <c r="G35" s="112">
        <f t="shared" si="12"/>
        <v>7.0256666691981785E-3</v>
      </c>
      <c r="H35" s="9">
        <f t="shared" si="13"/>
        <v>8.6033690379684949E-4</v>
      </c>
    </row>
    <row r="36" spans="1:8" x14ac:dyDescent="0.2">
      <c r="A36" s="265">
        <v>6</v>
      </c>
      <c r="B36" s="141">
        <f t="shared" si="14"/>
        <v>16807</v>
      </c>
      <c r="C36" s="140">
        <f t="shared" si="15"/>
        <v>117649</v>
      </c>
      <c r="D36" s="142">
        <f>SUM($C$31:C36)</f>
        <v>137256</v>
      </c>
      <c r="E36" s="112">
        <f t="shared" si="10"/>
        <v>17218.236528323658</v>
      </c>
      <c r="F36" s="9">
        <f t="shared" si="11"/>
        <v>140614.40310177853</v>
      </c>
      <c r="G36" s="112">
        <f t="shared" si="12"/>
        <v>1.2561829720782809E-3</v>
      </c>
      <c r="H36" s="9">
        <f t="shared" si="13"/>
        <v>1.5381963055691313E-4</v>
      </c>
    </row>
    <row r="37" spans="1:8" x14ac:dyDescent="0.2">
      <c r="A37" s="265">
        <v>7</v>
      </c>
      <c r="B37" s="141">
        <f t="shared" si="14"/>
        <v>117649</v>
      </c>
      <c r="C37" s="140">
        <f t="shared" si="15"/>
        <v>823543</v>
      </c>
      <c r="D37" s="142">
        <f>SUM($C$31:C37)</f>
        <v>960799</v>
      </c>
      <c r="E37" s="112">
        <f t="shared" si="10"/>
        <v>119186.38240607826</v>
      </c>
      <c r="F37" s="9">
        <f t="shared" si="11"/>
        <v>973354.27440418187</v>
      </c>
      <c r="G37" s="112">
        <f t="shared" si="12"/>
        <v>2.0472398668565047E-4</v>
      </c>
      <c r="H37" s="9">
        <f t="shared" si="13"/>
        <v>2.5068273707175059E-5</v>
      </c>
    </row>
    <row r="38" spans="1:8" x14ac:dyDescent="0.2">
      <c r="A38" s="265">
        <v>8</v>
      </c>
      <c r="B38" s="141">
        <f t="shared" si="14"/>
        <v>823543</v>
      </c>
      <c r="C38" s="140">
        <f t="shared" si="15"/>
        <v>5764801</v>
      </c>
      <c r="D38" s="142">
        <f>SUM($C$31:C38)</f>
        <v>6725600</v>
      </c>
      <c r="E38" s="112">
        <f t="shared" si="10"/>
        <v>829337.67492513871</v>
      </c>
      <c r="F38" s="9">
        <f t="shared" si="11"/>
        <v>6772923.1703463113</v>
      </c>
      <c r="G38" s="112">
        <f t="shared" si="12"/>
        <v>3.1636565100187991E-5</v>
      </c>
      <c r="H38" s="9">
        <f t="shared" si="13"/>
        <v>3.8738657862947722E-6</v>
      </c>
    </row>
    <row r="39" spans="1:8" x14ac:dyDescent="0.2">
      <c r="A39" s="265">
        <v>9</v>
      </c>
      <c r="B39" s="141">
        <f t="shared" si="14"/>
        <v>5764801</v>
      </c>
      <c r="C39" s="140">
        <f t="shared" si="15"/>
        <v>40353607</v>
      </c>
      <c r="D39" s="142">
        <f>SUM($C$31:C39)</f>
        <v>47079207</v>
      </c>
      <c r="E39" s="112">
        <f t="shared" si="10"/>
        <v>5786737.6256611887</v>
      </c>
      <c r="F39" s="9">
        <f t="shared" si="11"/>
        <v>47258356.105126895</v>
      </c>
      <c r="G39" s="112">
        <f t="shared" si="12"/>
        <v>4.7372977844666058E-6</v>
      </c>
      <c r="H39" s="9">
        <f t="shared" si="13"/>
        <v>5.8007729410546086E-7</v>
      </c>
    </row>
    <row r="40" spans="1:8" ht="17" thickBot="1" x14ac:dyDescent="0.25">
      <c r="A40" s="266">
        <v>10</v>
      </c>
      <c r="B40" s="143">
        <f t="shared" si="14"/>
        <v>40353607</v>
      </c>
      <c r="C40" s="144">
        <f t="shared" si="15"/>
        <v>282475249</v>
      </c>
      <c r="D40" s="145">
        <f>SUM($C$31:C40)</f>
        <v>329554456</v>
      </c>
      <c r="E40" s="113">
        <f t="shared" si="10"/>
        <v>40436846.293304659</v>
      </c>
      <c r="F40" s="10">
        <f t="shared" si="11"/>
        <v>330234243.55958146</v>
      </c>
      <c r="G40" s="113">
        <f t="shared" si="12"/>
        <v>6.9609128932859643E-7</v>
      </c>
      <c r="H40" s="10">
        <f t="shared" si="13"/>
        <v>8.523566838279826E-8</v>
      </c>
    </row>
    <row r="41" spans="1:8" ht="17" thickBot="1" x14ac:dyDescent="0.25"/>
    <row r="42" spans="1:8" ht="17" thickBot="1" x14ac:dyDescent="0.25">
      <c r="A42" s="138" t="s">
        <v>140</v>
      </c>
      <c r="B42" s="139" t="s">
        <v>145</v>
      </c>
      <c r="C42" s="139" t="s">
        <v>144</v>
      </c>
      <c r="D42" s="241" t="s">
        <v>143</v>
      </c>
      <c r="E42" s="231" t="s">
        <v>157</v>
      </c>
      <c r="F42" s="234" t="s">
        <v>156</v>
      </c>
      <c r="G42" s="259" t="s">
        <v>158</v>
      </c>
      <c r="H42" s="256" t="s">
        <v>159</v>
      </c>
    </row>
    <row r="43" spans="1:8" x14ac:dyDescent="0.2">
      <c r="A43" s="264">
        <v>1</v>
      </c>
      <c r="B43" s="146">
        <v>1</v>
      </c>
      <c r="C43" s="150">
        <f>B43*$M$3</f>
        <v>7</v>
      </c>
      <c r="D43" s="151">
        <f>SUM(C43:C43)</f>
        <v>7</v>
      </c>
      <c r="E43" s="129">
        <f>B43/P7</f>
        <v>3.3819149053753299</v>
      </c>
      <c r="F43" s="58">
        <f>D43/P7</f>
        <v>23.673404337627311</v>
      </c>
      <c r="G43" s="28">
        <f>S7/E43</f>
        <v>-0.62488105252835446</v>
      </c>
      <c r="H43" s="8">
        <f>S7/F43</f>
        <v>-8.9268721789764915E-2</v>
      </c>
    </row>
    <row r="44" spans="1:8" x14ac:dyDescent="0.2">
      <c r="A44" s="265">
        <v>2</v>
      </c>
      <c r="B44" s="141">
        <f>B43*$M$3*2</f>
        <v>14</v>
      </c>
      <c r="C44" s="140">
        <f>B44*$M$3</f>
        <v>98</v>
      </c>
      <c r="D44" s="142">
        <f>SUM($C$43:C44)</f>
        <v>105</v>
      </c>
      <c r="E44" s="112">
        <f t="shared" ref="E44:E52" si="16">B44/P8</f>
        <v>20.628769785420005</v>
      </c>
      <c r="F44" s="9">
        <f t="shared" ref="F44:F52" si="17">D44/P8</f>
        <v>154.71577339065001</v>
      </c>
      <c r="G44" s="112">
        <f t="shared" ref="G44:G52" si="18">S8/E44</f>
        <v>1.8608899827550315E-2</v>
      </c>
      <c r="H44" s="9">
        <f t="shared" ref="H44:H52" si="19">S8/F44</f>
        <v>2.4811866436733757E-3</v>
      </c>
    </row>
    <row r="45" spans="1:8" x14ac:dyDescent="0.2">
      <c r="A45" s="265">
        <v>3</v>
      </c>
      <c r="B45" s="141">
        <f t="shared" ref="B45:B52" si="20">B44*$M$3*2</f>
        <v>196</v>
      </c>
      <c r="C45" s="140">
        <f t="shared" ref="C45:C52" si="21">B45*$M$3</f>
        <v>1372</v>
      </c>
      <c r="D45" s="142">
        <f>SUM($C$43:C45)</f>
        <v>1477</v>
      </c>
      <c r="E45" s="112">
        <f t="shared" si="16"/>
        <v>233.51171573491678</v>
      </c>
      <c r="F45" s="9">
        <f t="shared" si="17"/>
        <v>1759.6775721452657</v>
      </c>
      <c r="G45" s="112">
        <f t="shared" si="18"/>
        <v>2.6305386910207822E-2</v>
      </c>
      <c r="H45" s="9">
        <f t="shared" si="19"/>
        <v>3.4907622440086212E-3</v>
      </c>
    </row>
    <row r="46" spans="1:8" x14ac:dyDescent="0.2">
      <c r="A46" s="265">
        <v>4</v>
      </c>
      <c r="B46" s="141">
        <f t="shared" si="20"/>
        <v>2744</v>
      </c>
      <c r="C46" s="140">
        <f t="shared" si="21"/>
        <v>19208</v>
      </c>
      <c r="D46" s="142">
        <f>SUM($C$43:C46)</f>
        <v>20685</v>
      </c>
      <c r="E46" s="112">
        <f t="shared" si="16"/>
        <v>2994.5489887491804</v>
      </c>
      <c r="F46" s="9">
        <f t="shared" si="17"/>
        <v>22573.704749372009</v>
      </c>
      <c r="G46" s="112">
        <f t="shared" si="18"/>
        <v>4.1288846338724018E-3</v>
      </c>
      <c r="H46" s="9">
        <f t="shared" si="19"/>
        <v>5.4772344381657579E-4</v>
      </c>
    </row>
    <row r="47" spans="1:8" x14ac:dyDescent="0.2">
      <c r="A47" s="265">
        <v>5</v>
      </c>
      <c r="B47" s="141">
        <f t="shared" si="20"/>
        <v>38416</v>
      </c>
      <c r="C47" s="140">
        <f t="shared" si="21"/>
        <v>268912</v>
      </c>
      <c r="D47" s="142">
        <f>SUM($C$43:C47)</f>
        <v>289597</v>
      </c>
      <c r="E47" s="112">
        <f t="shared" si="16"/>
        <v>40203.827551753428</v>
      </c>
      <c r="F47" s="9">
        <f t="shared" si="17"/>
        <v>303074.4441770392</v>
      </c>
      <c r="G47" s="112">
        <f t="shared" si="18"/>
        <v>4.3910416682488616E-4</v>
      </c>
      <c r="H47" s="9">
        <f t="shared" si="19"/>
        <v>5.8248620229991419E-5</v>
      </c>
    </row>
    <row r="48" spans="1:8" x14ac:dyDescent="0.2">
      <c r="A48" s="265">
        <v>6</v>
      </c>
      <c r="B48" s="141">
        <f t="shared" si="20"/>
        <v>537824</v>
      </c>
      <c r="C48" s="140">
        <f t="shared" si="21"/>
        <v>3764768</v>
      </c>
      <c r="D48" s="142">
        <f>SUM($C$43:C48)</f>
        <v>4054365</v>
      </c>
      <c r="E48" s="112">
        <f t="shared" si="16"/>
        <v>550983.56890635705</v>
      </c>
      <c r="F48" s="9">
        <f t="shared" si="17"/>
        <v>4153567.8908881387</v>
      </c>
      <c r="G48" s="112">
        <f t="shared" si="18"/>
        <v>3.9255717877446279E-5</v>
      </c>
      <c r="H48" s="9">
        <f t="shared" si="19"/>
        <v>5.2073918386034971E-6</v>
      </c>
    </row>
    <row r="49" spans="1:8" x14ac:dyDescent="0.2">
      <c r="A49" s="265">
        <v>7</v>
      </c>
      <c r="B49" s="141">
        <f t="shared" si="20"/>
        <v>7529536</v>
      </c>
      <c r="C49" s="140">
        <f t="shared" si="21"/>
        <v>52706752</v>
      </c>
      <c r="D49" s="142">
        <f>SUM($C$43:C49)</f>
        <v>56761117</v>
      </c>
      <c r="E49" s="112">
        <f t="shared" si="16"/>
        <v>7627928.4739890089</v>
      </c>
      <c r="F49" s="9">
        <f t="shared" si="17"/>
        <v>57502844.873803854</v>
      </c>
      <c r="G49" s="112">
        <f t="shared" si="18"/>
        <v>3.1988122919632886E-6</v>
      </c>
      <c r="H49" s="9">
        <f t="shared" si="19"/>
        <v>4.2433224683686356E-7</v>
      </c>
    </row>
    <row r="50" spans="1:8" x14ac:dyDescent="0.2">
      <c r="A50" s="265">
        <v>8</v>
      </c>
      <c r="B50" s="141">
        <f t="shared" si="20"/>
        <v>105413504</v>
      </c>
      <c r="C50" s="140">
        <f t="shared" si="21"/>
        <v>737894528</v>
      </c>
      <c r="D50" s="142">
        <f>SUM($C$43:C50)</f>
        <v>794655645</v>
      </c>
      <c r="E50" s="112">
        <f t="shared" si="16"/>
        <v>106155222.39041775</v>
      </c>
      <c r="F50" s="9">
        <f t="shared" si="17"/>
        <v>800247060.55474508</v>
      </c>
      <c r="G50" s="112">
        <f t="shared" si="18"/>
        <v>2.4716066484521868E-7</v>
      </c>
      <c r="H50" s="9">
        <f t="shared" si="19"/>
        <v>3.2786618828214726E-8</v>
      </c>
    </row>
    <row r="51" spans="1:8" x14ac:dyDescent="0.2">
      <c r="A51" s="265">
        <v>9</v>
      </c>
      <c r="B51" s="141">
        <f t="shared" si="20"/>
        <v>1475789056</v>
      </c>
      <c r="C51" s="140">
        <f t="shared" si="21"/>
        <v>10330523392</v>
      </c>
      <c r="D51" s="142">
        <f>SUM($C$43:C51)</f>
        <v>11125179037</v>
      </c>
      <c r="E51" s="112">
        <f t="shared" si="16"/>
        <v>1481404832.1692643</v>
      </c>
      <c r="F51" s="9">
        <f t="shared" si="17"/>
        <v>11167513349.65856</v>
      </c>
      <c r="G51" s="112">
        <f t="shared" si="18"/>
        <v>1.8505069470572679E-8</v>
      </c>
      <c r="H51" s="9">
        <f t="shared" si="19"/>
        <v>2.454754113562125E-9</v>
      </c>
    </row>
    <row r="52" spans="1:8" ht="17" thickBot="1" x14ac:dyDescent="0.25">
      <c r="A52" s="266">
        <v>10</v>
      </c>
      <c r="B52" s="143">
        <f t="shared" si="20"/>
        <v>20661046784</v>
      </c>
      <c r="C52" s="144">
        <f t="shared" si="21"/>
        <v>144627327488</v>
      </c>
      <c r="D52" s="145">
        <f>SUM($C$43:C52)</f>
        <v>155752506525</v>
      </c>
      <c r="E52" s="113">
        <f t="shared" si="16"/>
        <v>20703665302.171986</v>
      </c>
      <c r="F52" s="10">
        <f t="shared" si="17"/>
        <v>156073784585.06461</v>
      </c>
      <c r="G52" s="113">
        <f t="shared" si="18"/>
        <v>1.3595532994699149E-9</v>
      </c>
      <c r="H52" s="10">
        <f t="shared" si="19"/>
        <v>1.8034890707316324E-10</v>
      </c>
    </row>
  </sheetData>
  <conditionalFormatting sqref="O7:O16">
    <cfRule type="cellIs" dxfId="607" priority="63" operator="lessThanOrEqual">
      <formula>0</formula>
    </cfRule>
    <cfRule type="cellIs" dxfId="606" priority="64" operator="greaterThan">
      <formula>0</formula>
    </cfRule>
  </conditionalFormatting>
  <conditionalFormatting sqref="P7:P16 S7:S16">
    <cfRule type="cellIs" dxfId="605" priority="53" operator="lessThanOrEqual">
      <formula>0</formula>
    </cfRule>
    <cfRule type="cellIs" dxfId="604" priority="54" operator="greaterThan">
      <formula>0</formula>
    </cfRule>
  </conditionalFormatting>
  <conditionalFormatting sqref="G43:G52">
    <cfRule type="cellIs" dxfId="603" priority="30" operator="equal">
      <formula>MAX($G$43:$G$52)</formula>
    </cfRule>
  </conditionalFormatting>
  <conditionalFormatting sqref="H43:H52">
    <cfRule type="cellIs" dxfId="602" priority="29" operator="equal">
      <formula>MAX($H$43:$H$52)</formula>
    </cfRule>
  </conditionalFormatting>
  <conditionalFormatting sqref="G31:G40">
    <cfRule type="cellIs" dxfId="601" priority="28" operator="equal">
      <formula>MAX($G$31:$G$40)</formula>
    </cfRule>
  </conditionalFormatting>
  <conditionalFormatting sqref="H31:H40">
    <cfRule type="cellIs" dxfId="600" priority="27" operator="equal">
      <formula>MAX($H$31:$H$40)</formula>
    </cfRule>
  </conditionalFormatting>
  <conditionalFormatting sqref="F19:F28">
    <cfRule type="cellIs" dxfId="599" priority="23" stopIfTrue="1" operator="lessThan">
      <formula>0</formula>
    </cfRule>
    <cfRule type="cellIs" dxfId="598" priority="24" operator="equal">
      <formula>MIN($F$19:$F$28)</formula>
    </cfRule>
  </conditionalFormatting>
  <conditionalFormatting sqref="E19:E28">
    <cfRule type="cellIs" dxfId="597" priority="21" stopIfTrue="1" operator="lessThan">
      <formula>0</formula>
    </cfRule>
    <cfRule type="cellIs" dxfId="596" priority="22" operator="equal">
      <formula>MIN($E$19:$E$28)</formula>
    </cfRule>
  </conditionalFormatting>
  <conditionalFormatting sqref="F31:F40">
    <cfRule type="cellIs" dxfId="595" priority="19" stopIfTrue="1" operator="lessThan">
      <formula>0</formula>
    </cfRule>
    <cfRule type="cellIs" dxfId="594" priority="20" operator="equal">
      <formula>MIN($F$31:$F$40)</formula>
    </cfRule>
  </conditionalFormatting>
  <conditionalFormatting sqref="E31:E40">
    <cfRule type="cellIs" dxfId="593" priority="17" stopIfTrue="1" operator="lessThan">
      <formula>0</formula>
    </cfRule>
    <cfRule type="cellIs" dxfId="592" priority="18" operator="equal">
      <formula>MIN($E$31:$E$40)</formula>
    </cfRule>
  </conditionalFormatting>
  <conditionalFormatting sqref="F43:F52">
    <cfRule type="cellIs" dxfId="591" priority="15" stopIfTrue="1" operator="lessThan">
      <formula>0</formula>
    </cfRule>
    <cfRule type="cellIs" dxfId="590" priority="16" operator="equal">
      <formula>MIN($F$43:$F$52)</formula>
    </cfRule>
  </conditionalFormatting>
  <conditionalFormatting sqref="E43:E52">
    <cfRule type="cellIs" dxfId="589" priority="13" stopIfTrue="1" operator="lessThan">
      <formula>0</formula>
    </cfRule>
    <cfRule type="cellIs" dxfId="588" priority="14" operator="equal">
      <formula>MIN($E$43:$E$52)</formula>
    </cfRule>
  </conditionalFormatting>
  <conditionalFormatting sqref="Q7:Q16">
    <cfRule type="cellIs" dxfId="587" priority="7" operator="lessThanOrEqual">
      <formula>0</formula>
    </cfRule>
    <cfRule type="cellIs" dxfId="586" priority="8" operator="greaterThan">
      <formula>0</formula>
    </cfRule>
  </conditionalFormatting>
  <conditionalFormatting sqref="R7:R16">
    <cfRule type="cellIs" dxfId="585" priority="5" operator="lessThanOrEqual">
      <formula>0</formula>
    </cfRule>
    <cfRule type="cellIs" dxfId="584" priority="6" operator="greaterThan">
      <formula>0</formula>
    </cfRule>
  </conditionalFormatting>
  <conditionalFormatting sqref="G19:G28">
    <cfRule type="cellIs" dxfId="583" priority="3" operator="lessThanOrEqual">
      <formula>0</formula>
    </cfRule>
    <cfRule type="cellIs" dxfId="582" priority="4" operator="equal">
      <formula>MAX($G$19:$G$28)</formula>
    </cfRule>
  </conditionalFormatting>
  <conditionalFormatting sqref="H19:H28">
    <cfRule type="cellIs" dxfId="581" priority="1" operator="lessThanOrEqual">
      <formula>0</formula>
    </cfRule>
    <cfRule type="cellIs" dxfId="580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U52"/>
  <sheetViews>
    <sheetView topLeftCell="A25" workbookViewId="0">
      <selection activeCell="B43" sqref="B43:D52"/>
    </sheetView>
  </sheetViews>
  <sheetFormatPr baseColWidth="10" defaultColWidth="8.6640625" defaultRowHeight="16" x14ac:dyDescent="0.2"/>
  <cols>
    <col min="14" max="14" width="5.6640625" bestFit="1" customWidth="1"/>
  </cols>
  <sheetData>
    <row r="1" spans="1:21" x14ac:dyDescent="0.2">
      <c r="B1" s="202"/>
      <c r="C1" t="s">
        <v>99</v>
      </c>
      <c r="D1">
        <f>C2+E2</f>
        <v>0.999999999999998</v>
      </c>
    </row>
    <row r="2" spans="1:21" x14ac:dyDescent="0.2">
      <c r="A2" t="s">
        <v>40</v>
      </c>
      <c r="B2" s="201" t="s">
        <v>129</v>
      </c>
      <c r="C2" s="222">
        <f>Analysis!B16</f>
        <v>0.65228711628433622</v>
      </c>
      <c r="D2" s="199" t="s">
        <v>130</v>
      </c>
      <c r="E2" s="222">
        <f>Analysis!K16</f>
        <v>0.34771288371566184</v>
      </c>
      <c r="F2" s="199" t="s">
        <v>49</v>
      </c>
      <c r="G2" s="222">
        <f>Analysis!S16</f>
        <v>10.208802087630954</v>
      </c>
      <c r="H2" t="s">
        <v>163</v>
      </c>
      <c r="I2" s="238">
        <f>Analysis!T16</f>
        <v>28.983777637006799</v>
      </c>
      <c r="J2" t="s">
        <v>50</v>
      </c>
      <c r="K2" s="238">
        <f>C2*G2-E2*I2</f>
        <v>-3.4189628286788398</v>
      </c>
      <c r="L2" t="s">
        <v>49</v>
      </c>
      <c r="M2" s="267">
        <v>1</v>
      </c>
    </row>
    <row r="3" spans="1:21" x14ac:dyDescent="0.2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8</v>
      </c>
    </row>
    <row r="4" spans="1:21" x14ac:dyDescent="0.2">
      <c r="A4" t="s">
        <v>127</v>
      </c>
      <c r="B4" s="202">
        <f>$C$2</f>
        <v>0.65228711628433622</v>
      </c>
      <c r="C4">
        <f>B4*$C$2</f>
        <v>0.42547848207053518</v>
      </c>
      <c r="D4">
        <f t="shared" ref="D4:K4" si="0">C4*$C$2</f>
        <v>0.27753413211082606</v>
      </c>
      <c r="E4">
        <f t="shared" si="0"/>
        <v>0.18103193870504672</v>
      </c>
      <c r="F4">
        <f t="shared" si="0"/>
        <v>0.11808480125327764</v>
      </c>
      <c r="G4">
        <f t="shared" si="0"/>
        <v>7.7025194486509449E-2</v>
      </c>
      <c r="H4">
        <f t="shared" si="0"/>
        <v>5.0242541992845405E-2</v>
      </c>
      <c r="I4">
        <f t="shared" si="0"/>
        <v>3.2772562831307799E-2</v>
      </c>
      <c r="J4">
        <f t="shared" si="0"/>
        <v>2.1377120502480983E-2</v>
      </c>
      <c r="K4">
        <f t="shared" si="0"/>
        <v>1.3944020287026081E-2</v>
      </c>
    </row>
    <row r="5" spans="1:21" ht="17" thickBot="1" x14ac:dyDescent="0.25">
      <c r="A5" t="s">
        <v>128</v>
      </c>
      <c r="B5" s="202">
        <f>$E$2</f>
        <v>0.34771288371566184</v>
      </c>
      <c r="C5">
        <f>B5*$E$2</f>
        <v>0.12090424950186136</v>
      </c>
      <c r="D5">
        <f t="shared" ref="D5:K5" si="1">C5*$E$2</f>
        <v>4.2039965247770088E-2</v>
      </c>
      <c r="E5">
        <f t="shared" si="1"/>
        <v>1.4617837547608346E-2</v>
      </c>
      <c r="F5">
        <f t="shared" si="1"/>
        <v>5.082810447365976E-3</v>
      </c>
      <c r="G5">
        <f t="shared" si="1"/>
        <v>1.7673586780337168E-3</v>
      </c>
      <c r="H5">
        <f t="shared" si="1"/>
        <v>6.1453338249900361E-4</v>
      </c>
      <c r="I5">
        <f t="shared" si="1"/>
        <v>2.1368117456826839E-4</v>
      </c>
      <c r="J5">
        <f t="shared" si="1"/>
        <v>7.429969740488234E-5</v>
      </c>
      <c r="K5">
        <f t="shared" si="1"/>
        <v>2.5834962043852714E-5</v>
      </c>
    </row>
    <row r="6" spans="1:21" ht="17" thickBot="1" x14ac:dyDescent="0.25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">
      <c r="A7" s="208">
        <v>1</v>
      </c>
      <c r="B7" s="114">
        <f>C7*B4</f>
        <v>0.65228711628433622</v>
      </c>
      <c r="C7" s="114">
        <v>1</v>
      </c>
      <c r="D7" s="212">
        <f>C7*B5</f>
        <v>0.34771288371566184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0.999999999999998</v>
      </c>
      <c r="O7" s="114">
        <f>B7/(B7+D7)</f>
        <v>0.65228711628433755</v>
      </c>
      <c r="P7" s="129">
        <f>B7-D7</f>
        <v>0.30457423256867439</v>
      </c>
      <c r="Q7" s="129">
        <f>($G$2*SUM(C7))*B7</f>
        <v>6.659070074458306</v>
      </c>
      <c r="R7" s="58">
        <f>($I$2*SUM(C7))*D7*COUNT(D7:M7)</f>
        <v>10.078032903137146</v>
      </c>
      <c r="S7" s="58">
        <f>Q7-R7</f>
        <v>-3.4189628286788398</v>
      </c>
      <c r="T7" s="129">
        <f>(S7+U7*D7)/B7</f>
        <v>-4.7084326338654829</v>
      </c>
      <c r="U7" s="58">
        <f t="shared" ref="U7:U16" si="2">COUNT(D7:M7)</f>
        <v>1</v>
      </c>
    </row>
    <row r="8" spans="1:21" x14ac:dyDescent="0.2">
      <c r="A8" s="209">
        <v>2</v>
      </c>
      <c r="B8" s="116">
        <f>C8*B4</f>
        <v>0.84362959177780594</v>
      </c>
      <c r="C8" s="116">
        <f>1/(1-B4*B5)</f>
        <v>1.2933408781449276</v>
      </c>
      <c r="D8" s="194">
        <f>C8*B5</f>
        <v>0.44971128636711916</v>
      </c>
      <c r="E8" s="1">
        <f>D8*B5</f>
        <v>0.15637040822219081</v>
      </c>
      <c r="F8" s="1"/>
      <c r="G8" s="1"/>
      <c r="H8" s="1"/>
      <c r="I8" s="1"/>
      <c r="J8" s="1"/>
      <c r="K8" s="1"/>
      <c r="L8" s="1"/>
      <c r="M8" s="9"/>
      <c r="N8">
        <f>B8+E8</f>
        <v>0.99999999999999678</v>
      </c>
      <c r="O8" s="116">
        <f>B8/(B8+E8)</f>
        <v>0.84362959177780861</v>
      </c>
      <c r="P8" s="112">
        <f>B8-E8</f>
        <v>0.68725918355561511</v>
      </c>
      <c r="Q8" s="112">
        <f>($G$2*SUM(C8:D8))*B8</f>
        <v>15.011945322384133</v>
      </c>
      <c r="R8" s="9">
        <f>($I$2*SUM(C8:D8))*E8*COUNT(D8:M8)</f>
        <v>15.799739961786319</v>
      </c>
      <c r="S8" s="9">
        <f t="shared" ref="S8:S16" si="3">Q8-R8</f>
        <v>-0.78779463940218619</v>
      </c>
      <c r="T8" s="112">
        <f>(S8+U8*E8)/B8</f>
        <v>-0.56310711192184404</v>
      </c>
      <c r="U8" s="9">
        <f t="shared" si="2"/>
        <v>2</v>
      </c>
    </row>
    <row r="9" spans="1:21" x14ac:dyDescent="0.2">
      <c r="A9" s="209">
        <v>3</v>
      </c>
      <c r="B9" s="116">
        <f>C9*B4</f>
        <v>0.92305766119879307</v>
      </c>
      <c r="C9" s="216">
        <f>1/(1-B5*B4/(1-B5*B4))</f>
        <v>1.4151094482087336</v>
      </c>
      <c r="D9" s="217">
        <f>C9*B5*C8</f>
        <v>0.6363906903042138</v>
      </c>
      <c r="E9" s="218">
        <f>D9*(B5)</f>
        <v>0.22128124209547886</v>
      </c>
      <c r="F9" s="218">
        <f>E9*B5</f>
        <v>7.6942338801202451E-2</v>
      </c>
      <c r="G9" s="218"/>
      <c r="H9" s="218"/>
      <c r="I9" s="218"/>
      <c r="J9" s="218"/>
      <c r="K9" s="218"/>
      <c r="L9" s="218"/>
      <c r="M9" s="219"/>
      <c r="N9">
        <f>B9+F9</f>
        <v>0.99999999999999556</v>
      </c>
      <c r="O9" s="116">
        <f>B9/(B9+F9)</f>
        <v>0.92305766119879717</v>
      </c>
      <c r="P9" s="112">
        <f>B9-F9</f>
        <v>0.84611532239759057</v>
      </c>
      <c r="Q9" s="112">
        <f>($G$2*SUM(C9:E9))*B9</f>
        <v>21.417130281521416</v>
      </c>
      <c r="R9" s="9">
        <f>($I$2*SUM(C9:E9))*F9*COUNT(D9:M9)</f>
        <v>15.205450440233699</v>
      </c>
      <c r="S9" s="9">
        <f t="shared" si="3"/>
        <v>6.211679841287717</v>
      </c>
      <c r="T9" s="112">
        <f>(S9+U9*F9)/B9</f>
        <v>6.9795280712196401</v>
      </c>
      <c r="U9" s="9">
        <f t="shared" si="2"/>
        <v>3</v>
      </c>
    </row>
    <row r="10" spans="1:21" x14ac:dyDescent="0.2">
      <c r="A10" s="209">
        <v>4</v>
      </c>
      <c r="B10" s="116">
        <f>C10*B4</f>
        <v>0.96060054675918172</v>
      </c>
      <c r="C10" s="116">
        <f>1/(1-B5*B4/(1-B5*B4/(1-B5*B4)))</f>
        <v>1.4726652156355786</v>
      </c>
      <c r="D10" s="194">
        <f>C10*B5*C9</f>
        <v>0.72462755102086185</v>
      </c>
      <c r="E10" s="1">
        <f>D10*B5*C8</f>
        <v>0.32587318810664706</v>
      </c>
      <c r="F10" s="1">
        <f>E10*B5</f>
        <v>0.11331030596217856</v>
      </c>
      <c r="G10" s="1">
        <f>F10*B5</f>
        <v>3.9399453240813058E-2</v>
      </c>
      <c r="H10" s="1"/>
      <c r="I10" s="1"/>
      <c r="J10" s="1"/>
      <c r="K10" s="1"/>
      <c r="L10" s="1"/>
      <c r="M10" s="9"/>
      <c r="N10">
        <f>B10+G10</f>
        <v>0.99999999999999478</v>
      </c>
      <c r="O10" s="116">
        <f>B10/(B10+G10)</f>
        <v>0.96060054675918671</v>
      </c>
      <c r="P10" s="112">
        <f>B10-G10</f>
        <v>0.92120109351836865</v>
      </c>
      <c r="Q10" s="112">
        <f>($G$2*SUM(C10:F10))*B10</f>
        <v>25.85481765508289</v>
      </c>
      <c r="R10" s="9">
        <f>($I$2*SUM(C10:F10))*G10*COUNT(D10:M10)</f>
        <v>12.042843447226415</v>
      </c>
      <c r="S10" s="9">
        <f t="shared" si="3"/>
        <v>13.811974207856474</v>
      </c>
      <c r="T10" s="112">
        <f>(S10+U10*G10)/B10</f>
        <v>14.542540151522353</v>
      </c>
      <c r="U10" s="9">
        <f t="shared" si="2"/>
        <v>4</v>
      </c>
    </row>
    <row r="11" spans="1:21" x14ac:dyDescent="0.2">
      <c r="A11" s="209">
        <v>5</v>
      </c>
      <c r="B11" s="116">
        <f>C11*B4</f>
        <v>0.97942947635062638</v>
      </c>
      <c r="C11" s="116">
        <f>1/(1-B5*B4/(1-B5*B4/(1-B5*B4/(1-B5*B4))))</f>
        <v>1.5015312304952635</v>
      </c>
      <c r="D11" s="194">
        <f>C11*B5*C10</f>
        <v>0.76888109235112156</v>
      </c>
      <c r="E11" s="1">
        <f>D11*B5*C9</f>
        <v>0.37832931548952237</v>
      </c>
      <c r="F11" s="1">
        <f>E11*B5*C8</f>
        <v>0.17013896313918475</v>
      </c>
      <c r="G11" s="1">
        <f>F11*B5</f>
        <v>5.9159509505518626E-2</v>
      </c>
      <c r="H11" s="1">
        <f>G11*B5</f>
        <v>2.057052364936799E-2</v>
      </c>
      <c r="I11" s="1"/>
      <c r="J11" s="1"/>
      <c r="K11" s="1"/>
      <c r="L11" s="1"/>
      <c r="M11" s="9"/>
      <c r="N11">
        <f>B11+H11</f>
        <v>0.99999999999999434</v>
      </c>
      <c r="O11" s="116">
        <f>B11/(B11+H11)</f>
        <v>0.97942947635063193</v>
      </c>
      <c r="P11" s="112">
        <f>B11-H11</f>
        <v>0.95885895270125843</v>
      </c>
      <c r="Q11" s="112">
        <f>($G$2*SUM(C11:G11))*B11</f>
        <v>28.776952304998751</v>
      </c>
      <c r="R11" s="9">
        <f>($I$2*SUM(C11:G11))*H11*COUNT(D11:M11)</f>
        <v>8.5796028182559674</v>
      </c>
      <c r="S11" s="9">
        <f t="shared" si="3"/>
        <v>20.197349486742784</v>
      </c>
      <c r="T11" s="112">
        <f>(S11+U11*H11)/B11</f>
        <v>20.726558261885867</v>
      </c>
      <c r="U11" s="9">
        <f t="shared" si="2"/>
        <v>5</v>
      </c>
    </row>
    <row r="12" spans="1:21" x14ac:dyDescent="0.2">
      <c r="A12" s="209">
        <v>6</v>
      </c>
      <c r="B12" s="116">
        <f>C12*B4</f>
        <v>0.98915346538962756</v>
      </c>
      <c r="C12" s="116">
        <f>1/(1-B5*B4/(1-B5*B4/(1-B5*B4/(1-B5*B4/(1-B5*B4)))))</f>
        <v>1.5164387593981683</v>
      </c>
      <c r="D12" s="194">
        <f>C12*B5*C11</f>
        <v>0.7917353363346965</v>
      </c>
      <c r="E12" s="1">
        <f>D12*B5*C10</f>
        <v>0.40541969283796686</v>
      </c>
      <c r="F12" s="1">
        <f>E12*B5*C9</f>
        <v>0.19948748434994168</v>
      </c>
      <c r="G12" s="1">
        <f>F12*B5*C8</f>
        <v>8.9711773201152825E-2</v>
      </c>
      <c r="H12" s="1">
        <f>G12*B5</f>
        <v>3.1193939363018279E-2</v>
      </c>
      <c r="I12" s="1">
        <f>H12*B5</f>
        <v>1.0846534610366582E-2</v>
      </c>
      <c r="J12" s="1"/>
      <c r="K12" s="1"/>
      <c r="L12" s="1"/>
      <c r="M12" s="9"/>
      <c r="N12">
        <f>B12+I12</f>
        <v>0.99999999999999412</v>
      </c>
      <c r="O12" s="116">
        <f>B12/(B12+I12)</f>
        <v>0.98915346538963334</v>
      </c>
      <c r="P12" s="112">
        <f>B12-I12</f>
        <v>0.97830693077926101</v>
      </c>
      <c r="Q12" s="112">
        <f>($G$2*SUM(C12:H12))*B12</f>
        <v>30.637418912585012</v>
      </c>
      <c r="R12" s="9">
        <f>($I$2*SUM(C12:H12))*I12*COUNT(D12:M12)</f>
        <v>5.7228315061506603</v>
      </c>
      <c r="S12" s="9">
        <f t="shared" si="3"/>
        <v>24.91458740643435</v>
      </c>
      <c r="T12" s="112">
        <f>(S12+U12*I12)/B12</f>
        <v>25.253580448466671</v>
      </c>
      <c r="U12" s="9">
        <f t="shared" si="2"/>
        <v>6</v>
      </c>
    </row>
    <row r="13" spans="1:21" x14ac:dyDescent="0.2">
      <c r="A13" s="209">
        <v>7</v>
      </c>
      <c r="B13" s="116">
        <f>C13*B4</f>
        <v>0.99425130643810322</v>
      </c>
      <c r="C13" s="216">
        <f>1/(1-B5*B4/(1-B5*B4/(1-B5*B4/(1-B5*B4/(1-B5*B4/(1-B5*B4))))))</f>
        <v>1.5242540924335881</v>
      </c>
      <c r="D13" s="217">
        <f>C13*B5*C12</f>
        <v>0.80371676727256147</v>
      </c>
      <c r="E13" s="218">
        <f>D13*B5*C11</f>
        <v>0.41962193402845904</v>
      </c>
      <c r="F13" s="218">
        <f>E13*B5*C10</f>
        <v>0.21487356670155491</v>
      </c>
      <c r="G13" s="218">
        <f>F13*B5*C9</f>
        <v>0.10572892247669916</v>
      </c>
      <c r="H13" s="218">
        <f>G13*B5*C8</f>
        <v>4.7547489733205793E-2</v>
      </c>
      <c r="I13" s="218">
        <f>H13*B5</f>
        <v>1.6532874768573812E-2</v>
      </c>
      <c r="J13" s="218">
        <f>I13*B5</f>
        <v>5.748693561890705E-3</v>
      </c>
      <c r="K13" s="218"/>
      <c r="L13" s="218"/>
      <c r="M13" s="219"/>
      <c r="N13">
        <f>B13+J13</f>
        <v>0.99999999999999389</v>
      </c>
      <c r="O13" s="116">
        <f>B13/(B13+J13)</f>
        <v>0.99425130643810933</v>
      </c>
      <c r="P13" s="112">
        <f>B13-J13</f>
        <v>0.98850261287621255</v>
      </c>
      <c r="Q13" s="112">
        <f>($G$2*SUM(C13:I13))*B13</f>
        <v>31.792957446580758</v>
      </c>
      <c r="R13" s="9">
        <f>($I$2*SUM(C13:I13))*J13*COUNT(D13:M13)</f>
        <v>3.6532732931744532</v>
      </c>
      <c r="S13" s="9">
        <f t="shared" si="3"/>
        <v>28.139684153406304</v>
      </c>
      <c r="T13" s="112">
        <f>(S13+U13*J13)/B13</f>
        <v>28.342859421823519</v>
      </c>
      <c r="U13" s="9">
        <f t="shared" si="2"/>
        <v>7</v>
      </c>
    </row>
    <row r="14" spans="1:21" x14ac:dyDescent="0.2">
      <c r="A14" s="209">
        <v>8</v>
      </c>
      <c r="B14" s="116">
        <f>C14*B4</f>
        <v>0.9969449219728157</v>
      </c>
      <c r="C14" s="116">
        <f>1/(1-B5*B4/(1-B5*B4/(1-B5*B4/(1-B5*B4/(1-B5*B4/(1-B5*B4/(1-B5*B4)))))))</f>
        <v>1.5283835861296406</v>
      </c>
      <c r="D14" s="194">
        <f>C14*B5*C13</f>
        <v>0.81004755871847511</v>
      </c>
      <c r="E14" s="1">
        <f>D14*B5*C12</f>
        <v>0.42712616515976948</v>
      </c>
      <c r="F14" s="1">
        <f>E14*B5*C11</f>
        <v>0.22300332007098639</v>
      </c>
      <c r="G14" s="1">
        <f>F14*B5*C10</f>
        <v>0.11419212125048615</v>
      </c>
      <c r="H14" s="1">
        <f>G14*B5*C9</f>
        <v>5.6188437323757209E-2</v>
      </c>
      <c r="I14" s="1">
        <f>H14*B5*C8</f>
        <v>2.5268574427825107E-2</v>
      </c>
      <c r="J14" s="1">
        <f>I14*B5</f>
        <v>8.786208881682897E-3</v>
      </c>
      <c r="K14" s="1">
        <f>J14*B5</f>
        <v>3.0550780271781206E-3</v>
      </c>
      <c r="L14" s="1"/>
      <c r="M14" s="9"/>
      <c r="N14">
        <f>B14+K14</f>
        <v>0.99999999999999378</v>
      </c>
      <c r="O14" s="116">
        <f>B14/(B14+K14)</f>
        <v>0.99694492197282192</v>
      </c>
      <c r="P14" s="112">
        <f>B14-K14</f>
        <v>0.99388984394563762</v>
      </c>
      <c r="Q14" s="112">
        <f>($G$2*SUM(C14:J14))*B14</f>
        <v>32.497078592593297</v>
      </c>
      <c r="R14" s="9">
        <f>($I$2*SUM(C14:J14))*K14*COUNT(D14:M14)</f>
        <v>2.2618596516969376</v>
      </c>
      <c r="S14" s="9">
        <f t="shared" si="3"/>
        <v>30.23521894089636</v>
      </c>
      <c r="T14" s="112">
        <f>(S14+U14*K14)/B14</f>
        <v>30.352388480232307</v>
      </c>
      <c r="U14" s="9">
        <f t="shared" si="2"/>
        <v>8</v>
      </c>
    </row>
    <row r="15" spans="1:21" x14ac:dyDescent="0.2">
      <c r="A15" s="209">
        <v>9</v>
      </c>
      <c r="B15" s="116">
        <f>C15*B4</f>
        <v>0.99837408593226262</v>
      </c>
      <c r="C15" s="116">
        <f>1/(1-B5*B4/(1-B5*B4/(1-B5*B4/(1-B5*B4/(1-B5*B4/(1-B5*B4/(1-B5*B4/(1-B5*B4))))))))</f>
        <v>1.5305745905566297</v>
      </c>
      <c r="D15" s="194">
        <f>C15*B5*C14</f>
        <v>0.81340651579779</v>
      </c>
      <c r="E15" s="1">
        <f>D15*B5*C13</f>
        <v>0.43110771951970667</v>
      </c>
      <c r="F15" s="1">
        <f>E15*B5*C12</f>
        <v>0.22731676063629877</v>
      </c>
      <c r="G15" s="1">
        <f>F15*B5*C11</f>
        <v>0.11868247947468752</v>
      </c>
      <c r="H15" s="1">
        <f>G15*B5*C10</f>
        <v>6.0773104553635292E-2</v>
      </c>
      <c r="I15" s="1">
        <f>H15*B5*C9</f>
        <v>2.9903514697758031E-2</v>
      </c>
      <c r="J15" s="1">
        <f>I15*B5*C8</f>
        <v>1.3447948061626819E-2</v>
      </c>
      <c r="K15" s="1">
        <f>J15*B5</f>
        <v>4.6760248005667067E-3</v>
      </c>
      <c r="L15" s="1">
        <f>K15*B5</f>
        <v>1.625914067731002E-3</v>
      </c>
      <c r="M15" s="9"/>
      <c r="N15">
        <f>B15+L15</f>
        <v>0.99999999999999367</v>
      </c>
      <c r="O15" s="116">
        <f>B15/(B15+L15)</f>
        <v>0.99837408593226895</v>
      </c>
      <c r="P15" s="112">
        <f>B15-L15</f>
        <v>0.99674817186453157</v>
      </c>
      <c r="Q15" s="112">
        <f>($G$2*SUM(C15:K15))*B15</f>
        <v>32.919682332916373</v>
      </c>
      <c r="R15" s="9">
        <f>($I$2*SUM(C15:K15))*L15*COUNT(D15:M15)</f>
        <v>1.3698803582936618</v>
      </c>
      <c r="S15" s="9">
        <f t="shared" si="3"/>
        <v>31.54980197462271</v>
      </c>
      <c r="T15" s="112">
        <f>(S15+U15*L15)/B15</f>
        <v>31.615839839991462</v>
      </c>
      <c r="U15" s="9">
        <f t="shared" si="2"/>
        <v>9</v>
      </c>
    </row>
    <row r="16" spans="1:21" ht="17" thickBot="1" x14ac:dyDescent="0.25">
      <c r="A16" s="210">
        <v>10</v>
      </c>
      <c r="B16" s="195">
        <f>C16*B4</f>
        <v>0.99913402905362769</v>
      </c>
      <c r="C16" s="195">
        <f>1/(1-B5*B4/(1-B5*B4/(1-B5*B4/(1-B5*B4/(1-B5*B4/(1-B5*B4/(1-B5*B4/(1-B5*B4/(1-B5*B4)))))))))</f>
        <v>1.5317396344497147</v>
      </c>
      <c r="D16" s="213">
        <f>C16*B5*C15</f>
        <v>0.8151926064072772</v>
      </c>
      <c r="E16" s="131">
        <f>D16*B5*C14</f>
        <v>0.43322486977960134</v>
      </c>
      <c r="F16" s="131">
        <f>E16*B5*C13</f>
        <v>0.22961038794571856</v>
      </c>
      <c r="G16" s="131">
        <f>F16*B5*C12</f>
        <v>0.12107018091537262</v>
      </c>
      <c r="H16" s="131">
        <f>G16*B5*C11</f>
        <v>6.3210953830524261E-2</v>
      </c>
      <c r="I16" s="131">
        <f>H16*B5*C10</f>
        <v>3.2368096142588433E-2</v>
      </c>
      <c r="J16" s="131">
        <f>I16*B5*C9</f>
        <v>1.5926779549070114E-2</v>
      </c>
      <c r="K16" s="131">
        <f>J16*B5*C8</f>
        <v>7.1624525186978474E-3</v>
      </c>
      <c r="L16" s="131">
        <f>K16*B5</f>
        <v>2.4904770197529337E-3</v>
      </c>
      <c r="M16" s="10">
        <f>L16*B5</f>
        <v>8.6597094636587984E-4</v>
      </c>
      <c r="N16">
        <f>B16+M16</f>
        <v>0.99999999999999356</v>
      </c>
      <c r="O16" s="195">
        <f>B16/(B16+M16)</f>
        <v>0.99913402905363413</v>
      </c>
      <c r="P16" s="113">
        <f>B16-M16</f>
        <v>0.99826805810726182</v>
      </c>
      <c r="Q16" s="113">
        <f>($G$2*SUM(C16:L16))*B16</f>
        <v>33.170238671838838</v>
      </c>
      <c r="R16" s="10">
        <f>($I$2*SUM(C16:L16))*M16*COUNT(D16:M16)</f>
        <v>0.81622214215810185</v>
      </c>
      <c r="S16" s="10">
        <f t="shared" si="3"/>
        <v>32.354016529680734</v>
      </c>
      <c r="T16" s="113">
        <f>(S16+U16*M16)/B16</f>
        <v>32.390725666503499</v>
      </c>
      <c r="U16" s="10">
        <f t="shared" si="2"/>
        <v>10</v>
      </c>
    </row>
    <row r="17" spans="1:8" ht="17" thickBot="1" x14ac:dyDescent="0.25"/>
    <row r="18" spans="1:8" ht="17" thickBot="1" x14ac:dyDescent="0.25">
      <c r="A18" s="138" t="s">
        <v>140</v>
      </c>
      <c r="B18" s="139" t="s">
        <v>145</v>
      </c>
      <c r="C18" s="139" t="s">
        <v>144</v>
      </c>
      <c r="D18" s="241" t="s">
        <v>143</v>
      </c>
      <c r="E18" s="231" t="s">
        <v>157</v>
      </c>
      <c r="F18" s="234" t="s">
        <v>156</v>
      </c>
      <c r="G18" s="255" t="s">
        <v>158</v>
      </c>
      <c r="H18" s="256" t="s">
        <v>159</v>
      </c>
    </row>
    <row r="19" spans="1:8" x14ac:dyDescent="0.2">
      <c r="A19" s="264">
        <v>1</v>
      </c>
      <c r="B19" s="146">
        <v>1</v>
      </c>
      <c r="C19" s="150">
        <f>B19*$M$3</f>
        <v>8</v>
      </c>
      <c r="D19" s="151">
        <f>SUM($C$19:C19)</f>
        <v>8</v>
      </c>
      <c r="E19" s="9">
        <f>B19/P7</f>
        <v>3.2832718367747127</v>
      </c>
      <c r="F19" s="9">
        <f>D19/P7</f>
        <v>26.266174694197701</v>
      </c>
      <c r="G19" s="28">
        <f>S7/E19</f>
        <v>-1.0413279797256818</v>
      </c>
      <c r="H19" s="8">
        <f>S7/F19</f>
        <v>-0.13016599746571023</v>
      </c>
    </row>
    <row r="20" spans="1:8" x14ac:dyDescent="0.2">
      <c r="A20" s="265">
        <v>2</v>
      </c>
      <c r="B20" s="141">
        <f>B19*($M$3+1)</f>
        <v>9</v>
      </c>
      <c r="C20" s="140">
        <f>B20*$M$3</f>
        <v>72</v>
      </c>
      <c r="D20" s="142">
        <f>SUM($C$19:C20)</f>
        <v>80</v>
      </c>
      <c r="E20" s="9">
        <f t="shared" ref="E20:E28" si="4">B20/P8</f>
        <v>13.095496161197085</v>
      </c>
      <c r="F20" s="9">
        <f t="shared" ref="F20:F28" si="5">D20/P8</f>
        <v>116.40441032175187</v>
      </c>
      <c r="G20" s="112">
        <f t="shared" ref="G20:G28" si="6">S8/E20</f>
        <v>-6.0157677853892963E-2</v>
      </c>
      <c r="H20" s="9">
        <f t="shared" ref="H20:H28" si="7">S8/F20</f>
        <v>-6.7677387585629587E-3</v>
      </c>
    </row>
    <row r="21" spans="1:8" x14ac:dyDescent="0.2">
      <c r="A21" s="265">
        <v>3</v>
      </c>
      <c r="B21" s="141">
        <f t="shared" ref="B21:B28" si="8">B20*($M$3+1)</f>
        <v>81</v>
      </c>
      <c r="C21" s="140">
        <f t="shared" ref="C21:C28" si="9">B21*$M$3</f>
        <v>648</v>
      </c>
      <c r="D21" s="142">
        <f>SUM($C$19:C21)</f>
        <v>728</v>
      </c>
      <c r="E21" s="9">
        <f t="shared" si="4"/>
        <v>95.731631204213087</v>
      </c>
      <c r="F21" s="9">
        <f t="shared" si="5"/>
        <v>860.40280884774234</v>
      </c>
      <c r="G21" s="112">
        <f t="shared" si="6"/>
        <v>6.4886388784466315E-2</v>
      </c>
      <c r="H21" s="9">
        <f t="shared" si="7"/>
        <v>7.2195020488211139E-3</v>
      </c>
    </row>
    <row r="22" spans="1:8" x14ac:dyDescent="0.2">
      <c r="A22" s="265">
        <v>4</v>
      </c>
      <c r="B22" s="141">
        <f t="shared" si="8"/>
        <v>729</v>
      </c>
      <c r="C22" s="140">
        <f t="shared" si="9"/>
        <v>5832</v>
      </c>
      <c r="D22" s="142">
        <f>SUM($C$19:C22)</f>
        <v>6560</v>
      </c>
      <c r="E22" s="9">
        <f t="shared" si="4"/>
        <v>791.35815744172669</v>
      </c>
      <c r="F22" s="9">
        <f t="shared" si="5"/>
        <v>7121.1378776649208</v>
      </c>
      <c r="G22" s="112">
        <f t="shared" si="6"/>
        <v>1.7453505821570493E-2</v>
      </c>
      <c r="H22" s="9">
        <f t="shared" si="7"/>
        <v>1.9395740463300135E-3</v>
      </c>
    </row>
    <row r="23" spans="1:8" x14ac:dyDescent="0.2">
      <c r="A23" s="265">
        <v>5</v>
      </c>
      <c r="B23" s="141">
        <f t="shared" si="8"/>
        <v>6561</v>
      </c>
      <c r="C23" s="140">
        <f t="shared" si="9"/>
        <v>52488</v>
      </c>
      <c r="D23" s="142">
        <f>SUM($C$19:C23)</f>
        <v>59048</v>
      </c>
      <c r="E23" s="9">
        <f t="shared" si="4"/>
        <v>6842.5079429217594</v>
      </c>
      <c r="F23" s="9">
        <f t="shared" si="5"/>
        <v>61581.528580040242</v>
      </c>
      <c r="G23" s="112">
        <f t="shared" si="6"/>
        <v>2.9517465898795127E-3</v>
      </c>
      <c r="H23" s="9">
        <f t="shared" si="7"/>
        <v>3.2797739764597422E-4</v>
      </c>
    </row>
    <row r="24" spans="1:8" x14ac:dyDescent="0.2">
      <c r="A24" s="265">
        <v>6</v>
      </c>
      <c r="B24" s="141">
        <f t="shared" si="8"/>
        <v>59049</v>
      </c>
      <c r="C24" s="140">
        <f t="shared" si="9"/>
        <v>472392</v>
      </c>
      <c r="D24" s="142">
        <f>SUM($C$19:C24)</f>
        <v>531440</v>
      </c>
      <c r="E24" s="9">
        <f t="shared" si="4"/>
        <v>60358.358038989958</v>
      </c>
      <c r="F24" s="9">
        <f t="shared" si="5"/>
        <v>543224.2001768162</v>
      </c>
      <c r="G24" s="112">
        <f t="shared" si="6"/>
        <v>4.1277775300547711E-4</v>
      </c>
      <c r="H24" s="9">
        <f t="shared" si="7"/>
        <v>4.5864281080122726E-5</v>
      </c>
    </row>
    <row r="25" spans="1:8" x14ac:dyDescent="0.2">
      <c r="A25" s="265">
        <v>7</v>
      </c>
      <c r="B25" s="141">
        <f t="shared" si="8"/>
        <v>531441</v>
      </c>
      <c r="C25" s="140">
        <f t="shared" si="9"/>
        <v>4251528</v>
      </c>
      <c r="D25" s="142">
        <f>SUM($C$19:C25)</f>
        <v>4782968</v>
      </c>
      <c r="E25" s="9">
        <f t="shared" si="4"/>
        <v>537622.25114780839</v>
      </c>
      <c r="F25" s="9">
        <f t="shared" si="5"/>
        <v>4838599.2486991612</v>
      </c>
      <c r="G25" s="112">
        <f t="shared" si="6"/>
        <v>5.2340996105218617E-5</v>
      </c>
      <c r="H25" s="9">
        <f t="shared" si="7"/>
        <v>5.8156674498247713E-6</v>
      </c>
    </row>
    <row r="26" spans="1:8" x14ac:dyDescent="0.2">
      <c r="A26" s="265">
        <v>8</v>
      </c>
      <c r="B26" s="141">
        <f t="shared" si="8"/>
        <v>4782969</v>
      </c>
      <c r="C26" s="140">
        <f t="shared" si="9"/>
        <v>38263752</v>
      </c>
      <c r="D26" s="142">
        <f>SUM($C$19:C26)</f>
        <v>43046720</v>
      </c>
      <c r="E26" s="9">
        <f t="shared" si="4"/>
        <v>4812373.3521736357</v>
      </c>
      <c r="F26" s="9">
        <f t="shared" si="5"/>
        <v>43311359.163415007</v>
      </c>
      <c r="G26" s="112">
        <f t="shared" si="6"/>
        <v>6.2828082379019541E-6</v>
      </c>
      <c r="H26" s="9">
        <f t="shared" si="7"/>
        <v>6.9808982042835479E-7</v>
      </c>
    </row>
    <row r="27" spans="1:8" x14ac:dyDescent="0.2">
      <c r="A27" s="265">
        <v>9</v>
      </c>
      <c r="B27" s="141">
        <f t="shared" si="8"/>
        <v>43046721</v>
      </c>
      <c r="C27" s="140">
        <f t="shared" si="9"/>
        <v>344373768</v>
      </c>
      <c r="D27" s="142">
        <f>SUM($C$19:C27)</f>
        <v>387420488</v>
      </c>
      <c r="E27" s="9">
        <f t="shared" si="4"/>
        <v>43187158.216178298</v>
      </c>
      <c r="F27" s="9">
        <f t="shared" si="5"/>
        <v>388684422.94234222</v>
      </c>
      <c r="G27" s="112">
        <f t="shared" si="6"/>
        <v>7.305366520458823E-7</v>
      </c>
      <c r="H27" s="9">
        <f t="shared" si="7"/>
        <v>8.117073932572501E-8</v>
      </c>
    </row>
    <row r="28" spans="1:8" ht="17" thickBot="1" x14ac:dyDescent="0.25">
      <c r="A28" s="266">
        <v>10</v>
      </c>
      <c r="B28" s="143">
        <f t="shared" si="8"/>
        <v>387420489</v>
      </c>
      <c r="C28" s="144">
        <f t="shared" si="9"/>
        <v>3099363912</v>
      </c>
      <c r="D28" s="145">
        <f>SUM($C$19:C28)</f>
        <v>3486784400</v>
      </c>
      <c r="E28" s="9">
        <f t="shared" si="4"/>
        <v>388092642.90651327</v>
      </c>
      <c r="F28" s="9">
        <f t="shared" si="5"/>
        <v>3492833785.1568847</v>
      </c>
      <c r="G28" s="113">
        <f t="shared" si="6"/>
        <v>8.3366735033610055E-8</v>
      </c>
      <c r="H28" s="10">
        <f t="shared" si="7"/>
        <v>9.2629705619465987E-9</v>
      </c>
    </row>
    <row r="29" spans="1:8" ht="17" thickBot="1" x14ac:dyDescent="0.25"/>
    <row r="30" spans="1:8" ht="17" thickBot="1" x14ac:dyDescent="0.25">
      <c r="A30" s="29" t="s">
        <v>140</v>
      </c>
      <c r="B30" s="19" t="s">
        <v>145</v>
      </c>
      <c r="C30" s="19" t="s">
        <v>144</v>
      </c>
      <c r="D30" s="19" t="s">
        <v>143</v>
      </c>
      <c r="E30" s="231" t="s">
        <v>157</v>
      </c>
      <c r="F30" s="234" t="s">
        <v>156</v>
      </c>
      <c r="G30" s="257" t="s">
        <v>158</v>
      </c>
      <c r="H30" s="258" t="s">
        <v>159</v>
      </c>
    </row>
    <row r="31" spans="1:8" x14ac:dyDescent="0.2">
      <c r="A31" s="264">
        <v>1</v>
      </c>
      <c r="B31" s="146">
        <v>1</v>
      </c>
      <c r="C31" s="150">
        <f>B31*$M$3</f>
        <v>8</v>
      </c>
      <c r="D31" s="151">
        <f>SUM($C$31:C31)</f>
        <v>8</v>
      </c>
      <c r="E31" s="129">
        <f>B31/P7</f>
        <v>3.2832718367747127</v>
      </c>
      <c r="F31" s="58">
        <f>D31/P7</f>
        <v>26.266174694197701</v>
      </c>
      <c r="G31" s="28">
        <f>S7/E31</f>
        <v>-1.0413279797256818</v>
      </c>
      <c r="H31" s="8">
        <f>S7/F31</f>
        <v>-0.13016599746571023</v>
      </c>
    </row>
    <row r="32" spans="1:8" x14ac:dyDescent="0.2">
      <c r="A32" s="265">
        <v>2</v>
      </c>
      <c r="B32" s="141">
        <f>C31</f>
        <v>8</v>
      </c>
      <c r="C32" s="140">
        <f>B32*$M$3</f>
        <v>64</v>
      </c>
      <c r="D32" s="142">
        <f>SUM($C$31:C32)</f>
        <v>72</v>
      </c>
      <c r="E32" s="112">
        <f t="shared" ref="E32:E40" si="10">B32/P8</f>
        <v>11.640441032175186</v>
      </c>
      <c r="F32" s="9">
        <f t="shared" ref="F32:F40" si="11">D32/P8</f>
        <v>104.76396928957668</v>
      </c>
      <c r="G32" s="112">
        <f t="shared" ref="G32:G40" si="12">S8/E32</f>
        <v>-6.7677387585629592E-2</v>
      </c>
      <c r="H32" s="9">
        <f t="shared" ref="H32:H40" si="13">S8/F32</f>
        <v>-7.5197097317366204E-3</v>
      </c>
    </row>
    <row r="33" spans="1:8" x14ac:dyDescent="0.2">
      <c r="A33" s="265">
        <v>3</v>
      </c>
      <c r="B33" s="141">
        <f t="shared" ref="B33:B40" si="14">C32</f>
        <v>64</v>
      </c>
      <c r="C33" s="140">
        <f t="shared" ref="C33:C40" si="15">B33*$M$3</f>
        <v>512</v>
      </c>
      <c r="D33" s="142">
        <f>SUM($C$31:C33)</f>
        <v>584</v>
      </c>
      <c r="E33" s="112">
        <f t="shared" si="10"/>
        <v>75.639807371230091</v>
      </c>
      <c r="F33" s="9">
        <f t="shared" si="11"/>
        <v>690.21324226247464</v>
      </c>
      <c r="G33" s="112">
        <f t="shared" si="12"/>
        <v>8.2121835805340174E-2</v>
      </c>
      <c r="H33" s="9">
        <f t="shared" si="13"/>
        <v>8.9996532389413891E-3</v>
      </c>
    </row>
    <row r="34" spans="1:8" x14ac:dyDescent="0.2">
      <c r="A34" s="265">
        <v>4</v>
      </c>
      <c r="B34" s="141">
        <f t="shared" si="14"/>
        <v>512</v>
      </c>
      <c r="C34" s="140">
        <f t="shared" si="15"/>
        <v>4096</v>
      </c>
      <c r="D34" s="142">
        <f>SUM($C$31:C34)</f>
        <v>4680</v>
      </c>
      <c r="E34" s="112">
        <f t="shared" si="10"/>
        <v>555.79612703726207</v>
      </c>
      <c r="F34" s="9">
        <f t="shared" si="11"/>
        <v>5080.323973699974</v>
      </c>
      <c r="G34" s="112">
        <f t="shared" si="12"/>
        <v>2.4850792468603299E-2</v>
      </c>
      <c r="H34" s="9">
        <f t="shared" si="13"/>
        <v>2.7187191760523264E-3</v>
      </c>
    </row>
    <row r="35" spans="1:8" x14ac:dyDescent="0.2">
      <c r="A35" s="265">
        <v>5</v>
      </c>
      <c r="B35" s="141">
        <f t="shared" si="14"/>
        <v>4096</v>
      </c>
      <c r="C35" s="140">
        <f t="shared" si="15"/>
        <v>32768</v>
      </c>
      <c r="D35" s="142">
        <f>SUM($C$31:C35)</f>
        <v>37448</v>
      </c>
      <c r="E35" s="112">
        <f t="shared" si="10"/>
        <v>4271.7440228939986</v>
      </c>
      <c r="F35" s="9">
        <f t="shared" si="11"/>
        <v>39054.753459310174</v>
      </c>
      <c r="G35" s="112">
        <f t="shared" si="12"/>
        <v>4.7281272891112024E-3</v>
      </c>
      <c r="H35" s="9">
        <f t="shared" si="13"/>
        <v>5.1715470455563674E-4</v>
      </c>
    </row>
    <row r="36" spans="1:8" x14ac:dyDescent="0.2">
      <c r="A36" s="265">
        <v>6</v>
      </c>
      <c r="B36" s="141">
        <f t="shared" si="14"/>
        <v>32768</v>
      </c>
      <c r="C36" s="140">
        <f t="shared" si="15"/>
        <v>262144</v>
      </c>
      <c r="D36" s="142">
        <f>SUM($C$31:C36)</f>
        <v>299592</v>
      </c>
      <c r="E36" s="112">
        <f t="shared" si="10"/>
        <v>33494.60069131777</v>
      </c>
      <c r="F36" s="9">
        <f t="shared" si="11"/>
        <v>306235.1809787986</v>
      </c>
      <c r="G36" s="112">
        <f t="shared" si="12"/>
        <v>7.4383891409974417E-4</v>
      </c>
      <c r="H36" s="9">
        <f t="shared" si="13"/>
        <v>8.1357691584623147E-5</v>
      </c>
    </row>
    <row r="37" spans="1:8" x14ac:dyDescent="0.2">
      <c r="A37" s="265">
        <v>7</v>
      </c>
      <c r="B37" s="141">
        <f t="shared" si="14"/>
        <v>262144</v>
      </c>
      <c r="C37" s="140">
        <f t="shared" si="15"/>
        <v>2097152</v>
      </c>
      <c r="D37" s="142">
        <f>SUM($C$31:C37)</f>
        <v>2396744</v>
      </c>
      <c r="E37" s="112">
        <f t="shared" si="10"/>
        <v>265193.02689271449</v>
      </c>
      <c r="F37" s="9">
        <f t="shared" si="11"/>
        <v>2424620.804012116</v>
      </c>
      <c r="G37" s="112">
        <f t="shared" si="12"/>
        <v>1.0611019634686846E-4</v>
      </c>
      <c r="H37" s="9">
        <f t="shared" si="13"/>
        <v>1.1605808259519367E-5</v>
      </c>
    </row>
    <row r="38" spans="1:8" x14ac:dyDescent="0.2">
      <c r="A38" s="265">
        <v>8</v>
      </c>
      <c r="B38" s="141">
        <f t="shared" si="14"/>
        <v>2097152</v>
      </c>
      <c r="C38" s="140">
        <f t="shared" si="15"/>
        <v>16777216</v>
      </c>
      <c r="D38" s="142">
        <f>SUM($C$31:C38)</f>
        <v>19173960</v>
      </c>
      <c r="E38" s="112">
        <f t="shared" si="10"/>
        <v>2110044.7024134267</v>
      </c>
      <c r="F38" s="9">
        <f t="shared" si="11"/>
        <v>19291836.129325364</v>
      </c>
      <c r="G38" s="112">
        <f t="shared" si="12"/>
        <v>1.4329184071936449E-5</v>
      </c>
      <c r="H38" s="9">
        <f t="shared" si="13"/>
        <v>1.5672546012837031E-6</v>
      </c>
    </row>
    <row r="39" spans="1:8" x14ac:dyDescent="0.2">
      <c r="A39" s="265">
        <v>9</v>
      </c>
      <c r="B39" s="141">
        <f t="shared" si="14"/>
        <v>16777216</v>
      </c>
      <c r="C39" s="140">
        <f t="shared" si="15"/>
        <v>134217728</v>
      </c>
      <c r="D39" s="142">
        <f>SUM($C$31:C39)</f>
        <v>153391688</v>
      </c>
      <c r="E39" s="112">
        <f t="shared" si="10"/>
        <v>16831950.610570267</v>
      </c>
      <c r="F39" s="9">
        <f t="shared" si="11"/>
        <v>153892118.72148538</v>
      </c>
      <c r="G39" s="112">
        <f t="shared" si="12"/>
        <v>1.8743996286924587E-6</v>
      </c>
      <c r="H39" s="9">
        <f t="shared" si="13"/>
        <v>2.0501246091569951E-7</v>
      </c>
    </row>
    <row r="40" spans="1:8" ht="17" thickBot="1" x14ac:dyDescent="0.25">
      <c r="A40" s="266">
        <v>10</v>
      </c>
      <c r="B40" s="143">
        <f t="shared" si="14"/>
        <v>134217728</v>
      </c>
      <c r="C40" s="144">
        <f t="shared" si="15"/>
        <v>1073741824</v>
      </c>
      <c r="D40" s="145">
        <f>SUM($C$31:C40)</f>
        <v>1227133512</v>
      </c>
      <c r="E40" s="113">
        <f t="shared" si="10"/>
        <v>134450588.60691163</v>
      </c>
      <c r="F40" s="10">
        <f t="shared" si="11"/>
        <v>1229262523.261209</v>
      </c>
      <c r="G40" s="113">
        <f t="shared" si="12"/>
        <v>2.4063871244381843E-7</v>
      </c>
      <c r="H40" s="10">
        <f t="shared" si="13"/>
        <v>2.6319859198054923E-8</v>
      </c>
    </row>
    <row r="41" spans="1:8" ht="17" thickBot="1" x14ac:dyDescent="0.25"/>
    <row r="42" spans="1:8" ht="17" thickBot="1" x14ac:dyDescent="0.25">
      <c r="A42" s="138" t="s">
        <v>140</v>
      </c>
      <c r="B42" s="139" t="s">
        <v>145</v>
      </c>
      <c r="C42" s="139" t="s">
        <v>144</v>
      </c>
      <c r="D42" s="241" t="s">
        <v>143</v>
      </c>
      <c r="E42" s="231" t="s">
        <v>157</v>
      </c>
      <c r="F42" s="234" t="s">
        <v>156</v>
      </c>
      <c r="G42" s="259" t="s">
        <v>158</v>
      </c>
      <c r="H42" s="256" t="s">
        <v>159</v>
      </c>
    </row>
    <row r="43" spans="1:8" x14ac:dyDescent="0.2">
      <c r="A43" s="264">
        <v>1</v>
      </c>
      <c r="B43" s="146">
        <v>1</v>
      </c>
      <c r="C43" s="150">
        <f>B43*$M$3</f>
        <v>8</v>
      </c>
      <c r="D43" s="151">
        <f>SUM(C43:C43)</f>
        <v>8</v>
      </c>
      <c r="E43" s="129">
        <f>B43/P7</f>
        <v>3.2832718367747127</v>
      </c>
      <c r="F43" s="58">
        <f>D43/P7</f>
        <v>26.266174694197701</v>
      </c>
      <c r="G43" s="28">
        <f>S7/E43</f>
        <v>-1.0413279797256818</v>
      </c>
      <c r="H43" s="8">
        <f>S7/F43</f>
        <v>-0.13016599746571023</v>
      </c>
    </row>
    <row r="44" spans="1:8" x14ac:dyDescent="0.2">
      <c r="A44" s="265">
        <v>2</v>
      </c>
      <c r="B44" s="141">
        <f>B43*$M$3*2</f>
        <v>16</v>
      </c>
      <c r="C44" s="140">
        <f>B44*$M$3</f>
        <v>128</v>
      </c>
      <c r="D44" s="142">
        <f>SUM($C$43:C44)</f>
        <v>136</v>
      </c>
      <c r="E44" s="112">
        <f t="shared" ref="E44:E52" si="16">B44/P8</f>
        <v>23.280882064350372</v>
      </c>
      <c r="F44" s="9">
        <f t="shared" ref="F44:F52" si="17">D44/P8</f>
        <v>197.88749754697815</v>
      </c>
      <c r="G44" s="112">
        <f t="shared" ref="G44:G52" si="18">S8/E44</f>
        <v>-3.3838693792814796E-2</v>
      </c>
      <c r="H44" s="9">
        <f t="shared" ref="H44:H52" si="19">S8/F44</f>
        <v>-3.9810227991546815E-3</v>
      </c>
    </row>
    <row r="45" spans="1:8" x14ac:dyDescent="0.2">
      <c r="A45" s="265">
        <v>3</v>
      </c>
      <c r="B45" s="141">
        <f t="shared" ref="B45:B52" si="20">B44*$M$3*2</f>
        <v>256</v>
      </c>
      <c r="C45" s="140">
        <f t="shared" ref="C45:C52" si="21">B45*$M$3</f>
        <v>2048</v>
      </c>
      <c r="D45" s="142">
        <f>SUM($C$43:C45)</f>
        <v>2184</v>
      </c>
      <c r="E45" s="112">
        <f t="shared" si="16"/>
        <v>302.55922948492037</v>
      </c>
      <c r="F45" s="9">
        <f t="shared" si="17"/>
        <v>2581.2084265432268</v>
      </c>
      <c r="G45" s="112">
        <f t="shared" si="18"/>
        <v>2.0530458951335043E-2</v>
      </c>
      <c r="H45" s="9">
        <f t="shared" si="19"/>
        <v>2.4065006829403716E-3</v>
      </c>
    </row>
    <row r="46" spans="1:8" x14ac:dyDescent="0.2">
      <c r="A46" s="265">
        <v>4</v>
      </c>
      <c r="B46" s="141">
        <f t="shared" si="20"/>
        <v>4096</v>
      </c>
      <c r="C46" s="140">
        <f t="shared" si="21"/>
        <v>32768</v>
      </c>
      <c r="D46" s="142">
        <f>SUM($C$43:C46)</f>
        <v>34952</v>
      </c>
      <c r="E46" s="112">
        <f t="shared" si="16"/>
        <v>4446.3690162980965</v>
      </c>
      <c r="F46" s="9">
        <f t="shared" si="17"/>
        <v>37941.769984778097</v>
      </c>
      <c r="G46" s="112">
        <f t="shared" si="18"/>
        <v>3.1063490585754123E-3</v>
      </c>
      <c r="H46" s="9">
        <f t="shared" si="19"/>
        <v>3.640308349715292E-4</v>
      </c>
    </row>
    <row r="47" spans="1:8" x14ac:dyDescent="0.2">
      <c r="A47" s="265">
        <v>5</v>
      </c>
      <c r="B47" s="141">
        <f t="shared" si="20"/>
        <v>65536</v>
      </c>
      <c r="C47" s="140">
        <f t="shared" si="21"/>
        <v>524288</v>
      </c>
      <c r="D47" s="142">
        <f>SUM($C$43:C47)</f>
        <v>559240</v>
      </c>
      <c r="E47" s="112">
        <f t="shared" si="16"/>
        <v>68347.904366303977</v>
      </c>
      <c r="F47" s="9">
        <f t="shared" si="17"/>
        <v>583234.89437579096</v>
      </c>
      <c r="G47" s="112">
        <f t="shared" si="18"/>
        <v>2.9550795556945015E-4</v>
      </c>
      <c r="H47" s="9">
        <f t="shared" si="19"/>
        <v>3.4629871568914035E-5</v>
      </c>
    </row>
    <row r="48" spans="1:8" x14ac:dyDescent="0.2">
      <c r="A48" s="265">
        <v>6</v>
      </c>
      <c r="B48" s="141">
        <f t="shared" si="20"/>
        <v>1048576</v>
      </c>
      <c r="C48" s="140">
        <f t="shared" si="21"/>
        <v>8388608</v>
      </c>
      <c r="D48" s="142">
        <f>SUM($C$43:C48)</f>
        <v>8947848</v>
      </c>
      <c r="E48" s="112">
        <f t="shared" si="16"/>
        <v>1071827.2221221686</v>
      </c>
      <c r="F48" s="9">
        <f t="shared" si="17"/>
        <v>9146258.4169496559</v>
      </c>
      <c r="G48" s="112">
        <f t="shared" si="18"/>
        <v>2.3244966065617005E-5</v>
      </c>
      <c r="H48" s="9">
        <f t="shared" si="19"/>
        <v>2.7240196231787149E-6</v>
      </c>
    </row>
    <row r="49" spans="1:8" x14ac:dyDescent="0.2">
      <c r="A49" s="265">
        <v>7</v>
      </c>
      <c r="B49" s="141">
        <f t="shared" si="20"/>
        <v>16777216</v>
      </c>
      <c r="C49" s="140">
        <f t="shared" si="21"/>
        <v>134217728</v>
      </c>
      <c r="D49" s="142">
        <f>SUM($C$43:C49)</f>
        <v>143165576</v>
      </c>
      <c r="E49" s="112">
        <f t="shared" si="16"/>
        <v>16972353.721133728</v>
      </c>
      <c r="F49" s="9">
        <f t="shared" si="17"/>
        <v>144830751.21413788</v>
      </c>
      <c r="G49" s="112">
        <f t="shared" si="18"/>
        <v>1.6579718179198197E-6</v>
      </c>
      <c r="H49" s="9">
        <f t="shared" si="19"/>
        <v>1.9429357313627883E-7</v>
      </c>
    </row>
    <row r="50" spans="1:8" x14ac:dyDescent="0.2">
      <c r="A50" s="265">
        <v>8</v>
      </c>
      <c r="B50" s="141">
        <f t="shared" si="20"/>
        <v>268435456</v>
      </c>
      <c r="C50" s="140">
        <f t="shared" si="21"/>
        <v>2147483648</v>
      </c>
      <c r="D50" s="142">
        <f>SUM($C$43:C50)</f>
        <v>2290649224</v>
      </c>
      <c r="E50" s="112">
        <f t="shared" si="16"/>
        <v>270085721.90891862</v>
      </c>
      <c r="F50" s="9">
        <f t="shared" si="17"/>
        <v>2304731493.0861602</v>
      </c>
      <c r="G50" s="112">
        <f t="shared" si="18"/>
        <v>1.1194675056200351E-7</v>
      </c>
      <c r="H50" s="9">
        <f t="shared" si="19"/>
        <v>1.3118759834539235E-8</v>
      </c>
    </row>
    <row r="51" spans="1:8" x14ac:dyDescent="0.2">
      <c r="A51" s="265">
        <v>9</v>
      </c>
      <c r="B51" s="141">
        <f t="shared" si="20"/>
        <v>4294967296</v>
      </c>
      <c r="C51" s="140">
        <f t="shared" si="21"/>
        <v>34359738368</v>
      </c>
      <c r="D51" s="142">
        <f>SUM($C$43:C51)</f>
        <v>36650387592</v>
      </c>
      <c r="E51" s="112">
        <f t="shared" si="16"/>
        <v>4308979356.3059883</v>
      </c>
      <c r="F51" s="9">
        <f t="shared" si="17"/>
        <v>36769957173.276031</v>
      </c>
      <c r="G51" s="112">
        <f t="shared" si="18"/>
        <v>7.3218735495799167E-9</v>
      </c>
      <c r="H51" s="9">
        <f t="shared" si="19"/>
        <v>8.5803205660388236E-10</v>
      </c>
    </row>
    <row r="52" spans="1:8" ht="17" thickBot="1" x14ac:dyDescent="0.25">
      <c r="A52" s="266">
        <v>10</v>
      </c>
      <c r="B52" s="143">
        <f t="shared" si="20"/>
        <v>68719476736</v>
      </c>
      <c r="C52" s="144">
        <f t="shared" si="21"/>
        <v>549755813888</v>
      </c>
      <c r="D52" s="145">
        <f>SUM($C$43:C52)</f>
        <v>586406201480</v>
      </c>
      <c r="E52" s="113">
        <f t="shared" si="16"/>
        <v>68838701366.738754</v>
      </c>
      <c r="F52" s="10">
        <f t="shared" si="17"/>
        <v>587423584995.63635</v>
      </c>
      <c r="G52" s="113">
        <f t="shared" si="18"/>
        <v>4.6999748524183286E-10</v>
      </c>
      <c r="H52" s="10">
        <f t="shared" si="19"/>
        <v>5.5077830301827387E-11</v>
      </c>
    </row>
  </sheetData>
  <conditionalFormatting sqref="O7:O16">
    <cfRule type="cellIs" dxfId="579" priority="63" operator="lessThanOrEqual">
      <formula>0</formula>
    </cfRule>
    <cfRule type="cellIs" dxfId="578" priority="64" operator="greaterThan">
      <formula>0</formula>
    </cfRule>
  </conditionalFormatting>
  <conditionalFormatting sqref="P7:P16 S7:S16">
    <cfRule type="cellIs" dxfId="577" priority="53" operator="lessThanOrEqual">
      <formula>0</formula>
    </cfRule>
    <cfRule type="cellIs" dxfId="576" priority="54" operator="greaterThan">
      <formula>0</formula>
    </cfRule>
  </conditionalFormatting>
  <conditionalFormatting sqref="G43:G52">
    <cfRule type="cellIs" dxfId="575" priority="30" operator="equal">
      <formula>MAX($G$43:$G$52)</formula>
    </cfRule>
  </conditionalFormatting>
  <conditionalFormatting sqref="H43:H52">
    <cfRule type="cellIs" dxfId="574" priority="29" operator="equal">
      <formula>MAX($H$43:$H$52)</formula>
    </cfRule>
  </conditionalFormatting>
  <conditionalFormatting sqref="G31:G40">
    <cfRule type="cellIs" dxfId="573" priority="28" operator="equal">
      <formula>MAX($G$31:$G$40)</formula>
    </cfRule>
  </conditionalFormatting>
  <conditionalFormatting sqref="H31:H40">
    <cfRule type="cellIs" dxfId="572" priority="27" operator="equal">
      <formula>MAX($H$31:$H$40)</formula>
    </cfRule>
  </conditionalFormatting>
  <conditionalFormatting sqref="F19:F28">
    <cfRule type="cellIs" dxfId="571" priority="23" stopIfTrue="1" operator="lessThan">
      <formula>0</formula>
    </cfRule>
    <cfRule type="cellIs" dxfId="570" priority="24" operator="equal">
      <formula>MIN($F$19:$F$28)</formula>
    </cfRule>
  </conditionalFormatting>
  <conditionalFormatting sqref="E19:E28">
    <cfRule type="cellIs" dxfId="569" priority="21" stopIfTrue="1" operator="lessThan">
      <formula>0</formula>
    </cfRule>
    <cfRule type="cellIs" dxfId="568" priority="22" operator="equal">
      <formula>MIN($E$19:$E$28)</formula>
    </cfRule>
  </conditionalFormatting>
  <conditionalFormatting sqref="F31:F40">
    <cfRule type="cellIs" dxfId="567" priority="19" stopIfTrue="1" operator="lessThan">
      <formula>0</formula>
    </cfRule>
    <cfRule type="cellIs" dxfId="566" priority="20" operator="equal">
      <formula>MIN($F$31:$F$40)</formula>
    </cfRule>
  </conditionalFormatting>
  <conditionalFormatting sqref="E31:E40">
    <cfRule type="cellIs" dxfId="565" priority="17" stopIfTrue="1" operator="lessThan">
      <formula>0</formula>
    </cfRule>
    <cfRule type="cellIs" dxfId="564" priority="18" operator="equal">
      <formula>MIN($E$31:$E$40)</formula>
    </cfRule>
  </conditionalFormatting>
  <conditionalFormatting sqref="F43:F52">
    <cfRule type="cellIs" dxfId="563" priority="15" stopIfTrue="1" operator="lessThan">
      <formula>0</formula>
    </cfRule>
    <cfRule type="cellIs" dxfId="562" priority="16" operator="equal">
      <formula>MIN($F$43:$F$52)</formula>
    </cfRule>
  </conditionalFormatting>
  <conditionalFormatting sqref="E43:E52">
    <cfRule type="cellIs" dxfId="561" priority="13" stopIfTrue="1" operator="lessThan">
      <formula>0</formula>
    </cfRule>
    <cfRule type="cellIs" dxfId="560" priority="14" operator="equal">
      <formula>MIN($E$43:$E$52)</formula>
    </cfRule>
  </conditionalFormatting>
  <conditionalFormatting sqref="Q7:Q16">
    <cfRule type="cellIs" dxfId="559" priority="7" operator="lessThanOrEqual">
      <formula>0</formula>
    </cfRule>
    <cfRule type="cellIs" dxfId="558" priority="8" operator="greaterThan">
      <formula>0</formula>
    </cfRule>
  </conditionalFormatting>
  <conditionalFormatting sqref="R7:R16">
    <cfRule type="cellIs" dxfId="557" priority="5" operator="lessThanOrEqual">
      <formula>0</formula>
    </cfRule>
    <cfRule type="cellIs" dxfId="556" priority="6" operator="greaterThan">
      <formula>0</formula>
    </cfRule>
  </conditionalFormatting>
  <conditionalFormatting sqref="G19:G28">
    <cfRule type="cellIs" dxfId="555" priority="3" operator="lessThanOrEqual">
      <formula>0</formula>
    </cfRule>
    <cfRule type="cellIs" dxfId="554" priority="4" operator="equal">
      <formula>MAX($G$19:$G$28)</formula>
    </cfRule>
  </conditionalFormatting>
  <conditionalFormatting sqref="H19:H28">
    <cfRule type="cellIs" dxfId="553" priority="1" operator="lessThanOrEqual">
      <formula>0</formula>
    </cfRule>
    <cfRule type="cellIs" dxfId="552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U52"/>
  <sheetViews>
    <sheetView topLeftCell="A28" workbookViewId="0">
      <selection activeCell="B43" sqref="B43:D52"/>
    </sheetView>
  </sheetViews>
  <sheetFormatPr baseColWidth="10" defaultColWidth="8.6640625" defaultRowHeight="16" x14ac:dyDescent="0.2"/>
  <cols>
    <col min="13" max="13" width="9.1640625" bestFit="1" customWidth="1"/>
    <col min="14" max="14" width="5.6640625" bestFit="1" customWidth="1"/>
  </cols>
  <sheetData>
    <row r="1" spans="1:21" x14ac:dyDescent="0.2">
      <c r="B1" s="202"/>
      <c r="C1" t="s">
        <v>99</v>
      </c>
      <c r="D1">
        <f>C2+E2</f>
        <v>0.99999999999999778</v>
      </c>
    </row>
    <row r="2" spans="1:21" x14ac:dyDescent="0.2">
      <c r="A2" t="s">
        <v>40</v>
      </c>
      <c r="B2" s="201" t="s">
        <v>129</v>
      </c>
      <c r="C2" s="222">
        <f>Analysis!B17</f>
        <v>0.65516055550697017</v>
      </c>
      <c r="D2" s="199" t="s">
        <v>130</v>
      </c>
      <c r="E2" s="222">
        <f>Analysis!L17</f>
        <v>0.34483944449302756</v>
      </c>
      <c r="F2" s="199" t="s">
        <v>49</v>
      </c>
      <c r="G2" s="222">
        <f>Analysis!S17</f>
        <v>11.789750334911494</v>
      </c>
      <c r="H2" t="s">
        <v>163</v>
      </c>
      <c r="I2" s="238">
        <f>Analysis!T17</f>
        <v>37.181298060725624</v>
      </c>
      <c r="J2" t="s">
        <v>50</v>
      </c>
      <c r="K2" s="238">
        <f>C2*G2-E2*I2</f>
        <v>-5.097398790081205</v>
      </c>
      <c r="L2" t="s">
        <v>49</v>
      </c>
      <c r="M2" s="267">
        <v>1</v>
      </c>
    </row>
    <row r="3" spans="1:21" x14ac:dyDescent="0.2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9</v>
      </c>
    </row>
    <row r="4" spans="1:21" x14ac:dyDescent="0.2">
      <c r="A4" t="s">
        <v>127</v>
      </c>
      <c r="B4" s="202">
        <f>$C$2</f>
        <v>0.65516055550697017</v>
      </c>
      <c r="C4">
        <f>B4*$C$2</f>
        <v>0.42923535349220171</v>
      </c>
      <c r="D4">
        <f t="shared" ref="D4:K4" si="0">C4*$C$2</f>
        <v>0.28121807263718157</v>
      </c>
      <c r="E4">
        <f t="shared" si="0"/>
        <v>0.18424298868757535</v>
      </c>
      <c r="F4">
        <f t="shared" si="0"/>
        <v>0.12070873881681629</v>
      </c>
      <c r="G4">
        <f t="shared" si="0"/>
        <v>7.9083604377771136E-2</v>
      </c>
      <c r="H4">
        <f t="shared" si="0"/>
        <v>5.1812458175633992E-2</v>
      </c>
      <c r="I4">
        <f t="shared" si="0"/>
        <v>3.3945478880530025E-2</v>
      </c>
      <c r="J4">
        <f t="shared" si="0"/>
        <v>2.2239738800318175E-2</v>
      </c>
      <c r="K4">
        <f t="shared" si="0"/>
        <v>1.4570599626746374E-2</v>
      </c>
    </row>
    <row r="5" spans="1:21" ht="17" thickBot="1" x14ac:dyDescent="0.25">
      <c r="A5" t="s">
        <v>128</v>
      </c>
      <c r="B5" s="202">
        <f>$E$2</f>
        <v>0.34483944449302756</v>
      </c>
      <c r="C5">
        <f>B5*$E$2</f>
        <v>0.11891424247825984</v>
      </c>
      <c r="D5">
        <f t="shared" ref="D5:K5" si="1">C5*$E$2</f>
        <v>4.1006321318512305E-2</v>
      </c>
      <c r="E5">
        <f t="shared" si="1"/>
        <v>1.4140597064178377E-2</v>
      </c>
      <c r="F5">
        <f t="shared" si="1"/>
        <v>4.8762356364110077E-3</v>
      </c>
      <c r="G5">
        <f t="shared" si="1"/>
        <v>1.6815183880770767E-3</v>
      </c>
      <c r="H5">
        <f t="shared" si="1"/>
        <v>5.7985386684931029E-4</v>
      </c>
      <c r="I5">
        <f t="shared" si="1"/>
        <v>1.9995648533145013E-4</v>
      </c>
      <c r="J5">
        <f t="shared" si="1"/>
        <v>6.8952883324475481E-5</v>
      </c>
      <c r="K5">
        <f t="shared" si="1"/>
        <v>2.3777673981804668E-5</v>
      </c>
    </row>
    <row r="6" spans="1:21" ht="17" thickBot="1" x14ac:dyDescent="0.25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">
      <c r="A7" s="208">
        <v>1</v>
      </c>
      <c r="B7" s="114">
        <f>C7*B4</f>
        <v>0.65516055550697017</v>
      </c>
      <c r="C7" s="114">
        <v>1</v>
      </c>
      <c r="D7" s="212">
        <f>C7*B5</f>
        <v>0.34483944449302756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0.99999999999999778</v>
      </c>
      <c r="O7" s="114">
        <f>B7/(B7+D7)</f>
        <v>0.65516055550697161</v>
      </c>
      <c r="P7" s="129">
        <f>B7-D7</f>
        <v>0.31032111101394261</v>
      </c>
      <c r="Q7" s="129">
        <f>($G$2*SUM(C7))*B7</f>
        <v>7.7241793787091018</v>
      </c>
      <c r="R7" s="58">
        <f>($I$2*SUM(C7))*D7*COUNT(D7:M7)</f>
        <v>12.821578168790307</v>
      </c>
      <c r="S7" s="58">
        <f>Q7-R7</f>
        <v>-5.097398790081205</v>
      </c>
      <c r="T7" s="129">
        <f>(S7+U7*D7)/B7</f>
        <v>-7.2540376639594806</v>
      </c>
      <c r="U7" s="58">
        <f t="shared" ref="U7:U16" si="2">COUNT(D7:M7)</f>
        <v>1</v>
      </c>
    </row>
    <row r="8" spans="1:21" x14ac:dyDescent="0.2">
      <c r="A8" s="209">
        <v>2</v>
      </c>
      <c r="B8" s="116">
        <f>C8*B4</f>
        <v>0.84637887347866947</v>
      </c>
      <c r="C8" s="116">
        <f>1/(1-B4*B5)</f>
        <v>1.2918648205610188</v>
      </c>
      <c r="D8" s="194">
        <f>C8*B5</f>
        <v>0.44548594708234646</v>
      </c>
      <c r="E8" s="1">
        <f>D8*B5</f>
        <v>0.15362112652132662</v>
      </c>
      <c r="F8" s="1"/>
      <c r="G8" s="1"/>
      <c r="H8" s="1"/>
      <c r="I8" s="1"/>
      <c r="J8" s="1"/>
      <c r="K8" s="1"/>
      <c r="L8" s="1"/>
      <c r="M8" s="9"/>
      <c r="N8">
        <f>B8+E8</f>
        <v>0.99999999999999611</v>
      </c>
      <c r="O8" s="116">
        <f>B8/(B8+E8)</f>
        <v>0.8463788734786728</v>
      </c>
      <c r="P8" s="112">
        <f>B8-E8</f>
        <v>0.69275774695734282</v>
      </c>
      <c r="Q8" s="112">
        <f>($G$2*SUM(C8:D8))*B8</f>
        <v>17.336320737923462</v>
      </c>
      <c r="R8" s="9">
        <f>($I$2*SUM(C8:D8))*E8*COUNT(D8:M8)</f>
        <v>19.846914524741422</v>
      </c>
      <c r="S8" s="9">
        <f t="shared" ref="S8:S16" si="3">Q8-R8</f>
        <v>-2.5105937868179602</v>
      </c>
      <c r="T8" s="112">
        <f>(S8+U8*E8)/B8</f>
        <v>-2.6032685867020713</v>
      </c>
      <c r="U8" s="9">
        <f t="shared" si="2"/>
        <v>2</v>
      </c>
    </row>
    <row r="9" spans="1:21" x14ac:dyDescent="0.2">
      <c r="A9" s="209">
        <v>3</v>
      </c>
      <c r="B9" s="116">
        <f>C9*B4</f>
        <v>0.92519136815942382</v>
      </c>
      <c r="C9" s="216">
        <f>1/(1-B5*B4/(1-B5*B4))</f>
        <v>1.4121597528769128</v>
      </c>
      <c r="D9" s="217">
        <f>C9*B5*C8</f>
        <v>0.62909732494194381</v>
      </c>
      <c r="E9" s="218">
        <f>D9*(B5)</f>
        <v>0.21693757206502956</v>
      </c>
      <c r="F9" s="218">
        <f>E9*B5</f>
        <v>7.4808631840570933E-2</v>
      </c>
      <c r="G9" s="218"/>
      <c r="H9" s="218"/>
      <c r="I9" s="218"/>
      <c r="J9" s="218"/>
      <c r="K9" s="218"/>
      <c r="L9" s="218"/>
      <c r="M9" s="219"/>
      <c r="N9">
        <f>B9+F9</f>
        <v>0.99999999999999478</v>
      </c>
      <c r="O9" s="116">
        <f>B9/(B9+F9)</f>
        <v>0.9251913681594286</v>
      </c>
      <c r="P9" s="112">
        <f>B9-F9</f>
        <v>0.85038273631885286</v>
      </c>
      <c r="Q9" s="112">
        <f>($G$2*SUM(C9:E9))*B9</f>
        <v>24.631879695008632</v>
      </c>
      <c r="R9" s="9">
        <f>($I$2*SUM(C9:E9))*F9*COUNT(D9:M9)</f>
        <v>18.843383570739338</v>
      </c>
      <c r="S9" s="9">
        <f t="shared" si="3"/>
        <v>5.7884961242692938</v>
      </c>
      <c r="T9" s="112">
        <f>(S9+U9*F9)/B9</f>
        <v>6.4991116721647728</v>
      </c>
      <c r="U9" s="9">
        <f t="shared" si="2"/>
        <v>3</v>
      </c>
    </row>
    <row r="10" spans="1:21" x14ac:dyDescent="0.2">
      <c r="A10" s="209">
        <v>4</v>
      </c>
      <c r="B10" s="116">
        <f>C10*B4</f>
        <v>0.96211662814087162</v>
      </c>
      <c r="C10" s="116">
        <f>1/(1-B5*B4/(1-B5*B4/(1-B5*B4)))</f>
        <v>1.468520380315594</v>
      </c>
      <c r="D10" s="194">
        <f>C10*B5*C9</f>
        <v>0.7151229975269926</v>
      </c>
      <c r="E10" s="1">
        <f>D10*B5*C8</f>
        <v>0.3185772458336788</v>
      </c>
      <c r="F10" s="1">
        <f>E10*B5</f>
        <v>0.10985800048140447</v>
      </c>
      <c r="G10" s="1">
        <f>F10*B5</f>
        <v>3.7883371859122272E-2</v>
      </c>
      <c r="H10" s="1"/>
      <c r="I10" s="1"/>
      <c r="J10" s="1"/>
      <c r="K10" s="1"/>
      <c r="L10" s="1"/>
      <c r="M10" s="9"/>
      <c r="N10">
        <f>B10+G10</f>
        <v>0.99999999999999389</v>
      </c>
      <c r="O10" s="116">
        <f>B10/(B10+G10)</f>
        <v>0.96211662814087751</v>
      </c>
      <c r="P10" s="112">
        <f>B10-G10</f>
        <v>0.92423325628174935</v>
      </c>
      <c r="Q10" s="112">
        <f>($G$2*SUM(C10:F10))*B10</f>
        <v>29.629107801919897</v>
      </c>
      <c r="R10" s="9">
        <f>($I$2*SUM(C10:F10))*G10*COUNT(D10:M10)</f>
        <v>14.71700410895369</v>
      </c>
      <c r="S10" s="9">
        <f t="shared" si="3"/>
        <v>14.912103692966207</v>
      </c>
      <c r="T10" s="112">
        <f>(S10+U10*G10)/B10</f>
        <v>15.656768358229749</v>
      </c>
      <c r="U10" s="9">
        <f t="shared" si="2"/>
        <v>4</v>
      </c>
    </row>
    <row r="11" spans="1:21" x14ac:dyDescent="0.2">
      <c r="A11" s="209">
        <v>5</v>
      </c>
      <c r="B11" s="116">
        <f>C11*B4</f>
        <v>0.9804501540118854</v>
      </c>
      <c r="C11" s="116">
        <f>1/(1-B5*B4/(1-B5*B4/(1-B5*B4/(1-B5*B4))))</f>
        <v>1.4965036368118998</v>
      </c>
      <c r="D11" s="194">
        <f>C11*B5*C10</f>
        <v>0.7578350568246589</v>
      </c>
      <c r="E11" s="1">
        <f>D11*B5*C9</f>
        <v>0.36904171350418807</v>
      </c>
      <c r="F11" s="1">
        <f>E11*B5*C8</f>
        <v>0.16440289725330517</v>
      </c>
      <c r="G11" s="1">
        <f>F11*B5</f>
        <v>5.6692603761874044E-2</v>
      </c>
      <c r="H11" s="1">
        <f>G11*B5</f>
        <v>1.954984598810797E-2</v>
      </c>
      <c r="I11" s="1"/>
      <c r="J11" s="1"/>
      <c r="K11" s="1"/>
      <c r="L11" s="1"/>
      <c r="M11" s="9"/>
      <c r="N11">
        <f>B11+H11</f>
        <v>0.99999999999999334</v>
      </c>
      <c r="O11" s="116">
        <f>B11/(B11+H11)</f>
        <v>0.98045015401189195</v>
      </c>
      <c r="P11" s="112">
        <f>B11-H11</f>
        <v>0.96090030802377746</v>
      </c>
      <c r="Q11" s="112">
        <f>($G$2*SUM(C11:G11))*B11</f>
        <v>32.880043787258643</v>
      </c>
      <c r="R11" s="9">
        <f>($I$2*SUM(C11:G11))*H11*COUNT(D11:M11)</f>
        <v>10.338086274497906</v>
      </c>
      <c r="S11" s="9">
        <f t="shared" si="3"/>
        <v>22.541957512760739</v>
      </c>
      <c r="T11" s="112">
        <f>(S11+U11*H11)/B11</f>
        <v>23.091134873162385</v>
      </c>
      <c r="U11" s="9">
        <f t="shared" si="2"/>
        <v>5</v>
      </c>
    </row>
    <row r="12" spans="1:21" x14ac:dyDescent="0.2">
      <c r="A12" s="209">
        <v>6</v>
      </c>
      <c r="B12" s="116">
        <f>C12*B4</f>
        <v>0.98981487157604209</v>
      </c>
      <c r="C12" s="116">
        <f>1/(1-B5*B4/(1-B5*B4/(1-B5*B4/(1-B5*B4/(1-B5*B4)))))</f>
        <v>1.5107974118040621</v>
      </c>
      <c r="D12" s="194">
        <f>C12*B5*C11</f>
        <v>0.77965226616672878</v>
      </c>
      <c r="E12" s="1">
        <f>D12*B5*C10</f>
        <v>0.39481883297835418</v>
      </c>
      <c r="F12" s="1">
        <f>E12*B5*C9</f>
        <v>0.19226428935151191</v>
      </c>
      <c r="G12" s="1">
        <f>F12*B5*C8</f>
        <v>8.5651039031872586E-2</v>
      </c>
      <c r="H12" s="1">
        <f>G12*B5</f>
        <v>2.9535856720001565E-2</v>
      </c>
      <c r="I12" s="1">
        <f>H12*B5</f>
        <v>1.0185128423950994E-2</v>
      </c>
      <c r="J12" s="1"/>
      <c r="K12" s="1"/>
      <c r="L12" s="1"/>
      <c r="M12" s="9"/>
      <c r="N12">
        <f>B12+I12</f>
        <v>0.99999999999999312</v>
      </c>
      <c r="O12" s="116">
        <f>B12/(B12+I12)</f>
        <v>0.98981487157604886</v>
      </c>
      <c r="P12" s="112">
        <f>B12-I12</f>
        <v>0.97962974315209106</v>
      </c>
      <c r="Q12" s="112">
        <f>($G$2*SUM(C12:H12))*B12</f>
        <v>34.924051894869862</v>
      </c>
      <c r="R12" s="9">
        <f>($I$2*SUM(C12:H12))*I12*COUNT(D12:M12)</f>
        <v>6.7999911780987983</v>
      </c>
      <c r="S12" s="9">
        <f t="shared" si="3"/>
        <v>28.124060716771062</v>
      </c>
      <c r="T12" s="112">
        <f>(S12+U12*I12)/B12</f>
        <v>28.475195005341416</v>
      </c>
      <c r="U12" s="9">
        <f t="shared" si="2"/>
        <v>6</v>
      </c>
    </row>
    <row r="13" spans="1:21" x14ac:dyDescent="0.2">
      <c r="A13" s="209">
        <v>7</v>
      </c>
      <c r="B13" s="116">
        <f>C13*B4</f>
        <v>0.99466771045712887</v>
      </c>
      <c r="C13" s="216">
        <f>1/(1-B5*B4/(1-B5*B4/(1-B5*B4/(1-B5*B4/(1-B5*B4/(1-B5*B4))))))</f>
        <v>1.5182045104767403</v>
      </c>
      <c r="D13" s="217">
        <f>C13*B5*C12</f>
        <v>0.79095804245380463</v>
      </c>
      <c r="E13" s="218">
        <f>D13*B5*C11</f>
        <v>0.40817665255696478</v>
      </c>
      <c r="F13" s="218">
        <f>E13*B5*C10</f>
        <v>0.20670218840496354</v>
      </c>
      <c r="G13" s="218">
        <f>F13*B5*C9</f>
        <v>0.10065743080513451</v>
      </c>
      <c r="H13" s="218">
        <f>G13*B5*C8</f>
        <v>4.4841470893101101E-2</v>
      </c>
      <c r="I13" s="218">
        <f>H13*B5</f>
        <v>1.5463107913027248E-2</v>
      </c>
      <c r="J13" s="218">
        <f>I13*B5</f>
        <v>5.3322895428640545E-3</v>
      </c>
      <c r="K13" s="218"/>
      <c r="L13" s="218"/>
      <c r="M13" s="219"/>
      <c r="N13">
        <f>B13+J13</f>
        <v>0.99999999999999289</v>
      </c>
      <c r="O13" s="116">
        <f>B13/(B13+J13)</f>
        <v>0.99466771045713598</v>
      </c>
      <c r="P13" s="112">
        <f>B13-J13</f>
        <v>0.98933542091426485</v>
      </c>
      <c r="Q13" s="112">
        <f>($G$2*SUM(C13:I13))*B13</f>
        <v>36.177476967617615</v>
      </c>
      <c r="R13" s="9">
        <f>($I$2*SUM(C13:I13))*J13*COUNT(D13:M13)</f>
        <v>4.2814606679801157</v>
      </c>
      <c r="S13" s="9">
        <f t="shared" si="3"/>
        <v>31.896016299637498</v>
      </c>
      <c r="T13" s="112">
        <f>(S13+U13*J13)/B13</f>
        <v>32.104532991989494</v>
      </c>
      <c r="U13" s="9">
        <f t="shared" si="2"/>
        <v>7</v>
      </c>
    </row>
    <row r="14" spans="1:21" x14ac:dyDescent="0.2">
      <c r="A14" s="209">
        <v>8</v>
      </c>
      <c r="B14" s="116">
        <f>C14*B4</f>
        <v>0.99720123955393503</v>
      </c>
      <c r="C14" s="116">
        <f>1/(1-B5*B4/(1-B5*B4/(1-B5*B4/(1-B5*B4/(1-B5*B4/(1-B5*B4/(1-B5*B4)))))))</f>
        <v>1.5220715459316536</v>
      </c>
      <c r="D14" s="194">
        <f>C14*B5*C13</f>
        <v>0.79686046655795573</v>
      </c>
      <c r="E14" s="1">
        <f>D14*B5*C12</f>
        <v>0.41515039007464627</v>
      </c>
      <c r="F14" s="1">
        <f>E14*B5*C11</f>
        <v>0.21423980468380432</v>
      </c>
      <c r="G14" s="1">
        <f>F14*B5*C10</f>
        <v>0.10849184095705745</v>
      </c>
      <c r="H14" s="1">
        <f>G14*B5*C9</f>
        <v>5.2832096545884624E-2</v>
      </c>
      <c r="I14" s="1">
        <f>H14*B5*C8</f>
        <v>2.3535956566089377E-2</v>
      </c>
      <c r="J14" s="1">
        <f>I14*B5</f>
        <v>8.116126187862286E-3</v>
      </c>
      <c r="K14" s="1">
        <f>J14*B5</f>
        <v>2.7987604460577441E-3</v>
      </c>
      <c r="L14" s="1"/>
      <c r="M14" s="9"/>
      <c r="N14">
        <f>B14+K14</f>
        <v>0.99999999999999278</v>
      </c>
      <c r="O14" s="116">
        <f>B14/(B14+K14)</f>
        <v>0.99720123955394224</v>
      </c>
      <c r="P14" s="112">
        <f>B14-K14</f>
        <v>0.99440247910787727</v>
      </c>
      <c r="Q14" s="112">
        <f>($G$2*SUM(C14:J14))*B14</f>
        <v>36.931469395691011</v>
      </c>
      <c r="R14" s="9">
        <f>($I$2*SUM(C14:J14))*K14*COUNT(D14:M14)</f>
        <v>2.6151068086909017</v>
      </c>
      <c r="S14" s="9">
        <f t="shared" si="3"/>
        <v>34.316362587000107</v>
      </c>
      <c r="T14" s="112">
        <f>(S14+U14*K14)/B14</f>
        <v>34.435128345737787</v>
      </c>
      <c r="U14" s="9">
        <f t="shared" si="2"/>
        <v>8</v>
      </c>
    </row>
    <row r="15" spans="1:21" x14ac:dyDescent="0.2">
      <c r="A15" s="209">
        <v>9</v>
      </c>
      <c r="B15" s="116">
        <f>C15*B4</f>
        <v>0.99852905772611689</v>
      </c>
      <c r="C15" s="116">
        <f>1/(1-B5*B4/(1-B5*B4/(1-B5*B4/(1-B5*B4/(1-B5*B4/(1-B5*B4/(1-B5*B4/(1-B5*B4))))))))</f>
        <v>1.524098252455758</v>
      </c>
      <c r="D15" s="194">
        <f>C15*B5*C14</f>
        <v>0.79995391671619398</v>
      </c>
      <c r="E15" s="1">
        <f>D15*B5*C13</f>
        <v>0.41880531372074814</v>
      </c>
      <c r="F15" s="1">
        <f>E15*B5*C12</f>
        <v>0.21819025620322677</v>
      </c>
      <c r="G15" s="1">
        <f>F15*B5*C11</f>
        <v>0.11259784162670188</v>
      </c>
      <c r="H15" s="1">
        <f>G15*B5*C10</f>
        <v>5.7019969486536592E-2</v>
      </c>
      <c r="I15" s="1">
        <f>H15*B5*C9</f>
        <v>2.7766922437499043E-2</v>
      </c>
      <c r="J15" s="1">
        <f>I15*B5*C8</f>
        <v>1.2369773739631317E-2</v>
      </c>
      <c r="K15" s="1">
        <f>J15*B5</f>
        <v>4.2655859048789033E-3</v>
      </c>
      <c r="L15" s="1">
        <f>K15*B5</f>
        <v>1.4709422738757292E-3</v>
      </c>
      <c r="M15" s="9"/>
      <c r="N15">
        <f>B15+L15</f>
        <v>0.99999999999999256</v>
      </c>
      <c r="O15" s="116">
        <f>B15/(B15+L15)</f>
        <v>0.99852905772612433</v>
      </c>
      <c r="P15" s="112">
        <f>B15-L15</f>
        <v>0.99705811545224121</v>
      </c>
      <c r="Q15" s="112">
        <f>($G$2*SUM(C15:K15))*B15</f>
        <v>37.378194878893609</v>
      </c>
      <c r="R15" s="9">
        <f>($I$2*SUM(C15:K15))*L15*COUNT(D15:M15)</f>
        <v>1.5628442331879355</v>
      </c>
      <c r="S15" s="9">
        <f t="shared" si="3"/>
        <v>35.815350645705671</v>
      </c>
      <c r="T15" s="112">
        <f>(S15+U15*L15)/B15</f>
        <v>35.88136854801261</v>
      </c>
      <c r="U15" s="9">
        <f t="shared" si="2"/>
        <v>9</v>
      </c>
    </row>
    <row r="16" spans="1:21" ht="17" thickBot="1" x14ac:dyDescent="0.25">
      <c r="A16" s="210">
        <v>10</v>
      </c>
      <c r="B16" s="195">
        <f>C16*B4</f>
        <v>0.99922637817363691</v>
      </c>
      <c r="C16" s="195">
        <f>1/(1-B5*B4/(1-B5*B4/(1-B5*B4/(1-B5*B4/(1-B5*B4/(1-B5*B4/(1-B5*B4/(1-B5*B4/(1-B5*B4)))))))))</f>
        <v>1.5251626029293308</v>
      </c>
      <c r="D16" s="213">
        <f>C16*B5*C15</f>
        <v>0.80157848105332641</v>
      </c>
      <c r="E16" s="131">
        <f>D16*B5*C14</f>
        <v>0.4207247429362429</v>
      </c>
      <c r="F16" s="131">
        <f>E16*B5*C13</f>
        <v>0.22026488560591276</v>
      </c>
      <c r="G16" s="131">
        <f>F16*B5*C12</f>
        <v>0.11475415962600191</v>
      </c>
      <c r="H16" s="131">
        <f>G16*B5*C11</f>
        <v>5.9219283740786686E-2</v>
      </c>
      <c r="I16" s="131">
        <f>H16*B5*C10</f>
        <v>2.9988867487433707E-2</v>
      </c>
      <c r="J16" s="131">
        <f>I16*B5*C9</f>
        <v>1.4603630359862316E-2</v>
      </c>
      <c r="K16" s="131">
        <f>J16*B5*C8</f>
        <v>6.5057121017037716E-3</v>
      </c>
      <c r="L16" s="131">
        <f>K16*B5</f>
        <v>2.2434261471830953E-3</v>
      </c>
      <c r="M16" s="10">
        <f>L16*B5</f>
        <v>7.7362182635575167E-4</v>
      </c>
      <c r="N16">
        <f>B16+M16</f>
        <v>0.99999999999999267</v>
      </c>
      <c r="O16" s="195">
        <f>B16/(B16+M16)</f>
        <v>0.99922637817364424</v>
      </c>
      <c r="P16" s="113">
        <f>B16-M16</f>
        <v>0.99845275634728115</v>
      </c>
      <c r="Q16" s="113">
        <f>($G$2*SUM(C16:L16))*B16</f>
        <v>37.639650796329875</v>
      </c>
      <c r="R16" s="10">
        <f>($I$2*SUM(C16:L16))*M16*COUNT(D16:M16)</f>
        <v>0.91903139732704053</v>
      </c>
      <c r="S16" s="10">
        <f t="shared" si="3"/>
        <v>36.720619399002835</v>
      </c>
      <c r="T16" s="113">
        <f>(S16+U16*M16)/B16</f>
        <v>36.756791473417309</v>
      </c>
      <c r="U16" s="10">
        <f t="shared" si="2"/>
        <v>10</v>
      </c>
    </row>
    <row r="17" spans="1:8" ht="17" thickBot="1" x14ac:dyDescent="0.25"/>
    <row r="18" spans="1:8" ht="17" thickBot="1" x14ac:dyDescent="0.25">
      <c r="A18" s="138" t="s">
        <v>140</v>
      </c>
      <c r="B18" s="139" t="s">
        <v>145</v>
      </c>
      <c r="C18" s="139" t="s">
        <v>144</v>
      </c>
      <c r="D18" s="241" t="s">
        <v>143</v>
      </c>
      <c r="E18" s="231" t="s">
        <v>157</v>
      </c>
      <c r="F18" s="234" t="s">
        <v>156</v>
      </c>
      <c r="G18" s="255" t="s">
        <v>158</v>
      </c>
      <c r="H18" s="256" t="s">
        <v>159</v>
      </c>
    </row>
    <row r="19" spans="1:8" x14ac:dyDescent="0.2">
      <c r="A19" s="264">
        <v>1</v>
      </c>
      <c r="B19" s="146">
        <v>1</v>
      </c>
      <c r="C19" s="150">
        <f>B19*$M$3</f>
        <v>9</v>
      </c>
      <c r="D19" s="151">
        <f>SUM($C$19:C19)</f>
        <v>9</v>
      </c>
      <c r="E19" s="9">
        <f>B19/P7</f>
        <v>3.2224684834770083</v>
      </c>
      <c r="F19" s="9">
        <f>D19/P7</f>
        <v>29.002216351293075</v>
      </c>
      <c r="G19" s="8">
        <f>S7/E19</f>
        <v>-1.5818304558191263</v>
      </c>
      <c r="H19" s="8">
        <f>S7/F19</f>
        <v>-0.17575893953545849</v>
      </c>
    </row>
    <row r="20" spans="1:8" x14ac:dyDescent="0.2">
      <c r="A20" s="265">
        <v>2</v>
      </c>
      <c r="B20" s="141">
        <f>B19*($M$3+1)</f>
        <v>10</v>
      </c>
      <c r="C20" s="140">
        <f>B20*$M$3</f>
        <v>90</v>
      </c>
      <c r="D20" s="142">
        <f>SUM($C$19:C20)</f>
        <v>99</v>
      </c>
      <c r="E20" s="9">
        <f t="shared" ref="E20:E28" si="4">B20/P8</f>
        <v>14.435060515628935</v>
      </c>
      <c r="F20" s="9">
        <f t="shared" ref="F20:F28" si="5">D20/P8</f>
        <v>142.90709910472646</v>
      </c>
      <c r="G20" s="9">
        <f t="shared" ref="G20:G28" si="6">S8/E20</f>
        <v>-0.17392332952811135</v>
      </c>
      <c r="H20" s="9">
        <f t="shared" ref="H20:H28" si="7">S8/F20</f>
        <v>-1.756801308364761E-2</v>
      </c>
    </row>
    <row r="21" spans="1:8" x14ac:dyDescent="0.2">
      <c r="A21" s="265">
        <v>3</v>
      </c>
      <c r="B21" s="141">
        <f t="shared" ref="B21:B28" si="8">B20*($M$3+1)</f>
        <v>100</v>
      </c>
      <c r="C21" s="140">
        <f t="shared" ref="C21:C28" si="9">B21*$M$3</f>
        <v>900</v>
      </c>
      <c r="D21" s="142">
        <f>SUM($C$19:C21)</f>
        <v>999</v>
      </c>
      <c r="E21" s="9">
        <f t="shared" si="4"/>
        <v>117.59410878080759</v>
      </c>
      <c r="F21" s="9">
        <f t="shared" si="5"/>
        <v>1174.7651467202679</v>
      </c>
      <c r="G21" s="9">
        <f t="shared" si="6"/>
        <v>4.9224371733271967E-2</v>
      </c>
      <c r="H21" s="9">
        <f t="shared" si="7"/>
        <v>4.9273645378650616E-3</v>
      </c>
    </row>
    <row r="22" spans="1:8" x14ac:dyDescent="0.2">
      <c r="A22" s="265">
        <v>4</v>
      </c>
      <c r="B22" s="141">
        <f t="shared" si="8"/>
        <v>1000</v>
      </c>
      <c r="C22" s="140">
        <f t="shared" si="9"/>
        <v>9000</v>
      </c>
      <c r="D22" s="142">
        <f>SUM($C$19:C22)</f>
        <v>9999</v>
      </c>
      <c r="E22" s="9">
        <f t="shared" si="4"/>
        <v>1081.9779457223442</v>
      </c>
      <c r="F22" s="9">
        <f t="shared" si="5"/>
        <v>10818.69747927772</v>
      </c>
      <c r="G22" s="9">
        <f t="shared" si="6"/>
        <v>1.3782262154161257E-2</v>
      </c>
      <c r="H22" s="9">
        <f t="shared" si="7"/>
        <v>1.3783640518213079E-3</v>
      </c>
    </row>
    <row r="23" spans="1:8" x14ac:dyDescent="0.2">
      <c r="A23" s="265">
        <v>5</v>
      </c>
      <c r="B23" s="141">
        <f t="shared" si="8"/>
        <v>10000</v>
      </c>
      <c r="C23" s="140">
        <f t="shared" si="9"/>
        <v>90000</v>
      </c>
      <c r="D23" s="142">
        <f>SUM($C$19:C23)</f>
        <v>99999</v>
      </c>
      <c r="E23" s="9">
        <f t="shared" si="4"/>
        <v>10406.906852352211</v>
      </c>
      <c r="F23" s="9">
        <f t="shared" si="5"/>
        <v>104068.02783283687</v>
      </c>
      <c r="G23" s="9">
        <f t="shared" si="6"/>
        <v>2.16605739174707E-3</v>
      </c>
      <c r="H23" s="9">
        <f t="shared" si="7"/>
        <v>2.1660790525375952E-4</v>
      </c>
    </row>
    <row r="24" spans="1:8" x14ac:dyDescent="0.2">
      <c r="A24" s="265">
        <v>6</v>
      </c>
      <c r="B24" s="141">
        <f t="shared" si="8"/>
        <v>100000</v>
      </c>
      <c r="C24" s="140">
        <f t="shared" si="9"/>
        <v>900000</v>
      </c>
      <c r="D24" s="142">
        <f>SUM($C$19:C24)</f>
        <v>999999</v>
      </c>
      <c r="E24" s="9">
        <f t="shared" si="4"/>
        <v>102079.38325579671</v>
      </c>
      <c r="F24" s="9">
        <f t="shared" si="5"/>
        <v>1020792.8117641346</v>
      </c>
      <c r="G24" s="9">
        <f t="shared" si="6"/>
        <v>2.7551166376364251E-4</v>
      </c>
      <c r="H24" s="9">
        <f t="shared" si="7"/>
        <v>2.7551193927558176E-5</v>
      </c>
    </row>
    <row r="25" spans="1:8" x14ac:dyDescent="0.2">
      <c r="A25" s="265">
        <v>7</v>
      </c>
      <c r="B25" s="141">
        <f t="shared" si="8"/>
        <v>1000000</v>
      </c>
      <c r="C25" s="140">
        <f t="shared" si="9"/>
        <v>9000000</v>
      </c>
      <c r="D25" s="142">
        <f>SUM($C$19:C25)</f>
        <v>9999999</v>
      </c>
      <c r="E25" s="9">
        <f t="shared" si="4"/>
        <v>1010779.5383247067</v>
      </c>
      <c r="F25" s="9">
        <f t="shared" si="5"/>
        <v>10107794.372467529</v>
      </c>
      <c r="G25" s="9">
        <f t="shared" si="6"/>
        <v>3.1555858711290116E-5</v>
      </c>
      <c r="H25" s="9">
        <f t="shared" si="7"/>
        <v>3.1555861866876302E-6</v>
      </c>
    </row>
    <row r="26" spans="1:8" x14ac:dyDescent="0.2">
      <c r="A26" s="265">
        <v>8</v>
      </c>
      <c r="B26" s="141">
        <f t="shared" si="8"/>
        <v>10000000</v>
      </c>
      <c r="C26" s="140">
        <f t="shared" si="9"/>
        <v>90000000</v>
      </c>
      <c r="D26" s="142">
        <f>SUM($C$19:C26)</f>
        <v>99999999</v>
      </c>
      <c r="E26" s="9">
        <f t="shared" si="4"/>
        <v>10056290.295023646</v>
      </c>
      <c r="F26" s="9">
        <f t="shared" si="5"/>
        <v>100562901.94460744</v>
      </c>
      <c r="G26" s="9">
        <f t="shared" si="6"/>
        <v>3.4124276030477714E-6</v>
      </c>
      <c r="H26" s="9">
        <f t="shared" si="7"/>
        <v>3.4124276371720479E-7</v>
      </c>
    </row>
    <row r="27" spans="1:8" x14ac:dyDescent="0.2">
      <c r="A27" s="265">
        <v>9</v>
      </c>
      <c r="B27" s="141">
        <f t="shared" si="8"/>
        <v>100000000</v>
      </c>
      <c r="C27" s="140">
        <f t="shared" si="9"/>
        <v>900000000</v>
      </c>
      <c r="D27" s="142">
        <f>SUM($C$19:C27)</f>
        <v>999999999</v>
      </c>
      <c r="E27" s="9">
        <f t="shared" si="4"/>
        <v>100295056.47686589</v>
      </c>
      <c r="F27" s="9">
        <f t="shared" si="5"/>
        <v>1002950563.7657083</v>
      </c>
      <c r="G27" s="9">
        <f t="shared" si="6"/>
        <v>3.5709986019068507E-7</v>
      </c>
      <c r="H27" s="9">
        <f t="shared" si="7"/>
        <v>3.570998605477849E-8</v>
      </c>
    </row>
    <row r="28" spans="1:8" ht="17" thickBot="1" x14ac:dyDescent="0.25">
      <c r="A28" s="266">
        <v>10</v>
      </c>
      <c r="B28" s="143">
        <f t="shared" si="8"/>
        <v>1000000000</v>
      </c>
      <c r="C28" s="144">
        <f t="shared" si="9"/>
        <v>9000000000</v>
      </c>
      <c r="D28" s="145">
        <f>SUM($C$19:C28)</f>
        <v>9999999999</v>
      </c>
      <c r="E28" s="9">
        <f t="shared" si="4"/>
        <v>1001549641.3254236</v>
      </c>
      <c r="F28" s="9">
        <f t="shared" si="5"/>
        <v>10015496412.252686</v>
      </c>
      <c r="G28" s="10">
        <f t="shared" si="6"/>
        <v>3.6663803653713827E-8</v>
      </c>
      <c r="H28" s="10">
        <f t="shared" si="7"/>
        <v>3.6663803657380207E-9</v>
      </c>
    </row>
    <row r="29" spans="1:8" ht="17" thickBot="1" x14ac:dyDescent="0.25"/>
    <row r="30" spans="1:8" ht="17" thickBot="1" x14ac:dyDescent="0.25">
      <c r="A30" s="29" t="s">
        <v>140</v>
      </c>
      <c r="B30" s="19" t="s">
        <v>145</v>
      </c>
      <c r="C30" s="19" t="s">
        <v>144</v>
      </c>
      <c r="D30" s="19" t="s">
        <v>143</v>
      </c>
      <c r="E30" s="231" t="s">
        <v>157</v>
      </c>
      <c r="F30" s="234" t="s">
        <v>156</v>
      </c>
      <c r="G30" s="257" t="s">
        <v>158</v>
      </c>
      <c r="H30" s="258" t="s">
        <v>159</v>
      </c>
    </row>
    <row r="31" spans="1:8" x14ac:dyDescent="0.2">
      <c r="A31" s="264">
        <v>1</v>
      </c>
      <c r="B31" s="146">
        <v>1</v>
      </c>
      <c r="C31" s="150">
        <f>B31*$M$3</f>
        <v>9</v>
      </c>
      <c r="D31" s="151">
        <f>SUM($C$31:C31)</f>
        <v>9</v>
      </c>
      <c r="E31" s="129">
        <f>B31/P7</f>
        <v>3.2224684834770083</v>
      </c>
      <c r="F31" s="58">
        <f>D31/P7</f>
        <v>29.002216351293075</v>
      </c>
      <c r="G31" s="28">
        <f>S7/E31</f>
        <v>-1.5818304558191263</v>
      </c>
      <c r="H31" s="8">
        <f>S7/F31</f>
        <v>-0.17575893953545849</v>
      </c>
    </row>
    <row r="32" spans="1:8" x14ac:dyDescent="0.2">
      <c r="A32" s="265">
        <v>2</v>
      </c>
      <c r="B32" s="141">
        <f>C31</f>
        <v>9</v>
      </c>
      <c r="C32" s="140">
        <f>B32*$M$3</f>
        <v>81</v>
      </c>
      <c r="D32" s="142">
        <f>SUM($C$31:C32)</f>
        <v>90</v>
      </c>
      <c r="E32" s="112">
        <f t="shared" ref="E32:E40" si="10">B32/P8</f>
        <v>12.991554464066041</v>
      </c>
      <c r="F32" s="9">
        <f t="shared" ref="F32:F40" si="11">D32/P8</f>
        <v>129.91554464066041</v>
      </c>
      <c r="G32" s="112">
        <f t="shared" ref="G32:G40" si="12">S8/E32</f>
        <v>-0.19324814392012371</v>
      </c>
      <c r="H32" s="9">
        <f t="shared" ref="H32:H40" si="13">S8/F32</f>
        <v>-1.9324814392012373E-2</v>
      </c>
    </row>
    <row r="33" spans="1:8" x14ac:dyDescent="0.2">
      <c r="A33" s="265">
        <v>3</v>
      </c>
      <c r="B33" s="141">
        <f t="shared" ref="B33:B40" si="14">C32</f>
        <v>81</v>
      </c>
      <c r="C33" s="140">
        <f t="shared" ref="C33:C40" si="15">B33*$M$3</f>
        <v>729</v>
      </c>
      <c r="D33" s="142">
        <f>SUM($C$31:C33)</f>
        <v>819</v>
      </c>
      <c r="E33" s="112">
        <f t="shared" si="10"/>
        <v>95.251228112454143</v>
      </c>
      <c r="F33" s="9">
        <f t="shared" si="11"/>
        <v>963.09575091481418</v>
      </c>
      <c r="G33" s="112">
        <f t="shared" si="12"/>
        <v>6.0770829300335762E-2</v>
      </c>
      <c r="H33" s="9">
        <f t="shared" si="13"/>
        <v>6.0103017989343059E-3</v>
      </c>
    </row>
    <row r="34" spans="1:8" x14ac:dyDescent="0.2">
      <c r="A34" s="265">
        <v>4</v>
      </c>
      <c r="B34" s="141">
        <f t="shared" si="14"/>
        <v>729</v>
      </c>
      <c r="C34" s="140">
        <f t="shared" si="15"/>
        <v>6561</v>
      </c>
      <c r="D34" s="142">
        <f>SUM($C$31:C34)</f>
        <v>7380</v>
      </c>
      <c r="E34" s="112">
        <f t="shared" si="10"/>
        <v>788.76192243158891</v>
      </c>
      <c r="F34" s="9">
        <f t="shared" si="11"/>
        <v>7984.9972394308998</v>
      </c>
      <c r="G34" s="112">
        <f t="shared" si="12"/>
        <v>1.8905709402141643E-2</v>
      </c>
      <c r="H34" s="9">
        <f t="shared" si="13"/>
        <v>1.8675151970408209E-3</v>
      </c>
    </row>
    <row r="35" spans="1:8" x14ac:dyDescent="0.2">
      <c r="A35" s="265">
        <v>5</v>
      </c>
      <c r="B35" s="141">
        <f t="shared" si="14"/>
        <v>6561</v>
      </c>
      <c r="C35" s="140">
        <f t="shared" si="15"/>
        <v>59049</v>
      </c>
      <c r="D35" s="142">
        <f>SUM($C$31:C35)</f>
        <v>66429</v>
      </c>
      <c r="E35" s="112">
        <f t="shared" si="10"/>
        <v>6827.9715858282862</v>
      </c>
      <c r="F35" s="9">
        <f t="shared" si="11"/>
        <v>69132.041529490496</v>
      </c>
      <c r="G35" s="112">
        <f t="shared" si="12"/>
        <v>3.3014134914602497E-3</v>
      </c>
      <c r="H35" s="9">
        <f t="shared" si="13"/>
        <v>3.260710520626639E-4</v>
      </c>
    </row>
    <row r="36" spans="1:8" x14ac:dyDescent="0.2">
      <c r="A36" s="265">
        <v>6</v>
      </c>
      <c r="B36" s="141">
        <f t="shared" si="14"/>
        <v>59049</v>
      </c>
      <c r="C36" s="140">
        <f t="shared" si="15"/>
        <v>531441</v>
      </c>
      <c r="D36" s="142">
        <f>SUM($C$31:C36)</f>
        <v>597870</v>
      </c>
      <c r="E36" s="112">
        <f t="shared" si="10"/>
        <v>60276.855018715403</v>
      </c>
      <c r="F36" s="9">
        <f t="shared" si="11"/>
        <v>610302.0086714318</v>
      </c>
      <c r="G36" s="112">
        <f t="shared" si="12"/>
        <v>4.6658142180840064E-4</v>
      </c>
      <c r="H36" s="9">
        <f t="shared" si="13"/>
        <v>4.60822024459569E-5</v>
      </c>
    </row>
    <row r="37" spans="1:8" x14ac:dyDescent="0.2">
      <c r="A37" s="265">
        <v>7</v>
      </c>
      <c r="B37" s="141">
        <f t="shared" si="14"/>
        <v>531441</v>
      </c>
      <c r="C37" s="140">
        <f t="shared" si="15"/>
        <v>4782969</v>
      </c>
      <c r="D37" s="142">
        <f>SUM($C$31:C37)</f>
        <v>5380839</v>
      </c>
      <c r="E37" s="112">
        <f t="shared" si="10"/>
        <v>537169.68862682045</v>
      </c>
      <c r="F37" s="9">
        <f t="shared" si="11"/>
        <v>5438841.960219576</v>
      </c>
      <c r="G37" s="112">
        <f t="shared" si="12"/>
        <v>5.9377915349568655E-5</v>
      </c>
      <c r="H37" s="9">
        <f t="shared" si="13"/>
        <v>5.864486692742548E-6</v>
      </c>
    </row>
    <row r="38" spans="1:8" x14ac:dyDescent="0.2">
      <c r="A38" s="265">
        <v>8</v>
      </c>
      <c r="B38" s="141">
        <f t="shared" si="14"/>
        <v>4782969</v>
      </c>
      <c r="C38" s="140">
        <f t="shared" si="15"/>
        <v>43046721</v>
      </c>
      <c r="D38" s="142">
        <f>SUM($C$31:C38)</f>
        <v>48427560</v>
      </c>
      <c r="E38" s="112">
        <f t="shared" si="10"/>
        <v>4809892.4736098954</v>
      </c>
      <c r="F38" s="9">
        <f t="shared" si="11"/>
        <v>48700160.163967535</v>
      </c>
      <c r="G38" s="112">
        <f t="shared" si="12"/>
        <v>7.1345384071018889E-6</v>
      </c>
      <c r="H38" s="9">
        <f t="shared" si="13"/>
        <v>7.0464578497198106E-7</v>
      </c>
    </row>
    <row r="39" spans="1:8" x14ac:dyDescent="0.2">
      <c r="A39" s="265">
        <v>9</v>
      </c>
      <c r="B39" s="141">
        <f t="shared" si="14"/>
        <v>43046721</v>
      </c>
      <c r="C39" s="140">
        <f t="shared" si="15"/>
        <v>387420489</v>
      </c>
      <c r="D39" s="142">
        <f>SUM($C$31:C39)</f>
        <v>435848049</v>
      </c>
      <c r="E39" s="112">
        <f t="shared" si="10"/>
        <v>43173733.138388887</v>
      </c>
      <c r="F39" s="9">
        <f t="shared" si="11"/>
        <v>437134046.8978681</v>
      </c>
      <c r="G39" s="112">
        <f t="shared" si="12"/>
        <v>8.2956344152365304E-7</v>
      </c>
      <c r="H39" s="9">
        <f t="shared" si="13"/>
        <v>8.1932191966903832E-8</v>
      </c>
    </row>
    <row r="40" spans="1:8" ht="17" thickBot="1" x14ac:dyDescent="0.25">
      <c r="A40" s="266">
        <v>10</v>
      </c>
      <c r="B40" s="143">
        <f t="shared" si="14"/>
        <v>387420489</v>
      </c>
      <c r="C40" s="144">
        <f t="shared" si="15"/>
        <v>3486784401</v>
      </c>
      <c r="D40" s="145">
        <f>SUM($C$31:C40)</f>
        <v>3922632450</v>
      </c>
      <c r="E40" s="113">
        <f t="shared" si="10"/>
        <v>388020851.80007023</v>
      </c>
      <c r="F40" s="10">
        <f t="shared" si="11"/>
        <v>3928711123.3489676</v>
      </c>
      <c r="G40" s="113">
        <f t="shared" si="12"/>
        <v>9.4635685759288338E-8</v>
      </c>
      <c r="H40" s="10">
        <f t="shared" si="13"/>
        <v>9.3467343986597116E-9</v>
      </c>
    </row>
    <row r="41" spans="1:8" ht="17" thickBot="1" x14ac:dyDescent="0.25"/>
    <row r="42" spans="1:8" ht="17" thickBot="1" x14ac:dyDescent="0.25">
      <c r="A42" s="138" t="s">
        <v>140</v>
      </c>
      <c r="B42" s="139" t="s">
        <v>145</v>
      </c>
      <c r="C42" s="139" t="s">
        <v>144</v>
      </c>
      <c r="D42" s="241" t="s">
        <v>143</v>
      </c>
      <c r="E42" s="231" t="s">
        <v>157</v>
      </c>
      <c r="F42" s="234" t="s">
        <v>156</v>
      </c>
      <c r="G42" s="259" t="s">
        <v>158</v>
      </c>
      <c r="H42" s="256" t="s">
        <v>159</v>
      </c>
    </row>
    <row r="43" spans="1:8" x14ac:dyDescent="0.2">
      <c r="A43" s="264">
        <v>1</v>
      </c>
      <c r="B43" s="146">
        <v>1</v>
      </c>
      <c r="C43" s="150">
        <f>B43*$M$3</f>
        <v>9</v>
      </c>
      <c r="D43" s="151">
        <f>SUM(C43:C43)</f>
        <v>9</v>
      </c>
      <c r="E43" s="129">
        <f>B43/P7</f>
        <v>3.2224684834770083</v>
      </c>
      <c r="F43" s="58">
        <f>D43/P7</f>
        <v>29.002216351293075</v>
      </c>
      <c r="G43" s="28">
        <f>S7/E43</f>
        <v>-1.5818304558191263</v>
      </c>
      <c r="H43" s="8">
        <f>S7/F43</f>
        <v>-0.17575893953545849</v>
      </c>
    </row>
    <row r="44" spans="1:8" x14ac:dyDescent="0.2">
      <c r="A44" s="265">
        <v>2</v>
      </c>
      <c r="B44" s="141">
        <f>B43*$M$3*2</f>
        <v>18</v>
      </c>
      <c r="C44" s="140">
        <f>B44*$M$3</f>
        <v>162</v>
      </c>
      <c r="D44" s="142">
        <f>SUM($C$43:C44)</f>
        <v>171</v>
      </c>
      <c r="E44" s="112">
        <f t="shared" ref="E44:E52" si="16">B44/P8</f>
        <v>25.983108928132083</v>
      </c>
      <c r="F44" s="9">
        <f t="shared" ref="F44:F52" si="17">D44/P8</f>
        <v>246.83953481725479</v>
      </c>
      <c r="G44" s="112">
        <f t="shared" ref="G44:G52" si="18">S8/E44</f>
        <v>-9.6624071960061855E-2</v>
      </c>
      <c r="H44" s="9">
        <f t="shared" ref="H44:H52" si="19">S8/F44</f>
        <v>-1.0170954943164407E-2</v>
      </c>
    </row>
    <row r="45" spans="1:8" x14ac:dyDescent="0.2">
      <c r="A45" s="265">
        <v>3</v>
      </c>
      <c r="B45" s="141">
        <f t="shared" ref="B45:B52" si="20">B44*$M$3*2</f>
        <v>324</v>
      </c>
      <c r="C45" s="140">
        <f t="shared" ref="C45:C52" si="21">B45*$M$3</f>
        <v>2916</v>
      </c>
      <c r="D45" s="142">
        <f>SUM($C$43:C45)</f>
        <v>3087</v>
      </c>
      <c r="E45" s="112">
        <f t="shared" si="16"/>
        <v>381.00491244981657</v>
      </c>
      <c r="F45" s="9">
        <f t="shared" si="17"/>
        <v>3630.1301380635305</v>
      </c>
      <c r="G45" s="112">
        <f t="shared" si="18"/>
        <v>1.519270732508394E-2</v>
      </c>
      <c r="H45" s="9">
        <f t="shared" si="19"/>
        <v>1.5945698650233872E-3</v>
      </c>
    </row>
    <row r="46" spans="1:8" x14ac:dyDescent="0.2">
      <c r="A46" s="265">
        <v>4</v>
      </c>
      <c r="B46" s="141">
        <f t="shared" si="20"/>
        <v>5832</v>
      </c>
      <c r="C46" s="140">
        <f t="shared" si="21"/>
        <v>52488</v>
      </c>
      <c r="D46" s="142">
        <f>SUM($C$43:C46)</f>
        <v>55575</v>
      </c>
      <c r="E46" s="112">
        <f t="shared" si="16"/>
        <v>6310.0953794527113</v>
      </c>
      <c r="F46" s="9">
        <f t="shared" si="17"/>
        <v>60130.92433351928</v>
      </c>
      <c r="G46" s="112">
        <f t="shared" si="18"/>
        <v>2.3632136752677053E-3</v>
      </c>
      <c r="H46" s="9">
        <f t="shared" si="19"/>
        <v>2.4799392090258673E-4</v>
      </c>
    </row>
    <row r="47" spans="1:8" x14ac:dyDescent="0.2">
      <c r="A47" s="265">
        <v>5</v>
      </c>
      <c r="B47" s="141">
        <f t="shared" si="20"/>
        <v>104976</v>
      </c>
      <c r="C47" s="140">
        <f t="shared" si="21"/>
        <v>944784</v>
      </c>
      <c r="D47" s="142">
        <f>SUM($C$43:C47)</f>
        <v>1000359</v>
      </c>
      <c r="E47" s="112">
        <f t="shared" si="16"/>
        <v>109247.54537325258</v>
      </c>
      <c r="F47" s="9">
        <f t="shared" si="17"/>
        <v>1041064.2931912206</v>
      </c>
      <c r="G47" s="112">
        <f t="shared" si="18"/>
        <v>2.063383432162656E-4</v>
      </c>
      <c r="H47" s="9">
        <f t="shared" si="19"/>
        <v>2.1652800562068916E-5</v>
      </c>
    </row>
    <row r="48" spans="1:8" x14ac:dyDescent="0.2">
      <c r="A48" s="265">
        <v>6</v>
      </c>
      <c r="B48" s="141">
        <f t="shared" si="20"/>
        <v>1889568</v>
      </c>
      <c r="C48" s="140">
        <f t="shared" si="21"/>
        <v>17006112</v>
      </c>
      <c r="D48" s="142">
        <f>SUM($C$43:C48)</f>
        <v>18006471</v>
      </c>
      <c r="E48" s="112">
        <f t="shared" si="16"/>
        <v>1928859.3605988929</v>
      </c>
      <c r="F48" s="9">
        <f t="shared" si="17"/>
        <v>18380894.542933892</v>
      </c>
      <c r="G48" s="112">
        <f t="shared" si="18"/>
        <v>1.458066943151252E-5</v>
      </c>
      <c r="H48" s="9">
        <f t="shared" si="19"/>
        <v>1.5300702939717754E-6</v>
      </c>
    </row>
    <row r="49" spans="1:8" x14ac:dyDescent="0.2">
      <c r="A49" s="265">
        <v>7</v>
      </c>
      <c r="B49" s="141">
        <f t="shared" si="20"/>
        <v>34012224</v>
      </c>
      <c r="C49" s="140">
        <f t="shared" si="21"/>
        <v>306110016</v>
      </c>
      <c r="D49" s="142">
        <f>SUM($C$43:C49)</f>
        <v>324116487</v>
      </c>
      <c r="E49" s="112">
        <f t="shared" si="16"/>
        <v>34378860.072116509</v>
      </c>
      <c r="F49" s="9">
        <f t="shared" si="17"/>
        <v>327610313.0932858</v>
      </c>
      <c r="G49" s="112">
        <f t="shared" si="18"/>
        <v>9.2777992733701023E-7</v>
      </c>
      <c r="H49" s="9">
        <f t="shared" si="19"/>
        <v>9.7359622163528258E-8</v>
      </c>
    </row>
    <row r="50" spans="1:8" x14ac:dyDescent="0.2">
      <c r="A50" s="265">
        <v>8</v>
      </c>
      <c r="B50" s="141">
        <f t="shared" si="20"/>
        <v>612220032</v>
      </c>
      <c r="C50" s="140">
        <f t="shared" si="21"/>
        <v>5509980288</v>
      </c>
      <c r="D50" s="142">
        <f>SUM($C$43:C50)</f>
        <v>5834096775</v>
      </c>
      <c r="E50" s="112">
        <f t="shared" si="16"/>
        <v>615666236.62206662</v>
      </c>
      <c r="F50" s="9">
        <f t="shared" si="17"/>
        <v>5866937077.8661251</v>
      </c>
      <c r="G50" s="112">
        <f t="shared" si="18"/>
        <v>5.5738581305483507E-8</v>
      </c>
      <c r="H50" s="9">
        <f t="shared" si="19"/>
        <v>5.849110384439537E-9</v>
      </c>
    </row>
    <row r="51" spans="1:8" x14ac:dyDescent="0.2">
      <c r="A51" s="265">
        <v>9</v>
      </c>
      <c r="B51" s="141">
        <f t="shared" si="20"/>
        <v>11019960576</v>
      </c>
      <c r="C51" s="140">
        <f t="shared" si="21"/>
        <v>99179645184</v>
      </c>
      <c r="D51" s="142">
        <f>SUM($C$43:C51)</f>
        <v>105013741959</v>
      </c>
      <c r="E51" s="112">
        <f t="shared" si="16"/>
        <v>11052475683.427555</v>
      </c>
      <c r="F51" s="9">
        <f t="shared" si="17"/>
        <v>105323591806.24925</v>
      </c>
      <c r="G51" s="112">
        <f t="shared" si="18"/>
        <v>3.2404821934517697E-9</v>
      </c>
      <c r="H51" s="9">
        <f t="shared" si="19"/>
        <v>3.4005060054912226E-10</v>
      </c>
    </row>
    <row r="52" spans="1:8" ht="17" thickBot="1" x14ac:dyDescent="0.25">
      <c r="A52" s="266">
        <v>10</v>
      </c>
      <c r="B52" s="143">
        <f t="shared" si="20"/>
        <v>198359290368</v>
      </c>
      <c r="C52" s="144">
        <f t="shared" si="21"/>
        <v>1785233613312</v>
      </c>
      <c r="D52" s="145">
        <f>SUM($C$43:C52)</f>
        <v>1890247355271</v>
      </c>
      <c r="E52" s="113">
        <f t="shared" si="16"/>
        <v>198666676121.63596</v>
      </c>
      <c r="F52" s="10">
        <f t="shared" si="17"/>
        <v>1893176560688.0007</v>
      </c>
      <c r="G52" s="113">
        <f t="shared" si="18"/>
        <v>1.8483532374861003E-10</v>
      </c>
      <c r="H52" s="10">
        <f t="shared" si="19"/>
        <v>1.9396299405723768E-11</v>
      </c>
    </row>
  </sheetData>
  <conditionalFormatting sqref="O7:O16">
    <cfRule type="cellIs" dxfId="551" priority="71" operator="lessThanOrEqual">
      <formula>0</formula>
    </cfRule>
    <cfRule type="cellIs" dxfId="550" priority="72" operator="greaterThan">
      <formula>0</formula>
    </cfRule>
  </conditionalFormatting>
  <conditionalFormatting sqref="P7:P16 S7:S16">
    <cfRule type="cellIs" dxfId="549" priority="61" operator="lessThanOrEqual">
      <formula>0</formula>
    </cfRule>
    <cfRule type="cellIs" dxfId="548" priority="62" operator="greaterThan">
      <formula>0</formula>
    </cfRule>
  </conditionalFormatting>
  <conditionalFormatting sqref="G43:G52">
    <cfRule type="cellIs" dxfId="547" priority="38" operator="equal">
      <formula>MAX($G$43:$G$52)</formula>
    </cfRule>
  </conditionalFormatting>
  <conditionalFormatting sqref="H43:H52">
    <cfRule type="cellIs" dxfId="546" priority="37" operator="equal">
      <formula>MAX($H$43:$H$52)</formula>
    </cfRule>
  </conditionalFormatting>
  <conditionalFormatting sqref="G31:G40">
    <cfRule type="cellIs" dxfId="545" priority="36" operator="equal">
      <formula>MAX($G$31:$G$40)</formula>
    </cfRule>
  </conditionalFormatting>
  <conditionalFormatting sqref="H31:H40">
    <cfRule type="cellIs" dxfId="544" priority="35" operator="equal">
      <formula>MAX($H$31:$H$40)</formula>
    </cfRule>
  </conditionalFormatting>
  <conditionalFormatting sqref="F19:F28">
    <cfRule type="cellIs" dxfId="543" priority="31" stopIfTrue="1" operator="lessThan">
      <formula>0</formula>
    </cfRule>
    <cfRule type="cellIs" dxfId="542" priority="32" operator="equal">
      <formula>MIN($F$19:$F$28)</formula>
    </cfRule>
  </conditionalFormatting>
  <conditionalFormatting sqref="E19:E28">
    <cfRule type="cellIs" dxfId="541" priority="29" stopIfTrue="1" operator="lessThan">
      <formula>0</formula>
    </cfRule>
    <cfRule type="cellIs" dxfId="540" priority="30" operator="equal">
      <formula>MIN($E$19:$E$28)</formula>
    </cfRule>
  </conditionalFormatting>
  <conditionalFormatting sqref="F31:F40">
    <cfRule type="cellIs" dxfId="539" priority="27" stopIfTrue="1" operator="lessThan">
      <formula>0</formula>
    </cfRule>
    <cfRule type="cellIs" dxfId="538" priority="28" operator="equal">
      <formula>MIN($F$31:$F$40)</formula>
    </cfRule>
  </conditionalFormatting>
  <conditionalFormatting sqref="E31:E40">
    <cfRule type="cellIs" dxfId="537" priority="25" stopIfTrue="1" operator="lessThan">
      <formula>0</formula>
    </cfRule>
    <cfRule type="cellIs" dxfId="536" priority="26" operator="equal">
      <formula>MIN($E$31:$E$40)</formula>
    </cfRule>
  </conditionalFormatting>
  <conditionalFormatting sqref="F43:F52">
    <cfRule type="cellIs" dxfId="535" priority="23" stopIfTrue="1" operator="lessThan">
      <formula>0</formula>
    </cfRule>
    <cfRule type="cellIs" dxfId="534" priority="24" operator="equal">
      <formula>MIN($F$43:$F$52)</formula>
    </cfRule>
  </conditionalFormatting>
  <conditionalFormatting sqref="E43:E52">
    <cfRule type="cellIs" dxfId="533" priority="21" stopIfTrue="1" operator="lessThan">
      <formula>0</formula>
    </cfRule>
    <cfRule type="cellIs" dxfId="532" priority="22" operator="equal">
      <formula>MIN($E$43:$E$52)</formula>
    </cfRule>
  </conditionalFormatting>
  <conditionalFormatting sqref="G19:G28">
    <cfRule type="cellIs" dxfId="531" priority="7" operator="lessThanOrEqual">
      <formula>0</formula>
    </cfRule>
    <cfRule type="cellIs" dxfId="530" priority="8" operator="equal">
      <formula>MAX($H$19:$H$28)</formula>
    </cfRule>
  </conditionalFormatting>
  <conditionalFormatting sqref="H19:H28">
    <cfRule type="cellIs" dxfId="529" priority="5" operator="lessThanOrEqual">
      <formula>0</formula>
    </cfRule>
    <cfRule type="cellIs" dxfId="528" priority="6" operator="equal">
      <formula>MAX($H$19:$H$28)</formula>
    </cfRule>
  </conditionalFormatting>
  <conditionalFormatting sqref="Q7:Q16">
    <cfRule type="cellIs" dxfId="527" priority="3" operator="lessThanOrEqual">
      <formula>0</formula>
    </cfRule>
    <cfRule type="cellIs" dxfId="526" priority="4" operator="greaterThan">
      <formula>0</formula>
    </cfRule>
  </conditionalFormatting>
  <conditionalFormatting sqref="R7:R16">
    <cfRule type="cellIs" dxfId="525" priority="1" operator="lessThanOrEqual">
      <formula>0</formula>
    </cfRule>
    <cfRule type="cellIs" dxfId="524" priority="2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U52"/>
  <sheetViews>
    <sheetView topLeftCell="A25" workbookViewId="0">
      <selection activeCell="B43" sqref="B43:D52"/>
    </sheetView>
  </sheetViews>
  <sheetFormatPr baseColWidth="10" defaultColWidth="8.6640625" defaultRowHeight="16" x14ac:dyDescent="0.2"/>
  <cols>
    <col min="14" max="14" width="5.6640625" bestFit="1" customWidth="1"/>
  </cols>
  <sheetData>
    <row r="1" spans="1:21" x14ac:dyDescent="0.2">
      <c r="B1" s="202"/>
      <c r="C1" t="s">
        <v>99</v>
      </c>
      <c r="D1">
        <f>C2+E2</f>
        <v>0.99999999999999756</v>
      </c>
    </row>
    <row r="2" spans="1:21" x14ac:dyDescent="0.2">
      <c r="A2" t="s">
        <v>40</v>
      </c>
      <c r="B2" s="201" t="s">
        <v>129</v>
      </c>
      <c r="C2" s="222">
        <f>Analysis!B18</f>
        <v>0.65703289796253694</v>
      </c>
      <c r="D2" s="199" t="s">
        <v>130</v>
      </c>
      <c r="E2" s="222">
        <f>Analysis!M18</f>
        <v>0.34296710203746056</v>
      </c>
      <c r="F2" s="199" t="s">
        <v>49</v>
      </c>
      <c r="G2" s="222">
        <f>Analysis!S18</f>
        <v>13.389235679541978</v>
      </c>
      <c r="H2" t="s">
        <v>163</v>
      </c>
      <c r="I2" s="238">
        <f>Analysis!T18</f>
        <v>46.529605458072247</v>
      </c>
      <c r="J2" t="s">
        <v>50</v>
      </c>
      <c r="K2" s="238">
        <f>C2*G2-E2*I2</f>
        <v>-7.1609556228685829</v>
      </c>
      <c r="L2" t="s">
        <v>49</v>
      </c>
      <c r="M2" s="267">
        <v>1</v>
      </c>
    </row>
    <row r="3" spans="1:21" x14ac:dyDescent="0.2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10</v>
      </c>
    </row>
    <row r="4" spans="1:21" x14ac:dyDescent="0.2">
      <c r="A4" t="s">
        <v>127</v>
      </c>
      <c r="B4" s="202">
        <f>$C$2</f>
        <v>0.65703289796253694</v>
      </c>
      <c r="C4">
        <f>B4*$C$2</f>
        <v>0.4316922290050495</v>
      </c>
      <c r="D4">
        <f t="shared" ref="D4:K4" si="0">C4*$C$2</f>
        <v>0.28363599625109481</v>
      </c>
      <c r="E4">
        <f t="shared" si="0"/>
        <v>0.18635818058334808</v>
      </c>
      <c r="F4">
        <f t="shared" si="0"/>
        <v>0.12244345544770296</v>
      </c>
      <c r="G4">
        <f t="shared" si="0"/>
        <v>8.0449378369351066E-2</v>
      </c>
      <c r="H4">
        <f t="shared" si="0"/>
        <v>5.2857888209299368E-2</v>
      </c>
      <c r="I4">
        <f t="shared" si="0"/>
        <v>3.4729371470335779E-2</v>
      </c>
      <c r="J4">
        <f t="shared" si="0"/>
        <v>2.2818339581572169E-2</v>
      </c>
      <c r="K4">
        <f t="shared" si="0"/>
        <v>1.4992399781973625E-2</v>
      </c>
    </row>
    <row r="5" spans="1:21" ht="17" thickBot="1" x14ac:dyDescent="0.25">
      <c r="A5" t="s">
        <v>128</v>
      </c>
      <c r="B5" s="202">
        <f>$E$2</f>
        <v>0.34296710203746056</v>
      </c>
      <c r="C5">
        <f>B5*$E$2</f>
        <v>0.11762643307997388</v>
      </c>
      <c r="D5">
        <f t="shared" ref="D5:K5" si="1">C5*$E$2</f>
        <v>4.0341996876441924E-2</v>
      </c>
      <c r="E5">
        <f t="shared" si="1"/>
        <v>1.3835977759117572E-2</v>
      </c>
      <c r="F5">
        <f t="shared" si="1"/>
        <v>4.7452851958993108E-3</v>
      </c>
      <c r="G5">
        <f t="shared" si="1"/>
        <v>1.6274767119788499E-3</v>
      </c>
      <c r="H5">
        <f t="shared" si="1"/>
        <v>5.5817097154084103E-4</v>
      </c>
      <c r="I5">
        <f t="shared" si="1"/>
        <v>1.9143428055079612E-4</v>
      </c>
      <c r="J5">
        <f t="shared" si="1"/>
        <v>6.5655660431132749E-5</v>
      </c>
      <c r="K5">
        <f t="shared" si="1"/>
        <v>2.2517731590421166E-5</v>
      </c>
    </row>
    <row r="6" spans="1:21" ht="17" thickBot="1" x14ac:dyDescent="0.25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">
      <c r="A7" s="208">
        <v>1</v>
      </c>
      <c r="B7" s="114">
        <f>C7*B4</f>
        <v>0.65703289796253694</v>
      </c>
      <c r="C7" s="114">
        <v>1</v>
      </c>
      <c r="D7" s="212">
        <f>C7*B5</f>
        <v>0.34296710203746056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0.99999999999999756</v>
      </c>
      <c r="O7" s="114">
        <f>B7/(B7+D7)</f>
        <v>0.6570328979625385</v>
      </c>
      <c r="P7" s="129">
        <f>B7-D7</f>
        <v>0.31406579592507639</v>
      </c>
      <c r="Q7" s="129">
        <f>($G$2*SUM(C7))*B7</f>
        <v>8.7971683200328634</v>
      </c>
      <c r="R7" s="58">
        <f>($I$2*SUM(C7))*D7*COUNT(D7:M7)</f>
        <v>15.958123942901446</v>
      </c>
      <c r="S7" s="58">
        <f>Q7-R7</f>
        <v>-7.1609556228685829</v>
      </c>
      <c r="T7" s="129">
        <f>(S7+U7*D7)/B7</f>
        <v>-10.376936287320994</v>
      </c>
      <c r="U7" s="58">
        <f t="shared" ref="U7:U16" si="2">COUNT(D7:M7)</f>
        <v>1</v>
      </c>
    </row>
    <row r="8" spans="1:21" x14ac:dyDescent="0.2">
      <c r="A8" s="209">
        <v>2</v>
      </c>
      <c r="B8" s="116">
        <f>C8*B4</f>
        <v>0.84815721134904687</v>
      </c>
      <c r="C8" s="116">
        <f>1/(1-B4*B5)</f>
        <v>1.2908900208485565</v>
      </c>
      <c r="D8" s="194">
        <f>C8*B5</f>
        <v>0.4427328094995065</v>
      </c>
      <c r="E8" s="1">
        <f>D8*B5</f>
        <v>0.15184278865094883</v>
      </c>
      <c r="F8" s="1"/>
      <c r="G8" s="1"/>
      <c r="H8" s="1"/>
      <c r="I8" s="1"/>
      <c r="J8" s="1"/>
      <c r="K8" s="1"/>
      <c r="L8" s="1"/>
      <c r="M8" s="9"/>
      <c r="N8">
        <f>B8+E8</f>
        <v>0.99999999999999567</v>
      </c>
      <c r="O8" s="116">
        <f>B8/(B8+E8)</f>
        <v>0.84815721134905053</v>
      </c>
      <c r="P8" s="112">
        <f>B8-E8</f>
        <v>0.69631442269809807</v>
      </c>
      <c r="Q8" s="112">
        <f>($G$2*SUM(C8:D8))*B8</f>
        <v>19.687327359110707</v>
      </c>
      <c r="R8" s="9">
        <f>($I$2*SUM(C8:D8))*E8*COUNT(D8:M8)</f>
        <v>24.496732198244185</v>
      </c>
      <c r="S8" s="9">
        <f t="shared" ref="S8:S16" si="3">Q8-R8</f>
        <v>-4.809404839133478</v>
      </c>
      <c r="T8" s="112">
        <f>(S8+U8*E8)/B8</f>
        <v>-5.3123633231449547</v>
      </c>
      <c r="U8" s="9">
        <f t="shared" si="2"/>
        <v>2</v>
      </c>
    </row>
    <row r="9" spans="1:21" x14ac:dyDescent="0.2">
      <c r="A9" s="209">
        <v>3</v>
      </c>
      <c r="B9" s="116">
        <f>C9*B4</f>
        <v>0.92655993749908228</v>
      </c>
      <c r="C9" s="216">
        <f>1/(1-B5*B4/(1-B5*B4))</f>
        <v>1.4102184842986558</v>
      </c>
      <c r="D9" s="217">
        <f>C9*B5*C8</f>
        <v>0.62434999156167947</v>
      </c>
      <c r="E9" s="218">
        <f>D9*(B5)</f>
        <v>0.21413150726302216</v>
      </c>
      <c r="F9" s="218">
        <f>E9*B5</f>
        <v>7.3440062500912145E-2</v>
      </c>
      <c r="G9" s="218"/>
      <c r="H9" s="218"/>
      <c r="I9" s="218"/>
      <c r="J9" s="218"/>
      <c r="K9" s="218"/>
      <c r="L9" s="218"/>
      <c r="M9" s="219"/>
      <c r="N9">
        <f>B9+F9</f>
        <v>0.99999999999999445</v>
      </c>
      <c r="O9" s="116">
        <f>B9/(B9+F9)</f>
        <v>0.92655993749908738</v>
      </c>
      <c r="P9" s="112">
        <f>B9-F9</f>
        <v>0.8531198749981701</v>
      </c>
      <c r="Q9" s="112">
        <f>($G$2*SUM(C9:E9))*B9</f>
        <v>27.897213174835869</v>
      </c>
      <c r="R9" s="9">
        <f>($I$2*SUM(C9:E9))*F9*COUNT(D9:M9)</f>
        <v>23.052348639811317</v>
      </c>
      <c r="S9" s="9">
        <f t="shared" si="3"/>
        <v>4.8448645350245521</v>
      </c>
      <c r="T9" s="112">
        <f>(S9+U9*F9)/B9</f>
        <v>5.4666563030978281</v>
      </c>
      <c r="U9" s="9">
        <f t="shared" si="2"/>
        <v>3</v>
      </c>
    </row>
    <row r="10" spans="1:21" x14ac:dyDescent="0.2">
      <c r="A10" s="209">
        <v>4</v>
      </c>
      <c r="B10" s="116">
        <f>C10*B4</f>
        <v>0.96308007713269428</v>
      </c>
      <c r="C10" s="116">
        <f>1/(1-B5*B4/(1-B5*B4/(1-B5*B4)))</f>
        <v>1.4658019105576168</v>
      </c>
      <c r="D10" s="194">
        <f>C10*B5*C9</f>
        <v>0.70894762195633032</v>
      </c>
      <c r="E10" s="1">
        <f>D10*B5*C8</f>
        <v>0.31387437245672012</v>
      </c>
      <c r="F10" s="1">
        <f>E10*B5</f>
        <v>0.10764858392530782</v>
      </c>
      <c r="G10" s="1">
        <f>F10*B5</f>
        <v>3.6919922867299185E-2</v>
      </c>
      <c r="H10" s="1"/>
      <c r="I10" s="1"/>
      <c r="J10" s="1"/>
      <c r="K10" s="1"/>
      <c r="L10" s="1"/>
      <c r="M10" s="9"/>
      <c r="N10">
        <f>B10+G10</f>
        <v>0.99999999999999345</v>
      </c>
      <c r="O10" s="116">
        <f>B10/(B10+G10)</f>
        <v>0.96308007713270061</v>
      </c>
      <c r="P10" s="112">
        <f>B10-G10</f>
        <v>0.92616015426539511</v>
      </c>
      <c r="Q10" s="112">
        <f>($G$2*SUM(C10:F10))*B10</f>
        <v>33.478690034814214</v>
      </c>
      <c r="R10" s="9">
        <f>($I$2*SUM(C10:F10))*G10*COUNT(D10:M10)</f>
        <v>17.840228713682642</v>
      </c>
      <c r="S10" s="9">
        <f t="shared" si="3"/>
        <v>15.638461321131572</v>
      </c>
      <c r="T10" s="112">
        <f>(S10+U10*G10)/B10</f>
        <v>16.391306795172895</v>
      </c>
      <c r="U10" s="9">
        <f t="shared" si="2"/>
        <v>4</v>
      </c>
    </row>
    <row r="11" spans="1:21" x14ac:dyDescent="0.2">
      <c r="A11" s="209">
        <v>5</v>
      </c>
      <c r="B11" s="116">
        <f>C11*B4</f>
        <v>0.9810924154250884</v>
      </c>
      <c r="C11" s="116">
        <f>1/(1-B5*B4/(1-B5*B4/(1-B5*B4/(1-B5*B4))))</f>
        <v>1.4932165778417823</v>
      </c>
      <c r="D11" s="194">
        <f>C11*B5*C10</f>
        <v>0.75067257571310375</v>
      </c>
      <c r="E11" s="1">
        <f>D11*B5*C9</f>
        <v>0.36306920709168999</v>
      </c>
      <c r="F11" s="1">
        <f>E11*B5*C8</f>
        <v>0.16074265009846206</v>
      </c>
      <c r="G11" s="1">
        <f>F11*B5</f>
        <v>5.5129440878091053E-2</v>
      </c>
      <c r="H11" s="1">
        <f>G11*B5</f>
        <v>1.8907584574904403E-2</v>
      </c>
      <c r="I11" s="1"/>
      <c r="J11" s="1"/>
      <c r="K11" s="1"/>
      <c r="L11" s="1"/>
      <c r="M11" s="9"/>
      <c r="N11">
        <f>B11+H11</f>
        <v>0.99999999999999278</v>
      </c>
      <c r="O11" s="116">
        <f>B11/(B11+H11)</f>
        <v>0.98109241542509551</v>
      </c>
      <c r="P11" s="112">
        <f>B11-H11</f>
        <v>0.96218483085018403</v>
      </c>
      <c r="Q11" s="112">
        <f>($G$2*SUM(C11:G11))*B11</f>
        <v>37.080919789465639</v>
      </c>
      <c r="R11" s="9">
        <f>($I$2*SUM(C11:G11))*H11*COUNT(D11:M11)</f>
        <v>12.41710117641864</v>
      </c>
      <c r="S11" s="9">
        <f t="shared" si="3"/>
        <v>24.663818613046999</v>
      </c>
      <c r="T11" s="112">
        <f>(S11+U11*H11)/B11</f>
        <v>25.235498865001624</v>
      </c>
      <c r="U11" s="9">
        <f t="shared" si="2"/>
        <v>5</v>
      </c>
    </row>
    <row r="12" spans="1:21" x14ac:dyDescent="0.2">
      <c r="A12" s="209">
        <v>6</v>
      </c>
      <c r="B12" s="116">
        <f>C12*B4</f>
        <v>0.99022681582437833</v>
      </c>
      <c r="C12" s="116">
        <f>1/(1-B5*B4/(1-B5*B4/(1-B5*B4/(1-B5*B4/(1-B5*B4)))))</f>
        <v>1.5071190786566058</v>
      </c>
      <c r="D12" s="194">
        <f>C12*B5*C11</f>
        <v>0.77183209581922807</v>
      </c>
      <c r="E12" s="1">
        <f>D12*B5*C10</f>
        <v>0.38801684630643996</v>
      </c>
      <c r="F12" s="1">
        <f>E12*B5*C9</f>
        <v>0.18766766401832488</v>
      </c>
      <c r="G12" s="1">
        <f>F12*B5*C8</f>
        <v>8.3086632143042419E-2</v>
      </c>
      <c r="H12" s="1">
        <f>G12*B5</f>
        <v>2.8495981444151778E-2</v>
      </c>
      <c r="I12" s="1">
        <f>H12*B5</f>
        <v>9.7731841756139859E-3</v>
      </c>
      <c r="J12" s="1"/>
      <c r="K12" s="1"/>
      <c r="L12" s="1"/>
      <c r="M12" s="9"/>
      <c r="N12">
        <f>B12+I12</f>
        <v>0.99999999999999234</v>
      </c>
      <c r="O12" s="116">
        <f>B12/(B12+I12)</f>
        <v>0.99022681582438588</v>
      </c>
      <c r="P12" s="112">
        <f>B12-I12</f>
        <v>0.98045363164876431</v>
      </c>
      <c r="Q12" s="112">
        <f>($G$2*SUM(C12:H12))*B12</f>
        <v>39.327249995598983</v>
      </c>
      <c r="R12" s="9">
        <f>($I$2*SUM(C12:H12))*I12*COUNT(D12:M12)</f>
        <v>8.0931914345215823</v>
      </c>
      <c r="S12" s="9">
        <f t="shared" si="3"/>
        <v>31.234058561077401</v>
      </c>
      <c r="T12" s="112">
        <f>(S12+U12*I12)/B12</f>
        <v>31.601545389456511</v>
      </c>
      <c r="U12" s="9">
        <f t="shared" si="2"/>
        <v>6</v>
      </c>
    </row>
    <row r="13" spans="1:21" x14ac:dyDescent="0.2">
      <c r="A13" s="209">
        <v>7</v>
      </c>
      <c r="B13" s="116">
        <f>C13*B4</f>
        <v>0.99492435204001239</v>
      </c>
      <c r="C13" s="216">
        <f>1/(1-B5*B4/(1-B5*B4/(1-B5*B4/(1-B5*B4/(1-B5*B4/(1-B5*B4))))))</f>
        <v>1.5142686996728458</v>
      </c>
      <c r="D13" s="217">
        <f>C13*B5*C12</f>
        <v>0.78271377470990622</v>
      </c>
      <c r="E13" s="218">
        <f>D13*B5*C11</f>
        <v>0.40084663628531669</v>
      </c>
      <c r="F13" s="218">
        <f>E13*B5*C10</f>
        <v>0.20151435591556599</v>
      </c>
      <c r="G13" s="218">
        <f>F13*B5*C9</f>
        <v>9.7464140541373992E-2</v>
      </c>
      <c r="H13" s="218">
        <f>G13*B5*C8</f>
        <v>4.3150572767337261E-2</v>
      </c>
      <c r="I13" s="218">
        <f>H13*B5</f>
        <v>1.4799226893270226E-2</v>
      </c>
      <c r="J13" s="218">
        <f>I13*B5</f>
        <v>5.0756479599797398E-3</v>
      </c>
      <c r="K13" s="218"/>
      <c r="L13" s="218"/>
      <c r="M13" s="219"/>
      <c r="N13">
        <f>B13+J13</f>
        <v>0.99999999999999212</v>
      </c>
      <c r="O13" s="116">
        <f>B13/(B13+J13)</f>
        <v>0.99492435204002028</v>
      </c>
      <c r="P13" s="112">
        <f>B13-J13</f>
        <v>0.98984870408003267</v>
      </c>
      <c r="Q13" s="112">
        <f>($G$2*SUM(C13:I13))*B13</f>
        <v>40.693268461822775</v>
      </c>
      <c r="R13" s="9">
        <f>($I$2*SUM(C13:I13))*J13*COUNT(D13:M13)</f>
        <v>5.0500494287089905</v>
      </c>
      <c r="S13" s="9">
        <f t="shared" si="3"/>
        <v>35.643219033113787</v>
      </c>
      <c r="T13" s="112">
        <f>(S13+U13*J13)/B13</f>
        <v>35.860765188506285</v>
      </c>
      <c r="U13" s="9">
        <f t="shared" si="2"/>
        <v>7</v>
      </c>
    </row>
    <row r="14" spans="1:21" x14ac:dyDescent="0.2">
      <c r="A14" s="209">
        <v>8</v>
      </c>
      <c r="B14" s="116">
        <f>C14*B4</f>
        <v>0.99735754428369472</v>
      </c>
      <c r="C14" s="116">
        <f>1/(1-B5*B4/(1-B5*B4/(1-B5*B4/(1-B5*B4/(1-B5*B4/(1-B5*B4/(1-B5*B4)))))))</f>
        <v>1.5179720031926964</v>
      </c>
      <c r="D14" s="194">
        <f>C14*B5*C13</f>
        <v>0.78835017972301058</v>
      </c>
      <c r="E14" s="1">
        <f>D14*B5*C12</f>
        <v>0.40749210830121718</v>
      </c>
      <c r="F14" s="1">
        <f>E14*B5*C11</f>
        <v>0.20868655465517208</v>
      </c>
      <c r="G14" s="1">
        <f>F14*B5*C10</f>
        <v>0.10491128736737763</v>
      </c>
      <c r="H14" s="1">
        <f>G14*B5*C9</f>
        <v>5.0741240790977957E-2</v>
      </c>
      <c r="I14" s="1">
        <f>H14*B5*C8</f>
        <v>2.2464812092880631E-2</v>
      </c>
      <c r="J14" s="1">
        <f>I14*B5</f>
        <v>7.7046915013113696E-3</v>
      </c>
      <c r="K14" s="1">
        <f>J14*B5</f>
        <v>2.6424557162974117E-3</v>
      </c>
      <c r="L14" s="1"/>
      <c r="M14" s="9"/>
      <c r="N14">
        <f>B14+K14</f>
        <v>0.99999999999999212</v>
      </c>
      <c r="O14" s="116">
        <f>B14/(B14+K14)</f>
        <v>0.9973575442837026</v>
      </c>
      <c r="P14" s="112">
        <f>B14-K14</f>
        <v>0.99471508856739732</v>
      </c>
      <c r="Q14" s="112">
        <f>($G$2*SUM(C14:J14))*B14</f>
        <v>41.508093676059033</v>
      </c>
      <c r="R14" s="9">
        <f>($I$2*SUM(C14:J14))*K14*COUNT(D14:M14)</f>
        <v>3.0574066073000403</v>
      </c>
      <c r="S14" s="9">
        <f t="shared" si="3"/>
        <v>38.450687068758995</v>
      </c>
      <c r="T14" s="112">
        <f>(S14+U14*K14)/B14</f>
        <v>38.573756156945663</v>
      </c>
      <c r="U14" s="9">
        <f t="shared" si="2"/>
        <v>8</v>
      </c>
    </row>
    <row r="15" spans="1:21" x14ac:dyDescent="0.2">
      <c r="A15" s="209">
        <v>9</v>
      </c>
      <c r="B15" s="116">
        <f>C15*B4</f>
        <v>0.99862255446094983</v>
      </c>
      <c r="C15" s="116">
        <f>1/(1-B5*B4/(1-B5*B4/(1-B5*B4/(1-B5*B4/(1-B5*B4/(1-B5*B4/(1-B5*B4/(1-B5*B4))))))))</f>
        <v>1.5198973408450087</v>
      </c>
      <c r="D15" s="194">
        <f>C15*B5*C14</f>
        <v>0.79128053170124901</v>
      </c>
      <c r="E15" s="1">
        <f>D15*B5*C13</f>
        <v>0.41094707153094373</v>
      </c>
      <c r="F15" s="1">
        <f>E15*B5*C12</f>
        <v>0.21241536170790518</v>
      </c>
      <c r="G15" s="1">
        <f>F15*B5*C11</f>
        <v>0.10878303919909922</v>
      </c>
      <c r="H15" s="1">
        <f>G15*B5*C10</f>
        <v>5.4687608911705973E-2</v>
      </c>
      <c r="I15" s="1">
        <f>H15*B5*C9</f>
        <v>2.6450129454178926E-2</v>
      </c>
      <c r="J15" s="1">
        <f>I15*B5*C8</f>
        <v>1.1710340124874282E-2</v>
      </c>
      <c r="K15" s="1">
        <f>J15*B5</f>
        <v>4.0162614165011263E-3</v>
      </c>
      <c r="L15" s="1">
        <f>K15*B5</f>
        <v>1.3774455390422576E-3</v>
      </c>
      <c r="M15" s="9"/>
      <c r="N15">
        <f>B15+L15</f>
        <v>0.99999999999999212</v>
      </c>
      <c r="O15" s="116">
        <f>B15/(B15+L15)</f>
        <v>0.99862255446095771</v>
      </c>
      <c r="P15" s="112">
        <f>B15-L15</f>
        <v>0.99724510892190754</v>
      </c>
      <c r="Q15" s="112">
        <f>($G$2*SUM(C15:K15))*B15</f>
        <v>41.986798688657032</v>
      </c>
      <c r="R15" s="9">
        <f>($I$2*SUM(C15:K15))*L15*COUNT(D15:M15)</f>
        <v>1.8113481104442251</v>
      </c>
      <c r="S15" s="9">
        <f t="shared" si="3"/>
        <v>40.175450578212804</v>
      </c>
      <c r="T15" s="112">
        <f>(S15+U15*L15)/B15</f>
        <v>40.243280515286713</v>
      </c>
      <c r="U15" s="9">
        <f t="shared" si="2"/>
        <v>9</v>
      </c>
    </row>
    <row r="16" spans="1:21" ht="17" thickBot="1" x14ac:dyDescent="0.25">
      <c r="A16" s="210">
        <v>10</v>
      </c>
      <c r="B16" s="195">
        <f>C16*B4</f>
        <v>0.99928149857816617</v>
      </c>
      <c r="C16" s="195">
        <f>1/(1-B5*B4/(1-B5*B4/(1-B5*B4/(1-B5*B4/(1-B5*B4/(1-B5*B4/(1-B5*B4/(1-B5*B4/(1-B5*B4)))))))))</f>
        <v>1.5209002497088719</v>
      </c>
      <c r="D16" s="213">
        <f>C16*B5*C15</f>
        <v>0.79280695277844815</v>
      </c>
      <c r="E16" s="131">
        <f>D16*B5*C14</f>
        <v>0.41274676274004324</v>
      </c>
      <c r="F16" s="131">
        <f>E16*B5*C13</f>
        <v>0.21435769823279005</v>
      </c>
      <c r="G16" s="131">
        <f>F16*B5*C12</f>
        <v>0.11079983569505379</v>
      </c>
      <c r="H16" s="131">
        <f>G16*B5*C11</f>
        <v>5.6743273051236318E-2</v>
      </c>
      <c r="I16" s="131">
        <f>H16*B5*C10</f>
        <v>2.8526082262848307E-2</v>
      </c>
      <c r="J16" s="131">
        <f>I16*B5*C9</f>
        <v>1.3796883493134201E-2</v>
      </c>
      <c r="K16" s="131">
        <f>J16*B5*C8</f>
        <v>6.1083329912526695E-3</v>
      </c>
      <c r="L16" s="131">
        <f>K16*B5</f>
        <v>2.0949572642897409E-3</v>
      </c>
      <c r="M16" s="10">
        <f>L16*B5</f>
        <v>7.1850142182577881E-4</v>
      </c>
      <c r="N16">
        <f>B16+M16</f>
        <v>0.9999999999999919</v>
      </c>
      <c r="O16" s="195">
        <f>B16/(B16+M16)</f>
        <v>0.99928149857817428</v>
      </c>
      <c r="P16" s="113">
        <f>B16-M16</f>
        <v>0.99856299715634045</v>
      </c>
      <c r="Q16" s="113">
        <f>($G$2*SUM(C16:L16))*B16</f>
        <v>42.264613550960945</v>
      </c>
      <c r="R16" s="10">
        <f>($I$2*SUM(C16:L16))*M16*COUNT(D16:M16)</f>
        <v>1.0560640806119019</v>
      </c>
      <c r="S16" s="10">
        <f t="shared" si="3"/>
        <v>41.208549470349041</v>
      </c>
      <c r="T16" s="113">
        <f>(S16+U16*M16)/B16</f>
        <v>41.245369341082927</v>
      </c>
      <c r="U16" s="10">
        <f t="shared" si="2"/>
        <v>10</v>
      </c>
    </row>
    <row r="17" spans="1:8" ht="17" thickBot="1" x14ac:dyDescent="0.25"/>
    <row r="18" spans="1:8" ht="17" thickBot="1" x14ac:dyDescent="0.25">
      <c r="A18" s="138" t="s">
        <v>140</v>
      </c>
      <c r="B18" s="139" t="s">
        <v>145</v>
      </c>
      <c r="C18" s="139" t="s">
        <v>144</v>
      </c>
      <c r="D18" s="241" t="s">
        <v>143</v>
      </c>
      <c r="E18" s="231" t="s">
        <v>157</v>
      </c>
      <c r="F18" s="234" t="s">
        <v>156</v>
      </c>
      <c r="G18" s="255" t="s">
        <v>158</v>
      </c>
      <c r="H18" s="256" t="s">
        <v>159</v>
      </c>
    </row>
    <row r="19" spans="1:8" x14ac:dyDescent="0.2">
      <c r="A19" s="264">
        <v>1</v>
      </c>
      <c r="B19" s="146">
        <v>1</v>
      </c>
      <c r="C19" s="150">
        <f>B19*$M$3</f>
        <v>10</v>
      </c>
      <c r="D19" s="151">
        <f>SUM($C$19:C19)</f>
        <v>10</v>
      </c>
      <c r="E19" s="9">
        <f>B19/P7</f>
        <v>3.1840461870561678</v>
      </c>
      <c r="F19" s="9">
        <f>D19/P7</f>
        <v>31.840461870561679</v>
      </c>
      <c r="G19" s="28">
        <f>S7/E19</f>
        <v>-2.2490112272803726</v>
      </c>
      <c r="H19" s="8">
        <f>S7/F19</f>
        <v>-0.22490112272803725</v>
      </c>
    </row>
    <row r="20" spans="1:8" x14ac:dyDescent="0.2">
      <c r="A20" s="265">
        <v>2</v>
      </c>
      <c r="B20" s="141">
        <f>B19*($M$3+1)</f>
        <v>11</v>
      </c>
      <c r="C20" s="140">
        <f>B20*$M$3</f>
        <v>110</v>
      </c>
      <c r="D20" s="142">
        <f>SUM($C$19:C20)</f>
        <v>120</v>
      </c>
      <c r="E20" s="9">
        <f t="shared" ref="E20:E28" si="4">B20/P8</f>
        <v>15.797461091466268</v>
      </c>
      <c r="F20" s="9">
        <f t="shared" ref="F20:F28" si="5">D20/P8</f>
        <v>172.33593917963199</v>
      </c>
      <c r="G20" s="112">
        <f t="shared" ref="G20:G28" si="6">S8/E20</f>
        <v>-0.30444163218933334</v>
      </c>
      <c r="H20" s="9">
        <f t="shared" ref="H20:H28" si="7">S8/F20</f>
        <v>-2.7907149617355562E-2</v>
      </c>
    </row>
    <row r="21" spans="1:8" x14ac:dyDescent="0.2">
      <c r="A21" s="265">
        <v>3</v>
      </c>
      <c r="B21" s="141">
        <f t="shared" ref="B21:B28" si="8">B20*($M$3+1)</f>
        <v>121</v>
      </c>
      <c r="C21" s="140">
        <f t="shared" ref="C21:C28" si="9">B21*$M$3</f>
        <v>1210</v>
      </c>
      <c r="D21" s="142">
        <f>SUM($C$19:C21)</f>
        <v>1330</v>
      </c>
      <c r="E21" s="9">
        <f t="shared" si="4"/>
        <v>141.8323538649941</v>
      </c>
      <c r="F21" s="9">
        <f t="shared" si="5"/>
        <v>1558.9837243011748</v>
      </c>
      <c r="G21" s="112">
        <f t="shared" si="6"/>
        <v>3.4159092781018294E-2</v>
      </c>
      <c r="H21" s="9">
        <f t="shared" si="7"/>
        <v>3.1077069372204614E-3</v>
      </c>
    </row>
    <row r="22" spans="1:8" x14ac:dyDescent="0.2">
      <c r="A22" s="265">
        <v>4</v>
      </c>
      <c r="B22" s="141">
        <f t="shared" si="8"/>
        <v>1331</v>
      </c>
      <c r="C22" s="140">
        <f t="shared" si="9"/>
        <v>13310</v>
      </c>
      <c r="D22" s="142">
        <f>SUM($C$19:C22)</f>
        <v>14640</v>
      </c>
      <c r="E22" s="9">
        <f t="shared" si="4"/>
        <v>1437.1164575264122</v>
      </c>
      <c r="F22" s="9">
        <f t="shared" si="5"/>
        <v>15807.201305925375</v>
      </c>
      <c r="G22" s="112">
        <f t="shared" si="6"/>
        <v>1.0881833020024516E-2</v>
      </c>
      <c r="H22" s="9">
        <f t="shared" si="7"/>
        <v>9.8932511951179184E-4</v>
      </c>
    </row>
    <row r="23" spans="1:8" x14ac:dyDescent="0.2">
      <c r="A23" s="265">
        <v>5</v>
      </c>
      <c r="B23" s="141">
        <f t="shared" si="8"/>
        <v>14641</v>
      </c>
      <c r="C23" s="140">
        <f t="shared" si="9"/>
        <v>146410</v>
      </c>
      <c r="D23" s="142">
        <f>SUM($C$19:C23)</f>
        <v>161050</v>
      </c>
      <c r="E23" s="9">
        <f t="shared" si="4"/>
        <v>15216.411161941984</v>
      </c>
      <c r="F23" s="9">
        <f t="shared" si="5"/>
        <v>167379.48348000523</v>
      </c>
      <c r="G23" s="112">
        <f t="shared" si="6"/>
        <v>1.6208696223150227E-3</v>
      </c>
      <c r="H23" s="9">
        <f t="shared" si="7"/>
        <v>1.4735269879114713E-4</v>
      </c>
    </row>
    <row r="24" spans="1:8" x14ac:dyDescent="0.2">
      <c r="A24" s="265">
        <v>6</v>
      </c>
      <c r="B24" s="141">
        <f t="shared" si="8"/>
        <v>161051</v>
      </c>
      <c r="C24" s="140">
        <f t="shared" si="9"/>
        <v>1610510</v>
      </c>
      <c r="D24" s="142">
        <f>SUM($C$19:C24)</f>
        <v>1771560</v>
      </c>
      <c r="E24" s="9">
        <f t="shared" si="4"/>
        <v>164261.72008682464</v>
      </c>
      <c r="F24" s="9">
        <f t="shared" si="5"/>
        <v>1806877.9010190254</v>
      </c>
      <c r="G24" s="112">
        <f t="shared" si="6"/>
        <v>1.9014812790568524E-4</v>
      </c>
      <c r="H24" s="9">
        <f t="shared" si="7"/>
        <v>1.7286203203582447E-5</v>
      </c>
    </row>
    <row r="25" spans="1:8" x14ac:dyDescent="0.2">
      <c r="A25" s="265">
        <v>7</v>
      </c>
      <c r="B25" s="141">
        <f t="shared" si="8"/>
        <v>1771561</v>
      </c>
      <c r="C25" s="140">
        <f t="shared" si="9"/>
        <v>17715610</v>
      </c>
      <c r="D25" s="142">
        <f>SUM($C$19:C25)</f>
        <v>19487170</v>
      </c>
      <c r="E25" s="9">
        <f t="shared" si="4"/>
        <v>1789729.0694000477</v>
      </c>
      <c r="F25" s="9">
        <f t="shared" si="5"/>
        <v>19687018.753145121</v>
      </c>
      <c r="G25" s="112">
        <f t="shared" si="6"/>
        <v>1.9915427224446936E-5</v>
      </c>
      <c r="H25" s="9">
        <f t="shared" si="7"/>
        <v>1.8104934769475731E-6</v>
      </c>
    </row>
    <row r="26" spans="1:8" x14ac:dyDescent="0.2">
      <c r="A26" s="265">
        <v>8</v>
      </c>
      <c r="B26" s="141">
        <f t="shared" si="8"/>
        <v>19487171</v>
      </c>
      <c r="C26" s="140">
        <f t="shared" si="9"/>
        <v>194871710</v>
      </c>
      <c r="D26" s="142">
        <f>SUM($C$19:C26)</f>
        <v>214358880</v>
      </c>
      <c r="E26" s="9">
        <f t="shared" si="4"/>
        <v>19590706.14688845</v>
      </c>
      <c r="F26" s="9">
        <f t="shared" si="5"/>
        <v>215497766.61045995</v>
      </c>
      <c r="G26" s="112">
        <f t="shared" si="6"/>
        <v>1.9627004141893088E-6</v>
      </c>
      <c r="H26" s="9">
        <f t="shared" si="7"/>
        <v>1.7842731121322281E-7</v>
      </c>
    </row>
    <row r="27" spans="1:8" x14ac:dyDescent="0.2">
      <c r="A27" s="265">
        <v>9</v>
      </c>
      <c r="B27" s="141">
        <f t="shared" si="8"/>
        <v>214358881</v>
      </c>
      <c r="C27" s="140">
        <f t="shared" si="9"/>
        <v>2143588810</v>
      </c>
      <c r="D27" s="142">
        <f>SUM($C$19:C27)</f>
        <v>2357947690</v>
      </c>
      <c r="E27" s="9">
        <f t="shared" si="4"/>
        <v>214951047.72360039</v>
      </c>
      <c r="F27" s="9">
        <f t="shared" si="5"/>
        <v>2364461523.9568415</v>
      </c>
      <c r="G27" s="112">
        <f t="shared" si="6"/>
        <v>1.8690511632152313E-7</v>
      </c>
      <c r="H27" s="9">
        <f t="shared" si="7"/>
        <v>1.6991374218253563E-8</v>
      </c>
    </row>
    <row r="28" spans="1:8" ht="17" thickBot="1" x14ac:dyDescent="0.25">
      <c r="A28" s="266">
        <v>10</v>
      </c>
      <c r="B28" s="143">
        <f t="shared" si="8"/>
        <v>2357947691</v>
      </c>
      <c r="C28" s="144">
        <f t="shared" si="9"/>
        <v>23579476910</v>
      </c>
      <c r="D28" s="145">
        <f>SUM($C$19:C28)</f>
        <v>25937424600</v>
      </c>
      <c r="E28" s="9">
        <f t="shared" si="4"/>
        <v>2361340944.6523151</v>
      </c>
      <c r="F28" s="9">
        <f t="shared" si="5"/>
        <v>25974750390.174026</v>
      </c>
      <c r="G28" s="113">
        <f t="shared" si="6"/>
        <v>1.7451333981936525E-8</v>
      </c>
      <c r="H28" s="10">
        <f t="shared" si="7"/>
        <v>1.5864849075099409E-9</v>
      </c>
    </row>
    <row r="29" spans="1:8" ht="17" thickBot="1" x14ac:dyDescent="0.25"/>
    <row r="30" spans="1:8" ht="17" thickBot="1" x14ac:dyDescent="0.25">
      <c r="A30" s="29" t="s">
        <v>140</v>
      </c>
      <c r="B30" s="19" t="s">
        <v>145</v>
      </c>
      <c r="C30" s="19" t="s">
        <v>144</v>
      </c>
      <c r="D30" s="19" t="s">
        <v>143</v>
      </c>
      <c r="E30" s="231" t="s">
        <v>157</v>
      </c>
      <c r="F30" s="234" t="s">
        <v>156</v>
      </c>
      <c r="G30" s="257" t="s">
        <v>158</v>
      </c>
      <c r="H30" s="258" t="s">
        <v>159</v>
      </c>
    </row>
    <row r="31" spans="1:8" x14ac:dyDescent="0.2">
      <c r="A31" s="264">
        <v>1</v>
      </c>
      <c r="B31" s="146">
        <v>1</v>
      </c>
      <c r="C31" s="150">
        <f>B31*$M$3</f>
        <v>10</v>
      </c>
      <c r="D31" s="151">
        <f>SUM($C$31:C31)</f>
        <v>10</v>
      </c>
      <c r="E31" s="129">
        <f>B31/P7</f>
        <v>3.1840461870561678</v>
      </c>
      <c r="F31" s="58">
        <f>D31/P7</f>
        <v>31.840461870561679</v>
      </c>
      <c r="G31" s="28">
        <f>S7/E31</f>
        <v>-2.2490112272803726</v>
      </c>
      <c r="H31" s="8">
        <f>S7/F31</f>
        <v>-0.22490112272803725</v>
      </c>
    </row>
    <row r="32" spans="1:8" x14ac:dyDescent="0.2">
      <c r="A32" s="265">
        <v>2</v>
      </c>
      <c r="B32" s="141">
        <f>C31</f>
        <v>10</v>
      </c>
      <c r="C32" s="140">
        <f>B32*$M$3</f>
        <v>100</v>
      </c>
      <c r="D32" s="142">
        <f>SUM($C$31:C32)</f>
        <v>110</v>
      </c>
      <c r="E32" s="112">
        <f t="shared" ref="E32:E40" si="10">B32/P8</f>
        <v>14.361328264969334</v>
      </c>
      <c r="F32" s="9">
        <f t="shared" ref="F32:F40" si="11">D32/P8</f>
        <v>157.97461091466266</v>
      </c>
      <c r="G32" s="112">
        <f t="shared" ref="G32:G40" si="12">S8/E32</f>
        <v>-0.33488579540826668</v>
      </c>
      <c r="H32" s="9">
        <f t="shared" ref="H32:H40" si="13">S8/F32</f>
        <v>-3.0444163218933337E-2</v>
      </c>
    </row>
    <row r="33" spans="1:8" x14ac:dyDescent="0.2">
      <c r="A33" s="265">
        <v>3</v>
      </c>
      <c r="B33" s="141">
        <f t="shared" ref="B33:B40" si="14">C32</f>
        <v>100</v>
      </c>
      <c r="C33" s="140">
        <f t="shared" ref="C33:C40" si="15">B33*$M$3</f>
        <v>1000</v>
      </c>
      <c r="D33" s="142">
        <f>SUM($C$31:C33)</f>
        <v>1110</v>
      </c>
      <c r="E33" s="112">
        <f t="shared" si="10"/>
        <v>117.21682137602819</v>
      </c>
      <c r="F33" s="9">
        <f t="shared" si="11"/>
        <v>1301.1067172739129</v>
      </c>
      <c r="G33" s="112">
        <f t="shared" si="12"/>
        <v>4.1332502265032128E-2</v>
      </c>
      <c r="H33" s="9">
        <f t="shared" si="13"/>
        <v>3.7236488527055975E-3</v>
      </c>
    </row>
    <row r="34" spans="1:8" x14ac:dyDescent="0.2">
      <c r="A34" s="265">
        <v>4</v>
      </c>
      <c r="B34" s="141">
        <f t="shared" si="14"/>
        <v>1000</v>
      </c>
      <c r="C34" s="140">
        <f t="shared" si="15"/>
        <v>10000</v>
      </c>
      <c r="D34" s="142">
        <f>SUM($C$31:C34)</f>
        <v>11110</v>
      </c>
      <c r="E34" s="112">
        <f t="shared" si="10"/>
        <v>1079.726865158837</v>
      </c>
      <c r="F34" s="9">
        <f t="shared" si="11"/>
        <v>11995.765471914679</v>
      </c>
      <c r="G34" s="112">
        <f t="shared" si="12"/>
        <v>1.4483719749652632E-2</v>
      </c>
      <c r="H34" s="9">
        <f t="shared" si="13"/>
        <v>1.3036651439831352E-3</v>
      </c>
    </row>
    <row r="35" spans="1:8" x14ac:dyDescent="0.2">
      <c r="A35" s="265">
        <v>5</v>
      </c>
      <c r="B35" s="141">
        <f t="shared" si="14"/>
        <v>10000</v>
      </c>
      <c r="C35" s="140">
        <f t="shared" si="15"/>
        <v>100000</v>
      </c>
      <c r="D35" s="142">
        <f>SUM($C$31:C35)</f>
        <v>111110</v>
      </c>
      <c r="E35" s="112">
        <f t="shared" si="10"/>
        <v>10393.013565973624</v>
      </c>
      <c r="F35" s="9">
        <f t="shared" si="11"/>
        <v>115476.77373153294</v>
      </c>
      <c r="G35" s="112">
        <f t="shared" si="12"/>
        <v>2.3731152140314248E-3</v>
      </c>
      <c r="H35" s="9">
        <f t="shared" si="13"/>
        <v>2.135825050878791E-4</v>
      </c>
    </row>
    <row r="36" spans="1:8" x14ac:dyDescent="0.2">
      <c r="A36" s="265">
        <v>6</v>
      </c>
      <c r="B36" s="141">
        <f t="shared" si="14"/>
        <v>100000</v>
      </c>
      <c r="C36" s="140">
        <f t="shared" si="15"/>
        <v>1000000</v>
      </c>
      <c r="D36" s="142">
        <f>SUM($C$31:C36)</f>
        <v>1111110</v>
      </c>
      <c r="E36" s="112">
        <f t="shared" si="10"/>
        <v>101993.60456428377</v>
      </c>
      <c r="F36" s="9">
        <f t="shared" si="11"/>
        <v>1133261.1396742132</v>
      </c>
      <c r="G36" s="112">
        <f t="shared" si="12"/>
        <v>3.0623546147338514E-4</v>
      </c>
      <c r="H36" s="9">
        <f t="shared" si="13"/>
        <v>2.7561219093823761E-5</v>
      </c>
    </row>
    <row r="37" spans="1:8" x14ac:dyDescent="0.2">
      <c r="A37" s="265">
        <v>7</v>
      </c>
      <c r="B37" s="141">
        <f t="shared" si="14"/>
        <v>1000000</v>
      </c>
      <c r="C37" s="140">
        <f t="shared" si="15"/>
        <v>10000000</v>
      </c>
      <c r="D37" s="142">
        <f>SUM($C$31:C37)</f>
        <v>11111110</v>
      </c>
      <c r="E37" s="112">
        <f t="shared" si="10"/>
        <v>1010255.4015357347</v>
      </c>
      <c r="F37" s="9">
        <f t="shared" si="11"/>
        <v>11225058.894557716</v>
      </c>
      <c r="G37" s="112">
        <f t="shared" si="12"/>
        <v>3.5281394169168439E-5</v>
      </c>
      <c r="H37" s="9">
        <f t="shared" si="13"/>
        <v>3.1753257927577386E-6</v>
      </c>
    </row>
    <row r="38" spans="1:8" x14ac:dyDescent="0.2">
      <c r="A38" s="265">
        <v>8</v>
      </c>
      <c r="B38" s="141">
        <f t="shared" si="14"/>
        <v>10000000</v>
      </c>
      <c r="C38" s="140">
        <f t="shared" si="15"/>
        <v>100000000</v>
      </c>
      <c r="D38" s="142">
        <f>SUM($C$31:C38)</f>
        <v>111111110</v>
      </c>
      <c r="E38" s="112">
        <f t="shared" si="10"/>
        <v>10053129.901148017</v>
      </c>
      <c r="F38" s="9">
        <f t="shared" si="11"/>
        <v>111701442.22907464</v>
      </c>
      <c r="G38" s="112">
        <f t="shared" si="12"/>
        <v>3.8247478593077881E-6</v>
      </c>
      <c r="H38" s="9">
        <f t="shared" si="13"/>
        <v>3.4422731077997408E-7</v>
      </c>
    </row>
    <row r="39" spans="1:8" x14ac:dyDescent="0.2">
      <c r="A39" s="265">
        <v>9</v>
      </c>
      <c r="B39" s="141">
        <f t="shared" si="14"/>
        <v>100000000</v>
      </c>
      <c r="C39" s="140">
        <f t="shared" si="15"/>
        <v>1000000000</v>
      </c>
      <c r="D39" s="142">
        <f>SUM($C$31:C39)</f>
        <v>1111111110</v>
      </c>
      <c r="E39" s="112">
        <f t="shared" si="10"/>
        <v>100276250.14687419</v>
      </c>
      <c r="F39" s="9">
        <f t="shared" si="11"/>
        <v>1114180556.0733104</v>
      </c>
      <c r="G39" s="112">
        <f t="shared" si="12"/>
        <v>4.0064771587856539E-7</v>
      </c>
      <c r="H39" s="9">
        <f t="shared" si="13"/>
        <v>3.6058294465129183E-8</v>
      </c>
    </row>
    <row r="40" spans="1:8" ht="17" thickBot="1" x14ac:dyDescent="0.25">
      <c r="A40" s="266">
        <v>10</v>
      </c>
      <c r="B40" s="143">
        <f t="shared" si="14"/>
        <v>1000000000</v>
      </c>
      <c r="C40" s="144">
        <f t="shared" si="15"/>
        <v>10000000000</v>
      </c>
      <c r="D40" s="145">
        <f>SUM($C$31:C40)</f>
        <v>11111111110</v>
      </c>
      <c r="E40" s="113">
        <f t="shared" si="10"/>
        <v>1001439070.7924806</v>
      </c>
      <c r="F40" s="10">
        <f t="shared" si="11"/>
        <v>11127100785.470407</v>
      </c>
      <c r="G40" s="113">
        <f t="shared" si="12"/>
        <v>4.1149332667577066E-8</v>
      </c>
      <c r="H40" s="10">
        <f t="shared" si="13"/>
        <v>3.7034399404522799E-9</v>
      </c>
    </row>
    <row r="41" spans="1:8" ht="17" thickBot="1" x14ac:dyDescent="0.25"/>
    <row r="42" spans="1:8" ht="17" thickBot="1" x14ac:dyDescent="0.25">
      <c r="A42" s="138" t="s">
        <v>140</v>
      </c>
      <c r="B42" s="139" t="s">
        <v>145</v>
      </c>
      <c r="C42" s="139" t="s">
        <v>144</v>
      </c>
      <c r="D42" s="241" t="s">
        <v>143</v>
      </c>
      <c r="E42" s="231" t="s">
        <v>157</v>
      </c>
      <c r="F42" s="234" t="s">
        <v>156</v>
      </c>
      <c r="G42" s="259" t="s">
        <v>158</v>
      </c>
      <c r="H42" s="256" t="s">
        <v>159</v>
      </c>
    </row>
    <row r="43" spans="1:8" x14ac:dyDescent="0.2">
      <c r="A43" s="264">
        <v>1</v>
      </c>
      <c r="B43" s="146">
        <v>1</v>
      </c>
      <c r="C43" s="150">
        <f>B43*$M$3</f>
        <v>10</v>
      </c>
      <c r="D43" s="151">
        <f>SUM(C43:C43)</f>
        <v>10</v>
      </c>
      <c r="E43" s="129">
        <f>B43/P7</f>
        <v>3.1840461870561678</v>
      </c>
      <c r="F43" s="58">
        <f>D43/P7</f>
        <v>31.840461870561679</v>
      </c>
      <c r="G43" s="28">
        <f>S7/E43</f>
        <v>-2.2490112272803726</v>
      </c>
      <c r="H43" s="8">
        <f>S7/F43</f>
        <v>-0.22490112272803725</v>
      </c>
    </row>
    <row r="44" spans="1:8" x14ac:dyDescent="0.2">
      <c r="A44" s="265">
        <v>2</v>
      </c>
      <c r="B44" s="141">
        <f>B43*$M$3*2</f>
        <v>20</v>
      </c>
      <c r="C44" s="140">
        <f>B44*$M$3</f>
        <v>200</v>
      </c>
      <c r="D44" s="142">
        <f>SUM($C$43:C44)</f>
        <v>210</v>
      </c>
      <c r="E44" s="112">
        <f t="shared" ref="E44:E52" si="16">B44/P8</f>
        <v>28.722656529938668</v>
      </c>
      <c r="F44" s="9">
        <f t="shared" ref="F44:F52" si="17">D44/P8</f>
        <v>301.58789356435602</v>
      </c>
      <c r="G44" s="112">
        <f t="shared" ref="G44:G52" si="18">S8/E44</f>
        <v>-0.16744289770413334</v>
      </c>
      <c r="H44" s="9">
        <f t="shared" ref="H44:H52" si="19">S8/F44</f>
        <v>-1.5946942638488889E-2</v>
      </c>
    </row>
    <row r="45" spans="1:8" x14ac:dyDescent="0.2">
      <c r="A45" s="265">
        <v>3</v>
      </c>
      <c r="B45" s="141">
        <f t="shared" ref="B45:B52" si="20">B44*$M$3*2</f>
        <v>400</v>
      </c>
      <c r="C45" s="140">
        <f t="shared" ref="C45:C52" si="21">B45*$M$3</f>
        <v>4000</v>
      </c>
      <c r="D45" s="142">
        <f>SUM($C$43:C45)</f>
        <v>4210</v>
      </c>
      <c r="E45" s="112">
        <f t="shared" si="16"/>
        <v>468.86728550411277</v>
      </c>
      <c r="F45" s="9">
        <f t="shared" si="17"/>
        <v>4934.828179930787</v>
      </c>
      <c r="G45" s="112">
        <f t="shared" si="18"/>
        <v>1.0333125566258032E-2</v>
      </c>
      <c r="H45" s="9">
        <f t="shared" si="19"/>
        <v>9.8176965000076324E-4</v>
      </c>
    </row>
    <row r="46" spans="1:8" x14ac:dyDescent="0.2">
      <c r="A46" s="265">
        <v>4</v>
      </c>
      <c r="B46" s="141">
        <f t="shared" si="20"/>
        <v>8000</v>
      </c>
      <c r="C46" s="140">
        <f t="shared" si="21"/>
        <v>80000</v>
      </c>
      <c r="D46" s="142">
        <f>SUM($C$43:C46)</f>
        <v>84210</v>
      </c>
      <c r="E46" s="112">
        <f t="shared" si="16"/>
        <v>8637.8149212706958</v>
      </c>
      <c r="F46" s="9">
        <f t="shared" si="17"/>
        <v>90923.799315025666</v>
      </c>
      <c r="G46" s="112">
        <f t="shared" si="18"/>
        <v>1.8104649687065791E-3</v>
      </c>
      <c r="H46" s="9">
        <f t="shared" si="19"/>
        <v>1.7199524699741873E-4</v>
      </c>
    </row>
    <row r="47" spans="1:8" x14ac:dyDescent="0.2">
      <c r="A47" s="265">
        <v>5</v>
      </c>
      <c r="B47" s="141">
        <f t="shared" si="20"/>
        <v>160000</v>
      </c>
      <c r="C47" s="140">
        <f t="shared" si="21"/>
        <v>1600000</v>
      </c>
      <c r="D47" s="142">
        <f>SUM($C$43:C47)</f>
        <v>1684210</v>
      </c>
      <c r="E47" s="112">
        <f t="shared" si="16"/>
        <v>166288.21705557799</v>
      </c>
      <c r="F47" s="9">
        <f t="shared" si="17"/>
        <v>1750401.7377948437</v>
      </c>
      <c r="G47" s="112">
        <f t="shared" si="18"/>
        <v>1.4831970087696405E-4</v>
      </c>
      <c r="H47" s="9">
        <f t="shared" si="19"/>
        <v>1.4090375986554081E-5</v>
      </c>
    </row>
    <row r="48" spans="1:8" x14ac:dyDescent="0.2">
      <c r="A48" s="265">
        <v>6</v>
      </c>
      <c r="B48" s="141">
        <f t="shared" si="20"/>
        <v>3200000</v>
      </c>
      <c r="C48" s="140">
        <f t="shared" si="21"/>
        <v>32000000</v>
      </c>
      <c r="D48" s="142">
        <f>SUM($C$43:C48)</f>
        <v>33684210</v>
      </c>
      <c r="E48" s="112">
        <f t="shared" si="16"/>
        <v>3263795.3460570807</v>
      </c>
      <c r="F48" s="9">
        <f t="shared" si="17"/>
        <v>34355739.948002927</v>
      </c>
      <c r="G48" s="112">
        <f t="shared" si="18"/>
        <v>9.5698581710432855E-6</v>
      </c>
      <c r="H48" s="9">
        <f t="shared" si="19"/>
        <v>9.091365404543706E-7</v>
      </c>
    </row>
    <row r="49" spans="1:8" x14ac:dyDescent="0.2">
      <c r="A49" s="265">
        <v>7</v>
      </c>
      <c r="B49" s="141">
        <f t="shared" si="20"/>
        <v>64000000</v>
      </c>
      <c r="C49" s="140">
        <f t="shared" si="21"/>
        <v>640000000</v>
      </c>
      <c r="D49" s="142">
        <f>SUM($C$43:C49)</f>
        <v>673684210</v>
      </c>
      <c r="E49" s="112">
        <f t="shared" si="16"/>
        <v>64656345.698287018</v>
      </c>
      <c r="F49" s="9">
        <f t="shared" si="17"/>
        <v>680593112.0818342</v>
      </c>
      <c r="G49" s="112">
        <f t="shared" si="18"/>
        <v>5.5127178389325685E-7</v>
      </c>
      <c r="H49" s="9">
        <f t="shared" si="19"/>
        <v>5.23708195107741E-8</v>
      </c>
    </row>
    <row r="50" spans="1:8" x14ac:dyDescent="0.2">
      <c r="A50" s="265">
        <v>8</v>
      </c>
      <c r="B50" s="141">
        <f t="shared" si="20"/>
        <v>1280000000</v>
      </c>
      <c r="C50" s="140">
        <f t="shared" si="21"/>
        <v>12800000000</v>
      </c>
      <c r="D50" s="142">
        <f>SUM($C$43:C50)</f>
        <v>13473684210</v>
      </c>
      <c r="E50" s="112">
        <f t="shared" si="16"/>
        <v>1286800627.3469462</v>
      </c>
      <c r="F50" s="9">
        <f t="shared" si="17"/>
        <v>13545269761.017691</v>
      </c>
      <c r="G50" s="112">
        <f t="shared" si="18"/>
        <v>2.9880842650842095E-8</v>
      </c>
      <c r="H50" s="9">
        <f t="shared" si="19"/>
        <v>2.838680051940885E-9</v>
      </c>
    </row>
    <row r="51" spans="1:8" x14ac:dyDescent="0.2">
      <c r="A51" s="265">
        <v>9</v>
      </c>
      <c r="B51" s="141">
        <f t="shared" si="20"/>
        <v>25600000000</v>
      </c>
      <c r="C51" s="140">
        <f t="shared" si="21"/>
        <v>256000000000</v>
      </c>
      <c r="D51" s="142">
        <f>SUM($C$43:C51)</f>
        <v>269473684210</v>
      </c>
      <c r="E51" s="112">
        <f t="shared" si="16"/>
        <v>25670720037.599792</v>
      </c>
      <c r="F51" s="9">
        <f t="shared" si="17"/>
        <v>270218105658.41742</v>
      </c>
      <c r="G51" s="112">
        <f t="shared" si="18"/>
        <v>1.5650301401506461E-9</v>
      </c>
      <c r="H51" s="9">
        <f t="shared" si="19"/>
        <v>1.4867786331460177E-10</v>
      </c>
    </row>
    <row r="52" spans="1:8" ht="17" thickBot="1" x14ac:dyDescent="0.25">
      <c r="A52" s="266">
        <v>10</v>
      </c>
      <c r="B52" s="143">
        <f t="shared" si="20"/>
        <v>512000000000</v>
      </c>
      <c r="C52" s="144">
        <f t="shared" si="21"/>
        <v>5120000000000</v>
      </c>
      <c r="D52" s="145">
        <f>SUM($C$43:C52)</f>
        <v>5389473684210</v>
      </c>
      <c r="E52" s="113">
        <f t="shared" si="16"/>
        <v>512736804245.75006</v>
      </c>
      <c r="F52" s="10">
        <f t="shared" si="17"/>
        <v>5397229518375.7891</v>
      </c>
      <c r="G52" s="113">
        <f t="shared" si="18"/>
        <v>8.0369790366361458E-11</v>
      </c>
      <c r="H52" s="10">
        <f t="shared" si="19"/>
        <v>7.6351300848050836E-12</v>
      </c>
    </row>
  </sheetData>
  <conditionalFormatting sqref="O7:O16">
    <cfRule type="cellIs" dxfId="523" priority="63" operator="lessThanOrEqual">
      <formula>0</formula>
    </cfRule>
    <cfRule type="cellIs" dxfId="522" priority="64" operator="greaterThan">
      <formula>0</formula>
    </cfRule>
  </conditionalFormatting>
  <conditionalFormatting sqref="P7:P16 S7:S16">
    <cfRule type="cellIs" dxfId="521" priority="53" operator="lessThanOrEqual">
      <formula>0</formula>
    </cfRule>
    <cfRule type="cellIs" dxfId="520" priority="54" operator="greaterThan">
      <formula>0</formula>
    </cfRule>
  </conditionalFormatting>
  <conditionalFormatting sqref="G43:G52">
    <cfRule type="cellIs" dxfId="519" priority="30" operator="equal">
      <formula>MAX($G$43:$G$52)</formula>
    </cfRule>
  </conditionalFormatting>
  <conditionalFormatting sqref="H43:H52">
    <cfRule type="cellIs" dxfId="518" priority="29" operator="equal">
      <formula>MAX($H$43:$H$52)</formula>
    </cfRule>
  </conditionalFormatting>
  <conditionalFormatting sqref="G31:G40">
    <cfRule type="cellIs" dxfId="517" priority="28" operator="equal">
      <formula>MAX($G$31:$G$40)</formula>
    </cfRule>
  </conditionalFormatting>
  <conditionalFormatting sqref="H31:H40">
    <cfRule type="cellIs" dxfId="516" priority="27" operator="equal">
      <formula>MAX($H$31:$H$40)</formula>
    </cfRule>
  </conditionalFormatting>
  <conditionalFormatting sqref="F19:F28">
    <cfRule type="cellIs" dxfId="515" priority="23" stopIfTrue="1" operator="lessThan">
      <formula>0</formula>
    </cfRule>
    <cfRule type="cellIs" dxfId="514" priority="24" operator="equal">
      <formula>MIN($F$19:$F$28)</formula>
    </cfRule>
  </conditionalFormatting>
  <conditionalFormatting sqref="E19:E28">
    <cfRule type="cellIs" dxfId="513" priority="21" stopIfTrue="1" operator="lessThan">
      <formula>0</formula>
    </cfRule>
    <cfRule type="cellIs" dxfId="512" priority="22" operator="equal">
      <formula>MIN($E$19:$E$28)</formula>
    </cfRule>
  </conditionalFormatting>
  <conditionalFormatting sqref="F31:F40">
    <cfRule type="cellIs" dxfId="511" priority="19" stopIfTrue="1" operator="lessThan">
      <formula>0</formula>
    </cfRule>
    <cfRule type="cellIs" dxfId="510" priority="20" operator="equal">
      <formula>MIN($F$31:$F$40)</formula>
    </cfRule>
  </conditionalFormatting>
  <conditionalFormatting sqref="E31:E40">
    <cfRule type="cellIs" dxfId="509" priority="17" stopIfTrue="1" operator="lessThan">
      <formula>0</formula>
    </cfRule>
    <cfRule type="cellIs" dxfId="508" priority="18" operator="equal">
      <formula>MIN($E$31:$E$40)</formula>
    </cfRule>
  </conditionalFormatting>
  <conditionalFormatting sqref="F43:F52">
    <cfRule type="cellIs" dxfId="507" priority="15" stopIfTrue="1" operator="lessThan">
      <formula>0</formula>
    </cfRule>
    <cfRule type="cellIs" dxfId="506" priority="16" operator="equal">
      <formula>MIN($F$43:$F$52)</formula>
    </cfRule>
  </conditionalFormatting>
  <conditionalFormatting sqref="E43:E52">
    <cfRule type="cellIs" dxfId="505" priority="13" stopIfTrue="1" operator="lessThan">
      <formula>0</formula>
    </cfRule>
    <cfRule type="cellIs" dxfId="504" priority="14" operator="equal">
      <formula>MIN($E$43:$E$52)</formula>
    </cfRule>
  </conditionalFormatting>
  <conditionalFormatting sqref="Q7:Q16">
    <cfRule type="cellIs" dxfId="503" priority="7" operator="lessThanOrEqual">
      <formula>0</formula>
    </cfRule>
    <cfRule type="cellIs" dxfId="502" priority="8" operator="greaterThan">
      <formula>0</formula>
    </cfRule>
  </conditionalFormatting>
  <conditionalFormatting sqref="R7:R16">
    <cfRule type="cellIs" dxfId="501" priority="5" operator="lessThanOrEqual">
      <formula>0</formula>
    </cfRule>
    <cfRule type="cellIs" dxfId="500" priority="6" operator="greaterThan">
      <formula>0</formula>
    </cfRule>
  </conditionalFormatting>
  <conditionalFormatting sqref="G19:G28">
    <cfRule type="cellIs" dxfId="499" priority="3" operator="lessThanOrEqual">
      <formula>0</formula>
    </cfRule>
    <cfRule type="cellIs" dxfId="498" priority="4" operator="equal">
      <formula>MAX($G$19:$G$28)</formula>
    </cfRule>
  </conditionalFormatting>
  <conditionalFormatting sqref="H19:H28">
    <cfRule type="cellIs" dxfId="497" priority="1" operator="lessThanOrEqual">
      <formula>0</formula>
    </cfRule>
    <cfRule type="cellIs" dxfId="496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U52"/>
  <sheetViews>
    <sheetView topLeftCell="A28" workbookViewId="0">
      <selection activeCell="B43" sqref="B43:D5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1" x14ac:dyDescent="0.2">
      <c r="B1" s="202"/>
      <c r="C1" t="s">
        <v>99</v>
      </c>
      <c r="D1">
        <f>C2+E2</f>
        <v>0.99999999999999889</v>
      </c>
    </row>
    <row r="2" spans="1:21" x14ac:dyDescent="0.2">
      <c r="A2" t="s">
        <v>40</v>
      </c>
      <c r="B2" s="201" t="s">
        <v>129</v>
      </c>
      <c r="C2" s="222">
        <f>Analysis!B28</f>
        <v>0.35530094682784957</v>
      </c>
      <c r="D2" s="199" t="s">
        <v>130</v>
      </c>
      <c r="E2" s="222">
        <f>Analysis!G28</f>
        <v>0.64469905317214926</v>
      </c>
      <c r="F2" s="199" t="s">
        <v>49</v>
      </c>
      <c r="G2" s="222">
        <f>Analysis!B28</f>
        <v>0.35530094682784957</v>
      </c>
      <c r="H2" t="s">
        <v>163</v>
      </c>
      <c r="I2" s="238">
        <f>Analysis!G28</f>
        <v>0.64469905317214926</v>
      </c>
      <c r="J2" t="s">
        <v>50</v>
      </c>
      <c r="K2" s="238">
        <f>C2*G2-E2*I2</f>
        <v>-0.28939810634429936</v>
      </c>
      <c r="L2" t="s">
        <v>49</v>
      </c>
      <c r="M2" s="267">
        <v>2</v>
      </c>
    </row>
    <row r="3" spans="1:21" x14ac:dyDescent="0.2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3</v>
      </c>
    </row>
    <row r="4" spans="1:21" x14ac:dyDescent="0.2">
      <c r="A4" t="s">
        <v>127</v>
      </c>
      <c r="B4" s="202">
        <f>$C$2</f>
        <v>0.35530094682784957</v>
      </c>
      <c r="C4">
        <f>B4*$C$2</f>
        <v>0.12623876281676638</v>
      </c>
      <c r="D4">
        <f t="shared" ref="D4:K4" si="0">C4*$C$2</f>
        <v>4.4852751955173423E-2</v>
      </c>
      <c r="E4">
        <f t="shared" si="0"/>
        <v>1.59362252375078E-2</v>
      </c>
      <c r="F4">
        <f t="shared" si="0"/>
        <v>5.6621559157483932E-3</v>
      </c>
      <c r="G4">
        <f t="shared" si="0"/>
        <v>2.0117693579523137E-3</v>
      </c>
      <c r="H4">
        <f t="shared" si="0"/>
        <v>7.1478355767971207E-4</v>
      </c>
      <c r="I4">
        <f t="shared" si="0"/>
        <v>2.5396327482058053E-4</v>
      </c>
      <c r="J4">
        <f t="shared" si="0"/>
        <v>9.023339200325363E-5</v>
      </c>
      <c r="K4">
        <f t="shared" si="0"/>
        <v>3.2060009614244528E-5</v>
      </c>
    </row>
    <row r="5" spans="1:21" ht="17" thickBot="1" x14ac:dyDescent="0.25">
      <c r="A5" t="s">
        <v>128</v>
      </c>
      <c r="B5" s="202">
        <f>$E$2</f>
        <v>0.64469905317214926</v>
      </c>
      <c r="C5">
        <f>B5*$E$2</f>
        <v>0.41563686916106574</v>
      </c>
      <c r="D5">
        <f t="shared" ref="D5:K5" si="1">C5*$E$2</f>
        <v>0.26796069601157557</v>
      </c>
      <c r="E5">
        <f t="shared" si="1"/>
        <v>0.17275400700601287</v>
      </c>
      <c r="F5">
        <f t="shared" si="1"/>
        <v>0.11137434474847134</v>
      </c>
      <c r="G5">
        <f t="shared" si="1"/>
        <v>7.1802934607008012E-2</v>
      </c>
      <c r="H5">
        <f t="shared" si="1"/>
        <v>4.6291283956119818E-2</v>
      </c>
      <c r="I5">
        <f t="shared" si="1"/>
        <v>2.9843946936633552E-2</v>
      </c>
      <c r="J5">
        <f t="shared" si="1"/>
        <v>1.9240364332967514E-2</v>
      </c>
      <c r="K5">
        <f t="shared" si="1"/>
        <v>1.2404244668151347E-2</v>
      </c>
    </row>
    <row r="6" spans="1:21" ht="17" thickBot="1" x14ac:dyDescent="0.25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">
      <c r="A7" s="208">
        <v>1</v>
      </c>
      <c r="B7" s="114">
        <f>C7*B4</f>
        <v>0.35530094682784957</v>
      </c>
      <c r="C7" s="114">
        <v>1</v>
      </c>
      <c r="D7" s="212">
        <f>C7*B5</f>
        <v>0.64469905317214926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0.99999999999999889</v>
      </c>
      <c r="O7" s="114">
        <f>B7/(B7+D7)</f>
        <v>0.35530094682784996</v>
      </c>
      <c r="P7" s="129">
        <f>B7-D7</f>
        <v>-0.28939810634429969</v>
      </c>
      <c r="Q7" s="129">
        <f>($G$2*SUM(C7))*B7</f>
        <v>0.12623876281676638</v>
      </c>
      <c r="R7" s="58">
        <f>($I$2*SUM(C7))*D7*COUNT(D7:M7)</f>
        <v>0.41563686916106574</v>
      </c>
      <c r="S7" s="58">
        <f>Q7-R7</f>
        <v>-0.28939810634429936</v>
      </c>
      <c r="T7" s="129">
        <f>(S7+U7*D7)/B7</f>
        <v>1.0000000000000009</v>
      </c>
      <c r="U7" s="58">
        <f t="shared" ref="U7:U16" si="2">COUNT(D7:M7)</f>
        <v>1</v>
      </c>
    </row>
    <row r="8" spans="1:21" x14ac:dyDescent="0.2">
      <c r="A8" s="209">
        <v>2</v>
      </c>
      <c r="B8" s="116">
        <f>C8*B4</f>
        <v>0.46086848959677612</v>
      </c>
      <c r="C8" s="116">
        <f>1/(1-B4*B5)</f>
        <v>1.2971214788799201</v>
      </c>
      <c r="D8" s="194">
        <f>C8*B5</f>
        <v>0.83625298928314251</v>
      </c>
      <c r="E8" s="1">
        <f>D8*B5</f>
        <v>0.53913151040322149</v>
      </c>
      <c r="F8" s="1"/>
      <c r="G8" s="1"/>
      <c r="H8" s="1"/>
      <c r="I8" s="1"/>
      <c r="J8" s="1"/>
      <c r="K8" s="1"/>
      <c r="L8" s="1"/>
      <c r="M8" s="9"/>
      <c r="N8">
        <f>B8+E8</f>
        <v>0.99999999999999756</v>
      </c>
      <c r="O8" s="116">
        <f>B8/(B8+E8)</f>
        <v>0.46086848959677723</v>
      </c>
      <c r="P8" s="112">
        <f>B8-E8</f>
        <v>-7.8263020806445371E-2</v>
      </c>
      <c r="Q8" s="112">
        <f>($G$2*SUM(C8:D8))*B8</f>
        <v>0.34933369190136299</v>
      </c>
      <c r="R8" s="9">
        <f>($I$2*SUM(C8:D8))*E8*COUNT(D8:M8)</f>
        <v>1.4830262454021774</v>
      </c>
      <c r="S8" s="9">
        <f t="shared" ref="S8:S16" si="3">Q8-R8</f>
        <v>-1.1336925535008144</v>
      </c>
      <c r="T8" s="112">
        <f>(S8+U8*E8)/B8</f>
        <v>-0.12027190824625038</v>
      </c>
      <c r="U8" s="9">
        <f t="shared" si="2"/>
        <v>2</v>
      </c>
    </row>
    <row r="9" spans="1:21" x14ac:dyDescent="0.2">
      <c r="A9" s="209">
        <v>3</v>
      </c>
      <c r="B9" s="116">
        <f>C9*B4</f>
        <v>0.50549410197036015</v>
      </c>
      <c r="C9" s="216">
        <f>1/(1-B5*B4/(1-B5*B4))</f>
        <v>1.4227209538377115</v>
      </c>
      <c r="D9" s="217">
        <f>C9*B5*C8</f>
        <v>1.18975465056255</v>
      </c>
      <c r="E9" s="218">
        <f>D9*(B5)</f>
        <v>0.76703369672483734</v>
      </c>
      <c r="F9" s="218">
        <f>E9*B5</f>
        <v>0.49450589802963613</v>
      </c>
      <c r="G9" s="218"/>
      <c r="H9" s="218"/>
      <c r="I9" s="218"/>
      <c r="J9" s="218"/>
      <c r="K9" s="218"/>
      <c r="L9" s="218"/>
      <c r="M9" s="219"/>
      <c r="N9">
        <f>B9+F9</f>
        <v>0.99999999999999623</v>
      </c>
      <c r="O9" s="116">
        <f>B9/(B9+F9)</f>
        <v>0.50549410197036204</v>
      </c>
      <c r="P9" s="112">
        <f>B9-F9</f>
        <v>1.0988203940724028E-2</v>
      </c>
      <c r="Q9" s="112">
        <f>($G$2*SUM(C9:E9))*B9</f>
        <v>0.60696843093445818</v>
      </c>
      <c r="R9" s="9">
        <f>($I$2*SUM(C9:E9))*F9*COUNT(D9:M9)</f>
        <v>3.2322385748506912</v>
      </c>
      <c r="S9" s="9">
        <f t="shared" si="3"/>
        <v>-2.6252701439162331</v>
      </c>
      <c r="T9" s="112">
        <f>(S9+U9*F9)/B9</f>
        <v>-2.2586859972785041</v>
      </c>
      <c r="U9" s="9">
        <f t="shared" si="2"/>
        <v>3</v>
      </c>
    </row>
    <row r="10" spans="1:21" x14ac:dyDescent="0.2">
      <c r="A10" s="209">
        <v>4</v>
      </c>
      <c r="B10" s="116">
        <f>C10*B4</f>
        <v>0.52706794700807069</v>
      </c>
      <c r="C10" s="116">
        <f>1/(1-B5*B4/(1-B5*B4/(1-B5*B4)))</f>
        <v>1.4834408737543998</v>
      </c>
      <c r="D10" s="194">
        <f>C10*B5*C9</f>
        <v>1.3606518025650987</v>
      </c>
      <c r="E10" s="1">
        <f>D10*B5*C8</f>
        <v>1.13784913726856</v>
      </c>
      <c r="F10" s="1">
        <f>E10*B5</f>
        <v>0.73357026144978754</v>
      </c>
      <c r="G10" s="1">
        <f>F10*B5</f>
        <v>0.47293205299192403</v>
      </c>
      <c r="H10" s="1"/>
      <c r="I10" s="1"/>
      <c r="J10" s="1"/>
      <c r="K10" s="1"/>
      <c r="L10" s="1"/>
      <c r="M10" s="9"/>
      <c r="N10">
        <f>B10+G10</f>
        <v>0.99999999999999467</v>
      </c>
      <c r="O10" s="116">
        <f>B10/(B10+G10)</f>
        <v>0.52706794700807347</v>
      </c>
      <c r="P10" s="112">
        <f>B10-G10</f>
        <v>5.4135894016146657E-2</v>
      </c>
      <c r="Q10" s="112">
        <f>($G$2*SUM(C10:F10))*B10</f>
        <v>0.88306329213309953</v>
      </c>
      <c r="R10" s="9">
        <f>($I$2*SUM(C10:F10))*G10*COUNT(D10:M10)</f>
        <v>5.7510167745994307</v>
      </c>
      <c r="S10" s="9">
        <f t="shared" si="3"/>
        <v>-4.8679534824663309</v>
      </c>
      <c r="T10" s="112">
        <f>(S10+U10*G10)/B10</f>
        <v>-5.646758235619024</v>
      </c>
      <c r="U10" s="9">
        <f t="shared" si="2"/>
        <v>4</v>
      </c>
    </row>
    <row r="11" spans="1:21" x14ac:dyDescent="0.2">
      <c r="A11" s="209">
        <v>5</v>
      </c>
      <c r="B11" s="116">
        <f>C11*B4</f>
        <v>0.53817185383674282</v>
      </c>
      <c r="C11" s="116">
        <f>1/(1-B5*B4/(1-B5*B4/(1-B5*B4/(1-B5*B4))))</f>
        <v>1.5146929909463425</v>
      </c>
      <c r="D11" s="194">
        <f>C11*B5*C10</f>
        <v>1.4486113688735018</v>
      </c>
      <c r="E11" s="1">
        <f>D11*B5*C9</f>
        <v>1.3287052454510941</v>
      </c>
      <c r="F11" s="1">
        <f>E11*B5*C8</f>
        <v>1.1111337333846691</v>
      </c>
      <c r="G11" s="1">
        <f>F11*B5</f>
        <v>0.71634686586073149</v>
      </c>
      <c r="H11" s="1">
        <f>G11*B5</f>
        <v>0.46182814616325019</v>
      </c>
      <c r="I11" s="1"/>
      <c r="J11" s="1"/>
      <c r="K11" s="1"/>
      <c r="L11" s="1"/>
      <c r="M11" s="9"/>
      <c r="N11">
        <f>B11+H11</f>
        <v>0.99999999999999301</v>
      </c>
      <c r="O11" s="116">
        <f>B11/(B11+H11)</f>
        <v>0.53817185383674659</v>
      </c>
      <c r="P11" s="112">
        <f>B11-H11</f>
        <v>7.6343707673492633E-2</v>
      </c>
      <c r="Q11" s="112">
        <f>($G$2*SUM(C11:G11))*B11</f>
        <v>1.1701258921445499</v>
      </c>
      <c r="R11" s="9">
        <f>($I$2*SUM(C11:G11))*H11*COUNT(D11:M11)</f>
        <v>9.110090224960528</v>
      </c>
      <c r="S11" s="9">
        <f t="shared" si="3"/>
        <v>-7.9399643328159781</v>
      </c>
      <c r="T11" s="112">
        <f>(S11+U11*H11)/B11</f>
        <v>-10.462872708515647</v>
      </c>
      <c r="U11" s="9">
        <f t="shared" si="2"/>
        <v>5</v>
      </c>
    </row>
    <row r="12" spans="1:21" x14ac:dyDescent="0.2">
      <c r="A12" s="209">
        <v>6</v>
      </c>
      <c r="B12" s="116">
        <f>C12*B4</f>
        <v>0.54407132790864765</v>
      </c>
      <c r="C12" s="116">
        <f>1/(1-B5*B4/(1-B5*B4/(1-B5*B4/(1-B5*B4/(1-B5*B4)))))</f>
        <v>1.5312971517980816</v>
      </c>
      <c r="D12" s="194">
        <f>C12*B5*C11</f>
        <v>1.4953440359265511</v>
      </c>
      <c r="E12" s="1">
        <f>D12*B5*C10</f>
        <v>1.4301065521317409</v>
      </c>
      <c r="F12" s="1">
        <f>E12*B5*C9</f>
        <v>1.3117321306466665</v>
      </c>
      <c r="G12" s="1">
        <f>F12*B5*C8</f>
        <v>1.0969399153920205</v>
      </c>
      <c r="H12" s="1">
        <f>G12*B5</f>
        <v>0.70719612483997318</v>
      </c>
      <c r="I12" s="1">
        <f>H12*B5</f>
        <v>0.4559286720913438</v>
      </c>
      <c r="J12" s="1"/>
      <c r="K12" s="1"/>
      <c r="L12" s="1"/>
      <c r="M12" s="9"/>
      <c r="N12">
        <f>B12+I12</f>
        <v>0.99999999999999145</v>
      </c>
      <c r="O12" s="116">
        <f>B12/(B12+I12)</f>
        <v>0.54407132790865231</v>
      </c>
      <c r="P12" s="112">
        <f>B12-I12</f>
        <v>8.814265581730385E-2</v>
      </c>
      <c r="Q12" s="112">
        <f>($G$2*SUM(C12:H12))*B12</f>
        <v>1.4638552479049223</v>
      </c>
      <c r="R12" s="9">
        <f>($I$2*SUM(C12:H12))*I12*COUNT(D12:M12)</f>
        <v>13.355222167778106</v>
      </c>
      <c r="S12" s="9">
        <f t="shared" si="3"/>
        <v>-11.891366919873184</v>
      </c>
      <c r="T12" s="112">
        <f>(S12+U12*I12)/B12</f>
        <v>-16.828298823463133</v>
      </c>
      <c r="U12" s="9">
        <f t="shared" si="2"/>
        <v>6</v>
      </c>
    </row>
    <row r="13" spans="1:21" x14ac:dyDescent="0.2">
      <c r="A13" s="209">
        <v>7</v>
      </c>
      <c r="B13" s="116">
        <f>C13*B4</f>
        <v>0.54725862405810499</v>
      </c>
      <c r="C13" s="216">
        <f>1/(1-B5*B4/(1-B5*B4/(1-B5*B4/(1-B5*B4/(1-B5*B4/(1-B5*B4))))))</f>
        <v>1.5402678460163597</v>
      </c>
      <c r="D13" s="217">
        <f>C13*B5*C12</f>
        <v>1.5205921932939017</v>
      </c>
      <c r="E13" s="218">
        <f>D13*B5*C11</f>
        <v>1.4848904176753384</v>
      </c>
      <c r="F13" s="218">
        <f>E13*B5*C10</f>
        <v>1.4201089946497398</v>
      </c>
      <c r="G13" s="218">
        <f>F13*B5*C9</f>
        <v>1.3025621024710878</v>
      </c>
      <c r="H13" s="218">
        <f>G13*B5*C8</f>
        <v>1.0892714519183821</v>
      </c>
      <c r="I13" s="218">
        <f>H13*B5</f>
        <v>0.70225227369923326</v>
      </c>
      <c r="J13" s="218">
        <f>I13*B5</f>
        <v>0.45274137594188468</v>
      </c>
      <c r="K13" s="218"/>
      <c r="L13" s="218"/>
      <c r="M13" s="219"/>
      <c r="N13">
        <f>B13+J13</f>
        <v>0.99999999999998967</v>
      </c>
      <c r="O13" s="116">
        <f>B13/(B13+J13)</f>
        <v>0.54725862405811065</v>
      </c>
      <c r="P13" s="112">
        <f>B13-J13</f>
        <v>9.4517248116220309E-2</v>
      </c>
      <c r="Q13" s="112">
        <f>($G$2*SUM(C13:I13))*B13</f>
        <v>1.7616294161322745</v>
      </c>
      <c r="R13" s="9">
        <f>($I$2*SUM(C13:I13))*J13*COUNT(D13:M13)</f>
        <v>18.511040603568034</v>
      </c>
      <c r="S13" s="9">
        <f t="shared" si="3"/>
        <v>-16.749411187435761</v>
      </c>
      <c r="T13" s="112">
        <f>(S13+U13*J13)/B13</f>
        <v>-24.814997806961362</v>
      </c>
      <c r="U13" s="9">
        <f t="shared" si="2"/>
        <v>7</v>
      </c>
    </row>
    <row r="14" spans="1:21" x14ac:dyDescent="0.2">
      <c r="A14" s="209">
        <v>8</v>
      </c>
      <c r="B14" s="116">
        <f>C14*B4</f>
        <v>0.54899620499061363</v>
      </c>
      <c r="C14" s="116">
        <f>1/(1-B5*B4/(1-B5*B4/(1-B5*B4/(1-B5*B4/(1-B5*B4/(1-B5*B4/(1-B5*B4)))))))</f>
        <v>1.5451582943757627</v>
      </c>
      <c r="D14" s="194">
        <f>C14*B5*C13</f>
        <v>1.5343564357004171</v>
      </c>
      <c r="E14" s="1">
        <f>D14*B5*C12</f>
        <v>1.5147562963743968</v>
      </c>
      <c r="F14" s="1">
        <f>E14*B5*C11</f>
        <v>1.4791915409794489</v>
      </c>
      <c r="G14" s="1">
        <f>F14*B5*C10</f>
        <v>1.4146587432649256</v>
      </c>
      <c r="H14" s="1">
        <f>G14*B5*C9</f>
        <v>1.297562985551509</v>
      </c>
      <c r="I14" s="1">
        <f>H14*B5*C8</f>
        <v>1.0850909254506083</v>
      </c>
      <c r="J14" s="1">
        <f>I14*B5</f>
        <v>0.69955709224369833</v>
      </c>
      <c r="K14" s="1">
        <f>J14*B5</f>
        <v>0.45100379500937421</v>
      </c>
      <c r="L14" s="1"/>
      <c r="M14" s="9"/>
      <c r="N14">
        <f>B14+K14</f>
        <v>0.99999999999998779</v>
      </c>
      <c r="O14" s="116">
        <f>B14/(B14+K14)</f>
        <v>0.5489962049906203</v>
      </c>
      <c r="P14" s="112">
        <f>B14-K14</f>
        <v>9.7992409981239426E-2</v>
      </c>
      <c r="Q14" s="112">
        <f>($G$2*SUM(C14:J14))*B14</f>
        <v>2.0618370918825555</v>
      </c>
      <c r="R14" s="9">
        <f>($I$2*SUM(C14:J14))*K14*COUNT(D14:M14)</f>
        <v>24.587584004415461</v>
      </c>
      <c r="S14" s="9">
        <f t="shared" si="3"/>
        <v>-22.525746912532906</v>
      </c>
      <c r="T14" s="112">
        <f>(S14+U14*K14)/B14</f>
        <v>-34.458738294523101</v>
      </c>
      <c r="U14" s="9">
        <f t="shared" si="2"/>
        <v>8</v>
      </c>
    </row>
    <row r="15" spans="1:21" x14ac:dyDescent="0.2">
      <c r="A15" s="209">
        <v>9</v>
      </c>
      <c r="B15" s="116">
        <f>C15*B4</f>
        <v>0.54994811692427414</v>
      </c>
      <c r="C15" s="116">
        <f>1/(1-B5*B4/(1-B5*B4/(1-B5*B4/(1-B5*B4/(1-B5*B4/(1-B5*B4/(1-B5*B4/(1-B5*B4))))))))</f>
        <v>1.5478374652087121</v>
      </c>
      <c r="D15" s="194">
        <f>C15*B5*C14</f>
        <v>1.5418970033709209</v>
      </c>
      <c r="E15" s="1">
        <f>D15*B5*C13</f>
        <v>1.5311179436571198</v>
      </c>
      <c r="F15" s="1">
        <f>E15*B5*C12</f>
        <v>1.5115591733987932</v>
      </c>
      <c r="G15" s="1">
        <f>F15*B5*C11</f>
        <v>1.4760694828158332</v>
      </c>
      <c r="H15" s="1">
        <f>G15*B5*C10</f>
        <v>1.4116728913615162</v>
      </c>
      <c r="I15" s="1">
        <f>H15*B5*C9</f>
        <v>1.2948242820100024</v>
      </c>
      <c r="J15" s="1">
        <f>I15*B5*C8</f>
        <v>1.0828006764272633</v>
      </c>
      <c r="K15" s="1">
        <f>J15*B5</f>
        <v>0.69808057086681941</v>
      </c>
      <c r="L15" s="1">
        <f>K15*B5</f>
        <v>0.45005188307571192</v>
      </c>
      <c r="M15" s="9"/>
      <c r="N15">
        <f>B15+L15</f>
        <v>0.99999999999998601</v>
      </c>
      <c r="O15" s="116">
        <f>B15/(B15+L15)</f>
        <v>0.5499481169242818</v>
      </c>
      <c r="P15" s="112">
        <f>B15-L15</f>
        <v>9.9896233848562221E-2</v>
      </c>
      <c r="Q15" s="112">
        <f>($G$2*SUM(C15:K15))*B15</f>
        <v>2.3634957046938072</v>
      </c>
      <c r="R15" s="9">
        <f>($I$2*SUM(C15:K15))*L15*COUNT(D15:M15)</f>
        <v>31.586307444092554</v>
      </c>
      <c r="S15" s="9">
        <f t="shared" si="3"/>
        <v>-29.222811739398747</v>
      </c>
      <c r="T15" s="112">
        <f>(S15+U15*L15)/B15</f>
        <v>-45.772217445711298</v>
      </c>
      <c r="U15" s="9">
        <f t="shared" si="2"/>
        <v>9</v>
      </c>
    </row>
    <row r="16" spans="1:21" ht="17" thickBot="1" x14ac:dyDescent="0.25">
      <c r="A16" s="210">
        <v>10</v>
      </c>
      <c r="B16" s="195">
        <f>C16*B4</f>
        <v>0.55047101086731354</v>
      </c>
      <c r="C16" s="195">
        <f>1/(1-B5*B4/(1-B5*B4/(1-B5*B4/(1-B5*B4/(1-B5*B4/(1-B5*B4/(1-B5*B4/(1-B5*B4/(1-B5*B4)))))))))</f>
        <v>1.5493091582838585</v>
      </c>
      <c r="D16" s="213">
        <f>C16*B5*C15</f>
        <v>1.5460391062509879</v>
      </c>
      <c r="E16" s="131">
        <f>D16*B5*C14</f>
        <v>1.5401055463541298</v>
      </c>
      <c r="F16" s="131">
        <f>E16*B5*C13</f>
        <v>1.5293390103187043</v>
      </c>
      <c r="G16" s="131">
        <f>F16*B5*C12</f>
        <v>1.5098029644681314</v>
      </c>
      <c r="H16" s="131">
        <f>G16*B5*C11</f>
        <v>1.4743545076738616</v>
      </c>
      <c r="I16" s="131">
        <f>H16*B5*C10</f>
        <v>1.4100327355656914</v>
      </c>
      <c r="J16" s="131">
        <f>I16*B5*C9</f>
        <v>1.2933198870728262</v>
      </c>
      <c r="K16" s="131">
        <f>J16*B5*C8</f>
        <v>1.0815426216639872</v>
      </c>
      <c r="L16" s="131">
        <f>K16*B5</f>
        <v>0.69726950415209654</v>
      </c>
      <c r="M16" s="10">
        <f>L16*B5</f>
        <v>0.44952898913267064</v>
      </c>
      <c r="N16">
        <f>B16+M16</f>
        <v>0.99999999999998423</v>
      </c>
      <c r="O16" s="195">
        <f>B16/(B16+M16)</f>
        <v>0.5504710108673222</v>
      </c>
      <c r="P16" s="113">
        <f>B16-M16</f>
        <v>0.10094202173464289</v>
      </c>
      <c r="Q16" s="113">
        <f>($G$2*SUM(C16:L16))*B16</f>
        <v>2.6660126197478262</v>
      </c>
      <c r="R16" s="10">
        <f>($I$2*SUM(C16:L16))*M16*COUNT(D16:M16)</f>
        <v>39.504459045689117</v>
      </c>
      <c r="S16" s="10">
        <f t="shared" si="3"/>
        <v>-36.838446425941292</v>
      </c>
      <c r="T16" s="113">
        <f>(S16+U16*M16)/B16</f>
        <v>-58.755421986082816</v>
      </c>
      <c r="U16" s="10">
        <f t="shared" si="2"/>
        <v>10</v>
      </c>
    </row>
    <row r="17" spans="1:8" ht="17" thickBot="1" x14ac:dyDescent="0.25"/>
    <row r="18" spans="1:8" ht="17" thickBot="1" x14ac:dyDescent="0.25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">
      <c r="A19" s="264">
        <v>1</v>
      </c>
      <c r="B19" s="146">
        <v>1</v>
      </c>
      <c r="C19" s="150">
        <f>B19*$M$3</f>
        <v>3</v>
      </c>
      <c r="D19" s="151">
        <f>SUM($C$19:C19)</f>
        <v>3</v>
      </c>
      <c r="E19" s="9">
        <f>B19/P7</f>
        <v>-3.4554476276022705</v>
      </c>
      <c r="F19" s="9">
        <f>D19/P7</f>
        <v>-10.366342882806812</v>
      </c>
      <c r="G19" s="28">
        <f>S7/E19</f>
        <v>8.3751263955666497E-2</v>
      </c>
      <c r="H19" s="8">
        <f>S7/F19</f>
        <v>2.7917087985222164E-2</v>
      </c>
    </row>
    <row r="20" spans="1:8" x14ac:dyDescent="0.2">
      <c r="A20" s="265">
        <v>2</v>
      </c>
      <c r="B20" s="141">
        <f>B19*($M$3+1)</f>
        <v>4</v>
      </c>
      <c r="C20" s="140">
        <f>B20*$M$3</f>
        <v>12</v>
      </c>
      <c r="D20" s="142">
        <f>SUM($C$19:C20)</f>
        <v>15</v>
      </c>
      <c r="E20" s="9">
        <f t="shared" ref="E20:E28" si="4">B20/P8</f>
        <v>-51.109706203297726</v>
      </c>
      <c r="F20" s="9">
        <f t="shared" ref="F20:F28" si="5">D20/P8</f>
        <v>-191.66139826236648</v>
      </c>
      <c r="G20" s="112">
        <f t="shared" ref="G20:G28" si="6">S8/E20</f>
        <v>2.2181550975686606E-2</v>
      </c>
      <c r="H20" s="9">
        <f t="shared" ref="H20:H28" si="7">S8/F20</f>
        <v>5.9150802601830943E-3</v>
      </c>
    </row>
    <row r="21" spans="1:8" x14ac:dyDescent="0.2">
      <c r="A21" s="265">
        <v>3</v>
      </c>
      <c r="B21" s="141">
        <f t="shared" ref="B21:B28" si="8">B20*($M$3+1)</f>
        <v>16</v>
      </c>
      <c r="C21" s="140">
        <f t="shared" ref="C21:C28" si="9">B21*$M$3</f>
        <v>48</v>
      </c>
      <c r="D21" s="142">
        <f>SUM($C$19:C21)</f>
        <v>63</v>
      </c>
      <c r="E21" s="9">
        <f t="shared" si="4"/>
        <v>1456.1069385235435</v>
      </c>
      <c r="F21" s="9">
        <f t="shared" si="5"/>
        <v>5733.4210704364523</v>
      </c>
      <c r="G21" s="112">
        <f t="shared" si="6"/>
        <v>-1.802937733802843E-3</v>
      </c>
      <c r="H21" s="9">
        <f t="shared" si="7"/>
        <v>-4.578889482673887E-4</v>
      </c>
    </row>
    <row r="22" spans="1:8" x14ac:dyDescent="0.2">
      <c r="A22" s="265">
        <v>4</v>
      </c>
      <c r="B22" s="141">
        <f t="shared" si="8"/>
        <v>64</v>
      </c>
      <c r="C22" s="140">
        <f t="shared" si="9"/>
        <v>192</v>
      </c>
      <c r="D22" s="142">
        <f>SUM($C$19:C22)</f>
        <v>255</v>
      </c>
      <c r="E22" s="9">
        <f t="shared" si="4"/>
        <v>1182.210087468238</v>
      </c>
      <c r="F22" s="9">
        <f t="shared" si="5"/>
        <v>4710.3683172562605</v>
      </c>
      <c r="G22" s="112">
        <f t="shared" si="6"/>
        <v>-4.1176720906613952E-3</v>
      </c>
      <c r="H22" s="9">
        <f t="shared" si="7"/>
        <v>-1.0334549560875659E-3</v>
      </c>
    </row>
    <row r="23" spans="1:8" x14ac:dyDescent="0.2">
      <c r="A23" s="265">
        <v>5</v>
      </c>
      <c r="B23" s="141">
        <f t="shared" si="8"/>
        <v>256</v>
      </c>
      <c r="C23" s="140">
        <f t="shared" si="9"/>
        <v>768</v>
      </c>
      <c r="D23" s="142">
        <f>SUM($C$19:C23)</f>
        <v>1023</v>
      </c>
      <c r="E23" s="9">
        <f t="shared" si="4"/>
        <v>3353.2560547735357</v>
      </c>
      <c r="F23" s="9">
        <f t="shared" si="5"/>
        <v>13399.925562630184</v>
      </c>
      <c r="G23" s="112">
        <f t="shared" si="6"/>
        <v>-2.3678371717283631E-3</v>
      </c>
      <c r="H23" s="9">
        <f t="shared" si="7"/>
        <v>-5.9253794326731275E-4</v>
      </c>
    </row>
    <row r="24" spans="1:8" x14ac:dyDescent="0.2">
      <c r="A24" s="265">
        <v>6</v>
      </c>
      <c r="B24" s="141">
        <f t="shared" si="8"/>
        <v>1024</v>
      </c>
      <c r="C24" s="140">
        <f t="shared" si="9"/>
        <v>3072</v>
      </c>
      <c r="D24" s="142">
        <f>SUM($C$19:C24)</f>
        <v>4095</v>
      </c>
      <c r="E24" s="9">
        <f t="shared" si="4"/>
        <v>11617.53058726161</v>
      </c>
      <c r="F24" s="9">
        <f t="shared" si="5"/>
        <v>46458.777104332316</v>
      </c>
      <c r="G24" s="112">
        <f t="shared" si="6"/>
        <v>-1.0235709586090378E-3</v>
      </c>
      <c r="H24" s="9">
        <f t="shared" si="7"/>
        <v>-2.559552287217716E-4</v>
      </c>
    </row>
    <row r="25" spans="1:8" x14ac:dyDescent="0.2">
      <c r="A25" s="265">
        <v>7</v>
      </c>
      <c r="B25" s="141">
        <f t="shared" si="8"/>
        <v>4096</v>
      </c>
      <c r="C25" s="140">
        <f t="shared" si="9"/>
        <v>12288</v>
      </c>
      <c r="D25" s="142">
        <f>SUM($C$19:C25)</f>
        <v>16383</v>
      </c>
      <c r="E25" s="9">
        <f t="shared" si="4"/>
        <v>43336.005667065932</v>
      </c>
      <c r="F25" s="9">
        <f t="shared" si="5"/>
        <v>173333.44258875516</v>
      </c>
      <c r="G25" s="112">
        <f t="shared" si="6"/>
        <v>-3.8650103833092337E-4</v>
      </c>
      <c r="H25" s="9">
        <f t="shared" si="7"/>
        <v>-9.6631157480526277E-5</v>
      </c>
    </row>
    <row r="26" spans="1:8" x14ac:dyDescent="0.2">
      <c r="A26" s="265">
        <v>8</v>
      </c>
      <c r="B26" s="141">
        <f t="shared" si="8"/>
        <v>16384</v>
      </c>
      <c r="C26" s="140">
        <f t="shared" si="9"/>
        <v>49152</v>
      </c>
      <c r="D26" s="142">
        <f>SUM($C$19:C26)</f>
        <v>65535</v>
      </c>
      <c r="E26" s="9">
        <f t="shared" si="4"/>
        <v>167196.62270921498</v>
      </c>
      <c r="F26" s="9">
        <f t="shared" si="5"/>
        <v>668776.28596486838</v>
      </c>
      <c r="G26" s="112">
        <f t="shared" si="6"/>
        <v>-1.3472608804849625E-4</v>
      </c>
      <c r="H26" s="9">
        <f t="shared" si="7"/>
        <v>-3.3682035959205964E-5</v>
      </c>
    </row>
    <row r="27" spans="1:8" x14ac:dyDescent="0.2">
      <c r="A27" s="265">
        <v>9</v>
      </c>
      <c r="B27" s="141">
        <f t="shared" si="8"/>
        <v>65536</v>
      </c>
      <c r="C27" s="140">
        <f t="shared" si="9"/>
        <v>196608</v>
      </c>
      <c r="D27" s="142">
        <f>SUM($C$19:C27)</f>
        <v>262143</v>
      </c>
      <c r="E27" s="9">
        <f t="shared" si="4"/>
        <v>656040.74823630846</v>
      </c>
      <c r="F27" s="9">
        <f t="shared" si="5"/>
        <v>2624152.9825578402</v>
      </c>
      <c r="G27" s="112">
        <f t="shared" si="6"/>
        <v>-4.4544202197746067E-5</v>
      </c>
      <c r="H27" s="9">
        <f t="shared" si="7"/>
        <v>-1.113609303026015E-5</v>
      </c>
    </row>
    <row r="28" spans="1:8" ht="17" thickBot="1" x14ac:dyDescent="0.25">
      <c r="A28" s="266">
        <v>10</v>
      </c>
      <c r="B28" s="143">
        <f t="shared" si="8"/>
        <v>262144</v>
      </c>
      <c r="C28" s="144">
        <f t="shared" si="9"/>
        <v>786432</v>
      </c>
      <c r="D28" s="145">
        <f>SUM($C$19:C28)</f>
        <v>1048575</v>
      </c>
      <c r="E28" s="9">
        <f t="shared" si="4"/>
        <v>2596975.9223678522</v>
      </c>
      <c r="F28" s="9">
        <f t="shared" si="5"/>
        <v>10387893.782794459</v>
      </c>
      <c r="G28" s="113">
        <f t="shared" si="6"/>
        <v>-1.4185132064048171E-5</v>
      </c>
      <c r="H28" s="10">
        <f t="shared" si="7"/>
        <v>-3.546286398014299E-6</v>
      </c>
    </row>
    <row r="29" spans="1:8" ht="17" thickBot="1" x14ac:dyDescent="0.25"/>
    <row r="30" spans="1:8" ht="17" thickBot="1" x14ac:dyDescent="0.25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">
      <c r="A31" s="264">
        <v>1</v>
      </c>
      <c r="B31" s="146">
        <v>1</v>
      </c>
      <c r="C31" s="150">
        <f>B31*$M$3</f>
        <v>3</v>
      </c>
      <c r="D31" s="151">
        <f>SUM($C$31:C31)</f>
        <v>3</v>
      </c>
      <c r="E31" s="129">
        <f>B31/P7</f>
        <v>-3.4554476276022705</v>
      </c>
      <c r="F31" s="58">
        <f>D31/P7</f>
        <v>-10.366342882806812</v>
      </c>
      <c r="G31" s="28">
        <f>S7/E31</f>
        <v>8.3751263955666497E-2</v>
      </c>
      <c r="H31" s="8">
        <f>S7/F31</f>
        <v>2.7917087985222164E-2</v>
      </c>
    </row>
    <row r="32" spans="1:8" x14ac:dyDescent="0.2">
      <c r="A32" s="265">
        <v>2</v>
      </c>
      <c r="B32" s="141">
        <f>C31</f>
        <v>3</v>
      </c>
      <c r="C32" s="140">
        <f>B32*$M$3</f>
        <v>9</v>
      </c>
      <c r="D32" s="142">
        <f>SUM($C$31:C32)</f>
        <v>12</v>
      </c>
      <c r="E32" s="112">
        <f t="shared" ref="E32:E40" si="10">B32/P8</f>
        <v>-38.332279652473296</v>
      </c>
      <c r="F32" s="9">
        <f t="shared" ref="F32:F40" si="11">D32/P8</f>
        <v>-153.32911860989319</v>
      </c>
      <c r="G32" s="112">
        <f t="shared" ref="G32:G40" si="12">S8/E32</f>
        <v>2.9575401300915474E-2</v>
      </c>
      <c r="H32" s="9">
        <f t="shared" ref="H32:H40" si="13">S8/F32</f>
        <v>7.3938503252288686E-3</v>
      </c>
    </row>
    <row r="33" spans="1:8" x14ac:dyDescent="0.2">
      <c r="A33" s="265">
        <v>3</v>
      </c>
      <c r="B33" s="141">
        <f t="shared" ref="B33:B40" si="14">C32</f>
        <v>9</v>
      </c>
      <c r="C33" s="140">
        <f t="shared" ref="C33:C40" si="15">B33*$M$3</f>
        <v>27</v>
      </c>
      <c r="D33" s="142">
        <f>SUM($C$31:C33)</f>
        <v>39</v>
      </c>
      <c r="E33" s="112">
        <f t="shared" si="10"/>
        <v>819.06015291949313</v>
      </c>
      <c r="F33" s="9">
        <f t="shared" si="11"/>
        <v>3549.260662651137</v>
      </c>
      <c r="G33" s="112">
        <f t="shared" si="12"/>
        <v>-3.2052226378717213E-3</v>
      </c>
      <c r="H33" s="9">
        <f t="shared" si="13"/>
        <v>-7.3966676258578178E-4</v>
      </c>
    </row>
    <row r="34" spans="1:8" x14ac:dyDescent="0.2">
      <c r="A34" s="265">
        <v>4</v>
      </c>
      <c r="B34" s="141">
        <f t="shared" si="14"/>
        <v>27</v>
      </c>
      <c r="C34" s="140">
        <f t="shared" si="15"/>
        <v>81</v>
      </c>
      <c r="D34" s="142">
        <f>SUM($C$31:C34)</f>
        <v>120</v>
      </c>
      <c r="E34" s="112">
        <f t="shared" si="10"/>
        <v>498.74488065066288</v>
      </c>
      <c r="F34" s="9">
        <f t="shared" si="11"/>
        <v>2216.6439140029461</v>
      </c>
      <c r="G34" s="112">
        <f t="shared" si="12"/>
        <v>-9.7604079186047899E-3</v>
      </c>
      <c r="H34" s="9">
        <f t="shared" si="13"/>
        <v>-2.1960917816860777E-3</v>
      </c>
    </row>
    <row r="35" spans="1:8" x14ac:dyDescent="0.2">
      <c r="A35" s="265">
        <v>5</v>
      </c>
      <c r="B35" s="141">
        <f t="shared" si="14"/>
        <v>81</v>
      </c>
      <c r="C35" s="140">
        <f t="shared" si="15"/>
        <v>243</v>
      </c>
      <c r="D35" s="142">
        <f>SUM($C$31:C35)</f>
        <v>363</v>
      </c>
      <c r="E35" s="112">
        <f t="shared" si="10"/>
        <v>1060.9911735806891</v>
      </c>
      <c r="F35" s="9">
        <f t="shared" si="11"/>
        <v>4754.8122964171616</v>
      </c>
      <c r="G35" s="112">
        <f t="shared" si="12"/>
        <v>-7.4835347649686535E-3</v>
      </c>
      <c r="H35" s="9">
        <f t="shared" si="13"/>
        <v>-1.6698796582987907E-3</v>
      </c>
    </row>
    <row r="36" spans="1:8" x14ac:dyDescent="0.2">
      <c r="A36" s="265">
        <v>6</v>
      </c>
      <c r="B36" s="141">
        <f t="shared" si="14"/>
        <v>243</v>
      </c>
      <c r="C36" s="140">
        <f t="shared" si="15"/>
        <v>729</v>
      </c>
      <c r="D36" s="142">
        <f>SUM($C$31:C36)</f>
        <v>1092</v>
      </c>
      <c r="E36" s="112">
        <f t="shared" si="10"/>
        <v>2756.8944655318078</v>
      </c>
      <c r="F36" s="9">
        <f t="shared" si="11"/>
        <v>12389.007227821952</v>
      </c>
      <c r="G36" s="112">
        <f t="shared" si="12"/>
        <v>-4.313319595126151E-3</v>
      </c>
      <c r="H36" s="9">
        <f t="shared" si="13"/>
        <v>-9.5983210770664339E-4</v>
      </c>
    </row>
    <row r="37" spans="1:8" x14ac:dyDescent="0.2">
      <c r="A37" s="265">
        <v>7</v>
      </c>
      <c r="B37" s="141">
        <f t="shared" si="14"/>
        <v>729</v>
      </c>
      <c r="C37" s="140">
        <f t="shared" si="15"/>
        <v>2187</v>
      </c>
      <c r="D37" s="142">
        <f>SUM($C$31:C37)</f>
        <v>3279</v>
      </c>
      <c r="E37" s="112">
        <f t="shared" si="10"/>
        <v>7712.8779617409828</v>
      </c>
      <c r="F37" s="9">
        <f t="shared" si="11"/>
        <v>34692.080708571579</v>
      </c>
      <c r="G37" s="112">
        <f t="shared" si="12"/>
        <v>-2.1716162592640082E-3</v>
      </c>
      <c r="H37" s="9">
        <f t="shared" si="13"/>
        <v>-4.8280215096171459E-4</v>
      </c>
    </row>
    <row r="38" spans="1:8" x14ac:dyDescent="0.2">
      <c r="A38" s="265">
        <v>8</v>
      </c>
      <c r="B38" s="141">
        <f t="shared" si="14"/>
        <v>2187</v>
      </c>
      <c r="C38" s="140">
        <f t="shared" si="15"/>
        <v>6561</v>
      </c>
      <c r="D38" s="142">
        <f>SUM($C$31:C38)</f>
        <v>9840</v>
      </c>
      <c r="E38" s="112">
        <f t="shared" si="10"/>
        <v>22318.055045474437</v>
      </c>
      <c r="F38" s="9">
        <f t="shared" si="11"/>
        <v>100415.94039664767</v>
      </c>
      <c r="G38" s="112">
        <f t="shared" si="12"/>
        <v>-1.0093060020971937E-3</v>
      </c>
      <c r="H38" s="9">
        <f t="shared" si="13"/>
        <v>-2.2432441327099214E-4</v>
      </c>
    </row>
    <row r="39" spans="1:8" x14ac:dyDescent="0.2">
      <c r="A39" s="265">
        <v>9</v>
      </c>
      <c r="B39" s="141">
        <f t="shared" si="14"/>
        <v>6561</v>
      </c>
      <c r="C39" s="140">
        <f t="shared" si="15"/>
        <v>19683</v>
      </c>
      <c r="D39" s="142">
        <f>SUM($C$31:C39)</f>
        <v>29523</v>
      </c>
      <c r="E39" s="112">
        <f t="shared" si="10"/>
        <v>65678.15169034453</v>
      </c>
      <c r="F39" s="9">
        <f t="shared" si="11"/>
        <v>295536.66702545981</v>
      </c>
      <c r="G39" s="112">
        <f t="shared" si="12"/>
        <v>-4.449396182337276E-4</v>
      </c>
      <c r="H39" s="9">
        <f t="shared" si="13"/>
        <v>-9.8880494368170114E-5</v>
      </c>
    </row>
    <row r="40" spans="1:8" ht="17" thickBot="1" x14ac:dyDescent="0.25">
      <c r="A40" s="266">
        <v>10</v>
      </c>
      <c r="B40" s="143">
        <f t="shared" si="14"/>
        <v>19683</v>
      </c>
      <c r="C40" s="144">
        <f t="shared" si="15"/>
        <v>59049</v>
      </c>
      <c r="D40" s="145">
        <f>SUM($C$31:C40)</f>
        <v>88572</v>
      </c>
      <c r="E40" s="113">
        <f t="shared" si="10"/>
        <v>194993.1224058778</v>
      </c>
      <c r="F40" s="10">
        <f t="shared" si="11"/>
        <v>877454.19081102521</v>
      </c>
      <c r="G40" s="113">
        <f t="shared" si="12"/>
        <v>-1.8892177309342295E-4</v>
      </c>
      <c r="H40" s="10">
        <f t="shared" si="13"/>
        <v>-4.1983327234316082E-5</v>
      </c>
    </row>
    <row r="41" spans="1:8" ht="17" thickBot="1" x14ac:dyDescent="0.25"/>
    <row r="42" spans="1:8" ht="17" thickBot="1" x14ac:dyDescent="0.25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">
      <c r="A43" s="264">
        <v>1</v>
      </c>
      <c r="B43" s="146">
        <v>1</v>
      </c>
      <c r="C43" s="150">
        <f>B43*$M$3</f>
        <v>3</v>
      </c>
      <c r="D43" s="151">
        <f>SUM(C43:C43)</f>
        <v>3</v>
      </c>
      <c r="E43" s="129">
        <f>B43/P7</f>
        <v>-3.4554476276022705</v>
      </c>
      <c r="F43" s="58">
        <f>D43/P7</f>
        <v>-10.366342882806812</v>
      </c>
      <c r="G43" s="28">
        <f>S7/E43</f>
        <v>8.3751263955666497E-2</v>
      </c>
      <c r="H43" s="8">
        <f>S7/F43</f>
        <v>2.7917087985222164E-2</v>
      </c>
    </row>
    <row r="44" spans="1:8" x14ac:dyDescent="0.2">
      <c r="A44" s="265">
        <v>2</v>
      </c>
      <c r="B44" s="141">
        <f>B43*$M$3*2</f>
        <v>6</v>
      </c>
      <c r="C44" s="140">
        <f>B44*$M$3</f>
        <v>18</v>
      </c>
      <c r="D44" s="142">
        <f>SUM($C$43:C44)</f>
        <v>21</v>
      </c>
      <c r="E44" s="112">
        <f t="shared" ref="E44:E52" si="16">B44/P8</f>
        <v>-76.664559304946593</v>
      </c>
      <c r="F44" s="9">
        <f t="shared" ref="F44:F52" si="17">D44/P8</f>
        <v>-268.32595756731308</v>
      </c>
      <c r="G44" s="112">
        <f t="shared" ref="G44:G52" si="18">S8/E44</f>
        <v>1.4787700650457737E-2</v>
      </c>
      <c r="H44" s="9">
        <f t="shared" ref="H44:H52" si="19">S8/F44</f>
        <v>4.2250573287022104E-3</v>
      </c>
    </row>
    <row r="45" spans="1:8" x14ac:dyDescent="0.2">
      <c r="A45" s="265">
        <v>3</v>
      </c>
      <c r="B45" s="141">
        <f t="shared" ref="B45:B52" si="20">B44*$M$3*2</f>
        <v>36</v>
      </c>
      <c r="C45" s="140">
        <f t="shared" ref="C45:C52" si="21">B45*$M$3</f>
        <v>108</v>
      </c>
      <c r="D45" s="142">
        <f>SUM($C$43:C45)</f>
        <v>129</v>
      </c>
      <c r="E45" s="112">
        <f t="shared" si="16"/>
        <v>3276.2406116779725</v>
      </c>
      <c r="F45" s="9">
        <f t="shared" si="17"/>
        <v>11739.862191846069</v>
      </c>
      <c r="G45" s="112">
        <f t="shared" si="18"/>
        <v>-8.0130565946793034E-4</v>
      </c>
      <c r="H45" s="9">
        <f t="shared" si="19"/>
        <v>-2.2362018403756194E-4</v>
      </c>
    </row>
    <row r="46" spans="1:8" x14ac:dyDescent="0.2">
      <c r="A46" s="265">
        <v>4</v>
      </c>
      <c r="B46" s="141">
        <f t="shared" si="20"/>
        <v>216</v>
      </c>
      <c r="C46" s="140">
        <f t="shared" si="21"/>
        <v>648</v>
      </c>
      <c r="D46" s="142">
        <f>SUM($C$43:C46)</f>
        <v>777</v>
      </c>
      <c r="E46" s="112">
        <f t="shared" si="16"/>
        <v>3989.959045205303</v>
      </c>
      <c r="F46" s="9">
        <f t="shared" si="17"/>
        <v>14352.769343169077</v>
      </c>
      <c r="G46" s="112">
        <f t="shared" si="18"/>
        <v>-1.2200509898255987E-3</v>
      </c>
      <c r="H46" s="9">
        <f t="shared" si="19"/>
        <v>-3.3916475392835175E-4</v>
      </c>
    </row>
    <row r="47" spans="1:8" x14ac:dyDescent="0.2">
      <c r="A47" s="265">
        <v>5</v>
      </c>
      <c r="B47" s="141">
        <f t="shared" si="20"/>
        <v>1296</v>
      </c>
      <c r="C47" s="140">
        <f t="shared" si="21"/>
        <v>3888</v>
      </c>
      <c r="D47" s="142">
        <f>SUM($C$43:C47)</f>
        <v>4665</v>
      </c>
      <c r="E47" s="112">
        <f t="shared" si="16"/>
        <v>16975.858777291025</v>
      </c>
      <c r="F47" s="9">
        <f t="shared" si="17"/>
        <v>61105.232404369308</v>
      </c>
      <c r="G47" s="112">
        <f t="shared" si="18"/>
        <v>-4.6772092281054085E-4</v>
      </c>
      <c r="H47" s="9">
        <f t="shared" si="19"/>
        <v>-1.299391888451149E-4</v>
      </c>
    </row>
    <row r="48" spans="1:8" x14ac:dyDescent="0.2">
      <c r="A48" s="265">
        <v>6</v>
      </c>
      <c r="B48" s="141">
        <f t="shared" si="20"/>
        <v>7776</v>
      </c>
      <c r="C48" s="140">
        <f t="shared" si="21"/>
        <v>23328</v>
      </c>
      <c r="D48" s="142">
        <f>SUM($C$43:C48)</f>
        <v>27993</v>
      </c>
      <c r="E48" s="112">
        <f t="shared" si="16"/>
        <v>88220.622897017849</v>
      </c>
      <c r="F48" s="9">
        <f t="shared" si="17"/>
        <v>317587.43528243579</v>
      </c>
      <c r="G48" s="112">
        <f t="shared" si="18"/>
        <v>-1.3479123734769222E-4</v>
      </c>
      <c r="H48" s="9">
        <f t="shared" si="19"/>
        <v>-3.7442812903785042E-5</v>
      </c>
    </row>
    <row r="49" spans="1:8" x14ac:dyDescent="0.2">
      <c r="A49" s="265">
        <v>7</v>
      </c>
      <c r="B49" s="141">
        <f t="shared" si="20"/>
        <v>46656</v>
      </c>
      <c r="C49" s="140">
        <f t="shared" si="21"/>
        <v>139968</v>
      </c>
      <c r="D49" s="142">
        <f>SUM($C$43:C49)</f>
        <v>167961</v>
      </c>
      <c r="E49" s="112">
        <f t="shared" si="16"/>
        <v>493624.1895514229</v>
      </c>
      <c r="F49" s="9">
        <f t="shared" si="17"/>
        <v>1777040.7343374172</v>
      </c>
      <c r="G49" s="112">
        <f t="shared" si="18"/>
        <v>-3.3931504051000128E-5</v>
      </c>
      <c r="H49" s="9">
        <f t="shared" si="19"/>
        <v>-9.4254514619671352E-6</v>
      </c>
    </row>
    <row r="50" spans="1:8" x14ac:dyDescent="0.2">
      <c r="A50" s="265">
        <v>8</v>
      </c>
      <c r="B50" s="141">
        <f t="shared" si="20"/>
        <v>279936</v>
      </c>
      <c r="C50" s="140">
        <f t="shared" si="21"/>
        <v>839808</v>
      </c>
      <c r="D50" s="142">
        <f>SUM($C$43:C50)</f>
        <v>1007769</v>
      </c>
      <c r="E50" s="112">
        <f t="shared" si="16"/>
        <v>2856711.0458207279</v>
      </c>
      <c r="F50" s="9">
        <f t="shared" si="17"/>
        <v>10284153.642031426</v>
      </c>
      <c r="G50" s="112">
        <f t="shared" si="18"/>
        <v>-7.8852031413843257E-6</v>
      </c>
      <c r="H50" s="9">
        <f t="shared" si="19"/>
        <v>-2.1903355100093003E-6</v>
      </c>
    </row>
    <row r="51" spans="1:8" x14ac:dyDescent="0.2">
      <c r="A51" s="265">
        <v>9</v>
      </c>
      <c r="B51" s="141">
        <f t="shared" si="20"/>
        <v>1679616</v>
      </c>
      <c r="C51" s="140">
        <f t="shared" si="21"/>
        <v>5038848</v>
      </c>
      <c r="D51" s="142">
        <f>SUM($C$43:C51)</f>
        <v>6046617</v>
      </c>
      <c r="E51" s="112">
        <f t="shared" si="16"/>
        <v>16813606.8327282</v>
      </c>
      <c r="F51" s="9">
        <f t="shared" si="17"/>
        <v>60528978.591589086</v>
      </c>
      <c r="G51" s="112">
        <f t="shared" si="18"/>
        <v>-1.7380453837254984E-6</v>
      </c>
      <c r="H51" s="9">
        <f t="shared" si="19"/>
        <v>-4.8279043227502035E-7</v>
      </c>
    </row>
    <row r="52" spans="1:8" ht="17" thickBot="1" x14ac:dyDescent="0.25">
      <c r="A52" s="266">
        <v>10</v>
      </c>
      <c r="B52" s="143">
        <f t="shared" si="20"/>
        <v>10077696</v>
      </c>
      <c r="C52" s="144">
        <f t="shared" si="21"/>
        <v>30233088</v>
      </c>
      <c r="D52" s="145">
        <f>SUM($C$43:C52)</f>
        <v>36279705</v>
      </c>
      <c r="E52" s="113">
        <f t="shared" si="16"/>
        <v>99836478.671809435</v>
      </c>
      <c r="F52" s="10">
        <f t="shared" si="17"/>
        <v>359411317.27450782</v>
      </c>
      <c r="G52" s="113">
        <f t="shared" si="18"/>
        <v>-3.6898783807309171E-7</v>
      </c>
      <c r="H52" s="10">
        <f t="shared" si="19"/>
        <v>-1.0249662338207666E-7</v>
      </c>
    </row>
  </sheetData>
  <conditionalFormatting sqref="O7:O16">
    <cfRule type="cellIs" dxfId="495" priority="63" operator="lessThanOrEqual">
      <formula>0</formula>
    </cfRule>
    <cfRule type="cellIs" dxfId="494" priority="64" operator="greaterThan">
      <formula>0</formula>
    </cfRule>
  </conditionalFormatting>
  <conditionalFormatting sqref="P7:P16 S7:S16">
    <cfRule type="cellIs" dxfId="493" priority="53" operator="lessThanOrEqual">
      <formula>0</formula>
    </cfRule>
    <cfRule type="cellIs" dxfId="492" priority="54" operator="greaterThan">
      <formula>0</formula>
    </cfRule>
  </conditionalFormatting>
  <conditionalFormatting sqref="G43:G52">
    <cfRule type="cellIs" dxfId="491" priority="28" operator="equal">
      <formula>MAX($G$43:$G$52)</formula>
    </cfRule>
  </conditionalFormatting>
  <conditionalFormatting sqref="H43:H52">
    <cfRule type="cellIs" dxfId="490" priority="27" operator="equal">
      <formula>MAX($H$43:$H$52)</formula>
    </cfRule>
  </conditionalFormatting>
  <conditionalFormatting sqref="G31:G40">
    <cfRule type="cellIs" dxfId="489" priority="26" operator="equal">
      <formula>MAX($G$31:$G$40)</formula>
    </cfRule>
  </conditionalFormatting>
  <conditionalFormatting sqref="H31:H40">
    <cfRule type="cellIs" dxfId="488" priority="25" operator="equal">
      <formula>MAX($H$31:$H$40)</formula>
    </cfRule>
  </conditionalFormatting>
  <conditionalFormatting sqref="G19:G28">
    <cfRule type="cellIs" dxfId="487" priority="1" operator="lessThanOrEqual">
      <formula>0</formula>
    </cfRule>
    <cfRule type="cellIs" dxfId="486" priority="24" operator="equal">
      <formula>MAX($G$19:$G$28)</formula>
    </cfRule>
  </conditionalFormatting>
  <conditionalFormatting sqref="H19:H28">
    <cfRule type="cellIs" dxfId="485" priority="2" operator="lessThanOrEqual">
      <formula>0</formula>
    </cfRule>
    <cfRule type="cellIs" dxfId="484" priority="23" operator="equal">
      <formula>MAX($H$19:$H$28)</formula>
    </cfRule>
  </conditionalFormatting>
  <conditionalFormatting sqref="F19:F28">
    <cfRule type="cellIs" dxfId="483" priority="21" stopIfTrue="1" operator="lessThan">
      <formula>0</formula>
    </cfRule>
    <cfRule type="cellIs" dxfId="482" priority="22" operator="equal">
      <formula>MIN($F$19:$F$28)</formula>
    </cfRule>
  </conditionalFormatting>
  <conditionalFormatting sqref="E19:E28">
    <cfRule type="cellIs" dxfId="481" priority="19" stopIfTrue="1" operator="lessThan">
      <formula>0</formula>
    </cfRule>
    <cfRule type="cellIs" dxfId="480" priority="20" operator="equal">
      <formula>MIN($E$19:$E$28)</formula>
    </cfRule>
  </conditionalFormatting>
  <conditionalFormatting sqref="F31:F40">
    <cfRule type="cellIs" dxfId="479" priority="17" stopIfTrue="1" operator="lessThan">
      <formula>0</formula>
    </cfRule>
    <cfRule type="cellIs" dxfId="478" priority="18" operator="equal">
      <formula>MIN($F$31:$F$40)</formula>
    </cfRule>
  </conditionalFormatting>
  <conditionalFormatting sqref="E31:E40">
    <cfRule type="cellIs" dxfId="477" priority="15" stopIfTrue="1" operator="lessThan">
      <formula>0</formula>
    </cfRule>
    <cfRule type="cellIs" dxfId="476" priority="16" operator="equal">
      <formula>MIN($E$31:$E$40)</formula>
    </cfRule>
  </conditionalFormatting>
  <conditionalFormatting sqref="F43:F52">
    <cfRule type="cellIs" dxfId="475" priority="13" stopIfTrue="1" operator="lessThan">
      <formula>0</formula>
    </cfRule>
    <cfRule type="cellIs" dxfId="474" priority="14" operator="equal">
      <formula>MIN($F$43:$F$52)</formula>
    </cfRule>
  </conditionalFormatting>
  <conditionalFormatting sqref="E43:E52">
    <cfRule type="cellIs" dxfId="473" priority="11" stopIfTrue="1" operator="lessThan">
      <formula>0</formula>
    </cfRule>
    <cfRule type="cellIs" dxfId="472" priority="12" operator="equal">
      <formula>MIN($E$43:$E$52)</formula>
    </cfRule>
  </conditionalFormatting>
  <conditionalFormatting sqref="Q7:Q16">
    <cfRule type="cellIs" dxfId="471" priority="5" operator="lessThanOrEqual">
      <formula>0</formula>
    </cfRule>
    <cfRule type="cellIs" dxfId="470" priority="6" operator="greaterThan">
      <formula>0</formula>
    </cfRule>
  </conditionalFormatting>
  <conditionalFormatting sqref="R7:R16">
    <cfRule type="cellIs" dxfId="469" priority="3" operator="lessThanOrEqual">
      <formula>0</formula>
    </cfRule>
    <cfRule type="cellIs" dxfId="468" priority="4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IF(Rules!$B$10=Rules!$F$10,Dealer!B14-SUM(Dealer!B15:B19),Dealer!B3-SUM(Dealer!B4:B8))</f>
        <v>-0.66695077468551034</v>
      </c>
      <c r="C2">
        <f>IF(Rules!$B$10=Rules!$F$10,Dealer!C14-SUM(Dealer!C15:C19),Dealer!C3-SUM(Dealer!C4:C8))</f>
        <v>-0.29278372720927726</v>
      </c>
      <c r="D2">
        <f>IF(Rules!$B$10=Rules!$F$10,Dealer!D14-SUM(Dealer!D15:D19),Dealer!D3-SUM(Dealer!D4:D8))</f>
        <v>-0.2522502292357135</v>
      </c>
      <c r="E2">
        <f>IF(Rules!$B$10=Rules!$F$10,Dealer!E14-SUM(Dealer!E15:E19),Dealer!E3-SUM(Dealer!E4:E8))</f>
        <v>-0.21106310899491437</v>
      </c>
      <c r="F2">
        <f>IF(Rules!$B$10=Rules!$F$10,Dealer!F14-SUM(Dealer!F15:F19),Dealer!F3-SUM(Dealer!F4:F8))</f>
        <v>-0.16719266083547524</v>
      </c>
      <c r="G2">
        <f>IF(Rules!$B$10=Rules!$F$10,Dealer!G14-SUM(Dealer!G15:G19),Dealer!G3-SUM(Dealer!G4:G8))</f>
        <v>-0.1536990158300045</v>
      </c>
      <c r="H2">
        <f>IF(Rules!$B$10=Rules!$F$10,Dealer!H14-SUM(Dealer!H15:H19),Dealer!H3-SUM(Dealer!H4:H8))</f>
        <v>-0.47537518327693323</v>
      </c>
      <c r="I2">
        <f>IF(Rules!$B$10=Rules!$F$10,Dealer!I14-SUM(Dealer!I15:I19),Dealer!I3-SUM(Dealer!I4:I8))</f>
        <v>-0.51051751549761715</v>
      </c>
      <c r="J2">
        <f>IF(Rules!$B$10=Rules!$F$10,Dealer!J14-SUM(Dealer!J15:J19),Dealer!J3-SUM(Dealer!J4:J8))</f>
        <v>-0.5431496811311094</v>
      </c>
      <c r="K2">
        <f>IF(Rules!$B$10=Rules!$F$10,Dealer!K14-SUM(Dealer!K15:K19),Dealer!K3-SUM(Dealer!K4:K8))</f>
        <v>-0.54043033399498497</v>
      </c>
    </row>
    <row r="3" spans="1:11" x14ac:dyDescent="0.2">
      <c r="A3">
        <v>3</v>
      </c>
      <c r="B3">
        <f>B2</f>
        <v>-0.66695077468551034</v>
      </c>
      <c r="C3">
        <f t="shared" ref="C3:K16" si="0">C2</f>
        <v>-0.29278372720927726</v>
      </c>
      <c r="D3">
        <f t="shared" si="0"/>
        <v>-0.2522502292357135</v>
      </c>
      <c r="E3">
        <f t="shared" si="0"/>
        <v>-0.21106310899491437</v>
      </c>
      <c r="F3">
        <f t="shared" si="0"/>
        <v>-0.16719266083547524</v>
      </c>
      <c r="G3">
        <f t="shared" si="0"/>
        <v>-0.1536990158300045</v>
      </c>
      <c r="H3">
        <f t="shared" si="0"/>
        <v>-0.47537518327693323</v>
      </c>
      <c r="I3">
        <f t="shared" si="0"/>
        <v>-0.51051751549761715</v>
      </c>
      <c r="J3">
        <f t="shared" si="0"/>
        <v>-0.5431496811311094</v>
      </c>
      <c r="K3">
        <f t="shared" si="0"/>
        <v>-0.54043033399498497</v>
      </c>
    </row>
    <row r="4" spans="1:11" x14ac:dyDescent="0.2">
      <c r="A4">
        <v>4</v>
      </c>
      <c r="B4">
        <f t="shared" ref="B4:B16" si="1">B3</f>
        <v>-0.66695077468551034</v>
      </c>
      <c r="C4">
        <f t="shared" si="0"/>
        <v>-0.29278372720927726</v>
      </c>
      <c r="D4">
        <f t="shared" si="0"/>
        <v>-0.2522502292357135</v>
      </c>
      <c r="E4">
        <f t="shared" si="0"/>
        <v>-0.21106310899491437</v>
      </c>
      <c r="F4">
        <f t="shared" si="0"/>
        <v>-0.16719266083547524</v>
      </c>
      <c r="G4">
        <f t="shared" si="0"/>
        <v>-0.1536990158300045</v>
      </c>
      <c r="H4">
        <f t="shared" si="0"/>
        <v>-0.47537518327693323</v>
      </c>
      <c r="I4">
        <f t="shared" si="0"/>
        <v>-0.51051751549761715</v>
      </c>
      <c r="J4">
        <f t="shared" si="0"/>
        <v>-0.5431496811311094</v>
      </c>
      <c r="K4">
        <f t="shared" si="0"/>
        <v>-0.54043033399498497</v>
      </c>
    </row>
    <row r="5" spans="1:11" x14ac:dyDescent="0.2">
      <c r="A5">
        <v>5</v>
      </c>
      <c r="B5">
        <f t="shared" si="1"/>
        <v>-0.66695077468551034</v>
      </c>
      <c r="C5">
        <f t="shared" si="0"/>
        <v>-0.29278372720927726</v>
      </c>
      <c r="D5">
        <f t="shared" si="0"/>
        <v>-0.2522502292357135</v>
      </c>
      <c r="E5">
        <f t="shared" si="0"/>
        <v>-0.21106310899491437</v>
      </c>
      <c r="F5">
        <f t="shared" si="0"/>
        <v>-0.16719266083547524</v>
      </c>
      <c r="G5">
        <f t="shared" si="0"/>
        <v>-0.1536990158300045</v>
      </c>
      <c r="H5">
        <f t="shared" si="0"/>
        <v>-0.47537518327693323</v>
      </c>
      <c r="I5">
        <f t="shared" si="0"/>
        <v>-0.51051751549761715</v>
      </c>
      <c r="J5">
        <f t="shared" si="0"/>
        <v>-0.5431496811311094</v>
      </c>
      <c r="K5">
        <f t="shared" si="0"/>
        <v>-0.54043033399498497</v>
      </c>
    </row>
    <row r="6" spans="1:11" x14ac:dyDescent="0.2">
      <c r="A6">
        <v>6</v>
      </c>
      <c r="B6">
        <f t="shared" si="1"/>
        <v>-0.66695077468551034</v>
      </c>
      <c r="C6">
        <f t="shared" si="0"/>
        <v>-0.29278372720927726</v>
      </c>
      <c r="D6">
        <f t="shared" si="0"/>
        <v>-0.2522502292357135</v>
      </c>
      <c r="E6">
        <f t="shared" si="0"/>
        <v>-0.21106310899491437</v>
      </c>
      <c r="F6">
        <f t="shared" si="0"/>
        <v>-0.16719266083547524</v>
      </c>
      <c r="G6">
        <f t="shared" si="0"/>
        <v>-0.1536990158300045</v>
      </c>
      <c r="H6">
        <f t="shared" si="0"/>
        <v>-0.47537518327693323</v>
      </c>
      <c r="I6">
        <f t="shared" si="0"/>
        <v>-0.51051751549761715</v>
      </c>
      <c r="J6">
        <f t="shared" si="0"/>
        <v>-0.5431496811311094</v>
      </c>
      <c r="K6">
        <f t="shared" si="0"/>
        <v>-0.54043033399498497</v>
      </c>
    </row>
    <row r="7" spans="1:11" x14ac:dyDescent="0.2">
      <c r="A7">
        <v>7</v>
      </c>
      <c r="B7">
        <f t="shared" si="1"/>
        <v>-0.66695077468551034</v>
      </c>
      <c r="C7">
        <f t="shared" si="0"/>
        <v>-0.29278372720927726</v>
      </c>
      <c r="D7">
        <f t="shared" si="0"/>
        <v>-0.2522502292357135</v>
      </c>
      <c r="E7">
        <f t="shared" si="0"/>
        <v>-0.21106310899491437</v>
      </c>
      <c r="F7">
        <f t="shared" si="0"/>
        <v>-0.16719266083547524</v>
      </c>
      <c r="G7">
        <f t="shared" si="0"/>
        <v>-0.1536990158300045</v>
      </c>
      <c r="H7">
        <f t="shared" si="0"/>
        <v>-0.47537518327693323</v>
      </c>
      <c r="I7">
        <f t="shared" si="0"/>
        <v>-0.51051751549761715</v>
      </c>
      <c r="J7">
        <f t="shared" si="0"/>
        <v>-0.5431496811311094</v>
      </c>
      <c r="K7">
        <f t="shared" si="0"/>
        <v>-0.54043033399498497</v>
      </c>
    </row>
    <row r="8" spans="1:11" x14ac:dyDescent="0.2">
      <c r="A8">
        <v>8</v>
      </c>
      <c r="B8">
        <f t="shared" si="1"/>
        <v>-0.66695077468551034</v>
      </c>
      <c r="C8">
        <f t="shared" si="0"/>
        <v>-0.29278372720927726</v>
      </c>
      <c r="D8">
        <f t="shared" si="0"/>
        <v>-0.2522502292357135</v>
      </c>
      <c r="E8">
        <f t="shared" si="0"/>
        <v>-0.21106310899491437</v>
      </c>
      <c r="F8">
        <f t="shared" si="0"/>
        <v>-0.16719266083547524</v>
      </c>
      <c r="G8">
        <f t="shared" si="0"/>
        <v>-0.1536990158300045</v>
      </c>
      <c r="H8">
        <f t="shared" si="0"/>
        <v>-0.47537518327693323</v>
      </c>
      <c r="I8">
        <f t="shared" si="0"/>
        <v>-0.51051751549761715</v>
      </c>
      <c r="J8">
        <f t="shared" si="0"/>
        <v>-0.5431496811311094</v>
      </c>
      <c r="K8">
        <f t="shared" si="0"/>
        <v>-0.54043033399498497</v>
      </c>
    </row>
    <row r="9" spans="1:11" x14ac:dyDescent="0.2">
      <c r="A9">
        <v>9</v>
      </c>
      <c r="B9">
        <f t="shared" si="1"/>
        <v>-0.66695077468551034</v>
      </c>
      <c r="C9">
        <f t="shared" si="0"/>
        <v>-0.29278372720927726</v>
      </c>
      <c r="D9">
        <f t="shared" si="0"/>
        <v>-0.2522502292357135</v>
      </c>
      <c r="E9">
        <f t="shared" si="0"/>
        <v>-0.21106310899491437</v>
      </c>
      <c r="F9">
        <f t="shared" si="0"/>
        <v>-0.16719266083547524</v>
      </c>
      <c r="G9">
        <f t="shared" si="0"/>
        <v>-0.1536990158300045</v>
      </c>
      <c r="H9">
        <f t="shared" si="0"/>
        <v>-0.47537518327693323</v>
      </c>
      <c r="I9">
        <f t="shared" si="0"/>
        <v>-0.51051751549761715</v>
      </c>
      <c r="J9">
        <f t="shared" si="0"/>
        <v>-0.5431496811311094</v>
      </c>
      <c r="K9">
        <f t="shared" si="0"/>
        <v>-0.54043033399498497</v>
      </c>
    </row>
    <row r="10" spans="1:11" x14ac:dyDescent="0.2">
      <c r="A10">
        <v>10</v>
      </c>
      <c r="B10">
        <f t="shared" si="1"/>
        <v>-0.66695077468551034</v>
      </c>
      <c r="C10">
        <f t="shared" si="0"/>
        <v>-0.29278372720927726</v>
      </c>
      <c r="D10">
        <f t="shared" si="0"/>
        <v>-0.2522502292357135</v>
      </c>
      <c r="E10">
        <f t="shared" si="0"/>
        <v>-0.21106310899491437</v>
      </c>
      <c r="F10">
        <f t="shared" si="0"/>
        <v>-0.16719266083547524</v>
      </c>
      <c r="G10">
        <f t="shared" si="0"/>
        <v>-0.1536990158300045</v>
      </c>
      <c r="H10">
        <f t="shared" si="0"/>
        <v>-0.47537518327693323</v>
      </c>
      <c r="I10">
        <f t="shared" si="0"/>
        <v>-0.51051751549761715</v>
      </c>
      <c r="J10">
        <f t="shared" si="0"/>
        <v>-0.5431496811311094</v>
      </c>
      <c r="K10">
        <f t="shared" si="0"/>
        <v>-0.54043033399498497</v>
      </c>
    </row>
    <row r="11" spans="1:11" x14ac:dyDescent="0.2">
      <c r="A11">
        <v>11</v>
      </c>
      <c r="B11">
        <f t="shared" si="1"/>
        <v>-0.66695077468551034</v>
      </c>
      <c r="C11">
        <f t="shared" si="0"/>
        <v>-0.29278372720927726</v>
      </c>
      <c r="D11">
        <f t="shared" si="0"/>
        <v>-0.2522502292357135</v>
      </c>
      <c r="E11">
        <f t="shared" si="0"/>
        <v>-0.21106310899491437</v>
      </c>
      <c r="F11">
        <f t="shared" si="0"/>
        <v>-0.16719266083547524</v>
      </c>
      <c r="G11">
        <f t="shared" si="0"/>
        <v>-0.1536990158300045</v>
      </c>
      <c r="H11">
        <f t="shared" si="0"/>
        <v>-0.47537518327693323</v>
      </c>
      <c r="I11">
        <f t="shared" si="0"/>
        <v>-0.51051751549761715</v>
      </c>
      <c r="J11">
        <f t="shared" si="0"/>
        <v>-0.5431496811311094</v>
      </c>
      <c r="K11">
        <f t="shared" si="0"/>
        <v>-0.54043033399498497</v>
      </c>
    </row>
    <row r="12" spans="1:11" x14ac:dyDescent="0.2">
      <c r="A12">
        <v>12</v>
      </c>
      <c r="B12">
        <f t="shared" si="1"/>
        <v>-0.66695077468551034</v>
      </c>
      <c r="C12">
        <f t="shared" si="0"/>
        <v>-0.29278372720927726</v>
      </c>
      <c r="D12">
        <f t="shared" si="0"/>
        <v>-0.2522502292357135</v>
      </c>
      <c r="E12">
        <f t="shared" si="0"/>
        <v>-0.21106310899491437</v>
      </c>
      <c r="F12">
        <f t="shared" si="0"/>
        <v>-0.16719266083547524</v>
      </c>
      <c r="G12">
        <f t="shared" si="0"/>
        <v>-0.1536990158300045</v>
      </c>
      <c r="H12">
        <f t="shared" si="0"/>
        <v>-0.47537518327693323</v>
      </c>
      <c r="I12">
        <f t="shared" si="0"/>
        <v>-0.51051751549761715</v>
      </c>
      <c r="J12">
        <f t="shared" si="0"/>
        <v>-0.5431496811311094</v>
      </c>
      <c r="K12">
        <f t="shared" si="0"/>
        <v>-0.54043033399498497</v>
      </c>
    </row>
    <row r="13" spans="1:11" x14ac:dyDescent="0.2">
      <c r="A13">
        <v>13</v>
      </c>
      <c r="B13">
        <f t="shared" si="1"/>
        <v>-0.66695077468551034</v>
      </c>
      <c r="C13">
        <f t="shared" si="0"/>
        <v>-0.29278372720927726</v>
      </c>
      <c r="D13">
        <f t="shared" si="0"/>
        <v>-0.2522502292357135</v>
      </c>
      <c r="E13">
        <f t="shared" si="0"/>
        <v>-0.21106310899491437</v>
      </c>
      <c r="F13">
        <f t="shared" si="0"/>
        <v>-0.16719266083547524</v>
      </c>
      <c r="G13">
        <f t="shared" si="0"/>
        <v>-0.1536990158300045</v>
      </c>
      <c r="H13">
        <f t="shared" si="0"/>
        <v>-0.47537518327693323</v>
      </c>
      <c r="I13">
        <f t="shared" si="0"/>
        <v>-0.51051751549761715</v>
      </c>
      <c r="J13">
        <f t="shared" si="0"/>
        <v>-0.5431496811311094</v>
      </c>
      <c r="K13">
        <f t="shared" si="0"/>
        <v>-0.54043033399498497</v>
      </c>
    </row>
    <row r="14" spans="1:11" x14ac:dyDescent="0.2">
      <c r="A14">
        <v>14</v>
      </c>
      <c r="B14">
        <f t="shared" si="1"/>
        <v>-0.66695077468551034</v>
      </c>
      <c r="C14">
        <f t="shared" si="0"/>
        <v>-0.29278372720927726</v>
      </c>
      <c r="D14">
        <f t="shared" si="0"/>
        <v>-0.2522502292357135</v>
      </c>
      <c r="E14">
        <f t="shared" si="0"/>
        <v>-0.21106310899491437</v>
      </c>
      <c r="F14">
        <f t="shared" si="0"/>
        <v>-0.16719266083547524</v>
      </c>
      <c r="G14">
        <f t="shared" si="0"/>
        <v>-0.1536990158300045</v>
      </c>
      <c r="H14">
        <f t="shared" si="0"/>
        <v>-0.47537518327693323</v>
      </c>
      <c r="I14">
        <f t="shared" si="0"/>
        <v>-0.51051751549761715</v>
      </c>
      <c r="J14">
        <f t="shared" si="0"/>
        <v>-0.5431496811311094</v>
      </c>
      <c r="K14">
        <f t="shared" si="0"/>
        <v>-0.54043033399498497</v>
      </c>
    </row>
    <row r="15" spans="1:11" x14ac:dyDescent="0.2">
      <c r="A15">
        <v>15</v>
      </c>
      <c r="B15">
        <f t="shared" si="1"/>
        <v>-0.66695077468551034</v>
      </c>
      <c r="C15">
        <f t="shared" si="0"/>
        <v>-0.29278372720927726</v>
      </c>
      <c r="D15">
        <f t="shared" si="0"/>
        <v>-0.2522502292357135</v>
      </c>
      <c r="E15">
        <f t="shared" si="0"/>
        <v>-0.21106310899491437</v>
      </c>
      <c r="F15">
        <f t="shared" si="0"/>
        <v>-0.16719266083547524</v>
      </c>
      <c r="G15">
        <f t="shared" si="0"/>
        <v>-0.1536990158300045</v>
      </c>
      <c r="H15">
        <f t="shared" si="0"/>
        <v>-0.47537518327693323</v>
      </c>
      <c r="I15">
        <f t="shared" si="0"/>
        <v>-0.51051751549761715</v>
      </c>
      <c r="J15">
        <f t="shared" si="0"/>
        <v>-0.5431496811311094</v>
      </c>
      <c r="K15">
        <f t="shared" si="0"/>
        <v>-0.54043033399498497</v>
      </c>
    </row>
    <row r="16" spans="1:11" x14ac:dyDescent="0.2">
      <c r="A16">
        <v>16</v>
      </c>
      <c r="B16">
        <f t="shared" si="1"/>
        <v>-0.66695077468551034</v>
      </c>
      <c r="C16">
        <f t="shared" si="0"/>
        <v>-0.29278372720927726</v>
      </c>
      <c r="D16">
        <f t="shared" si="0"/>
        <v>-0.2522502292357135</v>
      </c>
      <c r="E16">
        <f t="shared" si="0"/>
        <v>-0.21106310899491437</v>
      </c>
      <c r="F16">
        <f t="shared" si="0"/>
        <v>-0.16719266083547524</v>
      </c>
      <c r="G16">
        <f t="shared" si="0"/>
        <v>-0.1536990158300045</v>
      </c>
      <c r="H16">
        <f t="shared" si="0"/>
        <v>-0.47537518327693323</v>
      </c>
      <c r="I16">
        <f t="shared" si="0"/>
        <v>-0.51051751549761715</v>
      </c>
      <c r="J16">
        <f t="shared" si="0"/>
        <v>-0.5431496811311094</v>
      </c>
      <c r="K16">
        <f t="shared" si="0"/>
        <v>-0.54043033399498497</v>
      </c>
    </row>
    <row r="17" spans="1:11" x14ac:dyDescent="0.2">
      <c r="A17">
        <v>17</v>
      </c>
      <c r="B17">
        <f>IF(Rules!$B$10=Rules!$F$10,Dealer!B14-SUM(Dealer!B16:B19),Dealer!B3-SUM(Dealer!B5:B8))</f>
        <v>-0.47803347499473703</v>
      </c>
      <c r="C17">
        <f>IF(Rules!$B$10=Rules!$F$10,Dealer!C14-SUM(Dealer!C16:C19),Dealer!C3-SUM(Dealer!C5:C8))</f>
        <v>-0.15297458768154204</v>
      </c>
      <c r="D17">
        <f>IF(Rules!$B$10=Rules!$F$10,Dealer!D14-SUM(Dealer!D16:D19),Dealer!D3-SUM(Dealer!D5:D8))</f>
        <v>-0.11721624142457365</v>
      </c>
      <c r="E17">
        <f>IF(Rules!$B$10=Rules!$F$10,Dealer!E14-SUM(Dealer!E16:E19),Dealer!E3-SUM(Dealer!E5:E8))</f>
        <v>-8.0573373145316152E-2</v>
      </c>
      <c r="F17">
        <f>IF(Rules!$B$10=Rules!$F$10,Dealer!F14-SUM(Dealer!F16:F19),Dealer!F3-SUM(Dealer!F5:F8))</f>
        <v>-4.4941375564924446E-2</v>
      </c>
      <c r="G17">
        <f>IF(Rules!$B$10=Rules!$F$10,Dealer!G14-SUM(Dealer!G16:G19),Dealer!G3-SUM(Dealer!G5:G8))</f>
        <v>1.1739160673341853E-2</v>
      </c>
      <c r="H17">
        <f>IF(Rules!$B$10=Rules!$F$10,Dealer!H14-SUM(Dealer!H16:H19),Dealer!H3-SUM(Dealer!H5:H8))</f>
        <v>-0.10680898948269468</v>
      </c>
      <c r="I17">
        <f>IF(Rules!$B$10=Rules!$F$10,Dealer!I14-SUM(Dealer!I16:I19),Dealer!I3-SUM(Dealer!I5:I8))</f>
        <v>-0.38195097104844711</v>
      </c>
      <c r="J17">
        <f>IF(Rules!$B$10=Rules!$F$10,Dealer!J14-SUM(Dealer!J16:J19),Dealer!J3-SUM(Dealer!J5:J8))</f>
        <v>-0.42315423964521737</v>
      </c>
      <c r="K17">
        <f>IF(Rules!$B$10=Rules!$F$10,Dealer!K14-SUM(Dealer!K16:K19),Dealer!K3-SUM(Dealer!K5:K8))</f>
        <v>-0.41972063392881986</v>
      </c>
    </row>
    <row r="18" spans="1:11" x14ac:dyDescent="0.2">
      <c r="A18">
        <v>18</v>
      </c>
      <c r="B18">
        <f>IF(Rules!$B$10=Rules!$F$10,Dealer!B14+Dealer!B15-SUM(Dealer!B17:B19),SUM(Dealer!B3:B4)-SUM(Dealer!B6:B8))</f>
        <v>-0.10019887561319057</v>
      </c>
      <c r="C18">
        <f>IF(Rules!$B$10=Rules!$F$10,Dealer!C14+Dealer!C15-SUM(Dealer!C17:C19),SUM(Dealer!C3:C4)-SUM(Dealer!C6:C8))</f>
        <v>0.12174190222088771</v>
      </c>
      <c r="D18">
        <f>IF(Rules!$B$10=Rules!$F$10,Dealer!D14+Dealer!D15-SUM(Dealer!D17:D19),SUM(Dealer!D3:D4)-SUM(Dealer!D6:D8))</f>
        <v>0.14830007284131119</v>
      </c>
      <c r="E18">
        <f>IF(Rules!$B$10=Rules!$F$10,Dealer!E14+Dealer!E15-SUM(Dealer!E17:E19),SUM(Dealer!E3:E4)-SUM(Dealer!E6:E8))</f>
        <v>0.17585443719748528</v>
      </c>
      <c r="F18">
        <f>IF(Rules!$B$10=Rules!$F$10,Dealer!F14+Dealer!F15-SUM(Dealer!F17:F19),SUM(Dealer!F3:F4)-SUM(Dealer!F6:F8))</f>
        <v>0.19956119497617719</v>
      </c>
      <c r="G18">
        <f>IF(Rules!$B$10=Rules!$F$10,Dealer!G14+Dealer!G15-SUM(Dealer!G17:G19),SUM(Dealer!G3:G4)-SUM(Dealer!G6:G8))</f>
        <v>0.28344391604689856</v>
      </c>
      <c r="H18">
        <f>IF(Rules!$B$10=Rules!$F$10,Dealer!H14+Dealer!H15-SUM(Dealer!H17:H19),SUM(Dealer!H3:H4)-SUM(Dealer!H6:H8))</f>
        <v>0.3995541673365518</v>
      </c>
      <c r="I18">
        <f>IF(Rules!$B$10=Rules!$F$10,Dealer!I14+Dealer!I15-SUM(Dealer!I17:I19),SUM(Dealer!I3:I4)-SUM(Dealer!I6:I8))</f>
        <v>0.10595134861912359</v>
      </c>
      <c r="J18">
        <f>IF(Rules!$B$10=Rules!$F$10,Dealer!J14+Dealer!J15-SUM(Dealer!J17:J19),SUM(Dealer!J3:J4)-SUM(Dealer!J6:J8))</f>
        <v>-0.18316335667343331</v>
      </c>
      <c r="K18">
        <f>IF(Rules!$B$10=Rules!$F$10,Dealer!K14+Dealer!K15-SUM(Dealer!K17:K19),SUM(Dealer!K3:K4)-SUM(Dealer!K6:K8))</f>
        <v>-0.17830123379648949</v>
      </c>
    </row>
    <row r="19" spans="1:11" x14ac:dyDescent="0.2">
      <c r="A19">
        <v>19</v>
      </c>
      <c r="B19">
        <f>IF(Rules!$B$10=Rules!$F$10,SUM(Dealer!B14:B16)-Dealer!B18-Dealer!B19,SUM(Dealer!B3:B5)-SUM(Dealer!B7:B8))</f>
        <v>0.27763572376835594</v>
      </c>
      <c r="C19">
        <f>IF(Rules!$B$10=Rules!$F$10,SUM(Dealer!C14:C16)-Dealer!C18-Dealer!C19,SUM(Dealer!C3:C5)-SUM(Dealer!C7:C8))</f>
        <v>0.38630468602058993</v>
      </c>
      <c r="D19">
        <f>IF(Rules!$B$10=Rules!$F$10,SUM(Dealer!D14:D16)-Dealer!D18-Dealer!D19,SUM(Dealer!D3:D5)-SUM(Dealer!D7:D8))</f>
        <v>0.4043629365977599</v>
      </c>
      <c r="E19">
        <f>IF(Rules!$B$10=Rules!$F$10,SUM(Dealer!E14:E16)-Dealer!E18-Dealer!E19,SUM(Dealer!E3:E5)-SUM(Dealer!E7:E8))</f>
        <v>0.42317892482749653</v>
      </c>
      <c r="F19">
        <f>IF(Rules!$B$10=Rules!$F$10,SUM(Dealer!F14:F16)-Dealer!F18-Dealer!F19,SUM(Dealer!F3:F5)-SUM(Dealer!F7:F8))</f>
        <v>0.43951210416088371</v>
      </c>
      <c r="G19">
        <f>IF(Rules!$B$10=Rules!$F$10,SUM(Dealer!G14:G16)-Dealer!G18-Dealer!G19,SUM(Dealer!G3:G5)-SUM(Dealer!G7:G8))</f>
        <v>0.49597707378731914</v>
      </c>
      <c r="H19">
        <f>IF(Rules!$B$10=Rules!$F$10,SUM(Dealer!H14:H16)-Dealer!H18-Dealer!H19,SUM(Dealer!H3:H5)-SUM(Dealer!H7:H8))</f>
        <v>0.6159764957534315</v>
      </c>
      <c r="I19">
        <f>IF(Rules!$B$10=Rules!$F$10,SUM(Dealer!I14:I16)-Dealer!I18-Dealer!I19,SUM(Dealer!I3:I5)-SUM(Dealer!I7:I8))</f>
        <v>0.59385366828669439</v>
      </c>
      <c r="J19">
        <f>IF(Rules!$B$10=Rules!$F$10,SUM(Dealer!J14:J16)-Dealer!J18-Dealer!J19,SUM(Dealer!J3:J5)-SUM(Dealer!J7:J8))</f>
        <v>0.28759675706758148</v>
      </c>
      <c r="K19">
        <f>IF(Rules!$B$10=Rules!$F$10,SUM(Dealer!K14:K16)-Dealer!K18-Dealer!K19,SUM(Dealer!K3:K5)-SUM(Dealer!K7:K8))</f>
        <v>6.3118166335840831E-2</v>
      </c>
    </row>
    <row r="20" spans="1:11" x14ac:dyDescent="0.2">
      <c r="A20">
        <v>20</v>
      </c>
      <c r="B20">
        <f>IF(Rules!$B$10=Rules!$F$10,SUM(Dealer!B14:B17)-Dealer!B19,SUM(Dealer!B3:B6)-Dealer!B8)</f>
        <v>0.65547032314990239</v>
      </c>
      <c r="C20">
        <f>IF(Rules!$B$10=Rules!$F$10,SUM(Dealer!C14:C17)-Dealer!C19,SUM(Dealer!C3:C6)-Dealer!C8)</f>
        <v>0.63998657521683877</v>
      </c>
      <c r="D20">
        <f>IF(Rules!$B$10=Rules!$F$10,SUM(Dealer!D14:D17)-Dealer!D19,SUM(Dealer!D3:D6)-Dealer!D8)</f>
        <v>0.65027209425148136</v>
      </c>
      <c r="E20">
        <f>IF(Rules!$B$10=Rules!$F$10,SUM(Dealer!E14:E17)-Dealer!E19,SUM(Dealer!E3:E6)-Dealer!E8)</f>
        <v>0.66104996194807186</v>
      </c>
      <c r="F20">
        <f>IF(Rules!$B$10=Rules!$F$10,SUM(Dealer!F14:F17)-Dealer!F19,SUM(Dealer!F3:F6)-Dealer!F8)</f>
        <v>0.67035969063279999</v>
      </c>
      <c r="G20">
        <f>IF(Rules!$B$10=Rules!$F$10,SUM(Dealer!G14:G17)-Dealer!G19,SUM(Dealer!G3:G6)-Dealer!G8)</f>
        <v>0.70395857017134467</v>
      </c>
      <c r="H20">
        <f>IF(Rules!$B$10=Rules!$F$10,SUM(Dealer!H14:H17)-Dealer!H19,SUM(Dealer!H3:H6)-Dealer!H8)</f>
        <v>0.77322722653717491</v>
      </c>
      <c r="I20">
        <f>IF(Rules!$B$10=Rules!$F$10,SUM(Dealer!I14:I17)-Dealer!I19,SUM(Dealer!I3:I6)-Dealer!I8)</f>
        <v>0.79181515955189841</v>
      </c>
      <c r="J20">
        <f>IF(Rules!$B$10=Rules!$F$10,SUM(Dealer!J14:J17)-Dealer!J19,SUM(Dealer!J3:J6)-Dealer!J8)</f>
        <v>0.75835687080859626</v>
      </c>
      <c r="K20">
        <f>IF(Rules!$B$10=Rules!$F$10,SUM(Dealer!K14:K17)-Dealer!K19,SUM(Dealer!K3:K6)-Dealer!K8)</f>
        <v>0.55453756646817121</v>
      </c>
    </row>
    <row r="21" spans="1:11" x14ac:dyDescent="0.2">
      <c r="A21">
        <v>21</v>
      </c>
      <c r="B21">
        <f>IF(Rules!$B$13=Rules!$E$13,1,IF(Rules!$B$10=Rules!$F$10,SUM(Dealer!B14:B18),SUM(Dealer!B3:B7)))</f>
        <v>0.92219381142033785</v>
      </c>
      <c r="C21">
        <f>IF(Rules!$B$13=Rules!$E$13,1,IF(Rules!$B$10=Rules!$F$10,SUM(Dealer!C14:C18),SUM(Dealer!C3:C7)))</f>
        <v>0.88200651549403997</v>
      </c>
      <c r="D21">
        <f>IF(Rules!$B$13=Rules!$E$13,1,IF(Rules!$B$10=Rules!$F$10,SUM(Dealer!D14:D18),SUM(Dealer!D3:D7)))</f>
        <v>0.88530035730174927</v>
      </c>
      <c r="E21">
        <f>IF(Rules!$B$13=Rules!$E$13,1,IF(Rules!$B$10=Rules!$F$10,SUM(Dealer!E14:E18),SUM(Dealer!E3:E7)))</f>
        <v>0.88876729296591961</v>
      </c>
      <c r="F21">
        <f>IF(Rules!$B$13=Rules!$E$13,1,IF(Rules!$B$10=Rules!$F$10,SUM(Dealer!F14:F18),SUM(Dealer!F3:F7)))</f>
        <v>0.89175382659528035</v>
      </c>
      <c r="G21">
        <f>IF(Rules!$B$13=Rules!$E$13,1,IF(Rules!$B$10=Rules!$F$10,SUM(Dealer!G14:G18),SUM(Dealer!G3:G7)))</f>
        <v>0.90283674384257995</v>
      </c>
      <c r="H21">
        <f>IF(Rules!$B$13=Rules!$E$13,1,IF(Rules!$B$10=Rules!$F$10,SUM(Dealer!H14:H18),SUM(Dealer!H3:H7)))</f>
        <v>0.92592629596452325</v>
      </c>
      <c r="I21">
        <f>IF(Rules!$B$13=Rules!$E$13,1,IF(Rules!$B$10=Rules!$F$10,SUM(Dealer!I14:I18),SUM(Dealer!I3:I7)))</f>
        <v>0.93060505318396614</v>
      </c>
      <c r="J21">
        <f>IF(Rules!$B$13=Rules!$E$13,1,IF(Rules!$B$10=Rules!$F$10,SUM(Dealer!J14:J18),SUM(Dealer!J3:J7)))</f>
        <v>0.93917615614724415</v>
      </c>
      <c r="K21">
        <f>IF(Rules!$B$13=Rules!$E$13,1,IF(Rules!$B$10=Rules!$F$10,SUM(Dealer!K14:K18),SUM(Dealer!K3:K7)))</f>
        <v>0.96262363326716827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B11</f>
        <v>-0.66695077468551034</v>
      </c>
      <c r="C34">
        <f t="shared" ref="C34:K34" si="2">C11</f>
        <v>-0.29278372720927726</v>
      </c>
      <c r="D34">
        <f t="shared" si="2"/>
        <v>-0.2522502292357135</v>
      </c>
      <c r="E34">
        <f t="shared" si="2"/>
        <v>-0.21106310899491437</v>
      </c>
      <c r="F34">
        <f t="shared" si="2"/>
        <v>-0.16719266083547524</v>
      </c>
      <c r="G34">
        <f t="shared" si="2"/>
        <v>-0.1536990158300045</v>
      </c>
      <c r="H34">
        <f t="shared" si="2"/>
        <v>-0.47537518327693323</v>
      </c>
      <c r="I34">
        <f t="shared" si="2"/>
        <v>-0.51051751549761715</v>
      </c>
      <c r="J34">
        <f t="shared" si="2"/>
        <v>-0.5431496811311094</v>
      </c>
      <c r="K34">
        <f t="shared" si="2"/>
        <v>-0.54043033399498497</v>
      </c>
    </row>
    <row r="35" spans="1:11" x14ac:dyDescent="0.2">
      <c r="A35">
        <v>12</v>
      </c>
      <c r="B35">
        <f t="shared" ref="B35:K35" si="3">B12</f>
        <v>-0.66695077468551034</v>
      </c>
      <c r="C35">
        <f t="shared" si="3"/>
        <v>-0.29278372720927726</v>
      </c>
      <c r="D35">
        <f t="shared" si="3"/>
        <v>-0.2522502292357135</v>
      </c>
      <c r="E35">
        <f t="shared" si="3"/>
        <v>-0.21106310899491437</v>
      </c>
      <c r="F35">
        <f t="shared" si="3"/>
        <v>-0.16719266083547524</v>
      </c>
      <c r="G35">
        <f t="shared" si="3"/>
        <v>-0.1536990158300045</v>
      </c>
      <c r="H35">
        <f t="shared" si="3"/>
        <v>-0.47537518327693323</v>
      </c>
      <c r="I35">
        <f t="shared" si="3"/>
        <v>-0.51051751549761715</v>
      </c>
      <c r="J35">
        <f t="shared" si="3"/>
        <v>-0.5431496811311094</v>
      </c>
      <c r="K35">
        <f t="shared" si="3"/>
        <v>-0.54043033399498497</v>
      </c>
    </row>
    <row r="36" spans="1:11" x14ac:dyDescent="0.2">
      <c r="A36">
        <v>13</v>
      </c>
      <c r="B36">
        <f t="shared" ref="B36:K36" si="4">B13</f>
        <v>-0.66695077468551034</v>
      </c>
      <c r="C36">
        <f t="shared" si="4"/>
        <v>-0.29278372720927726</v>
      </c>
      <c r="D36">
        <f t="shared" si="4"/>
        <v>-0.2522502292357135</v>
      </c>
      <c r="E36">
        <f t="shared" si="4"/>
        <v>-0.21106310899491437</v>
      </c>
      <c r="F36">
        <f t="shared" si="4"/>
        <v>-0.16719266083547524</v>
      </c>
      <c r="G36">
        <f t="shared" si="4"/>
        <v>-0.1536990158300045</v>
      </c>
      <c r="H36">
        <f t="shared" si="4"/>
        <v>-0.47537518327693323</v>
      </c>
      <c r="I36">
        <f t="shared" si="4"/>
        <v>-0.51051751549761715</v>
      </c>
      <c r="J36">
        <f t="shared" si="4"/>
        <v>-0.5431496811311094</v>
      </c>
      <c r="K36">
        <f t="shared" si="4"/>
        <v>-0.54043033399498497</v>
      </c>
    </row>
    <row r="37" spans="1:11" x14ac:dyDescent="0.2">
      <c r="A37">
        <v>14</v>
      </c>
      <c r="B37">
        <f t="shared" ref="B37:K37" si="5">B14</f>
        <v>-0.66695077468551034</v>
      </c>
      <c r="C37">
        <f t="shared" si="5"/>
        <v>-0.29278372720927726</v>
      </c>
      <c r="D37">
        <f t="shared" si="5"/>
        <v>-0.2522502292357135</v>
      </c>
      <c r="E37">
        <f t="shared" si="5"/>
        <v>-0.21106310899491437</v>
      </c>
      <c r="F37">
        <f t="shared" si="5"/>
        <v>-0.16719266083547524</v>
      </c>
      <c r="G37">
        <f t="shared" si="5"/>
        <v>-0.1536990158300045</v>
      </c>
      <c r="H37">
        <f t="shared" si="5"/>
        <v>-0.47537518327693323</v>
      </c>
      <c r="I37">
        <f t="shared" si="5"/>
        <v>-0.51051751549761715</v>
      </c>
      <c r="J37">
        <f t="shared" si="5"/>
        <v>-0.5431496811311094</v>
      </c>
      <c r="K37">
        <f t="shared" si="5"/>
        <v>-0.54043033399498497</v>
      </c>
    </row>
    <row r="38" spans="1:11" x14ac:dyDescent="0.2">
      <c r="A38">
        <v>15</v>
      </c>
      <c r="B38">
        <f t="shared" ref="B38:K38" si="6">B15</f>
        <v>-0.66695077468551034</v>
      </c>
      <c r="C38">
        <f t="shared" si="6"/>
        <v>-0.29278372720927726</v>
      </c>
      <c r="D38">
        <f t="shared" si="6"/>
        <v>-0.2522502292357135</v>
      </c>
      <c r="E38">
        <f t="shared" si="6"/>
        <v>-0.21106310899491437</v>
      </c>
      <c r="F38">
        <f t="shared" si="6"/>
        <v>-0.16719266083547524</v>
      </c>
      <c r="G38">
        <f t="shared" si="6"/>
        <v>-0.1536990158300045</v>
      </c>
      <c r="H38">
        <f t="shared" si="6"/>
        <v>-0.47537518327693323</v>
      </c>
      <c r="I38">
        <f t="shared" si="6"/>
        <v>-0.51051751549761715</v>
      </c>
      <c r="J38">
        <f t="shared" si="6"/>
        <v>-0.5431496811311094</v>
      </c>
      <c r="K38">
        <f t="shared" si="6"/>
        <v>-0.54043033399498497</v>
      </c>
    </row>
    <row r="39" spans="1:11" x14ac:dyDescent="0.2">
      <c r="A39">
        <v>16</v>
      </c>
      <c r="B39">
        <f t="shared" ref="B39:K39" si="7">B16</f>
        <v>-0.66695077468551034</v>
      </c>
      <c r="C39">
        <f t="shared" si="7"/>
        <v>-0.29278372720927726</v>
      </c>
      <c r="D39">
        <f t="shared" si="7"/>
        <v>-0.2522502292357135</v>
      </c>
      <c r="E39">
        <f t="shared" si="7"/>
        <v>-0.21106310899491437</v>
      </c>
      <c r="F39">
        <f t="shared" si="7"/>
        <v>-0.16719266083547524</v>
      </c>
      <c r="G39">
        <f t="shared" si="7"/>
        <v>-0.1536990158300045</v>
      </c>
      <c r="H39">
        <f t="shared" si="7"/>
        <v>-0.47537518327693323</v>
      </c>
      <c r="I39">
        <f t="shared" si="7"/>
        <v>-0.51051751549761715</v>
      </c>
      <c r="J39">
        <f t="shared" si="7"/>
        <v>-0.5431496811311094</v>
      </c>
      <c r="K39">
        <f t="shared" si="7"/>
        <v>-0.54043033399498497</v>
      </c>
    </row>
    <row r="40" spans="1:11" x14ac:dyDescent="0.2">
      <c r="A40">
        <v>17</v>
      </c>
      <c r="B40">
        <f t="shared" ref="B40:K40" si="8">B17</f>
        <v>-0.47803347499473703</v>
      </c>
      <c r="C40">
        <f t="shared" si="8"/>
        <v>-0.15297458768154204</v>
      </c>
      <c r="D40">
        <f t="shared" si="8"/>
        <v>-0.11721624142457365</v>
      </c>
      <c r="E40">
        <f t="shared" si="8"/>
        <v>-8.0573373145316152E-2</v>
      </c>
      <c r="F40">
        <f t="shared" si="8"/>
        <v>-4.4941375564924446E-2</v>
      </c>
      <c r="G40">
        <f t="shared" si="8"/>
        <v>1.1739160673341853E-2</v>
      </c>
      <c r="H40">
        <f t="shared" si="8"/>
        <v>-0.10680898948269468</v>
      </c>
      <c r="I40">
        <f t="shared" si="8"/>
        <v>-0.38195097104844711</v>
      </c>
      <c r="J40">
        <f t="shared" si="8"/>
        <v>-0.42315423964521737</v>
      </c>
      <c r="K40">
        <f t="shared" si="8"/>
        <v>-0.41972063392881986</v>
      </c>
    </row>
    <row r="41" spans="1:11" x14ac:dyDescent="0.2">
      <c r="A41">
        <v>18</v>
      </c>
      <c r="B41">
        <f t="shared" ref="B41:K41" si="9">B18</f>
        <v>-0.10019887561319057</v>
      </c>
      <c r="C41">
        <f t="shared" si="9"/>
        <v>0.12174190222088771</v>
      </c>
      <c r="D41">
        <f t="shared" si="9"/>
        <v>0.14830007284131119</v>
      </c>
      <c r="E41">
        <f t="shared" si="9"/>
        <v>0.17585443719748528</v>
      </c>
      <c r="F41">
        <f t="shared" si="9"/>
        <v>0.19956119497617719</v>
      </c>
      <c r="G41">
        <f t="shared" si="9"/>
        <v>0.28344391604689856</v>
      </c>
      <c r="H41">
        <f t="shared" si="9"/>
        <v>0.3995541673365518</v>
      </c>
      <c r="I41">
        <f t="shared" si="9"/>
        <v>0.10595134861912359</v>
      </c>
      <c r="J41">
        <f t="shared" si="9"/>
        <v>-0.18316335667343331</v>
      </c>
      <c r="K41">
        <f t="shared" si="9"/>
        <v>-0.17830123379648949</v>
      </c>
    </row>
    <row r="42" spans="1:11" x14ac:dyDescent="0.2">
      <c r="A42">
        <v>19</v>
      </c>
      <c r="B42">
        <f t="shared" ref="B42:K42" si="10">B19</f>
        <v>0.27763572376835594</v>
      </c>
      <c r="C42">
        <f t="shared" si="10"/>
        <v>0.38630468602058993</v>
      </c>
      <c r="D42">
        <f t="shared" si="10"/>
        <v>0.4043629365977599</v>
      </c>
      <c r="E42">
        <f t="shared" si="10"/>
        <v>0.42317892482749653</v>
      </c>
      <c r="F42">
        <f t="shared" si="10"/>
        <v>0.43951210416088371</v>
      </c>
      <c r="G42">
        <f t="shared" si="10"/>
        <v>0.49597707378731914</v>
      </c>
      <c r="H42">
        <f t="shared" si="10"/>
        <v>0.6159764957534315</v>
      </c>
      <c r="I42">
        <f t="shared" si="10"/>
        <v>0.59385366828669439</v>
      </c>
      <c r="J42">
        <f t="shared" si="10"/>
        <v>0.28759675706758148</v>
      </c>
      <c r="K42">
        <f t="shared" si="10"/>
        <v>6.3118166335840831E-2</v>
      </c>
    </row>
    <row r="43" spans="1:11" x14ac:dyDescent="0.2">
      <c r="A43">
        <v>20</v>
      </c>
      <c r="B43">
        <f t="shared" ref="B43:K43" si="11">B20</f>
        <v>0.65547032314990239</v>
      </c>
      <c r="C43">
        <f t="shared" si="11"/>
        <v>0.63998657521683877</v>
      </c>
      <c r="D43">
        <f t="shared" si="11"/>
        <v>0.65027209425148136</v>
      </c>
      <c r="E43">
        <f t="shared" si="11"/>
        <v>0.66104996194807186</v>
      </c>
      <c r="F43">
        <f t="shared" si="11"/>
        <v>0.67035969063279999</v>
      </c>
      <c r="G43">
        <f t="shared" si="11"/>
        <v>0.70395857017134467</v>
      </c>
      <c r="H43">
        <f t="shared" si="11"/>
        <v>0.77322722653717491</v>
      </c>
      <c r="I43">
        <f t="shared" si="11"/>
        <v>0.79181515955189841</v>
      </c>
      <c r="J43">
        <f t="shared" si="11"/>
        <v>0.75835687080859626</v>
      </c>
      <c r="K43">
        <f t="shared" si="11"/>
        <v>0.55453756646817121</v>
      </c>
    </row>
    <row r="44" spans="1:11" x14ac:dyDescent="0.2">
      <c r="A44">
        <v>21</v>
      </c>
      <c r="B44">
        <f t="shared" ref="B44:K44" si="12">B21</f>
        <v>0.92219381142033785</v>
      </c>
      <c r="C44">
        <f t="shared" si="12"/>
        <v>0.88200651549403997</v>
      </c>
      <c r="D44">
        <f t="shared" si="12"/>
        <v>0.88530035730174927</v>
      </c>
      <c r="E44">
        <f t="shared" si="12"/>
        <v>0.88876729296591961</v>
      </c>
      <c r="F44">
        <f t="shared" si="12"/>
        <v>0.89175382659528035</v>
      </c>
      <c r="G44">
        <f t="shared" si="12"/>
        <v>0.90283674384257995</v>
      </c>
      <c r="H44">
        <f t="shared" si="12"/>
        <v>0.92592629596452325</v>
      </c>
      <c r="I44">
        <f t="shared" si="12"/>
        <v>0.93060505318396614</v>
      </c>
      <c r="J44">
        <f t="shared" si="12"/>
        <v>0.93917615614724415</v>
      </c>
      <c r="K44">
        <f t="shared" si="12"/>
        <v>0.96262363326716827</v>
      </c>
    </row>
    <row r="45" spans="1:11" x14ac:dyDescent="0.2">
      <c r="A45">
        <v>22</v>
      </c>
      <c r="B45">
        <f>B12</f>
        <v>-0.66695077468551034</v>
      </c>
      <c r="C45">
        <f t="shared" ref="C45:K45" si="13">C12</f>
        <v>-0.29278372720927726</v>
      </c>
      <c r="D45">
        <f t="shared" si="13"/>
        <v>-0.2522502292357135</v>
      </c>
      <c r="E45">
        <f t="shared" si="13"/>
        <v>-0.21106310899491437</v>
      </c>
      <c r="F45">
        <f t="shared" si="13"/>
        <v>-0.16719266083547524</v>
      </c>
      <c r="G45">
        <f t="shared" si="13"/>
        <v>-0.1536990158300045</v>
      </c>
      <c r="H45">
        <f t="shared" si="13"/>
        <v>-0.47537518327693323</v>
      </c>
      <c r="I45">
        <f t="shared" si="13"/>
        <v>-0.51051751549761715</v>
      </c>
      <c r="J45">
        <f t="shared" si="13"/>
        <v>-0.5431496811311094</v>
      </c>
      <c r="K45">
        <f t="shared" si="13"/>
        <v>-0.54043033399498497</v>
      </c>
    </row>
    <row r="46" spans="1:11" x14ac:dyDescent="0.2">
      <c r="A46">
        <v>23</v>
      </c>
      <c r="B46">
        <f t="shared" ref="B46:K46" si="14">B13</f>
        <v>-0.66695077468551034</v>
      </c>
      <c r="C46">
        <f t="shared" si="14"/>
        <v>-0.29278372720927726</v>
      </c>
      <c r="D46">
        <f t="shared" si="14"/>
        <v>-0.2522502292357135</v>
      </c>
      <c r="E46">
        <f t="shared" si="14"/>
        <v>-0.21106310899491437</v>
      </c>
      <c r="F46">
        <f t="shared" si="14"/>
        <v>-0.16719266083547524</v>
      </c>
      <c r="G46">
        <f t="shared" si="14"/>
        <v>-0.1536990158300045</v>
      </c>
      <c r="H46">
        <f t="shared" si="14"/>
        <v>-0.47537518327693323</v>
      </c>
      <c r="I46">
        <f t="shared" si="14"/>
        <v>-0.51051751549761715</v>
      </c>
      <c r="J46">
        <f t="shared" si="14"/>
        <v>-0.5431496811311094</v>
      </c>
      <c r="K46">
        <f t="shared" si="14"/>
        <v>-0.54043033399498497</v>
      </c>
    </row>
    <row r="47" spans="1:11" x14ac:dyDescent="0.2">
      <c r="A47">
        <v>24</v>
      </c>
      <c r="B47">
        <f t="shared" ref="B47:K47" si="15">B14</f>
        <v>-0.66695077468551034</v>
      </c>
      <c r="C47">
        <f t="shared" si="15"/>
        <v>-0.29278372720927726</v>
      </c>
      <c r="D47">
        <f t="shared" si="15"/>
        <v>-0.2522502292357135</v>
      </c>
      <c r="E47">
        <f t="shared" si="15"/>
        <v>-0.21106310899491437</v>
      </c>
      <c r="F47">
        <f t="shared" si="15"/>
        <v>-0.16719266083547524</v>
      </c>
      <c r="G47">
        <f t="shared" si="15"/>
        <v>-0.1536990158300045</v>
      </c>
      <c r="H47">
        <f t="shared" si="15"/>
        <v>-0.47537518327693323</v>
      </c>
      <c r="I47">
        <f t="shared" si="15"/>
        <v>-0.51051751549761715</v>
      </c>
      <c r="J47">
        <f t="shared" si="15"/>
        <v>-0.5431496811311094</v>
      </c>
      <c r="K47">
        <f t="shared" si="15"/>
        <v>-0.54043033399498497</v>
      </c>
    </row>
    <row r="48" spans="1:11" x14ac:dyDescent="0.2">
      <c r="A48">
        <v>25</v>
      </c>
      <c r="B48">
        <f t="shared" ref="B48:K48" si="16">B15</f>
        <v>-0.66695077468551034</v>
      </c>
      <c r="C48">
        <f t="shared" si="16"/>
        <v>-0.29278372720927726</v>
      </c>
      <c r="D48">
        <f t="shared" si="16"/>
        <v>-0.2522502292357135</v>
      </c>
      <c r="E48">
        <f t="shared" si="16"/>
        <v>-0.21106310899491437</v>
      </c>
      <c r="F48">
        <f t="shared" si="16"/>
        <v>-0.16719266083547524</v>
      </c>
      <c r="G48">
        <f t="shared" si="16"/>
        <v>-0.1536990158300045</v>
      </c>
      <c r="H48">
        <f t="shared" si="16"/>
        <v>-0.47537518327693323</v>
      </c>
      <c r="I48">
        <f t="shared" si="16"/>
        <v>-0.51051751549761715</v>
      </c>
      <c r="J48">
        <f t="shared" si="16"/>
        <v>-0.5431496811311094</v>
      </c>
      <c r="K48">
        <f t="shared" si="16"/>
        <v>-0.54043033399498497</v>
      </c>
    </row>
    <row r="49" spans="1:11" x14ac:dyDescent="0.2">
      <c r="A49">
        <v>26</v>
      </c>
      <c r="B49">
        <f t="shared" ref="B49:K49" si="17">B16</f>
        <v>-0.66695077468551034</v>
      </c>
      <c r="C49">
        <f t="shared" si="17"/>
        <v>-0.29278372720927726</v>
      </c>
      <c r="D49">
        <f t="shared" si="17"/>
        <v>-0.2522502292357135</v>
      </c>
      <c r="E49">
        <f t="shared" si="17"/>
        <v>-0.21106310899491437</v>
      </c>
      <c r="F49">
        <f t="shared" si="17"/>
        <v>-0.16719266083547524</v>
      </c>
      <c r="G49">
        <f t="shared" si="17"/>
        <v>-0.1536990158300045</v>
      </c>
      <c r="H49">
        <f t="shared" si="17"/>
        <v>-0.47537518327693323</v>
      </c>
      <c r="I49">
        <f t="shared" si="17"/>
        <v>-0.51051751549761715</v>
      </c>
      <c r="J49">
        <f t="shared" si="17"/>
        <v>-0.5431496811311094</v>
      </c>
      <c r="K49">
        <f t="shared" si="17"/>
        <v>-0.54043033399498497</v>
      </c>
    </row>
    <row r="50" spans="1:11" x14ac:dyDescent="0.2">
      <c r="A50">
        <v>27</v>
      </c>
      <c r="B50">
        <f t="shared" ref="B50:K50" si="18">B17</f>
        <v>-0.47803347499473703</v>
      </c>
      <c r="C50">
        <f t="shared" si="18"/>
        <v>-0.15297458768154204</v>
      </c>
      <c r="D50">
        <f t="shared" si="18"/>
        <v>-0.11721624142457365</v>
      </c>
      <c r="E50">
        <f t="shared" si="18"/>
        <v>-8.0573373145316152E-2</v>
      </c>
      <c r="F50">
        <f t="shared" si="18"/>
        <v>-4.4941375564924446E-2</v>
      </c>
      <c r="G50">
        <f t="shared" si="18"/>
        <v>1.1739160673341853E-2</v>
      </c>
      <c r="H50">
        <f t="shared" si="18"/>
        <v>-0.10680898948269468</v>
      </c>
      <c r="I50">
        <f t="shared" si="18"/>
        <v>-0.38195097104844711</v>
      </c>
      <c r="J50">
        <f t="shared" si="18"/>
        <v>-0.42315423964521737</v>
      </c>
      <c r="K50">
        <f t="shared" si="18"/>
        <v>-0.41972063392881986</v>
      </c>
    </row>
    <row r="51" spans="1:11" x14ac:dyDescent="0.2">
      <c r="A51">
        <v>28</v>
      </c>
      <c r="B51">
        <f t="shared" ref="B51:K51" si="19">B18</f>
        <v>-0.10019887561319057</v>
      </c>
      <c r="C51">
        <f t="shared" si="19"/>
        <v>0.12174190222088771</v>
      </c>
      <c r="D51">
        <f t="shared" si="19"/>
        <v>0.14830007284131119</v>
      </c>
      <c r="E51">
        <f t="shared" si="19"/>
        <v>0.17585443719748528</v>
      </c>
      <c r="F51">
        <f t="shared" si="19"/>
        <v>0.19956119497617719</v>
      </c>
      <c r="G51">
        <f t="shared" si="19"/>
        <v>0.28344391604689856</v>
      </c>
      <c r="H51">
        <f t="shared" si="19"/>
        <v>0.3995541673365518</v>
      </c>
      <c r="I51">
        <f t="shared" si="19"/>
        <v>0.10595134861912359</v>
      </c>
      <c r="J51">
        <f t="shared" si="19"/>
        <v>-0.18316335667343331</v>
      </c>
      <c r="K51">
        <f t="shared" si="19"/>
        <v>-0.17830123379648949</v>
      </c>
    </row>
    <row r="52" spans="1:11" x14ac:dyDescent="0.2">
      <c r="A52">
        <v>29</v>
      </c>
      <c r="B52">
        <f t="shared" ref="B52:K52" si="20">B19</f>
        <v>0.27763572376835594</v>
      </c>
      <c r="C52">
        <f t="shared" si="20"/>
        <v>0.38630468602058993</v>
      </c>
      <c r="D52">
        <f t="shared" si="20"/>
        <v>0.4043629365977599</v>
      </c>
      <c r="E52">
        <f t="shared" si="20"/>
        <v>0.42317892482749653</v>
      </c>
      <c r="F52">
        <f t="shared" si="20"/>
        <v>0.43951210416088371</v>
      </c>
      <c r="G52">
        <f t="shared" si="20"/>
        <v>0.49597707378731914</v>
      </c>
      <c r="H52">
        <f t="shared" si="20"/>
        <v>0.6159764957534315</v>
      </c>
      <c r="I52">
        <f t="shared" si="20"/>
        <v>0.59385366828669439</v>
      </c>
      <c r="J52">
        <f t="shared" si="20"/>
        <v>0.28759675706758148</v>
      </c>
      <c r="K52">
        <f t="shared" si="20"/>
        <v>6.3118166335840831E-2</v>
      </c>
    </row>
    <row r="53" spans="1:11" x14ac:dyDescent="0.2">
      <c r="A53">
        <v>30</v>
      </c>
      <c r="B53">
        <f t="shared" ref="B53:K53" si="21">B20</f>
        <v>0.65547032314990239</v>
      </c>
      <c r="C53">
        <f t="shared" si="21"/>
        <v>0.63998657521683877</v>
      </c>
      <c r="D53">
        <f t="shared" si="21"/>
        <v>0.65027209425148136</v>
      </c>
      <c r="E53">
        <f t="shared" si="21"/>
        <v>0.66104996194807186</v>
      </c>
      <c r="F53">
        <f t="shared" si="21"/>
        <v>0.67035969063279999</v>
      </c>
      <c r="G53">
        <f t="shared" si="21"/>
        <v>0.70395857017134467</v>
      </c>
      <c r="H53">
        <f t="shared" si="21"/>
        <v>0.77322722653717491</v>
      </c>
      <c r="I53">
        <f t="shared" si="21"/>
        <v>0.79181515955189841</v>
      </c>
      <c r="J53">
        <f t="shared" si="21"/>
        <v>0.75835687080859626</v>
      </c>
      <c r="K53">
        <f t="shared" si="21"/>
        <v>0.55453756646817121</v>
      </c>
    </row>
    <row r="54" spans="1:11" x14ac:dyDescent="0.2">
      <c r="A54">
        <v>31</v>
      </c>
      <c r="B54">
        <f t="shared" ref="B54:K54" si="22">B21</f>
        <v>0.92219381142033785</v>
      </c>
      <c r="C54">
        <f t="shared" si="22"/>
        <v>0.88200651549403997</v>
      </c>
      <c r="D54">
        <f t="shared" si="22"/>
        <v>0.88530035730174927</v>
      </c>
      <c r="E54">
        <f t="shared" si="22"/>
        <v>0.88876729296591961</v>
      </c>
      <c r="F54">
        <f t="shared" si="22"/>
        <v>0.89175382659528035</v>
      </c>
      <c r="G54">
        <f t="shared" si="22"/>
        <v>0.90283674384257995</v>
      </c>
      <c r="H54">
        <f t="shared" si="22"/>
        <v>0.92592629596452325</v>
      </c>
      <c r="I54">
        <f t="shared" si="22"/>
        <v>0.93060505318396614</v>
      </c>
      <c r="J54">
        <f t="shared" si="22"/>
        <v>0.93917615614724415</v>
      </c>
      <c r="K54">
        <f t="shared" si="22"/>
        <v>0.96262363326716827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U52"/>
  <sheetViews>
    <sheetView topLeftCell="A28" workbookViewId="0">
      <selection activeCell="I3" sqref="I3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1" x14ac:dyDescent="0.2">
      <c r="B1" s="202"/>
      <c r="C1" t="s">
        <v>99</v>
      </c>
      <c r="D1">
        <f>C2+E2</f>
        <v>0.99999999999999756</v>
      </c>
    </row>
    <row r="2" spans="1:21" x14ac:dyDescent="0.2">
      <c r="A2" t="s">
        <v>40</v>
      </c>
      <c r="B2" s="201" t="s">
        <v>129</v>
      </c>
      <c r="C2" s="222">
        <f>Analysis!B45</f>
        <v>0.24695616167159923</v>
      </c>
      <c r="D2" s="199" t="s">
        <v>130</v>
      </c>
      <c r="E2" s="222">
        <f>Analysis!I45</f>
        <v>0.75304383832839838</v>
      </c>
      <c r="F2" s="199" t="s">
        <v>49</v>
      </c>
      <c r="G2" s="222">
        <f>Analysis!S45</f>
        <v>12.367798922766831</v>
      </c>
      <c r="H2" t="s">
        <v>163</v>
      </c>
      <c r="I2" s="238">
        <f>Analysis!T45</f>
        <v>33.476479570151206</v>
      </c>
      <c r="J2" t="s">
        <v>50</v>
      </c>
      <c r="K2" s="238">
        <f>C2*G2-E2*I2</f>
        <v>-22.154952518936238</v>
      </c>
      <c r="L2" t="s">
        <v>49</v>
      </c>
      <c r="M2" s="267">
        <v>3</v>
      </c>
    </row>
    <row r="3" spans="1:21" x14ac:dyDescent="0.2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6</v>
      </c>
    </row>
    <row r="4" spans="1:21" x14ac:dyDescent="0.2">
      <c r="A4" t="s">
        <v>127</v>
      </c>
      <c r="B4" s="202">
        <f>$C$2</f>
        <v>0.24695616167159923</v>
      </c>
      <c r="C4">
        <f>B4*$C$2</f>
        <v>6.0987345787569057E-2</v>
      </c>
      <c r="D4">
        <f t="shared" ref="D4:K4" si="0">C4*$C$2</f>
        <v>1.506120082623663E-2</v>
      </c>
      <c r="E4">
        <f t="shared" si="0"/>
        <v>3.7194563462125169E-3</v>
      </c>
      <c r="F4">
        <f t="shared" si="0"/>
        <v>9.1854266276571411E-4</v>
      </c>
      <c r="G4">
        <f t="shared" si="0"/>
        <v>2.2683977032823095E-4</v>
      </c>
      <c r="H4">
        <f t="shared" si="0"/>
        <v>5.6019478994727041E-5</v>
      </c>
      <c r="I4">
        <f t="shared" si="0"/>
        <v>1.3834355511380568E-5</v>
      </c>
      <c r="J4">
        <f t="shared" si="0"/>
        <v>3.4164793362908794E-6</v>
      </c>
      <c r="K4">
        <f t="shared" si="0"/>
        <v>8.4372062332072841E-7</v>
      </c>
    </row>
    <row r="5" spans="1:21" ht="17" thickBot="1" x14ac:dyDescent="0.25">
      <c r="A5" t="s">
        <v>128</v>
      </c>
      <c r="B5" s="202">
        <f>$E$2</f>
        <v>0.75304383832839838</v>
      </c>
      <c r="C5">
        <f>B5*$E$2</f>
        <v>0.56707502244436703</v>
      </c>
      <c r="D5">
        <f t="shared" ref="D5:K5" si="1">C5*$E$2</f>
        <v>0.4270323515216688</v>
      </c>
      <c r="E5">
        <f t="shared" si="1"/>
        <v>0.32157408108027935</v>
      </c>
      <c r="F5">
        <f t="shared" si="1"/>
        <v>0.24215938032362117</v>
      </c>
      <c r="G5">
        <f t="shared" si="1"/>
        <v>0.18235662924612611</v>
      </c>
      <c r="H5">
        <f t="shared" si="1"/>
        <v>0.13732253603213149</v>
      </c>
      <c r="I5">
        <f t="shared" si="1"/>
        <v>0.10340988962262608</v>
      </c>
      <c r="J5">
        <f t="shared" si="1"/>
        <v>7.787218020253836E-2</v>
      </c>
      <c r="K5">
        <f t="shared" si="1"/>
        <v>5.8641165478720204E-2</v>
      </c>
    </row>
    <row r="6" spans="1:21" ht="17" thickBot="1" x14ac:dyDescent="0.25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">
      <c r="A7" s="208">
        <v>1</v>
      </c>
      <c r="B7" s="114">
        <f>C7*B4</f>
        <v>0.24695616167159923</v>
      </c>
      <c r="C7" s="114">
        <v>1</v>
      </c>
      <c r="D7" s="212">
        <f>C7*B5</f>
        <v>0.75304383832839838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0.99999999999999756</v>
      </c>
      <c r="O7" s="114">
        <f>B7/(B7+D7)</f>
        <v>0.24695616167159984</v>
      </c>
      <c r="P7" s="129">
        <f>B7-D7</f>
        <v>-0.50608767665679921</v>
      </c>
      <c r="Q7" s="129">
        <f>($G$2*SUM(C7))*B7</f>
        <v>3.0543041502926362</v>
      </c>
      <c r="R7" s="58">
        <f>($I$2*SUM(C7))*D7*COUNT(D7:M7)</f>
        <v>25.209256669228875</v>
      </c>
      <c r="S7" s="58">
        <f>Q7-R7</f>
        <v>-22.154952518936238</v>
      </c>
      <c r="T7" s="129">
        <f>(S7+U7*D7)/B7</f>
        <v>-86.662784745852846</v>
      </c>
      <c r="U7" s="58">
        <f t="shared" ref="U7:U16" si="2">COUNT(D7:M7)</f>
        <v>1</v>
      </c>
    </row>
    <row r="8" spans="1:21" x14ac:dyDescent="0.2">
      <c r="A8" s="209">
        <v>2</v>
      </c>
      <c r="B8" s="116">
        <f>C8*B4</f>
        <v>0.30337432581258061</v>
      </c>
      <c r="C8" s="116">
        <f>1/(1-B4*B5)</f>
        <v>1.2284541667601958</v>
      </c>
      <c r="D8" s="194">
        <f>C8*B5</f>
        <v>0.9250798409476122</v>
      </c>
      <c r="E8" s="1">
        <f>D8*B5</f>
        <v>0.69662567418741417</v>
      </c>
      <c r="F8" s="1"/>
      <c r="G8" s="1"/>
      <c r="H8" s="1"/>
      <c r="I8" s="1"/>
      <c r="J8" s="1"/>
      <c r="K8" s="1"/>
      <c r="L8" s="1"/>
      <c r="M8" s="9"/>
      <c r="N8">
        <f>B8+E8</f>
        <v>0.99999999999999478</v>
      </c>
      <c r="O8" s="116">
        <f>B8/(B8+E8)</f>
        <v>0.30337432581258222</v>
      </c>
      <c r="P8" s="112">
        <f>B8-E8</f>
        <v>-0.39325134837483355</v>
      </c>
      <c r="Q8" s="112">
        <f>($G$2*SUM(C8:D8))*B8</f>
        <v>8.0802160726575138</v>
      </c>
      <c r="R8" s="9">
        <f>($I$2*SUM(C8:D8))*E8*COUNT(D8:M8)</f>
        <v>100.44330332956554</v>
      </c>
      <c r="S8" s="9">
        <f t="shared" ref="S8:S16" si="3">Q8-R8</f>
        <v>-92.363087256908017</v>
      </c>
      <c r="T8" s="112">
        <f>(S8+U8*E8)/B8</f>
        <v>-299.86003484267411</v>
      </c>
      <c r="U8" s="9">
        <f t="shared" si="2"/>
        <v>2</v>
      </c>
    </row>
    <row r="9" spans="1:21" x14ac:dyDescent="0.2">
      <c r="A9" s="209">
        <v>3</v>
      </c>
      <c r="B9" s="116">
        <f>C9*B4</f>
        <v>0.32007970367049182</v>
      </c>
      <c r="C9" s="216">
        <f>1/(1-B5*B4/(1-B5*B4))</f>
        <v>1.2960992813620573</v>
      </c>
      <c r="D9" s="217">
        <f>C9*B5*C8</f>
        <v>1.1989953170547265</v>
      </c>
      <c r="E9" s="218">
        <f>D9*(B5)</f>
        <v>0.90289603569266619</v>
      </c>
      <c r="F9" s="218">
        <f>E9*B5</f>
        <v>0.67992029632949991</v>
      </c>
      <c r="G9" s="218"/>
      <c r="H9" s="218"/>
      <c r="I9" s="218"/>
      <c r="J9" s="218"/>
      <c r="K9" s="218"/>
      <c r="L9" s="218"/>
      <c r="M9" s="219"/>
      <c r="N9">
        <f>B9+F9</f>
        <v>0.99999999999999178</v>
      </c>
      <c r="O9" s="116">
        <f>B9/(B9+F9)</f>
        <v>0.32007970367049443</v>
      </c>
      <c r="P9" s="112">
        <f>B9-F9</f>
        <v>-0.35984059265900808</v>
      </c>
      <c r="Q9" s="112">
        <f>($G$2*SUM(C9:E9))*B9</f>
        <v>13.451562369063121</v>
      </c>
      <c r="R9" s="9">
        <f>($I$2*SUM(C9:E9))*F9*COUNT(D9:M9)</f>
        <v>232.02843910788238</v>
      </c>
      <c r="S9" s="9">
        <f t="shared" si="3"/>
        <v>-218.57687673881927</v>
      </c>
      <c r="T9" s="112">
        <f>(S9+U9*F9)/B9</f>
        <v>-676.50998600256878</v>
      </c>
      <c r="U9" s="9">
        <f t="shared" si="2"/>
        <v>3</v>
      </c>
    </row>
    <row r="10" spans="1:21" x14ac:dyDescent="0.2">
      <c r="A10" s="209">
        <v>4</v>
      </c>
      <c r="B10" s="116">
        <f>C10*B4</f>
        <v>0.32538503370745187</v>
      </c>
      <c r="C10" s="116">
        <f>1/(1-B5*B4/(1-B5*B4/(1-B5*B4)))</f>
        <v>1.3175821631863021</v>
      </c>
      <c r="D10" s="194">
        <f>C10*B5*C9</f>
        <v>1.2859859864870298</v>
      </c>
      <c r="E10" s="1">
        <f>D10*B5*C8</f>
        <v>1.1896397118402797</v>
      </c>
      <c r="F10" s="1">
        <f>E10*B5</f>
        <v>0.89585085483209403</v>
      </c>
      <c r="G10" s="1">
        <f>F10*B5</f>
        <v>0.67461496629253692</v>
      </c>
      <c r="H10" s="1"/>
      <c r="I10" s="1"/>
      <c r="J10" s="1"/>
      <c r="K10" s="1"/>
      <c r="L10" s="1"/>
      <c r="M10" s="9"/>
      <c r="N10">
        <f>B10+G10</f>
        <v>0.99999999999998879</v>
      </c>
      <c r="O10" s="116">
        <f>B10/(B10+G10)</f>
        <v>0.32538503370745553</v>
      </c>
      <c r="P10" s="112">
        <f>B10-G10</f>
        <v>-0.34922993258508506</v>
      </c>
      <c r="Q10" s="112">
        <f>($G$2*SUM(C10:F10))*B10</f>
        <v>18.870163374677293</v>
      </c>
      <c r="R10" s="9">
        <f>($I$2*SUM(C10:F10))*G10*COUNT(D10:M10)</f>
        <v>423.58582160737865</v>
      </c>
      <c r="S10" s="9">
        <f t="shared" si="3"/>
        <v>-404.71565823270134</v>
      </c>
      <c r="T10" s="112">
        <f>(S10+U10*G10)/B10</f>
        <v>-1235.5122600044906</v>
      </c>
      <c r="U10" s="9">
        <f t="shared" si="2"/>
        <v>4</v>
      </c>
    </row>
    <row r="11" spans="1:21" x14ac:dyDescent="0.2">
      <c r="A11" s="209">
        <v>5</v>
      </c>
      <c r="B11" s="116">
        <f>C11*B4</f>
        <v>0.3271069026030069</v>
      </c>
      <c r="C11" s="116">
        <f>1/(1-B5*B4/(1-B5*B4/(1-B5*B4/(1-B5*B4))))</f>
        <v>1.3245545297954202</v>
      </c>
      <c r="D11" s="194">
        <f>C11*B5*C10</f>
        <v>1.31421920230122</v>
      </c>
      <c r="E11" s="1">
        <f>D11*B5*C9</f>
        <v>1.2827036708241788</v>
      </c>
      <c r="F11" s="1">
        <f>E11*B5*C8</f>
        <v>1.1866033077889497</v>
      </c>
      <c r="G11" s="1">
        <f>F11*B5</f>
        <v>0.89356430947056464</v>
      </c>
      <c r="H11" s="1">
        <f>G11*B5</f>
        <v>0.67289309739697878</v>
      </c>
      <c r="I11" s="1"/>
      <c r="J11" s="1"/>
      <c r="K11" s="1"/>
      <c r="L11" s="1"/>
      <c r="M11" s="9"/>
      <c r="N11">
        <f>B11+H11</f>
        <v>0.99999999999998568</v>
      </c>
      <c r="O11" s="116">
        <f>B11/(B11+H11)</f>
        <v>0.32710690260301156</v>
      </c>
      <c r="P11" s="112">
        <f>B11-H11</f>
        <v>-0.34578619479397188</v>
      </c>
      <c r="Q11" s="112">
        <f>($G$2*SUM(C11:G11))*B11</f>
        <v>24.280209466993902</v>
      </c>
      <c r="R11" s="9">
        <f>($I$2*SUM(C11:G11))*H11*COUNT(D11:M11)</f>
        <v>675.96804021702144</v>
      </c>
      <c r="S11" s="9">
        <f t="shared" si="3"/>
        <v>-651.6878307500275</v>
      </c>
      <c r="T11" s="112">
        <f>(S11+U11*H11)/B11</f>
        <v>-1981.9923092539564</v>
      </c>
      <c r="U11" s="9">
        <f t="shared" si="2"/>
        <v>5</v>
      </c>
    </row>
    <row r="12" spans="1:21" x14ac:dyDescent="0.2">
      <c r="A12" s="209">
        <v>6</v>
      </c>
      <c r="B12" s="116">
        <f>C12*B4</f>
        <v>0.32766966675072545</v>
      </c>
      <c r="C12" s="116">
        <f>1/(1-B5*B4/(1-B5*B4/(1-B5*B4/(1-B5*B4/(1-B5*B4)))))</f>
        <v>1.3268333316034389</v>
      </c>
      <c r="D12" s="194">
        <f>C12*B5*C11</f>
        <v>1.3234467582876503</v>
      </c>
      <c r="E12" s="1">
        <f>D12*B5*C10</f>
        <v>1.3131200745910923</v>
      </c>
      <c r="F12" s="1">
        <f>E12*B5*C9</f>
        <v>1.2816309006607109</v>
      </c>
      <c r="G12" s="1">
        <f>F12*B5*C8</f>
        <v>1.1856109097367555</v>
      </c>
      <c r="H12" s="1">
        <f>G12*B5</f>
        <v>0.89281699023219063</v>
      </c>
      <c r="I12" s="1">
        <f>H12*B5</f>
        <v>0.67233033324925695</v>
      </c>
      <c r="J12" s="1"/>
      <c r="K12" s="1"/>
      <c r="L12" s="1"/>
      <c r="M12" s="9"/>
      <c r="N12">
        <f>B12+I12</f>
        <v>0.99999999999998246</v>
      </c>
      <c r="O12" s="116">
        <f>B12/(B12+I12)</f>
        <v>0.32766966675073123</v>
      </c>
      <c r="P12" s="112">
        <f>B12-I12</f>
        <v>-0.3446606664985315</v>
      </c>
      <c r="Q12" s="112">
        <f>($G$2*SUM(C12:H12))*B12</f>
        <v>29.678702314598482</v>
      </c>
      <c r="R12" s="9">
        <f>($I$2*SUM(C12:H12))*I12*COUNT(D12:M12)</f>
        <v>988.98564787527994</v>
      </c>
      <c r="S12" s="9">
        <f t="shared" si="3"/>
        <v>-959.30694556068147</v>
      </c>
      <c r="T12" s="112">
        <f>(S12+U12*I12)/B12</f>
        <v>-2915.3536640543216</v>
      </c>
      <c r="U12" s="9">
        <f t="shared" si="2"/>
        <v>6</v>
      </c>
    </row>
    <row r="13" spans="1:21" x14ac:dyDescent="0.2">
      <c r="A13" s="209">
        <v>7</v>
      </c>
      <c r="B13" s="116">
        <f>C13*B4</f>
        <v>0.32785401692955213</v>
      </c>
      <c r="C13" s="216">
        <f>1/(1-B5*B4/(1-B5*B4/(1-B5*B4/(1-B5*B4/(1-B5*B4/(1-B5*B4))))))</f>
        <v>1.3275798210920138</v>
      </c>
      <c r="D13" s="217">
        <f>C13*B5*C12</f>
        <v>1.3264695194268019</v>
      </c>
      <c r="E13" s="218">
        <f>D13*B5*C11</f>
        <v>1.3230838746953202</v>
      </c>
      <c r="F13" s="218">
        <f>E13*B5*C10</f>
        <v>1.3127600225324474</v>
      </c>
      <c r="G13" s="218">
        <f>F13*B5*C9</f>
        <v>1.2812794828024852</v>
      </c>
      <c r="H13" s="218">
        <f>G13*B5*C8</f>
        <v>1.1852858201603618</v>
      </c>
      <c r="I13" s="218">
        <f>H13*B5</f>
        <v>0.89257218352978251</v>
      </c>
      <c r="J13" s="218">
        <f>I13*B5</f>
        <v>0.67214598307042706</v>
      </c>
      <c r="K13" s="218"/>
      <c r="L13" s="218"/>
      <c r="M13" s="219"/>
      <c r="N13">
        <f>B13+J13</f>
        <v>0.99999999999997913</v>
      </c>
      <c r="O13" s="116">
        <f>B13/(B13+J13)</f>
        <v>0.32785401692955896</v>
      </c>
      <c r="P13" s="112">
        <f>B13-J13</f>
        <v>-0.34429196614087493</v>
      </c>
      <c r="Q13" s="112">
        <f>($G$2*SUM(C13:I13))*B13</f>
        <v>35.070371370650754</v>
      </c>
      <c r="R13" s="9">
        <f>($I$2*SUM(C13:I13))*J13*COUNT(D13:M13)</f>
        <v>1362.2878026550413</v>
      </c>
      <c r="S13" s="9">
        <f t="shared" si="3"/>
        <v>-1327.2174312843906</v>
      </c>
      <c r="T13" s="112">
        <f>(S13+U13*J13)/B13</f>
        <v>-4033.8453735861149</v>
      </c>
      <c r="U13" s="9">
        <f t="shared" si="2"/>
        <v>7</v>
      </c>
    </row>
    <row r="14" spans="1:21" x14ac:dyDescent="0.2">
      <c r="A14" s="209">
        <v>8</v>
      </c>
      <c r="B14" s="116">
        <f>C14*B4</f>
        <v>0.32791445144187864</v>
      </c>
      <c r="C14" s="116">
        <f>1/(1-B5*B4/(1-B5*B4/(1-B5*B4/(1-B5*B4/(1-B5*B4/(1-B5*B4/(1-B5*B4)))))))</f>
        <v>1.3278245386642236</v>
      </c>
      <c r="D14" s="194">
        <f>C14*B5*C13</f>
        <v>1.3274604547027364</v>
      </c>
      <c r="E14" s="1">
        <f>D14*B5*C12</f>
        <v>1.3263502528678313</v>
      </c>
      <c r="F14" s="1">
        <f>E14*B5*C11</f>
        <v>1.3229649125490714</v>
      </c>
      <c r="G14" s="1">
        <f>F14*B5*C10</f>
        <v>1.3126419886324225</v>
      </c>
      <c r="H14" s="1">
        <f>G14*B5*C9</f>
        <v>1.2811642794052298</v>
      </c>
      <c r="I14" s="1">
        <f>H14*B5*C8</f>
        <v>1.1851792478199523</v>
      </c>
      <c r="J14" s="1">
        <f>I14*B5</f>
        <v>0.89249192988550097</v>
      </c>
      <c r="K14" s="1">
        <f>J14*B5</f>
        <v>0.67208554855809743</v>
      </c>
      <c r="L14" s="1"/>
      <c r="M14" s="9"/>
      <c r="N14">
        <f>B14+K14</f>
        <v>0.99999999999997602</v>
      </c>
      <c r="O14" s="116">
        <f>B14/(B14+K14)</f>
        <v>0.32791445144188652</v>
      </c>
      <c r="P14" s="112">
        <f>B14-K14</f>
        <v>-0.34417109711621879</v>
      </c>
      <c r="Q14" s="112">
        <f>($G$2*SUM(C14:J14))*B14</f>
        <v>40.458780804409599</v>
      </c>
      <c r="R14" s="9">
        <f>($I$2*SUM(C14:J14))*K14*COUNT(D14:M14)</f>
        <v>1795.618799923978</v>
      </c>
      <c r="S14" s="9">
        <f t="shared" si="3"/>
        <v>-1755.1600191195685</v>
      </c>
      <c r="T14" s="112">
        <f>(S14+U14*K14)/B14</f>
        <v>-5336.0970431071255</v>
      </c>
      <c r="U14" s="9">
        <f t="shared" si="2"/>
        <v>8</v>
      </c>
    </row>
    <row r="15" spans="1:21" x14ac:dyDescent="0.2">
      <c r="A15" s="209">
        <v>9</v>
      </c>
      <c r="B15" s="116">
        <f>C15*B4</f>
        <v>0.32793426820751226</v>
      </c>
      <c r="C15" s="116">
        <f>1/(1-B5*B4/(1-B5*B4/(1-B5*B4/(1-B5*B4/(1-B5*B4/(1-B5*B4/(1-B5*B4/(1-B5*B4))))))))</f>
        <v>1.3279047827265684</v>
      </c>
      <c r="D15" s="194">
        <f>C15*B5*C14</f>
        <v>1.3277853871190877</v>
      </c>
      <c r="E15" s="1">
        <f>D15*B5*C13</f>
        <v>1.3274213138927913</v>
      </c>
      <c r="F15" s="1">
        <f>E15*B5*C12</f>
        <v>1.3263111447927212</v>
      </c>
      <c r="G15" s="1">
        <f>F15*B5*C11</f>
        <v>1.3229259042923489</v>
      </c>
      <c r="H15" s="1">
        <f>G15*B5*C10</f>
        <v>1.3126032847520765</v>
      </c>
      <c r="I15" s="1">
        <f>H15*B5*C9</f>
        <v>1.2811265036602795</v>
      </c>
      <c r="J15" s="1">
        <f>I15*B5*C8</f>
        <v>1.1851443022398218</v>
      </c>
      <c r="K15" s="1">
        <f>J15*B5</f>
        <v>0.8924656143317069</v>
      </c>
      <c r="L15" s="1">
        <f>K15*B5</f>
        <v>0.67206573179246065</v>
      </c>
      <c r="M15" s="9"/>
      <c r="N15">
        <f>B15+L15</f>
        <v>0.99999999999997291</v>
      </c>
      <c r="O15" s="116">
        <f>B15/(B15+L15)</f>
        <v>0.32793426820752114</v>
      </c>
      <c r="P15" s="112">
        <f>B15-L15</f>
        <v>-0.34413146358494839</v>
      </c>
      <c r="Q15" s="112">
        <f>($G$2*SUM(C15:K15))*B15</f>
        <v>45.845782353983488</v>
      </c>
      <c r="R15" s="9">
        <f>($I$2*SUM(C15:K15))*L15*COUNT(D15:M15)</f>
        <v>2288.8335599439347</v>
      </c>
      <c r="S15" s="9">
        <f t="shared" si="3"/>
        <v>-2242.9877775899513</v>
      </c>
      <c r="T15" s="112">
        <f>(S15+U15*L15)/B15</f>
        <v>-6821.3035442466016</v>
      </c>
      <c r="U15" s="9">
        <f t="shared" si="2"/>
        <v>9</v>
      </c>
    </row>
    <row r="16" spans="1:21" ht="17" thickBot="1" x14ac:dyDescent="0.25">
      <c r="A16" s="210">
        <v>10</v>
      </c>
      <c r="B16" s="195">
        <f>C16*B4</f>
        <v>0.32794076674121042</v>
      </c>
      <c r="C16" s="195">
        <f>1/(1-B5*B4/(1-B5*B4/(1-B5*B4/(1-B5*B4/(1-B5*B4/(1-B5*B4/(1-B5*B4/(1-B5*B4/(1-B5*B4)))))))))</f>
        <v>1.3279310972499809</v>
      </c>
      <c r="D16" s="213">
        <f>C16*B5*C15</f>
        <v>1.3278919425629139</v>
      </c>
      <c r="E16" s="131">
        <f>D16*B5*C14</f>
        <v>1.3277725481099281</v>
      </c>
      <c r="F16" s="131">
        <f>E16*B5*C13</f>
        <v>1.3274084784040345</v>
      </c>
      <c r="G16" s="131">
        <f>F16*B5*C12</f>
        <v>1.3262983200387348</v>
      </c>
      <c r="H16" s="131">
        <f>G16*B5*C11</f>
        <v>1.322913112271916</v>
      </c>
      <c r="I16" s="131">
        <f>H16*B5*C10</f>
        <v>1.3125905925461228</v>
      </c>
      <c r="J16" s="131">
        <f>I16*B5*C9</f>
        <v>1.2811141158187844</v>
      </c>
      <c r="K16" s="131">
        <f>J16*B5*C8</f>
        <v>1.1851328424973819</v>
      </c>
      <c r="L16" s="131">
        <f>K16*B5</f>
        <v>0.89245698464327372</v>
      </c>
      <c r="M16" s="10">
        <f>L16*B5</f>
        <v>0.67205923325875938</v>
      </c>
      <c r="N16">
        <f>B16+M16</f>
        <v>0.9999999999999698</v>
      </c>
      <c r="O16" s="195">
        <f>B16/(B16+M16)</f>
        <v>0.3279407667412203</v>
      </c>
      <c r="P16" s="113">
        <f>B16-M16</f>
        <v>-0.34411846651754896</v>
      </c>
      <c r="Q16" s="113">
        <f>($G$2*SUM(C16:L16))*B16</f>
        <v>51.232210536156337</v>
      </c>
      <c r="R16" s="10">
        <f>($I$2*SUM(C16:L16))*M16*COUNT(D16:M16)</f>
        <v>2841.8595095217161</v>
      </c>
      <c r="S16" s="10">
        <f t="shared" si="3"/>
        <v>-2790.6272989855597</v>
      </c>
      <c r="T16" s="113">
        <f>(S16+U16*M16)/B16</f>
        <v>-8489.0534785199507</v>
      </c>
      <c r="U16" s="10">
        <f t="shared" si="2"/>
        <v>10</v>
      </c>
    </row>
    <row r="17" spans="1:8" ht="17" thickBot="1" x14ac:dyDescent="0.25"/>
    <row r="18" spans="1:8" ht="17" thickBot="1" x14ac:dyDescent="0.25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">
      <c r="A19" s="264">
        <v>1</v>
      </c>
      <c r="B19" s="146">
        <v>1</v>
      </c>
      <c r="C19" s="150">
        <f>B19*$M$3</f>
        <v>6</v>
      </c>
      <c r="D19" s="151">
        <f>SUM($C$19:C19)</f>
        <v>6</v>
      </c>
      <c r="E19" s="9">
        <f>B19/P7</f>
        <v>-1.9759422055205365</v>
      </c>
      <c r="F19" s="9">
        <f>D19/P7</f>
        <v>-11.855653233123219</v>
      </c>
      <c r="G19" s="28">
        <f>S7/E19</f>
        <v>11.212348446750143</v>
      </c>
      <c r="H19" s="8">
        <f>S7/F19</f>
        <v>1.8687247411250238</v>
      </c>
    </row>
    <row r="20" spans="1:8" x14ac:dyDescent="0.2">
      <c r="A20" s="265">
        <v>2</v>
      </c>
      <c r="B20" s="141">
        <f>B19*($M$3+1)</f>
        <v>7</v>
      </c>
      <c r="C20" s="140">
        <f>B20*$M$3</f>
        <v>42</v>
      </c>
      <c r="D20" s="142">
        <f>SUM($C$19:C20)</f>
        <v>48</v>
      </c>
      <c r="E20" s="9">
        <f t="shared" ref="E20:E28" si="4">B20/P8</f>
        <v>-17.800320403041169</v>
      </c>
      <c r="F20" s="9">
        <f t="shared" ref="F20:F28" si="5">D20/P8</f>
        <v>-122.05933990656801</v>
      </c>
      <c r="G20" s="112">
        <f t="shared" ref="G20:G28" si="6">S8/E20</f>
        <v>5.1888440862630691</v>
      </c>
      <c r="H20" s="9">
        <f t="shared" ref="H20:H28" si="7">S8/F20</f>
        <v>0.75670642924669751</v>
      </c>
    </row>
    <row r="21" spans="1:8" x14ac:dyDescent="0.2">
      <c r="A21" s="265">
        <v>3</v>
      </c>
      <c r="B21" s="141">
        <f t="shared" ref="B21:B28" si="8">B20*($M$3+1)</f>
        <v>49</v>
      </c>
      <c r="C21" s="140">
        <f t="shared" ref="C21:C28" si="9">B21*$M$3</f>
        <v>294</v>
      </c>
      <c r="D21" s="142">
        <f>SUM($C$19:C21)</f>
        <v>342</v>
      </c>
      <c r="E21" s="9">
        <f t="shared" si="4"/>
        <v>-136.17140756110678</v>
      </c>
      <c r="F21" s="9">
        <f t="shared" si="5"/>
        <v>-950.42084461017384</v>
      </c>
      <c r="G21" s="112">
        <f t="shared" si="6"/>
        <v>1.605159854433708</v>
      </c>
      <c r="H21" s="9">
        <f t="shared" si="7"/>
        <v>0.22997904347149617</v>
      </c>
    </row>
    <row r="22" spans="1:8" x14ac:dyDescent="0.2">
      <c r="A22" s="265">
        <v>4</v>
      </c>
      <c r="B22" s="141">
        <f t="shared" si="8"/>
        <v>343</v>
      </c>
      <c r="C22" s="140">
        <f t="shared" si="9"/>
        <v>2058</v>
      </c>
      <c r="D22" s="142">
        <f>SUM($C$19:C22)</f>
        <v>2400</v>
      </c>
      <c r="E22" s="9">
        <f t="shared" si="4"/>
        <v>-982.1609432531468</v>
      </c>
      <c r="F22" s="9">
        <f t="shared" si="5"/>
        <v>-6872.2631597887821</v>
      </c>
      <c r="G22" s="112">
        <f t="shared" si="6"/>
        <v>0.4120665365619085</v>
      </c>
      <c r="H22" s="9">
        <f t="shared" si="7"/>
        <v>5.8891175850306086E-2</v>
      </c>
    </row>
    <row r="23" spans="1:8" x14ac:dyDescent="0.2">
      <c r="A23" s="265">
        <v>5</v>
      </c>
      <c r="B23" s="141">
        <f t="shared" si="8"/>
        <v>2401</v>
      </c>
      <c r="C23" s="140">
        <f t="shared" si="9"/>
        <v>14406</v>
      </c>
      <c r="D23" s="142">
        <f>SUM($C$19:C23)</f>
        <v>16806</v>
      </c>
      <c r="E23" s="9">
        <f t="shared" si="4"/>
        <v>-6943.5970439206694</v>
      </c>
      <c r="F23" s="9">
        <f t="shared" si="5"/>
        <v>-48602.287346993246</v>
      </c>
      <c r="G23" s="112">
        <f t="shared" si="6"/>
        <v>9.3854500286792999E-2</v>
      </c>
      <c r="H23" s="9">
        <f t="shared" si="7"/>
        <v>1.3408583552813874E-2</v>
      </c>
    </row>
    <row r="24" spans="1:8" x14ac:dyDescent="0.2">
      <c r="A24" s="265">
        <v>6</v>
      </c>
      <c r="B24" s="141">
        <f t="shared" si="8"/>
        <v>16807</v>
      </c>
      <c r="C24" s="140">
        <f t="shared" si="9"/>
        <v>100842</v>
      </c>
      <c r="D24" s="142">
        <f>SUM($C$19:C24)</f>
        <v>117648</v>
      </c>
      <c r="E24" s="9">
        <f t="shared" si="4"/>
        <v>-48763.905004726177</v>
      </c>
      <c r="F24" s="9">
        <f t="shared" si="5"/>
        <v>-341344.43362860865</v>
      </c>
      <c r="G24" s="112">
        <f t="shared" si="6"/>
        <v>1.9672479992480212E-2</v>
      </c>
      <c r="H24" s="9">
        <f t="shared" si="7"/>
        <v>2.8103781724603473E-3</v>
      </c>
    </row>
    <row r="25" spans="1:8" x14ac:dyDescent="0.2">
      <c r="A25" s="265">
        <v>7</v>
      </c>
      <c r="B25" s="141">
        <f t="shared" si="8"/>
        <v>117649</v>
      </c>
      <c r="C25" s="140">
        <f t="shared" si="9"/>
        <v>705894</v>
      </c>
      <c r="D25" s="142">
        <f>SUM($C$19:C25)</f>
        <v>823542</v>
      </c>
      <c r="E25" s="9">
        <f t="shared" si="4"/>
        <v>-341712.88200161263</v>
      </c>
      <c r="F25" s="9">
        <f t="shared" si="5"/>
        <v>-2391987.2694997159</v>
      </c>
      <c r="G25" s="112">
        <f t="shared" si="6"/>
        <v>3.8840134545414275E-3</v>
      </c>
      <c r="H25" s="9">
        <f t="shared" si="7"/>
        <v>5.5485973868162693E-4</v>
      </c>
    </row>
    <row r="26" spans="1:8" x14ac:dyDescent="0.2">
      <c r="A26" s="265">
        <v>8</v>
      </c>
      <c r="B26" s="141">
        <f t="shared" si="8"/>
        <v>823543</v>
      </c>
      <c r="C26" s="140">
        <f t="shared" si="9"/>
        <v>4941258</v>
      </c>
      <c r="D26" s="142">
        <f>SUM($C$19:C26)</f>
        <v>5764800</v>
      </c>
      <c r="E26" s="9">
        <f t="shared" si="4"/>
        <v>-2392830.2141010645</v>
      </c>
      <c r="F26" s="9">
        <f t="shared" si="5"/>
        <v>-16749808.593175845</v>
      </c>
      <c r="G26" s="112">
        <f t="shared" si="6"/>
        <v>7.3350796424097515E-4</v>
      </c>
      <c r="H26" s="9">
        <f t="shared" si="7"/>
        <v>1.0478687021143933E-4</v>
      </c>
    </row>
    <row r="27" spans="1:8" x14ac:dyDescent="0.2">
      <c r="A27" s="265">
        <v>9</v>
      </c>
      <c r="B27" s="141">
        <f t="shared" si="8"/>
        <v>5764801</v>
      </c>
      <c r="C27" s="140">
        <f t="shared" si="9"/>
        <v>34588806</v>
      </c>
      <c r="D27" s="142">
        <f>SUM($C$19:C27)</f>
        <v>40353606</v>
      </c>
      <c r="E27" s="9">
        <f t="shared" si="4"/>
        <v>-16751740.57014687</v>
      </c>
      <c r="F27" s="9">
        <f t="shared" si="5"/>
        <v>-117262181.08516185</v>
      </c>
      <c r="G27" s="112">
        <f t="shared" si="6"/>
        <v>1.3389580433135169E-4</v>
      </c>
      <c r="H27" s="9">
        <f t="shared" si="7"/>
        <v>1.9127972521344948E-5</v>
      </c>
    </row>
    <row r="28" spans="1:8" ht="17" thickBot="1" x14ac:dyDescent="0.25">
      <c r="A28" s="266">
        <v>10</v>
      </c>
      <c r="B28" s="143">
        <f t="shared" si="8"/>
        <v>40353607</v>
      </c>
      <c r="C28" s="144">
        <f t="shared" si="9"/>
        <v>242121642</v>
      </c>
      <c r="D28" s="145">
        <f>SUM($C$19:C28)</f>
        <v>282475248</v>
      </c>
      <c r="E28" s="9">
        <f t="shared" si="4"/>
        <v>-117266612.88589141</v>
      </c>
      <c r="F28" s="9">
        <f t="shared" si="5"/>
        <v>-820866287.29526389</v>
      </c>
      <c r="G28" s="113">
        <f t="shared" si="6"/>
        <v>2.3797287482849313E-5</v>
      </c>
      <c r="H28" s="10">
        <f t="shared" si="7"/>
        <v>3.399612509584983E-6</v>
      </c>
    </row>
    <row r="29" spans="1:8" ht="17" thickBot="1" x14ac:dyDescent="0.25"/>
    <row r="30" spans="1:8" ht="17" thickBot="1" x14ac:dyDescent="0.25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">
      <c r="A31" s="264">
        <v>1</v>
      </c>
      <c r="B31" s="146">
        <v>1</v>
      </c>
      <c r="C31" s="150">
        <f>B31*$M$3</f>
        <v>6</v>
      </c>
      <c r="D31" s="151">
        <f>SUM($C$31:C31)</f>
        <v>6</v>
      </c>
      <c r="E31" s="129">
        <f>B31/P7</f>
        <v>-1.9759422055205365</v>
      </c>
      <c r="F31" s="58">
        <f>D31/P7</f>
        <v>-11.855653233123219</v>
      </c>
      <c r="G31" s="28">
        <f>S7/E31</f>
        <v>11.212348446750143</v>
      </c>
      <c r="H31" s="8">
        <f>S7/F31</f>
        <v>1.8687247411250238</v>
      </c>
    </row>
    <row r="32" spans="1:8" x14ac:dyDescent="0.2">
      <c r="A32" s="265">
        <v>2</v>
      </c>
      <c r="B32" s="141">
        <f>C31</f>
        <v>6</v>
      </c>
      <c r="C32" s="140">
        <f>B32*$M$3</f>
        <v>36</v>
      </c>
      <c r="D32" s="142">
        <f>SUM($C$31:C32)</f>
        <v>42</v>
      </c>
      <c r="E32" s="112">
        <f t="shared" ref="E32:E40" si="10">B32/P8</f>
        <v>-15.257417488321002</v>
      </c>
      <c r="F32" s="9">
        <f t="shared" ref="F32:F40" si="11">D32/P8</f>
        <v>-106.801922418247</v>
      </c>
      <c r="G32" s="112">
        <f t="shared" ref="G32:G40" si="12">S8/E32</f>
        <v>6.0536514339735801</v>
      </c>
      <c r="H32" s="9">
        <f t="shared" ref="H32:H40" si="13">S8/F32</f>
        <v>0.8648073477105116</v>
      </c>
    </row>
    <row r="33" spans="1:8" x14ac:dyDescent="0.2">
      <c r="A33" s="265">
        <v>3</v>
      </c>
      <c r="B33" s="141">
        <f t="shared" ref="B33:B40" si="14">C32</f>
        <v>36</v>
      </c>
      <c r="C33" s="140">
        <f t="shared" ref="C33:C40" si="15">B33*$M$3</f>
        <v>216</v>
      </c>
      <c r="D33" s="142">
        <f>SUM($C$31:C33)</f>
        <v>258</v>
      </c>
      <c r="E33" s="112">
        <f t="shared" si="10"/>
        <v>-100.04429943264988</v>
      </c>
      <c r="F33" s="9">
        <f t="shared" si="11"/>
        <v>-716.98414593399082</v>
      </c>
      <c r="G33" s="112">
        <f t="shared" si="12"/>
        <v>2.1848009129792136</v>
      </c>
      <c r="H33" s="9">
        <f t="shared" si="13"/>
        <v>0.30485594134593674</v>
      </c>
    </row>
    <row r="34" spans="1:8" x14ac:dyDescent="0.2">
      <c r="A34" s="265">
        <v>4</v>
      </c>
      <c r="B34" s="141">
        <f t="shared" si="14"/>
        <v>216</v>
      </c>
      <c r="C34" s="140">
        <f t="shared" si="15"/>
        <v>1296</v>
      </c>
      <c r="D34" s="142">
        <f>SUM($C$31:C34)</f>
        <v>1554</v>
      </c>
      <c r="E34" s="112">
        <f t="shared" si="10"/>
        <v>-618.50368438099042</v>
      </c>
      <c r="F34" s="9">
        <f t="shared" si="11"/>
        <v>-4449.7903959632367</v>
      </c>
      <c r="G34" s="112">
        <f t="shared" si="12"/>
        <v>0.65434639833673425</v>
      </c>
      <c r="H34" s="9">
        <f t="shared" si="13"/>
        <v>9.0951622934835649E-2</v>
      </c>
    </row>
    <row r="35" spans="1:8" x14ac:dyDescent="0.2">
      <c r="A35" s="265">
        <v>5</v>
      </c>
      <c r="B35" s="141">
        <f t="shared" si="14"/>
        <v>1296</v>
      </c>
      <c r="C35" s="140">
        <f t="shared" si="15"/>
        <v>7776</v>
      </c>
      <c r="D35" s="142">
        <f>SUM($C$31:C35)</f>
        <v>9330</v>
      </c>
      <c r="E35" s="112">
        <f t="shared" si="10"/>
        <v>-3747.9807450733811</v>
      </c>
      <c r="F35" s="9">
        <f t="shared" si="11"/>
        <v>-26981.991011986607</v>
      </c>
      <c r="G35" s="112">
        <f t="shared" si="12"/>
        <v>0.17387704875662807</v>
      </c>
      <c r="H35" s="9">
        <f t="shared" si="13"/>
        <v>2.415269616169239E-2</v>
      </c>
    </row>
    <row r="36" spans="1:8" x14ac:dyDescent="0.2">
      <c r="A36" s="265">
        <v>6</v>
      </c>
      <c r="B36" s="141">
        <f t="shared" si="14"/>
        <v>7776</v>
      </c>
      <c r="C36" s="140">
        <f t="shared" si="15"/>
        <v>46656</v>
      </c>
      <c r="D36" s="142">
        <f>SUM($C$31:C36)</f>
        <v>55986</v>
      </c>
      <c r="E36" s="112">
        <f t="shared" si="10"/>
        <v>-22561.321194546959</v>
      </c>
      <c r="F36" s="9">
        <f t="shared" si="11"/>
        <v>-162438.03091536858</v>
      </c>
      <c r="G36" s="112">
        <f t="shared" si="12"/>
        <v>4.2519980868520442E-2</v>
      </c>
      <c r="H36" s="9">
        <f t="shared" si="13"/>
        <v>5.9056794776125273E-3</v>
      </c>
    </row>
    <row r="37" spans="1:8" x14ac:dyDescent="0.2">
      <c r="A37" s="265">
        <v>7</v>
      </c>
      <c r="B37" s="141">
        <f t="shared" si="14"/>
        <v>46656</v>
      </c>
      <c r="C37" s="140">
        <f t="shared" si="15"/>
        <v>279936</v>
      </c>
      <c r="D37" s="142">
        <f>SUM($C$31:C37)</f>
        <v>335922</v>
      </c>
      <c r="E37" s="112">
        <f t="shared" si="10"/>
        <v>-135512.89192995467</v>
      </c>
      <c r="F37" s="9">
        <f t="shared" si="11"/>
        <v>-975689.33648178657</v>
      </c>
      <c r="G37" s="112">
        <f t="shared" si="12"/>
        <v>9.7940307551728483E-3</v>
      </c>
      <c r="H37" s="9">
        <f t="shared" si="13"/>
        <v>1.3602869086077852E-3</v>
      </c>
    </row>
    <row r="38" spans="1:8" x14ac:dyDescent="0.2">
      <c r="A38" s="265">
        <v>8</v>
      </c>
      <c r="B38" s="141">
        <f t="shared" si="14"/>
        <v>279936</v>
      </c>
      <c r="C38" s="140">
        <f t="shared" si="15"/>
        <v>1679616</v>
      </c>
      <c r="D38" s="142">
        <f>SUM($C$31:C38)</f>
        <v>2015538</v>
      </c>
      <c r="E38" s="112">
        <f t="shared" si="10"/>
        <v>-813362.89521566639</v>
      </c>
      <c r="F38" s="9">
        <f t="shared" si="11"/>
        <v>-5856209.3589148726</v>
      </c>
      <c r="G38" s="112">
        <f t="shared" si="12"/>
        <v>2.1579051975983989E-3</v>
      </c>
      <c r="H38" s="9">
        <f t="shared" si="13"/>
        <v>2.9970923366113932E-4</v>
      </c>
    </row>
    <row r="39" spans="1:8" x14ac:dyDescent="0.2">
      <c r="A39" s="265">
        <v>9</v>
      </c>
      <c r="B39" s="141">
        <f t="shared" si="14"/>
        <v>1679616</v>
      </c>
      <c r="C39" s="140">
        <f t="shared" si="15"/>
        <v>10077696</v>
      </c>
      <c r="D39" s="142">
        <f>SUM($C$31:C39)</f>
        <v>12093234</v>
      </c>
      <c r="E39" s="112">
        <f t="shared" si="10"/>
        <v>-4880739.420054188</v>
      </c>
      <c r="F39" s="9">
        <f t="shared" si="11"/>
        <v>-35141320.337350674</v>
      </c>
      <c r="G39" s="112">
        <f t="shared" si="12"/>
        <v>4.5955901033639874E-4</v>
      </c>
      <c r="H39" s="9">
        <f t="shared" si="13"/>
        <v>6.3827646658055293E-5</v>
      </c>
    </row>
    <row r="40" spans="1:8" ht="17" thickBot="1" x14ac:dyDescent="0.25">
      <c r="A40" s="266">
        <v>10</v>
      </c>
      <c r="B40" s="143">
        <f t="shared" si="14"/>
        <v>10077696</v>
      </c>
      <c r="C40" s="144">
        <f t="shared" si="15"/>
        <v>60466176</v>
      </c>
      <c r="D40" s="145">
        <f>SUM($C$31:C40)</f>
        <v>72559410</v>
      </c>
      <c r="E40" s="113">
        <f t="shared" si="10"/>
        <v>-29285542.569061954</v>
      </c>
      <c r="F40" s="10">
        <f t="shared" si="11"/>
        <v>-210855903.01007488</v>
      </c>
      <c r="G40" s="113">
        <f t="shared" si="12"/>
        <v>9.529027138235965E-5</v>
      </c>
      <c r="H40" s="10">
        <f t="shared" si="13"/>
        <v>1.3234760133095354E-5</v>
      </c>
    </row>
    <row r="41" spans="1:8" ht="17" thickBot="1" x14ac:dyDescent="0.25"/>
    <row r="42" spans="1:8" ht="17" thickBot="1" x14ac:dyDescent="0.25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">
      <c r="A43" s="264">
        <v>1</v>
      </c>
      <c r="B43" s="146">
        <v>1</v>
      </c>
      <c r="C43" s="150">
        <f>B43*$M$3</f>
        <v>6</v>
      </c>
      <c r="D43" s="151">
        <f>SUM(C43:C43)</f>
        <v>6</v>
      </c>
      <c r="E43" s="129">
        <f>B43/P7</f>
        <v>-1.9759422055205365</v>
      </c>
      <c r="F43" s="58">
        <f>D43/P7</f>
        <v>-11.855653233123219</v>
      </c>
      <c r="G43" s="28">
        <f>S7/E43</f>
        <v>11.212348446750143</v>
      </c>
      <c r="H43" s="8">
        <f>S7/F43</f>
        <v>1.8687247411250238</v>
      </c>
    </row>
    <row r="44" spans="1:8" x14ac:dyDescent="0.2">
      <c r="A44" s="265">
        <v>2</v>
      </c>
      <c r="B44" s="141">
        <f>B43*$M$3*2</f>
        <v>12</v>
      </c>
      <c r="C44" s="140">
        <f>B44*$M$3</f>
        <v>72</v>
      </c>
      <c r="D44" s="142">
        <f>SUM($C$43:C44)</f>
        <v>78</v>
      </c>
      <c r="E44" s="112">
        <f t="shared" ref="E44:E52" si="16">B44/P8</f>
        <v>-30.514834976642003</v>
      </c>
      <c r="F44" s="9">
        <f t="shared" ref="F44:F52" si="17">D44/P8</f>
        <v>-198.34642734817302</v>
      </c>
      <c r="G44" s="112">
        <f t="shared" ref="G44:G52" si="18">S8/E44</f>
        <v>3.02682571698679</v>
      </c>
      <c r="H44" s="9">
        <f t="shared" ref="H44:H52" si="19">S8/F44</f>
        <v>0.46566549492104464</v>
      </c>
    </row>
    <row r="45" spans="1:8" x14ac:dyDescent="0.2">
      <c r="A45" s="265">
        <v>3</v>
      </c>
      <c r="B45" s="141">
        <f t="shared" ref="B45:B52" si="20">B44*$M$3*2</f>
        <v>144</v>
      </c>
      <c r="C45" s="140">
        <f t="shared" ref="C45:C52" si="21">B45*$M$3</f>
        <v>864</v>
      </c>
      <c r="D45" s="142">
        <f>SUM($C$43:C45)</f>
        <v>942</v>
      </c>
      <c r="E45" s="112">
        <f t="shared" si="16"/>
        <v>-400.17719773059952</v>
      </c>
      <c r="F45" s="9">
        <f t="shared" si="17"/>
        <v>-2617.8258351543386</v>
      </c>
      <c r="G45" s="112">
        <f t="shared" si="18"/>
        <v>0.54620022824480341</v>
      </c>
      <c r="H45" s="9">
        <f t="shared" si="19"/>
        <v>8.3495576292199239E-2</v>
      </c>
    </row>
    <row r="46" spans="1:8" x14ac:dyDescent="0.2">
      <c r="A46" s="265">
        <v>4</v>
      </c>
      <c r="B46" s="141">
        <f t="shared" si="20"/>
        <v>1728</v>
      </c>
      <c r="C46" s="140">
        <f t="shared" si="21"/>
        <v>10368</v>
      </c>
      <c r="D46" s="142">
        <f>SUM($C$43:C46)</f>
        <v>11310</v>
      </c>
      <c r="E46" s="112">
        <f t="shared" si="16"/>
        <v>-4948.0294750479234</v>
      </c>
      <c r="F46" s="9">
        <f t="shared" si="17"/>
        <v>-32385.540140504636</v>
      </c>
      <c r="G46" s="112">
        <f t="shared" si="18"/>
        <v>8.1793299792091781E-2</v>
      </c>
      <c r="H46" s="9">
        <f t="shared" si="19"/>
        <v>1.2496801241444262E-2</v>
      </c>
    </row>
    <row r="47" spans="1:8" x14ac:dyDescent="0.2">
      <c r="A47" s="265">
        <v>5</v>
      </c>
      <c r="B47" s="141">
        <f t="shared" si="20"/>
        <v>20736</v>
      </c>
      <c r="C47" s="140">
        <f t="shared" si="21"/>
        <v>124416</v>
      </c>
      <c r="D47" s="142">
        <f>SUM($C$43:C47)</f>
        <v>135726</v>
      </c>
      <c r="E47" s="112">
        <f t="shared" si="16"/>
        <v>-59967.691921174097</v>
      </c>
      <c r="F47" s="9">
        <f t="shared" si="17"/>
        <v>-392514.22423289332</v>
      </c>
      <c r="G47" s="112">
        <f t="shared" si="18"/>
        <v>1.0867315547289255E-2</v>
      </c>
      <c r="H47" s="9">
        <f t="shared" si="19"/>
        <v>1.6602909920618745E-3</v>
      </c>
    </row>
    <row r="48" spans="1:8" x14ac:dyDescent="0.2">
      <c r="A48" s="265">
        <v>6</v>
      </c>
      <c r="B48" s="141">
        <f t="shared" si="20"/>
        <v>248832</v>
      </c>
      <c r="C48" s="140">
        <f t="shared" si="21"/>
        <v>1492992</v>
      </c>
      <c r="D48" s="142">
        <f>SUM($C$43:C48)</f>
        <v>1628718</v>
      </c>
      <c r="E48" s="112">
        <f t="shared" si="16"/>
        <v>-721962.2782255027</v>
      </c>
      <c r="F48" s="9">
        <f t="shared" si="17"/>
        <v>-4725569.6930735772</v>
      </c>
      <c r="G48" s="112">
        <f t="shared" si="18"/>
        <v>1.3287494021412638E-3</v>
      </c>
      <c r="H48" s="9">
        <f t="shared" si="19"/>
        <v>2.0300344886813734E-4</v>
      </c>
    </row>
    <row r="49" spans="1:8" x14ac:dyDescent="0.2">
      <c r="A49" s="265">
        <v>7</v>
      </c>
      <c r="B49" s="141">
        <f t="shared" si="20"/>
        <v>2985984</v>
      </c>
      <c r="C49" s="140">
        <f t="shared" si="21"/>
        <v>17915904</v>
      </c>
      <c r="D49" s="142">
        <f>SUM($C$43:C49)</f>
        <v>19544622</v>
      </c>
      <c r="E49" s="112">
        <f t="shared" si="16"/>
        <v>-8672825.0835170988</v>
      </c>
      <c r="F49" s="9">
        <f t="shared" si="17"/>
        <v>-56767580.780560158</v>
      </c>
      <c r="G49" s="112">
        <f t="shared" si="18"/>
        <v>1.5303173054957575E-4</v>
      </c>
      <c r="H49" s="9">
        <f t="shared" si="19"/>
        <v>2.337984837534051E-5</v>
      </c>
    </row>
    <row r="50" spans="1:8" x14ac:dyDescent="0.2">
      <c r="A50" s="265">
        <v>8</v>
      </c>
      <c r="B50" s="141">
        <f t="shared" si="20"/>
        <v>35831808</v>
      </c>
      <c r="C50" s="140">
        <f t="shared" si="21"/>
        <v>214990848</v>
      </c>
      <c r="D50" s="142">
        <f>SUM($C$43:C50)</f>
        <v>234535470</v>
      </c>
      <c r="E50" s="112">
        <f t="shared" si="16"/>
        <v>-104110450.5876053</v>
      </c>
      <c r="F50" s="9">
        <f t="shared" si="17"/>
        <v>-681450220.44312656</v>
      </c>
      <c r="G50" s="112">
        <f t="shared" si="18"/>
        <v>1.6858634356237491E-5</v>
      </c>
      <c r="H50" s="9">
        <f t="shared" si="19"/>
        <v>2.575624699304141E-6</v>
      </c>
    </row>
    <row r="51" spans="1:8" x14ac:dyDescent="0.2">
      <c r="A51" s="265">
        <v>9</v>
      </c>
      <c r="B51" s="141">
        <f t="shared" si="20"/>
        <v>429981696</v>
      </c>
      <c r="C51" s="140">
        <f t="shared" si="21"/>
        <v>2579890176</v>
      </c>
      <c r="D51" s="142">
        <f>SUM($C$43:C51)</f>
        <v>2814425646</v>
      </c>
      <c r="E51" s="112">
        <f t="shared" si="16"/>
        <v>-1249469291.5338721</v>
      </c>
      <c r="F51" s="9">
        <f t="shared" si="17"/>
        <v>-8178344452.0912361</v>
      </c>
      <c r="G51" s="112">
        <f t="shared" si="18"/>
        <v>1.7951523841265576E-6</v>
      </c>
      <c r="H51" s="9">
        <f t="shared" si="19"/>
        <v>2.7425939207248848E-7</v>
      </c>
    </row>
    <row r="52" spans="1:8" ht="17" thickBot="1" x14ac:dyDescent="0.25">
      <c r="A52" s="266">
        <v>10</v>
      </c>
      <c r="B52" s="143">
        <f t="shared" si="20"/>
        <v>5159780352</v>
      </c>
      <c r="C52" s="144">
        <f t="shared" si="21"/>
        <v>30958682112</v>
      </c>
      <c r="D52" s="145">
        <f>SUM($C$43:C52)</f>
        <v>33773107758</v>
      </c>
      <c r="E52" s="113">
        <f t="shared" si="16"/>
        <v>-14994197795.35972</v>
      </c>
      <c r="F52" s="10">
        <f t="shared" si="17"/>
        <v>-98143840113.496719</v>
      </c>
      <c r="G52" s="113">
        <f t="shared" si="18"/>
        <v>1.8611381129367119E-7</v>
      </c>
      <c r="H52" s="10">
        <f t="shared" si="19"/>
        <v>2.8434054503658995E-8</v>
      </c>
    </row>
  </sheetData>
  <conditionalFormatting sqref="O7:O16">
    <cfRule type="cellIs" dxfId="467" priority="29" operator="lessThanOrEqual">
      <formula>0</formula>
    </cfRule>
    <cfRule type="cellIs" dxfId="466" priority="30" operator="greaterThan">
      <formula>0</formula>
    </cfRule>
  </conditionalFormatting>
  <conditionalFormatting sqref="P7:P16 S7:S16">
    <cfRule type="cellIs" dxfId="465" priority="27" operator="lessThanOrEqual">
      <formula>0</formula>
    </cfRule>
    <cfRule type="cellIs" dxfId="464" priority="28" operator="greaterThan">
      <formula>0</formula>
    </cfRule>
  </conditionalFormatting>
  <conditionalFormatting sqref="G43:G52">
    <cfRule type="cellIs" dxfId="463" priority="26" operator="equal">
      <formula>MAX($G$43:$G$52)</formula>
    </cfRule>
  </conditionalFormatting>
  <conditionalFormatting sqref="H43:H52">
    <cfRule type="cellIs" dxfId="462" priority="25" operator="equal">
      <formula>MAX($H$43:$H$52)</formula>
    </cfRule>
  </conditionalFormatting>
  <conditionalFormatting sqref="G31:G40">
    <cfRule type="cellIs" dxfId="461" priority="24" operator="equal">
      <formula>MAX($G$31:$G$40)</formula>
    </cfRule>
  </conditionalFormatting>
  <conditionalFormatting sqref="H31:H40">
    <cfRule type="cellIs" dxfId="460" priority="23" operator="equal">
      <formula>MAX($H$31:$H$40)</formula>
    </cfRule>
  </conditionalFormatting>
  <conditionalFormatting sqref="F19:F28">
    <cfRule type="cellIs" dxfId="459" priority="19" stopIfTrue="1" operator="lessThan">
      <formula>0</formula>
    </cfRule>
    <cfRule type="cellIs" dxfId="458" priority="20" operator="equal">
      <formula>MIN($F$19:$F$28)</formula>
    </cfRule>
  </conditionalFormatting>
  <conditionalFormatting sqref="E19:E28">
    <cfRule type="cellIs" dxfId="457" priority="17" stopIfTrue="1" operator="lessThan">
      <formula>0</formula>
    </cfRule>
    <cfRule type="cellIs" dxfId="456" priority="18" operator="equal">
      <formula>MIN($E$19:$E$28)</formula>
    </cfRule>
  </conditionalFormatting>
  <conditionalFormatting sqref="F31:F40">
    <cfRule type="cellIs" dxfId="455" priority="15" stopIfTrue="1" operator="lessThan">
      <formula>0</formula>
    </cfRule>
    <cfRule type="cellIs" dxfId="454" priority="16" operator="equal">
      <formula>MIN($F$31:$F$40)</formula>
    </cfRule>
  </conditionalFormatting>
  <conditionalFormatting sqref="E31:E40">
    <cfRule type="cellIs" dxfId="453" priority="13" stopIfTrue="1" operator="lessThan">
      <formula>0</formula>
    </cfRule>
    <cfRule type="cellIs" dxfId="452" priority="14" operator="equal">
      <formula>MIN($E$31:$E$40)</formula>
    </cfRule>
  </conditionalFormatting>
  <conditionalFormatting sqref="F43:F52">
    <cfRule type="cellIs" dxfId="451" priority="11" stopIfTrue="1" operator="lessThan">
      <formula>0</formula>
    </cfRule>
    <cfRule type="cellIs" dxfId="450" priority="12" operator="equal">
      <formula>MIN($F$43:$F$52)</formula>
    </cfRule>
  </conditionalFormatting>
  <conditionalFormatting sqref="E43:E52">
    <cfRule type="cellIs" dxfId="449" priority="9" stopIfTrue="1" operator="lessThan">
      <formula>0</formula>
    </cfRule>
    <cfRule type="cellIs" dxfId="448" priority="10" operator="equal">
      <formula>MIN($E$43:$E$52)</formula>
    </cfRule>
  </conditionalFormatting>
  <conditionalFormatting sqref="Q7:Q16">
    <cfRule type="cellIs" dxfId="447" priority="7" operator="lessThanOrEqual">
      <formula>0</formula>
    </cfRule>
    <cfRule type="cellIs" dxfId="446" priority="8" operator="greaterThan">
      <formula>0</formula>
    </cfRule>
  </conditionalFormatting>
  <conditionalFormatting sqref="R7:R16">
    <cfRule type="cellIs" dxfId="445" priority="5" operator="lessThanOrEqual">
      <formula>0</formula>
    </cfRule>
    <cfRule type="cellIs" dxfId="444" priority="6" operator="greaterThan">
      <formula>0</formula>
    </cfRule>
  </conditionalFormatting>
  <conditionalFormatting sqref="G19:G28">
    <cfRule type="cellIs" dxfId="443" priority="3" operator="lessThanOrEqual">
      <formula>0</formula>
    </cfRule>
    <cfRule type="cellIs" dxfId="442" priority="4" operator="equal">
      <formula>MAX($G$19:$G$28)</formula>
    </cfRule>
  </conditionalFormatting>
  <conditionalFormatting sqref="H19:H28">
    <cfRule type="cellIs" dxfId="441" priority="1" operator="lessThanOrEqual">
      <formula>0</formula>
    </cfRule>
    <cfRule type="cellIs" dxfId="440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U52"/>
  <sheetViews>
    <sheetView topLeftCell="A25" workbookViewId="0">
      <selection activeCell="B43" sqref="B43:D5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1" x14ac:dyDescent="0.2">
      <c r="B1" s="202"/>
      <c r="C1" t="s">
        <v>99</v>
      </c>
      <c r="D1">
        <f>C2+E2</f>
        <v>0.99999999999999845</v>
      </c>
    </row>
    <row r="2" spans="1:21" x14ac:dyDescent="0.2">
      <c r="A2" t="s">
        <v>40</v>
      </c>
      <c r="B2" s="201" t="s">
        <v>129</v>
      </c>
      <c r="C2" s="222">
        <f>Analysis!B29</f>
        <v>0.38532638363481064</v>
      </c>
      <c r="D2" s="199" t="s">
        <v>130</v>
      </c>
      <c r="E2" s="222">
        <f>Analysis!H29</f>
        <v>0.6146736163651878</v>
      </c>
      <c r="F2" s="199" t="s">
        <v>49</v>
      </c>
      <c r="G2" s="222">
        <f>Analysis!S29</f>
        <v>9.561309863395465</v>
      </c>
      <c r="H2" t="s">
        <v>163</v>
      </c>
      <c r="I2" s="238">
        <f>Analysis!T29</f>
        <v>20.308200849528969</v>
      </c>
      <c r="J2" t="s">
        <v>50</v>
      </c>
      <c r="K2" s="238">
        <f>C2*G2-E2*I2</f>
        <v>-8.79869030557653</v>
      </c>
      <c r="L2" t="s">
        <v>49</v>
      </c>
      <c r="M2" s="267">
        <v>2</v>
      </c>
    </row>
    <row r="3" spans="1:21" x14ac:dyDescent="0.2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3</v>
      </c>
    </row>
    <row r="4" spans="1:21" x14ac:dyDescent="0.2">
      <c r="A4" t="s">
        <v>127</v>
      </c>
      <c r="B4" s="202">
        <f>$C$2</f>
        <v>0.38532638363481064</v>
      </c>
      <c r="C4">
        <f>B4*$C$2</f>
        <v>0.14847642192508126</v>
      </c>
      <c r="D4">
        <f t="shared" ref="D4:K4" si="0">C4*$C$2</f>
        <v>5.7211882715427868E-2</v>
      </c>
      <c r="E4">
        <f t="shared" si="0"/>
        <v>2.2045247867674752E-2</v>
      </c>
      <c r="F4">
        <f t="shared" si="0"/>
        <v>8.4946156371841323E-3</v>
      </c>
      <c r="G4">
        <f t="shared" si="0"/>
        <v>3.2731995238438746E-3</v>
      </c>
      <c r="H4">
        <f t="shared" si="0"/>
        <v>1.2612501354379443E-3</v>
      </c>
      <c r="I4">
        <f t="shared" si="0"/>
        <v>4.8599295354721821E-4</v>
      </c>
      <c r="J4">
        <f t="shared" si="0"/>
        <v>1.8726590726235012E-4</v>
      </c>
      <c r="K4">
        <f t="shared" si="0"/>
        <v>7.2158494823493198E-5</v>
      </c>
    </row>
    <row r="5" spans="1:21" ht="17" thickBot="1" x14ac:dyDescent="0.25">
      <c r="A5" t="s">
        <v>128</v>
      </c>
      <c r="B5" s="202">
        <f>$E$2</f>
        <v>0.6146736163651878</v>
      </c>
      <c r="C5">
        <f>B5*$E$2</f>
        <v>0.37782365465545809</v>
      </c>
      <c r="D5">
        <f t="shared" ref="D5:K5" si="1">C5*$E$2</f>
        <v>0.23223823215538225</v>
      </c>
      <c r="E5">
        <f t="shared" si="1"/>
        <v>0.14275071401720685</v>
      </c>
      <c r="F5">
        <f t="shared" si="1"/>
        <v>8.7745097623669235E-2</v>
      </c>
      <c r="G5">
        <f t="shared" si="1"/>
        <v>5.3934596474657218E-2</v>
      </c>
      <c r="H5">
        <f t="shared" si="1"/>
        <v>3.3152173462274663E-2</v>
      </c>
      <c r="I5">
        <f t="shared" si="1"/>
        <v>2.0377766352422375E-2</v>
      </c>
      <c r="J5">
        <f t="shared" si="1"/>
        <v>1.2525675337288303E-2</v>
      </c>
      <c r="K5">
        <f t="shared" si="1"/>
        <v>7.6992021569872449E-3</v>
      </c>
    </row>
    <row r="6" spans="1:21" ht="17" thickBot="1" x14ac:dyDescent="0.25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">
      <c r="A7" s="208">
        <v>1</v>
      </c>
      <c r="B7" s="114">
        <f>C7*B4</f>
        <v>0.38532638363481064</v>
      </c>
      <c r="C7" s="114">
        <v>1</v>
      </c>
      <c r="D7" s="212">
        <f>C7*B5</f>
        <v>0.6146736163651878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0.99999999999999845</v>
      </c>
      <c r="O7" s="114">
        <f>B7/(B7+D7)</f>
        <v>0.38532638363481125</v>
      </c>
      <c r="P7" s="129">
        <f>B7-D7</f>
        <v>-0.22934723273037716</v>
      </c>
      <c r="Q7" s="129">
        <f>($G$2*SUM(C7))*B7</f>
        <v>3.68422495247402</v>
      </c>
      <c r="R7" s="58">
        <f>($I$2*SUM(C7))*D7*COUNT(D7:M7)</f>
        <v>12.48291525805055</v>
      </c>
      <c r="S7" s="58">
        <f>Q7-R7</f>
        <v>-8.79869030557653</v>
      </c>
      <c r="T7" s="129">
        <f>(S7+U7*D7)/B7</f>
        <v>-21.239180696662768</v>
      </c>
      <c r="U7" s="58">
        <f t="shared" ref="U7:U16" si="2">COUNT(D7:M7)</f>
        <v>1</v>
      </c>
    </row>
    <row r="8" spans="1:21" x14ac:dyDescent="0.2">
      <c r="A8" s="209">
        <v>2</v>
      </c>
      <c r="B8" s="116">
        <f>C8*B4</f>
        <v>0.50491563166016407</v>
      </c>
      <c r="C8" s="116">
        <f>1/(1-B4*B5)</f>
        <v>1.3103583172718662</v>
      </c>
      <c r="D8" s="194">
        <f>C8*B5</f>
        <v>0.80544268561170018</v>
      </c>
      <c r="E8" s="1">
        <f>D8*B5</f>
        <v>0.49508436833983277</v>
      </c>
      <c r="F8" s="1"/>
      <c r="G8" s="1"/>
      <c r="H8" s="1"/>
      <c r="I8" s="1"/>
      <c r="J8" s="1"/>
      <c r="K8" s="1"/>
      <c r="L8" s="1"/>
      <c r="M8" s="9"/>
      <c r="N8">
        <f>B8+E8</f>
        <v>0.99999999999999689</v>
      </c>
      <c r="O8" s="116">
        <f>B8/(B8+E8)</f>
        <v>0.50491563166016562</v>
      </c>
      <c r="P8" s="112">
        <f>B8-E8</f>
        <v>9.831263320331296E-3</v>
      </c>
      <c r="Q8" s="112">
        <f>($G$2*SUM(C8:D8))*B8</f>
        <v>10.214356886827879</v>
      </c>
      <c r="R8" s="9">
        <f>($I$2*SUM(C8:D8))*E8*COUNT(D8:M8)</f>
        <v>42.545680903456187</v>
      </c>
      <c r="S8" s="9">
        <f t="shared" ref="S8:S16" si="3">Q8-R8</f>
        <v>-32.331324016628308</v>
      </c>
      <c r="T8" s="112">
        <f>(S8+U8*E8)/B8</f>
        <v>-62.072063756273167</v>
      </c>
      <c r="U8" s="9">
        <f t="shared" si="2"/>
        <v>2</v>
      </c>
    </row>
    <row r="9" spans="1:21" x14ac:dyDescent="0.2">
      <c r="A9" s="209">
        <v>3</v>
      </c>
      <c r="B9" s="116">
        <f>C9*B4</f>
        <v>0.55873418513583606</v>
      </c>
      <c r="C9" s="216">
        <f>1/(1-B5*B4/(1-B5*B4))</f>
        <v>1.4500283626188726</v>
      </c>
      <c r="D9" s="217">
        <f>C9*B5*C8</f>
        <v>1.167914738600881</v>
      </c>
      <c r="E9" s="218">
        <f>D9*(B5)</f>
        <v>0.71788637598200655</v>
      </c>
      <c r="F9" s="218">
        <f>E9*B5</f>
        <v>0.44126581486415889</v>
      </c>
      <c r="G9" s="218"/>
      <c r="H9" s="218"/>
      <c r="I9" s="218"/>
      <c r="J9" s="218"/>
      <c r="K9" s="218"/>
      <c r="L9" s="218"/>
      <c r="M9" s="219"/>
      <c r="N9">
        <f>B9+F9</f>
        <v>0.99999999999999489</v>
      </c>
      <c r="O9" s="116">
        <f>B9/(B9+F9)</f>
        <v>0.55873418513583895</v>
      </c>
      <c r="P9" s="112">
        <f>B9-F9</f>
        <v>0.11746837027167717</v>
      </c>
      <c r="Q9" s="112">
        <f>($G$2*SUM(C9:E9))*B9</f>
        <v>17.820770560862336</v>
      </c>
      <c r="R9" s="9">
        <f>($I$2*SUM(C9:E9))*F9*COUNT(D9:M9)</f>
        <v>89.680254155869477</v>
      </c>
      <c r="S9" s="9">
        <f t="shared" si="3"/>
        <v>-71.859483595007134</v>
      </c>
      <c r="T9" s="112">
        <f>(S9+U9*F9)/B9</f>
        <v>-126.24193762775846</v>
      </c>
      <c r="U9" s="9">
        <f t="shared" si="2"/>
        <v>3</v>
      </c>
    </row>
    <row r="10" spans="1:21" x14ac:dyDescent="0.2">
      <c r="A10" s="209">
        <v>4</v>
      </c>
      <c r="B10" s="116">
        <f>C10*B4</f>
        <v>0.58688603009739126</v>
      </c>
      <c r="C10" s="116">
        <f>1/(1-B5*B4/(1-B5*B4/(1-B5*B4)))</f>
        <v>1.5230881014719377</v>
      </c>
      <c r="D10" s="194">
        <f>C10*B5*C9</f>
        <v>1.3575195566356271</v>
      </c>
      <c r="E10" s="1">
        <f>D10*B5*C8</f>
        <v>1.0934041974670039</v>
      </c>
      <c r="F10" s="1">
        <f>E10*B5</f>
        <v>0.6720867122059192</v>
      </c>
      <c r="G10" s="1">
        <f>F10*B5</f>
        <v>0.41311396990260157</v>
      </c>
      <c r="H10" s="1"/>
      <c r="I10" s="1"/>
      <c r="J10" s="1"/>
      <c r="K10" s="1"/>
      <c r="L10" s="1"/>
      <c r="M10" s="9"/>
      <c r="N10">
        <f>B10+G10</f>
        <v>0.99999999999999289</v>
      </c>
      <c r="O10" s="116">
        <f>B10/(B10+G10)</f>
        <v>0.58688603009739548</v>
      </c>
      <c r="P10" s="112">
        <f>B10-G10</f>
        <v>0.17377206019478969</v>
      </c>
      <c r="Q10" s="112">
        <f>($G$2*SUM(C10:F10))*B10</f>
        <v>26.07111373181564</v>
      </c>
      <c r="R10" s="9">
        <f>($I$2*SUM(C10:F10))*G10*COUNT(D10:M10)</f>
        <v>155.91566158021999</v>
      </c>
      <c r="S10" s="9">
        <f t="shared" si="3"/>
        <v>-129.84454784840435</v>
      </c>
      <c r="T10" s="112">
        <f>(S10+U10*G10)/B10</f>
        <v>-218.42757434100278</v>
      </c>
      <c r="U10" s="9">
        <f t="shared" si="2"/>
        <v>4</v>
      </c>
    </row>
    <row r="11" spans="1:21" x14ac:dyDescent="0.2">
      <c r="A11" s="209">
        <v>5</v>
      </c>
      <c r="B11" s="116">
        <f>C11*B4</f>
        <v>0.60277259339722178</v>
      </c>
      <c r="C11" s="116">
        <f>1/(1-B5*B4/(1-B5*B4/(1-B5*B4/(1-B5*B4))))</f>
        <v>1.5643169505062848</v>
      </c>
      <c r="D11" s="194">
        <f>C11*B5*C10</f>
        <v>1.4645167693502941</v>
      </c>
      <c r="E11" s="1">
        <f>D11*B5*C9</f>
        <v>1.3053152693481811</v>
      </c>
      <c r="F11" s="1">
        <f>E11*B5*C8</f>
        <v>1.0513566361137587</v>
      </c>
      <c r="G11" s="1">
        <f>F11*B5</f>
        <v>0.64624118560958288</v>
      </c>
      <c r="H11" s="1">
        <f>G11*B5</f>
        <v>0.3972274066027689</v>
      </c>
      <c r="I11" s="1"/>
      <c r="J11" s="1"/>
      <c r="K11" s="1"/>
      <c r="L11" s="1"/>
      <c r="M11" s="9"/>
      <c r="N11">
        <f>B11+H11</f>
        <v>0.99999999999999067</v>
      </c>
      <c r="O11" s="116">
        <f>B11/(B11+H11)</f>
        <v>0.60277259339722744</v>
      </c>
      <c r="P11" s="112">
        <f>B11-H11</f>
        <v>0.20554518679445288</v>
      </c>
      <c r="Q11" s="112">
        <f>($G$2*SUM(C11:G11))*B11</f>
        <v>34.762739509714677</v>
      </c>
      <c r="R11" s="9">
        <f>($I$2*SUM(C11:G11))*H11*COUNT(D11:M11)</f>
        <v>243.28972217154742</v>
      </c>
      <c r="S11" s="9">
        <f t="shared" si="3"/>
        <v>-208.52698266183273</v>
      </c>
      <c r="T11" s="112">
        <f>(S11+U11*H11)/B11</f>
        <v>-342.65135457595414</v>
      </c>
      <c r="U11" s="9">
        <f t="shared" si="2"/>
        <v>5</v>
      </c>
    </row>
    <row r="12" spans="1:21" x14ac:dyDescent="0.2">
      <c r="A12" s="209">
        <v>6</v>
      </c>
      <c r="B12" s="116">
        <f>C12*B4</f>
        <v>0.61212316359987762</v>
      </c>
      <c r="C12" s="116">
        <f>1/(1-B5*B4/(1-B5*B4/(1-B5*B4/(1-B5*B4/(1-B5*B4)))))</f>
        <v>1.5885835738152085</v>
      </c>
      <c r="D12" s="194">
        <f>C12*B5*C11</f>
        <v>1.5274935711981585</v>
      </c>
      <c r="E12" s="1">
        <f>D12*B5*C10</f>
        <v>1.4300426453670156</v>
      </c>
      <c r="F12" s="1">
        <f>E12*B5*C9</f>
        <v>1.2745886833680566</v>
      </c>
      <c r="G12" s="1">
        <f>F12*B5*C8</f>
        <v>1.0266081321822484</v>
      </c>
      <c r="H12" s="1">
        <f>G12*B5</f>
        <v>0.63102893319837339</v>
      </c>
      <c r="I12" s="1">
        <f>H12*B5</f>
        <v>0.38787683640011067</v>
      </c>
      <c r="J12" s="1"/>
      <c r="K12" s="1"/>
      <c r="L12" s="1"/>
      <c r="M12" s="9"/>
      <c r="N12">
        <f>B12+I12</f>
        <v>0.99999999999998823</v>
      </c>
      <c r="O12" s="116">
        <f>B12/(B12+I12)</f>
        <v>0.61212316359988483</v>
      </c>
      <c r="P12" s="112">
        <f>B12-I12</f>
        <v>0.22424632719976695</v>
      </c>
      <c r="Q12" s="112">
        <f>($G$2*SUM(C12:H12))*B12</f>
        <v>43.768507266332954</v>
      </c>
      <c r="R12" s="9">
        <f>($I$2*SUM(C12:H12))*I12*COUNT(D12:M12)</f>
        <v>353.44518781762361</v>
      </c>
      <c r="S12" s="9">
        <f t="shared" si="3"/>
        <v>-309.67668055129064</v>
      </c>
      <c r="T12" s="112">
        <f>(S12+U12*I12)/B12</f>
        <v>-502.10388661879318</v>
      </c>
      <c r="U12" s="9">
        <f t="shared" si="2"/>
        <v>6</v>
      </c>
    </row>
    <row r="13" spans="1:21" x14ac:dyDescent="0.2">
      <c r="A13" s="209">
        <v>7</v>
      </c>
      <c r="B13" s="116">
        <f>C13*B4</f>
        <v>0.61776363071780382</v>
      </c>
      <c r="C13" s="216">
        <f>1/(1-B5*B4/(1-B5*B4/(1-B5*B4/(1-B5*B4/(1-B5*B4/(1-B5*B4))))))</f>
        <v>1.6032217282668175</v>
      </c>
      <c r="D13" s="217">
        <f>C13*B5*C12</f>
        <v>1.5654825464495445</v>
      </c>
      <c r="E13" s="218">
        <f>D13*B5*C11</f>
        <v>1.5052809086912824</v>
      </c>
      <c r="F13" s="218">
        <f>E13*B5*C10</f>
        <v>1.4092471047173345</v>
      </c>
      <c r="G13" s="218">
        <f>F13*B5*C9</f>
        <v>1.256053739069384</v>
      </c>
      <c r="H13" s="218">
        <f>G13*B5*C8</f>
        <v>1.0116792968686623</v>
      </c>
      <c r="I13" s="218">
        <f>H13*B5</f>
        <v>0.62185257200805111</v>
      </c>
      <c r="J13" s="218">
        <f>I13*B5</f>
        <v>0.38223636928218213</v>
      </c>
      <c r="K13" s="218"/>
      <c r="L13" s="218"/>
      <c r="M13" s="219"/>
      <c r="N13">
        <f>B13+J13</f>
        <v>0.99999999999998601</v>
      </c>
      <c r="O13" s="116">
        <f>B13/(B13+J13)</f>
        <v>0.61776363071781248</v>
      </c>
      <c r="P13" s="112">
        <f>B13-J13</f>
        <v>0.23552726143562169</v>
      </c>
      <c r="Q13" s="112">
        <f>($G$2*SUM(C13:I13))*B13</f>
        <v>52.999110843842338</v>
      </c>
      <c r="R13" s="9">
        <f>($I$2*SUM(C13:I13))*J13*COUNT(D13:M13)</f>
        <v>487.56256259719419</v>
      </c>
      <c r="S13" s="9">
        <f t="shared" si="3"/>
        <v>-434.56345175335184</v>
      </c>
      <c r="T13" s="112">
        <f>(S13+U13*J13)/B13</f>
        <v>-699.11496192572736</v>
      </c>
      <c r="U13" s="9">
        <f t="shared" si="2"/>
        <v>7</v>
      </c>
    </row>
    <row r="14" spans="1:21" x14ac:dyDescent="0.2">
      <c r="A14" s="209">
        <v>8</v>
      </c>
      <c r="B14" s="116">
        <f>C14*B4</f>
        <v>0.62121662855659676</v>
      </c>
      <c r="C14" s="116">
        <f>1/(1-B5*B4/(1-B5*B4/(1-B5*B4/(1-B5*B4/(1-B5*B4/(1-B5*B4/(1-B5*B4)))))))</f>
        <v>1.6121829569431945</v>
      </c>
      <c r="D14" s="194">
        <f>C14*B5*C13</f>
        <v>1.5887387496501797</v>
      </c>
      <c r="E14" s="1">
        <f>D14*B5*C12</f>
        <v>1.5513404912084026</v>
      </c>
      <c r="F14" s="1">
        <f>E14*B5*C11</f>
        <v>1.4916826952762379</v>
      </c>
      <c r="G14" s="1">
        <f>F14*B5*C10</f>
        <v>1.3965164291511767</v>
      </c>
      <c r="H14" s="1">
        <f>G14*B5*C9</f>
        <v>1.2447069620618423</v>
      </c>
      <c r="I14" s="1">
        <f>H14*B5*C8</f>
        <v>1.002540118322671</v>
      </c>
      <c r="J14" s="1">
        <f>I14*B5</f>
        <v>0.61623496008057943</v>
      </c>
      <c r="K14" s="1">
        <f>J14*B5</f>
        <v>0.37878337144338692</v>
      </c>
      <c r="L14" s="1"/>
      <c r="M14" s="9"/>
      <c r="N14">
        <f>B14+K14</f>
        <v>0.99999999999998368</v>
      </c>
      <c r="O14" s="116">
        <f>B14/(B14+K14)</f>
        <v>0.62121662855660686</v>
      </c>
      <c r="P14" s="112">
        <f>B14-K14</f>
        <v>0.24243325711320984</v>
      </c>
      <c r="Q14" s="112">
        <f>($G$2*SUM(C14:J14))*B14</f>
        <v>62.389691291436606</v>
      </c>
      <c r="R14" s="9">
        <f>($I$2*SUM(C14:J14))*K14*COUNT(D14:M14)</f>
        <v>646.40500966433785</v>
      </c>
      <c r="S14" s="9">
        <f t="shared" si="3"/>
        <v>-584.01531837290122</v>
      </c>
      <c r="T14" s="112">
        <f>(S14+U14*K14)/B14</f>
        <v>-935.23744325917164</v>
      </c>
      <c r="U14" s="9">
        <f t="shared" si="2"/>
        <v>8</v>
      </c>
    </row>
    <row r="15" spans="1:21" x14ac:dyDescent="0.2">
      <c r="A15" s="209">
        <v>9</v>
      </c>
      <c r="B15" s="116">
        <f>C15*B4</f>
        <v>0.62334960911037218</v>
      </c>
      <c r="C15" s="116">
        <f>1/(1-B5*B4/(1-B5*B4/(1-B5*B4/(1-B5*B4/(1-B5*B4/(1-B5*B4/(1-B5*B4/(1-B5*B4))))))))</f>
        <v>1.6177184734413248</v>
      </c>
      <c r="D15" s="194">
        <f>C15*B5*C14</f>
        <v>1.6031045359893175</v>
      </c>
      <c r="E15" s="1">
        <f>D15*B5*C13</f>
        <v>1.5797923462082231</v>
      </c>
      <c r="F15" s="1">
        <f>E15*B5*C12</f>
        <v>1.5426046824335178</v>
      </c>
      <c r="G15" s="1">
        <f>F15*B5*C11</f>
        <v>1.4832828276439636</v>
      </c>
      <c r="H15" s="1">
        <f>G15*B5*C10</f>
        <v>1.3886524556745696</v>
      </c>
      <c r="I15" s="1">
        <f>H15*B5*C9</f>
        <v>1.2376978482902612</v>
      </c>
      <c r="J15" s="1">
        <f>I15*B5*C8</f>
        <v>0.99689467890273065</v>
      </c>
      <c r="K15" s="1">
        <f>J15*B5</f>
        <v>0.61276485741635411</v>
      </c>
      <c r="L15" s="1">
        <f>K15*B5</f>
        <v>0.37665039088960905</v>
      </c>
      <c r="M15" s="9"/>
      <c r="N15">
        <f>B15+L15</f>
        <v>0.99999999999998124</v>
      </c>
      <c r="O15" s="116">
        <f>B15/(B15+L15)</f>
        <v>0.62334960911038384</v>
      </c>
      <c r="P15" s="112">
        <f>B15-L15</f>
        <v>0.24669921822076313</v>
      </c>
      <c r="Q15" s="112">
        <f>($G$2*SUM(C15:K15))*B15</f>
        <v>71.893043342293296</v>
      </c>
      <c r="R15" s="9">
        <f>($I$2*SUM(C15:K15))*L15*COUNT(D15:M15)</f>
        <v>830.40540196504116</v>
      </c>
      <c r="S15" s="9">
        <f t="shared" si="3"/>
        <v>-758.51235862274791</v>
      </c>
      <c r="T15" s="112">
        <f>(S15+U15*L15)/B15</f>
        <v>-1211.3948482015285</v>
      </c>
      <c r="U15" s="9">
        <f t="shared" si="2"/>
        <v>9</v>
      </c>
    </row>
    <row r="16" spans="1:21" ht="17" thickBot="1" x14ac:dyDescent="0.25">
      <c r="A16" s="210">
        <v>10</v>
      </c>
      <c r="B16" s="195">
        <f>C16*B4</f>
        <v>0.6246745246940022</v>
      </c>
      <c r="C16" s="195">
        <f>1/(1-B5*B4/(1-B5*B4/(1-B5*B4/(1-B5*B4/(1-B5*B4/(1-B5*B4/(1-B5*B4/(1-B5*B4/(1-B5*B4)))))))))</f>
        <v>1.621156897696451</v>
      </c>
      <c r="D16" s="213">
        <f>C16*B5*C15</f>
        <v>1.6120279432647062</v>
      </c>
      <c r="E16" s="131">
        <f>D16*B5*C14</f>
        <v>1.5974654121936205</v>
      </c>
      <c r="F16" s="131">
        <f>E16*B5*C13</f>
        <v>1.5742352260006722</v>
      </c>
      <c r="G16" s="131">
        <f>F16*B5*C12</f>
        <v>1.5371783745560368</v>
      </c>
      <c r="H16" s="131">
        <f>G16*B5*C11</f>
        <v>1.4780651919244352</v>
      </c>
      <c r="I16" s="131">
        <f>H16*B5*C10</f>
        <v>1.3837676943062693</v>
      </c>
      <c r="J16" s="131">
        <f>I16*B5*C9</f>
        <v>1.2333440889243013</v>
      </c>
      <c r="K16" s="131">
        <f>J16*B5*C8</f>
        <v>0.99338797526650469</v>
      </c>
      <c r="L16" s="131">
        <f>K16*B5</f>
        <v>0.6106093792107542</v>
      </c>
      <c r="M16" s="10">
        <f>L16*B5</f>
        <v>0.3753254753059766</v>
      </c>
      <c r="N16">
        <f>B16+M16</f>
        <v>0.99999999999997879</v>
      </c>
      <c r="O16" s="195">
        <f>B16/(B16+M16)</f>
        <v>0.62467452469401541</v>
      </c>
      <c r="P16" s="113">
        <f>B16-M16</f>
        <v>0.2493490493880256</v>
      </c>
      <c r="Q16" s="113">
        <f>($G$2*SUM(C16:L16))*B16</f>
        <v>81.475114617134281</v>
      </c>
      <c r="R16" s="10">
        <f>($I$2*SUM(C16:L16))*M16*COUNT(D16:M16)</f>
        <v>1039.7604292397559</v>
      </c>
      <c r="S16" s="10">
        <f t="shared" si="3"/>
        <v>-958.28531462262163</v>
      </c>
      <c r="T16" s="113">
        <f>(S16+U16*M16)/B16</f>
        <v>-1528.0470423171826</v>
      </c>
      <c r="U16" s="10">
        <f t="shared" si="2"/>
        <v>10</v>
      </c>
    </row>
    <row r="17" spans="1:8" ht="17" thickBot="1" x14ac:dyDescent="0.25"/>
    <row r="18" spans="1:8" ht="17" thickBot="1" x14ac:dyDescent="0.25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">
      <c r="A19" s="264">
        <v>1</v>
      </c>
      <c r="B19" s="146">
        <v>1</v>
      </c>
      <c r="C19" s="150">
        <f>B19*$M$3</f>
        <v>3</v>
      </c>
      <c r="D19" s="151">
        <f>SUM($C$19:C19)</f>
        <v>3</v>
      </c>
      <c r="E19" s="9">
        <f>B19/P7</f>
        <v>-4.3602008539410182</v>
      </c>
      <c r="F19" s="9">
        <f>D19/P7</f>
        <v>-13.080602561823056</v>
      </c>
      <c r="G19" s="28">
        <f>S7/E19</f>
        <v>2.0179552732355739</v>
      </c>
      <c r="H19" s="8">
        <f>S7/F19</f>
        <v>0.67265175774519126</v>
      </c>
    </row>
    <row r="20" spans="1:8" x14ac:dyDescent="0.2">
      <c r="A20" s="265">
        <v>2</v>
      </c>
      <c r="B20" s="141">
        <f>B19*($M$3+1)</f>
        <v>4</v>
      </c>
      <c r="C20" s="140">
        <f>B20*$M$3</f>
        <v>12</v>
      </c>
      <c r="D20" s="142">
        <f>SUM($C$19:C20)</f>
        <v>15</v>
      </c>
      <c r="E20" s="9">
        <f t="shared" ref="E20:E28" si="4">B20/P8</f>
        <v>406.86531015072103</v>
      </c>
      <c r="F20" s="9">
        <f t="shared" ref="F20:F28" si="5">D20/P8</f>
        <v>1525.7449130652037</v>
      </c>
      <c r="G20" s="112">
        <f t="shared" ref="G20:G28" si="6">S8/E20</f>
        <v>-7.9464439975606038E-2</v>
      </c>
      <c r="H20" s="9">
        <f t="shared" ref="H20:H28" si="7">S8/F20</f>
        <v>-2.1190517326828282E-2</v>
      </c>
    </row>
    <row r="21" spans="1:8" x14ac:dyDescent="0.2">
      <c r="A21" s="265">
        <v>3</v>
      </c>
      <c r="B21" s="141">
        <f t="shared" ref="B21:B28" si="8">B20*($M$3+1)</f>
        <v>16</v>
      </c>
      <c r="C21" s="140">
        <f t="shared" ref="C21:C28" si="9">B21*$M$3</f>
        <v>48</v>
      </c>
      <c r="D21" s="142">
        <f>SUM($C$19:C21)</f>
        <v>63</v>
      </c>
      <c r="E21" s="9">
        <f t="shared" si="4"/>
        <v>136.20687818342674</v>
      </c>
      <c r="F21" s="9">
        <f t="shared" si="5"/>
        <v>536.31458284724283</v>
      </c>
      <c r="G21" s="112">
        <f t="shared" si="6"/>
        <v>-0.52757602665436309</v>
      </c>
      <c r="H21" s="9">
        <f t="shared" si="7"/>
        <v>-0.1339875623249176</v>
      </c>
    </row>
    <row r="22" spans="1:8" x14ac:dyDescent="0.2">
      <c r="A22" s="265">
        <v>4</v>
      </c>
      <c r="B22" s="141">
        <f t="shared" si="8"/>
        <v>64</v>
      </c>
      <c r="C22" s="140">
        <f t="shared" si="9"/>
        <v>192</v>
      </c>
      <c r="D22" s="142">
        <f>SUM($C$19:C22)</f>
        <v>255</v>
      </c>
      <c r="E22" s="9">
        <f t="shared" si="4"/>
        <v>368.29856265880278</v>
      </c>
      <c r="F22" s="9">
        <f t="shared" si="5"/>
        <v>1467.4395855936673</v>
      </c>
      <c r="G22" s="112">
        <f t="shared" si="6"/>
        <v>-0.3525524153855964</v>
      </c>
      <c r="H22" s="9">
        <f t="shared" si="7"/>
        <v>-8.8483743469326165E-2</v>
      </c>
    </row>
    <row r="23" spans="1:8" x14ac:dyDescent="0.2">
      <c r="A23" s="265">
        <v>5</v>
      </c>
      <c r="B23" s="141">
        <f t="shared" si="8"/>
        <v>256</v>
      </c>
      <c r="C23" s="140">
        <f t="shared" si="9"/>
        <v>768</v>
      </c>
      <c r="D23" s="142">
        <f>SUM($C$19:C23)</f>
        <v>1023</v>
      </c>
      <c r="E23" s="9">
        <f t="shared" si="4"/>
        <v>1245.4682300880263</v>
      </c>
      <c r="F23" s="9">
        <f t="shared" si="5"/>
        <v>4977.0078100783239</v>
      </c>
      <c r="G23" s="112">
        <f t="shared" si="6"/>
        <v>-0.16742858438636737</v>
      </c>
      <c r="H23" s="9">
        <f t="shared" si="7"/>
        <v>-4.1898062172932599E-2</v>
      </c>
    </row>
    <row r="24" spans="1:8" x14ac:dyDescent="0.2">
      <c r="A24" s="265">
        <v>6</v>
      </c>
      <c r="B24" s="141">
        <f t="shared" si="8"/>
        <v>1024</v>
      </c>
      <c r="C24" s="140">
        <f t="shared" si="9"/>
        <v>3072</v>
      </c>
      <c r="D24" s="142">
        <f>SUM($C$19:C24)</f>
        <v>4095</v>
      </c>
      <c r="E24" s="9">
        <f t="shared" si="4"/>
        <v>4566.4070078070126</v>
      </c>
      <c r="F24" s="9">
        <f t="shared" si="5"/>
        <v>18261.168649384486</v>
      </c>
      <c r="G24" s="112">
        <f t="shared" si="6"/>
        <v>-6.7816267805705488E-2</v>
      </c>
      <c r="H24" s="9">
        <f t="shared" si="7"/>
        <v>-1.6958207138716101E-2</v>
      </c>
    </row>
    <row r="25" spans="1:8" x14ac:dyDescent="0.2">
      <c r="A25" s="265">
        <v>7</v>
      </c>
      <c r="B25" s="141">
        <f t="shared" si="8"/>
        <v>4096</v>
      </c>
      <c r="C25" s="140">
        <f t="shared" si="9"/>
        <v>12288</v>
      </c>
      <c r="D25" s="142">
        <f>SUM($C$19:C25)</f>
        <v>16383</v>
      </c>
      <c r="E25" s="9">
        <f t="shared" si="4"/>
        <v>17390.768164302663</v>
      </c>
      <c r="F25" s="9">
        <f t="shared" si="5"/>
        <v>69558.826864201794</v>
      </c>
      <c r="G25" s="112">
        <f t="shared" si="6"/>
        <v>-2.4988168874872527E-2</v>
      </c>
      <c r="H25" s="9">
        <f t="shared" si="7"/>
        <v>-6.2474235311895171E-3</v>
      </c>
    </row>
    <row r="26" spans="1:8" x14ac:dyDescent="0.2">
      <c r="A26" s="265">
        <v>8</v>
      </c>
      <c r="B26" s="141">
        <f t="shared" si="8"/>
        <v>16384</v>
      </c>
      <c r="C26" s="140">
        <f t="shared" si="9"/>
        <v>49152</v>
      </c>
      <c r="D26" s="142">
        <f>SUM($C$19:C26)</f>
        <v>65535</v>
      </c>
      <c r="E26" s="9">
        <f t="shared" si="4"/>
        <v>67581.486942400443</v>
      </c>
      <c r="F26" s="9">
        <f t="shared" si="5"/>
        <v>270321.82292298664</v>
      </c>
      <c r="G26" s="112">
        <f t="shared" si="6"/>
        <v>-8.641646474435466E-3</v>
      </c>
      <c r="H26" s="9">
        <f t="shared" si="7"/>
        <v>-2.1604445843770607E-3</v>
      </c>
    </row>
    <row r="27" spans="1:8" x14ac:dyDescent="0.2">
      <c r="A27" s="265">
        <v>9</v>
      </c>
      <c r="B27" s="141">
        <f t="shared" si="8"/>
        <v>65536</v>
      </c>
      <c r="C27" s="140">
        <f t="shared" si="9"/>
        <v>196608</v>
      </c>
      <c r="D27" s="142">
        <f>SUM($C$19:C27)</f>
        <v>262143</v>
      </c>
      <c r="E27" s="9">
        <f t="shared" si="4"/>
        <v>265651.42959372478</v>
      </c>
      <c r="F27" s="9">
        <f t="shared" si="5"/>
        <v>1062601.6648557708</v>
      </c>
      <c r="G27" s="112">
        <f t="shared" si="6"/>
        <v>-2.8552918378146213E-3</v>
      </c>
      <c r="H27" s="9">
        <f t="shared" si="7"/>
        <v>-7.1382568248253443E-4</v>
      </c>
    </row>
    <row r="28" spans="1:8" ht="17" thickBot="1" x14ac:dyDescent="0.25">
      <c r="A28" s="266">
        <v>10</v>
      </c>
      <c r="B28" s="143">
        <f t="shared" si="8"/>
        <v>262144</v>
      </c>
      <c r="C28" s="144">
        <f t="shared" si="9"/>
        <v>786432</v>
      </c>
      <c r="D28" s="145">
        <f>SUM($C$19:C28)</f>
        <v>1048575</v>
      </c>
      <c r="E28" s="9">
        <f t="shared" si="4"/>
        <v>1051313.4124368106</v>
      </c>
      <c r="F28" s="9">
        <f t="shared" si="5"/>
        <v>4205249.6393048428</v>
      </c>
      <c r="G28" s="113">
        <f t="shared" si="6"/>
        <v>-9.1151249787771503E-4</v>
      </c>
      <c r="H28" s="10">
        <f t="shared" si="7"/>
        <v>-2.2787834179115057E-4</v>
      </c>
    </row>
    <row r="29" spans="1:8" ht="17" thickBot="1" x14ac:dyDescent="0.25"/>
    <row r="30" spans="1:8" ht="17" thickBot="1" x14ac:dyDescent="0.25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">
      <c r="A31" s="264">
        <v>1</v>
      </c>
      <c r="B31" s="146">
        <v>1</v>
      </c>
      <c r="C31" s="150">
        <f>B31*$M$3</f>
        <v>3</v>
      </c>
      <c r="D31" s="151">
        <f>SUM($C$31:C31)</f>
        <v>3</v>
      </c>
      <c r="E31" s="129">
        <f>B31/P7</f>
        <v>-4.3602008539410182</v>
      </c>
      <c r="F31" s="58">
        <f>D31/P7</f>
        <v>-13.080602561823056</v>
      </c>
      <c r="G31" s="28">
        <f>S7/E31</f>
        <v>2.0179552732355739</v>
      </c>
      <c r="H31" s="8">
        <f>S7/F31</f>
        <v>0.67265175774519126</v>
      </c>
    </row>
    <row r="32" spans="1:8" x14ac:dyDescent="0.2">
      <c r="A32" s="265">
        <v>2</v>
      </c>
      <c r="B32" s="141">
        <f>C31</f>
        <v>3</v>
      </c>
      <c r="C32" s="140">
        <f>B32*$M$3</f>
        <v>9</v>
      </c>
      <c r="D32" s="142">
        <f>SUM($C$31:C32)</f>
        <v>12</v>
      </c>
      <c r="E32" s="112">
        <f t="shared" ref="E32:E40" si="10">B32/P8</f>
        <v>305.14898261304074</v>
      </c>
      <c r="F32" s="9">
        <f t="shared" ref="F32:F40" si="11">D32/P8</f>
        <v>1220.595930452163</v>
      </c>
      <c r="G32" s="112">
        <f t="shared" ref="G32:G40" si="12">S8/E32</f>
        <v>-0.10595258663414141</v>
      </c>
      <c r="H32" s="9">
        <f t="shared" ref="H32:H40" si="13">S8/F32</f>
        <v>-2.6488146658535352E-2</v>
      </c>
    </row>
    <row r="33" spans="1:8" x14ac:dyDescent="0.2">
      <c r="A33" s="265">
        <v>3</v>
      </c>
      <c r="B33" s="141">
        <f t="shared" ref="B33:B40" si="14">C32</f>
        <v>9</v>
      </c>
      <c r="C33" s="140">
        <f t="shared" ref="C33:C40" si="15">B33*$M$3</f>
        <v>27</v>
      </c>
      <c r="D33" s="142">
        <f>SUM($C$31:C33)</f>
        <v>39</v>
      </c>
      <c r="E33" s="112">
        <f t="shared" si="10"/>
        <v>76.616368978177547</v>
      </c>
      <c r="F33" s="9">
        <f t="shared" si="11"/>
        <v>332.00426557210267</v>
      </c>
      <c r="G33" s="112">
        <f t="shared" si="12"/>
        <v>-0.93791293627442318</v>
      </c>
      <c r="H33" s="9">
        <f t="shared" si="13"/>
        <v>-0.21644144683255923</v>
      </c>
    </row>
    <row r="34" spans="1:8" x14ac:dyDescent="0.2">
      <c r="A34" s="265">
        <v>4</v>
      </c>
      <c r="B34" s="141">
        <f t="shared" si="14"/>
        <v>27</v>
      </c>
      <c r="C34" s="140">
        <f t="shared" si="15"/>
        <v>81</v>
      </c>
      <c r="D34" s="142">
        <f>SUM($C$31:C34)</f>
        <v>120</v>
      </c>
      <c r="E34" s="112">
        <f t="shared" si="10"/>
        <v>155.37595612168244</v>
      </c>
      <c r="F34" s="9">
        <f t="shared" si="11"/>
        <v>690.55980498525525</v>
      </c>
      <c r="G34" s="112">
        <f t="shared" si="12"/>
        <v>-0.83567979943252479</v>
      </c>
      <c r="H34" s="9">
        <f t="shared" si="13"/>
        <v>-0.18802795487231808</v>
      </c>
    </row>
    <row r="35" spans="1:8" x14ac:dyDescent="0.2">
      <c r="A35" s="265">
        <v>5</v>
      </c>
      <c r="B35" s="141">
        <f t="shared" si="14"/>
        <v>81</v>
      </c>
      <c r="C35" s="140">
        <f t="shared" si="15"/>
        <v>243</v>
      </c>
      <c r="D35" s="142">
        <f>SUM($C$31:C35)</f>
        <v>363</v>
      </c>
      <c r="E35" s="112">
        <f t="shared" si="10"/>
        <v>394.07393217628959</v>
      </c>
      <c r="F35" s="9">
        <f t="shared" si="11"/>
        <v>1766.0350293826311</v>
      </c>
      <c r="G35" s="112">
        <f t="shared" si="12"/>
        <v>-0.52915700744333394</v>
      </c>
      <c r="H35" s="9">
        <f t="shared" si="13"/>
        <v>-0.11807635703281004</v>
      </c>
    </row>
    <row r="36" spans="1:8" x14ac:dyDescent="0.2">
      <c r="A36" s="265">
        <v>6</v>
      </c>
      <c r="B36" s="141">
        <f t="shared" si="14"/>
        <v>243</v>
      </c>
      <c r="C36" s="140">
        <f t="shared" si="15"/>
        <v>729</v>
      </c>
      <c r="D36" s="142">
        <f>SUM($C$31:C36)</f>
        <v>1092</v>
      </c>
      <c r="E36" s="112">
        <f t="shared" si="10"/>
        <v>1083.629787985453</v>
      </c>
      <c r="F36" s="9">
        <f t="shared" si="11"/>
        <v>4869.6449731691964</v>
      </c>
      <c r="G36" s="112">
        <f t="shared" si="12"/>
        <v>-0.2857771943746602</v>
      </c>
      <c r="H36" s="9">
        <f t="shared" si="13"/>
        <v>-6.3593276770185378E-2</v>
      </c>
    </row>
    <row r="37" spans="1:8" x14ac:dyDescent="0.2">
      <c r="A37" s="265">
        <v>7</v>
      </c>
      <c r="B37" s="141">
        <f t="shared" si="14"/>
        <v>729</v>
      </c>
      <c r="C37" s="140">
        <f t="shared" si="15"/>
        <v>2187</v>
      </c>
      <c r="D37" s="142">
        <f>SUM($C$31:C37)</f>
        <v>3279</v>
      </c>
      <c r="E37" s="112">
        <f t="shared" si="10"/>
        <v>3095.1831034610941</v>
      </c>
      <c r="F37" s="9">
        <f t="shared" si="11"/>
        <v>13921.955276061628</v>
      </c>
      <c r="G37" s="112">
        <f t="shared" si="12"/>
        <v>-0.14039991729969531</v>
      </c>
      <c r="H37" s="9">
        <f t="shared" si="13"/>
        <v>-3.1214254257846259E-2</v>
      </c>
    </row>
    <row r="38" spans="1:8" x14ac:dyDescent="0.2">
      <c r="A38" s="265">
        <v>8</v>
      </c>
      <c r="B38" s="141">
        <f t="shared" si="14"/>
        <v>2187</v>
      </c>
      <c r="C38" s="140">
        <f t="shared" si="15"/>
        <v>6561</v>
      </c>
      <c r="D38" s="142">
        <f>SUM($C$31:C38)</f>
        <v>9840</v>
      </c>
      <c r="E38" s="112">
        <f t="shared" si="10"/>
        <v>9021.0395473040626</v>
      </c>
      <c r="F38" s="9">
        <f t="shared" si="11"/>
        <v>40588.490692945576</v>
      </c>
      <c r="G38" s="112">
        <f t="shared" si="12"/>
        <v>-6.4739248210859926E-2</v>
      </c>
      <c r="H38" s="9">
        <f t="shared" si="13"/>
        <v>-1.4388692666377101E-2</v>
      </c>
    </row>
    <row r="39" spans="1:8" x14ac:dyDescent="0.2">
      <c r="A39" s="265">
        <v>9</v>
      </c>
      <c r="B39" s="141">
        <f t="shared" si="14"/>
        <v>6561</v>
      </c>
      <c r="C39" s="140">
        <f t="shared" si="15"/>
        <v>19683</v>
      </c>
      <c r="D39" s="142">
        <f>SUM($C$31:C39)</f>
        <v>29523</v>
      </c>
      <c r="E39" s="112">
        <f t="shared" si="10"/>
        <v>26595.139000922063</v>
      </c>
      <c r="F39" s="9">
        <f t="shared" si="11"/>
        <v>119672.04522545679</v>
      </c>
      <c r="G39" s="112">
        <f t="shared" si="12"/>
        <v>-2.8520714202563482E-2</v>
      </c>
      <c r="H39" s="9">
        <f t="shared" si="13"/>
        <v>-6.338258506351625E-3</v>
      </c>
    </row>
    <row r="40" spans="1:8" ht="17" thickBot="1" x14ac:dyDescent="0.25">
      <c r="A40" s="266">
        <v>10</v>
      </c>
      <c r="B40" s="143">
        <f t="shared" si="14"/>
        <v>19683</v>
      </c>
      <c r="C40" s="144">
        <f t="shared" si="15"/>
        <v>59049</v>
      </c>
      <c r="D40" s="145">
        <f>SUM($C$31:C40)</f>
        <v>88572</v>
      </c>
      <c r="E40" s="113">
        <f t="shared" si="10"/>
        <v>78937.537754034958</v>
      </c>
      <c r="F40" s="10">
        <f t="shared" si="11"/>
        <v>355212.90422955772</v>
      </c>
      <c r="G40" s="113">
        <f t="shared" si="12"/>
        <v>-1.2139792320462112E-2</v>
      </c>
      <c r="H40" s="10">
        <f t="shared" si="13"/>
        <v>-2.6977773138650561E-3</v>
      </c>
    </row>
    <row r="41" spans="1:8" ht="17" thickBot="1" x14ac:dyDescent="0.25"/>
    <row r="42" spans="1:8" ht="17" thickBot="1" x14ac:dyDescent="0.25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">
      <c r="A43" s="264">
        <v>1</v>
      </c>
      <c r="B43" s="146">
        <v>1</v>
      </c>
      <c r="C43" s="150">
        <f>B43*$M$3</f>
        <v>3</v>
      </c>
      <c r="D43" s="151">
        <f>SUM(C43:C43)</f>
        <v>3</v>
      </c>
      <c r="E43" s="129">
        <f>B43/P7</f>
        <v>-4.3602008539410182</v>
      </c>
      <c r="F43" s="58">
        <f>D43/P7</f>
        <v>-13.080602561823056</v>
      </c>
      <c r="G43" s="28">
        <f>S7/E43</f>
        <v>2.0179552732355739</v>
      </c>
      <c r="H43" s="8">
        <f>S7/F43</f>
        <v>0.67265175774519126</v>
      </c>
    </row>
    <row r="44" spans="1:8" x14ac:dyDescent="0.2">
      <c r="A44" s="265">
        <v>2</v>
      </c>
      <c r="B44" s="141">
        <f>B43*$M$3*2</f>
        <v>6</v>
      </c>
      <c r="C44" s="140">
        <f>B44*$M$3</f>
        <v>18</v>
      </c>
      <c r="D44" s="142">
        <f>SUM($C$43:C44)</f>
        <v>21</v>
      </c>
      <c r="E44" s="112">
        <f t="shared" ref="E44:E52" si="16">B44/P8</f>
        <v>610.29796522608149</v>
      </c>
      <c r="F44" s="9">
        <f t="shared" ref="F44:F52" si="17">D44/P8</f>
        <v>2136.0428782912854</v>
      </c>
      <c r="G44" s="112">
        <f t="shared" ref="G44:G52" si="18">S8/E44</f>
        <v>-5.2976293317070704E-2</v>
      </c>
      <c r="H44" s="9">
        <f t="shared" ref="H44:H52" si="19">S8/F44</f>
        <v>-1.5136083804877342E-2</v>
      </c>
    </row>
    <row r="45" spans="1:8" x14ac:dyDescent="0.2">
      <c r="A45" s="265">
        <v>3</v>
      </c>
      <c r="B45" s="141">
        <f t="shared" ref="B45:B52" si="20">B44*$M$3*2</f>
        <v>36</v>
      </c>
      <c r="C45" s="140">
        <f t="shared" ref="C45:C52" si="21">B45*$M$3</f>
        <v>108</v>
      </c>
      <c r="D45" s="142">
        <f>SUM($C$43:C45)</f>
        <v>129</v>
      </c>
      <c r="E45" s="112">
        <f t="shared" si="16"/>
        <v>306.46547591271019</v>
      </c>
      <c r="F45" s="9">
        <f t="shared" si="17"/>
        <v>1098.1679553538781</v>
      </c>
      <c r="G45" s="112">
        <f t="shared" si="18"/>
        <v>-0.2344782340686058</v>
      </c>
      <c r="H45" s="9">
        <f t="shared" si="19"/>
        <v>-6.5435786251703945E-2</v>
      </c>
    </row>
    <row r="46" spans="1:8" x14ac:dyDescent="0.2">
      <c r="A46" s="265">
        <v>4</v>
      </c>
      <c r="B46" s="141">
        <f t="shared" si="20"/>
        <v>216</v>
      </c>
      <c r="C46" s="140">
        <f t="shared" si="21"/>
        <v>648</v>
      </c>
      <c r="D46" s="142">
        <f>SUM($C$43:C46)</f>
        <v>777</v>
      </c>
      <c r="E46" s="112">
        <f t="shared" si="16"/>
        <v>1243.0076489734595</v>
      </c>
      <c r="F46" s="9">
        <f t="shared" si="17"/>
        <v>4471.3747372795278</v>
      </c>
      <c r="G46" s="112">
        <f t="shared" si="18"/>
        <v>-0.1044599749290656</v>
      </c>
      <c r="H46" s="9">
        <f t="shared" si="19"/>
        <v>-2.9039066389547192E-2</v>
      </c>
    </row>
    <row r="47" spans="1:8" x14ac:dyDescent="0.2">
      <c r="A47" s="265">
        <v>5</v>
      </c>
      <c r="B47" s="141">
        <f t="shared" si="20"/>
        <v>1296</v>
      </c>
      <c r="C47" s="140">
        <f t="shared" si="21"/>
        <v>3888</v>
      </c>
      <c r="D47" s="142">
        <f>SUM($C$43:C47)</f>
        <v>4665</v>
      </c>
      <c r="E47" s="112">
        <f t="shared" si="16"/>
        <v>6305.1829148206334</v>
      </c>
      <c r="F47" s="9">
        <f t="shared" si="17"/>
        <v>22695.739427190012</v>
      </c>
      <c r="G47" s="112">
        <f t="shared" si="18"/>
        <v>-3.3072312965208371E-2</v>
      </c>
      <c r="H47" s="9">
        <f t="shared" si="19"/>
        <v>-9.1879351774726784E-3</v>
      </c>
    </row>
    <row r="48" spans="1:8" x14ac:dyDescent="0.2">
      <c r="A48" s="265">
        <v>6</v>
      </c>
      <c r="B48" s="141">
        <f t="shared" si="20"/>
        <v>7776</v>
      </c>
      <c r="C48" s="140">
        <f t="shared" si="21"/>
        <v>23328</v>
      </c>
      <c r="D48" s="142">
        <f>SUM($C$43:C48)</f>
        <v>27993</v>
      </c>
      <c r="E48" s="112">
        <f t="shared" si="16"/>
        <v>34676.153215534498</v>
      </c>
      <c r="F48" s="9">
        <f t="shared" si="17"/>
        <v>124831.47594681806</v>
      </c>
      <c r="G48" s="112">
        <f t="shared" si="18"/>
        <v>-8.9305373242081314E-3</v>
      </c>
      <c r="H48" s="9">
        <f t="shared" si="19"/>
        <v>-2.4807579835331127E-3</v>
      </c>
    </row>
    <row r="49" spans="1:8" x14ac:dyDescent="0.2">
      <c r="A49" s="265">
        <v>7</v>
      </c>
      <c r="B49" s="141">
        <f t="shared" si="20"/>
        <v>46656</v>
      </c>
      <c r="C49" s="140">
        <f t="shared" si="21"/>
        <v>139968</v>
      </c>
      <c r="D49" s="142">
        <f>SUM($C$43:C49)</f>
        <v>167961</v>
      </c>
      <c r="E49" s="112">
        <f t="shared" si="16"/>
        <v>198091.71862151002</v>
      </c>
      <c r="F49" s="9">
        <f t="shared" si="17"/>
        <v>713127.63956163079</v>
      </c>
      <c r="G49" s="112">
        <f t="shared" si="18"/>
        <v>-2.1937487078077392E-3</v>
      </c>
      <c r="H49" s="9">
        <f t="shared" si="19"/>
        <v>-6.0937681790104769E-4</v>
      </c>
    </row>
    <row r="50" spans="1:8" x14ac:dyDescent="0.2">
      <c r="A50" s="265">
        <v>8</v>
      </c>
      <c r="B50" s="141">
        <f t="shared" si="20"/>
        <v>279936</v>
      </c>
      <c r="C50" s="140">
        <f t="shared" si="21"/>
        <v>839808</v>
      </c>
      <c r="D50" s="142">
        <f>SUM($C$43:C50)</f>
        <v>1007769</v>
      </c>
      <c r="E50" s="112">
        <f t="shared" si="16"/>
        <v>1154693.06205492</v>
      </c>
      <c r="F50" s="9">
        <f t="shared" si="17"/>
        <v>4156892.5484897429</v>
      </c>
      <c r="G50" s="112">
        <f t="shared" si="18"/>
        <v>-5.0577537664734317E-4</v>
      </c>
      <c r="H50" s="9">
        <f t="shared" si="19"/>
        <v>-1.4049324382586751E-4</v>
      </c>
    </row>
    <row r="51" spans="1:8" x14ac:dyDescent="0.2">
      <c r="A51" s="265">
        <v>9</v>
      </c>
      <c r="B51" s="141">
        <f t="shared" si="20"/>
        <v>1679616</v>
      </c>
      <c r="C51" s="140">
        <f t="shared" si="21"/>
        <v>5038848</v>
      </c>
      <c r="D51" s="142">
        <f>SUM($C$43:C51)</f>
        <v>6046617</v>
      </c>
      <c r="E51" s="112">
        <f t="shared" si="16"/>
        <v>6808355.5842360482</v>
      </c>
      <c r="F51" s="9">
        <f t="shared" si="17"/>
        <v>24510077.671138294</v>
      </c>
      <c r="G51" s="112">
        <f t="shared" si="18"/>
        <v>-1.114090398537636E-4</v>
      </c>
      <c r="H51" s="9">
        <f t="shared" si="19"/>
        <v>-3.0946958585771027E-5</v>
      </c>
    </row>
    <row r="52" spans="1:8" ht="17" thickBot="1" x14ac:dyDescent="0.25">
      <c r="A52" s="266">
        <v>10</v>
      </c>
      <c r="B52" s="143">
        <f t="shared" si="20"/>
        <v>10077696</v>
      </c>
      <c r="C52" s="144">
        <f t="shared" si="21"/>
        <v>30233088</v>
      </c>
      <c r="D52" s="145">
        <f>SUM($C$43:C52)</f>
        <v>36279705</v>
      </c>
      <c r="E52" s="113">
        <f t="shared" si="16"/>
        <v>40416019.330065899</v>
      </c>
      <c r="F52" s="10">
        <f t="shared" si="17"/>
        <v>145497667.18197182</v>
      </c>
      <c r="G52" s="113">
        <f t="shared" si="18"/>
        <v>-2.3710531875902562E-5</v>
      </c>
      <c r="H52" s="10">
        <f t="shared" si="19"/>
        <v>-6.5862589633420593E-6</v>
      </c>
    </row>
  </sheetData>
  <conditionalFormatting sqref="O7:O16">
    <cfRule type="cellIs" dxfId="439" priority="27" operator="lessThanOrEqual">
      <formula>0</formula>
    </cfRule>
    <cfRule type="cellIs" dxfId="438" priority="28" operator="greaterThan">
      <formula>0</formula>
    </cfRule>
  </conditionalFormatting>
  <conditionalFormatting sqref="P7:P16 S7:S16">
    <cfRule type="cellIs" dxfId="437" priority="25" operator="lessThanOrEqual">
      <formula>0</formula>
    </cfRule>
    <cfRule type="cellIs" dxfId="436" priority="26" operator="greaterThan">
      <formula>0</formula>
    </cfRule>
  </conditionalFormatting>
  <conditionalFormatting sqref="G43:G52">
    <cfRule type="cellIs" dxfId="435" priority="24" operator="equal">
      <formula>MAX($G$43:$G$52)</formula>
    </cfRule>
  </conditionalFormatting>
  <conditionalFormatting sqref="H43:H52">
    <cfRule type="cellIs" dxfId="434" priority="23" operator="equal">
      <formula>MAX($H$43:$H$52)</formula>
    </cfRule>
  </conditionalFormatting>
  <conditionalFormatting sqref="G31:G40">
    <cfRule type="cellIs" dxfId="433" priority="22" operator="equal">
      <formula>MAX($G$31:$G$40)</formula>
    </cfRule>
  </conditionalFormatting>
  <conditionalFormatting sqref="H31:H40">
    <cfRule type="cellIs" dxfId="432" priority="21" operator="equal">
      <formula>MAX($H$31:$H$40)</formula>
    </cfRule>
  </conditionalFormatting>
  <conditionalFormatting sqref="G19:G28">
    <cfRule type="cellIs" dxfId="431" priority="1" operator="lessThanOrEqual">
      <formula>0</formula>
    </cfRule>
    <cfRule type="cellIs" dxfId="430" priority="20" operator="equal">
      <formula>MAX($G$19:$G$28)</formula>
    </cfRule>
  </conditionalFormatting>
  <conditionalFormatting sqref="H19:H28">
    <cfRule type="cellIs" dxfId="429" priority="2" operator="lessThanOrEqual">
      <formula>0</formula>
    </cfRule>
    <cfRule type="cellIs" dxfId="428" priority="19" operator="equal">
      <formula>MAX($H$19:$H$28)</formula>
    </cfRule>
  </conditionalFormatting>
  <conditionalFormatting sqref="F19:F28">
    <cfRule type="cellIs" dxfId="427" priority="17" stopIfTrue="1" operator="lessThan">
      <formula>0</formula>
    </cfRule>
    <cfRule type="cellIs" dxfId="426" priority="18" operator="equal">
      <formula>MIN($F$19:$F$28)</formula>
    </cfRule>
  </conditionalFormatting>
  <conditionalFormatting sqref="E19:E28">
    <cfRule type="cellIs" dxfId="425" priority="15" stopIfTrue="1" operator="lessThan">
      <formula>0</formula>
    </cfRule>
    <cfRule type="cellIs" dxfId="424" priority="16" operator="equal">
      <formula>MIN($E$19:$E$28)</formula>
    </cfRule>
  </conditionalFormatting>
  <conditionalFormatting sqref="F31:F40">
    <cfRule type="cellIs" dxfId="423" priority="13" stopIfTrue="1" operator="lessThan">
      <formula>0</formula>
    </cfRule>
    <cfRule type="cellIs" dxfId="422" priority="14" operator="equal">
      <formula>MIN($F$31:$F$40)</formula>
    </cfRule>
  </conditionalFormatting>
  <conditionalFormatting sqref="E31:E40">
    <cfRule type="cellIs" dxfId="421" priority="11" stopIfTrue="1" operator="lessThan">
      <formula>0</formula>
    </cfRule>
    <cfRule type="cellIs" dxfId="420" priority="12" operator="equal">
      <formula>MIN($E$31:$E$40)</formula>
    </cfRule>
  </conditionalFormatting>
  <conditionalFormatting sqref="F43:F52">
    <cfRule type="cellIs" dxfId="419" priority="9" stopIfTrue="1" operator="lessThan">
      <formula>0</formula>
    </cfRule>
    <cfRule type="cellIs" dxfId="418" priority="10" operator="equal">
      <formula>MIN($F$43:$F$52)</formula>
    </cfRule>
  </conditionalFormatting>
  <conditionalFormatting sqref="E43:E52">
    <cfRule type="cellIs" dxfId="417" priority="7" stopIfTrue="1" operator="lessThan">
      <formula>0</formula>
    </cfRule>
    <cfRule type="cellIs" dxfId="416" priority="8" operator="equal">
      <formula>MIN($E$43:$E$52)</formula>
    </cfRule>
  </conditionalFormatting>
  <conditionalFormatting sqref="Q7:Q16">
    <cfRule type="cellIs" dxfId="415" priority="5" operator="lessThanOrEqual">
      <formula>0</formula>
    </cfRule>
    <cfRule type="cellIs" dxfId="414" priority="6" operator="greaterThan">
      <formula>0</formula>
    </cfRule>
  </conditionalFormatting>
  <conditionalFormatting sqref="R7:R16">
    <cfRule type="cellIs" dxfId="413" priority="3" operator="lessThanOrEqual">
      <formula>0</formula>
    </cfRule>
    <cfRule type="cellIs" dxfId="412" priority="4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U52"/>
  <sheetViews>
    <sheetView topLeftCell="A25" workbookViewId="0">
      <selection activeCell="B43" sqref="B43:D5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1" x14ac:dyDescent="0.2">
      <c r="B1" s="202"/>
      <c r="C1" t="s">
        <v>99</v>
      </c>
      <c r="D1">
        <f>C2+E2</f>
        <v>0.99999999999999789</v>
      </c>
    </row>
    <row r="2" spans="1:21" x14ac:dyDescent="0.2">
      <c r="A2" t="s">
        <v>40</v>
      </c>
      <c r="B2" s="201" t="s">
        <v>129</v>
      </c>
      <c r="C2" s="222">
        <f>Analysis!B30</f>
        <v>0.40367350754423914</v>
      </c>
      <c r="D2" s="199" t="s">
        <v>130</v>
      </c>
      <c r="E2" s="222">
        <f>Analysis!I30</f>
        <v>0.59632649245575875</v>
      </c>
      <c r="F2" s="199" t="s">
        <v>49</v>
      </c>
      <c r="G2" s="222">
        <f>Analysis!S30</f>
        <v>12.901858765822615</v>
      </c>
      <c r="H2" t="s">
        <v>163</v>
      </c>
      <c r="I2" s="238">
        <f>Analysis!T30</f>
        <v>31.721548769068761</v>
      </c>
      <c r="J2" t="s">
        <v>50</v>
      </c>
      <c r="K2" s="238">
        <f>C2*G2-E2*I2</f>
        <v>-13.708261330883062</v>
      </c>
      <c r="L2" t="s">
        <v>49</v>
      </c>
      <c r="M2" s="267">
        <v>2</v>
      </c>
    </row>
    <row r="3" spans="1:21" x14ac:dyDescent="0.2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3</v>
      </c>
    </row>
    <row r="4" spans="1:21" x14ac:dyDescent="0.2">
      <c r="A4" t="s">
        <v>127</v>
      </c>
      <c r="B4" s="202">
        <f>$C$2</f>
        <v>0.40367350754423914</v>
      </c>
      <c r="C4">
        <f>B4*$C$2</f>
        <v>0.1629523006930689</v>
      </c>
      <c r="D4">
        <f t="shared" ref="D4:K4" si="0">C4*$C$2</f>
        <v>6.5779526783174669E-2</v>
      </c>
      <c r="E4">
        <f t="shared" si="0"/>
        <v>2.6553452301164342E-2</v>
      </c>
      <c r="F4">
        <f t="shared" si="0"/>
        <v>1.0718925227819658E-2</v>
      </c>
      <c r="G4">
        <f t="shared" si="0"/>
        <v>4.3269461438183937E-3</v>
      </c>
      <c r="H4">
        <f t="shared" si="0"/>
        <v>1.7466735268301908E-3</v>
      </c>
      <c r="I4">
        <f t="shared" si="0"/>
        <v>7.0508582911020978E-4</v>
      </c>
      <c r="J4">
        <f t="shared" si="0"/>
        <v>2.846244697566564E-4</v>
      </c>
      <c r="K4">
        <f t="shared" si="0"/>
        <v>1.148953580395887E-4</v>
      </c>
    </row>
    <row r="5" spans="1:21" ht="17" thickBot="1" x14ac:dyDescent="0.25">
      <c r="A5" t="s">
        <v>128</v>
      </c>
      <c r="B5" s="202">
        <f>$E$2</f>
        <v>0.59632649245575875</v>
      </c>
      <c r="C5">
        <f>B5*$E$2</f>
        <v>0.35560528560458809</v>
      </c>
      <c r="D5">
        <f t="shared" ref="D5:K5" si="1">C5*$E$2</f>
        <v>0.21205685266331234</v>
      </c>
      <c r="E5">
        <f t="shared" si="1"/>
        <v>0.12645511914992066</v>
      </c>
      <c r="F5">
        <f t="shared" si="1"/>
        <v>7.5408537655747232E-2</v>
      </c>
      <c r="G5">
        <f t="shared" si="1"/>
        <v>4.4968108761469748E-2</v>
      </c>
      <c r="H5">
        <f t="shared" si="1"/>
        <v>2.6815674570096329E-2</v>
      </c>
      <c r="I5">
        <f t="shared" si="1"/>
        <v>1.599089715922063E-2</v>
      </c>
      <c r="J5">
        <f t="shared" si="1"/>
        <v>9.5357956141787943E-3</v>
      </c>
      <c r="K5">
        <f t="shared" si="1"/>
        <v>5.6864475513782485E-3</v>
      </c>
    </row>
    <row r="6" spans="1:21" ht="17" thickBot="1" x14ac:dyDescent="0.25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">
      <c r="A7" s="208">
        <v>1</v>
      </c>
      <c r="B7" s="114">
        <f>C7*B4</f>
        <v>0.40367350754423914</v>
      </c>
      <c r="C7" s="114">
        <v>1</v>
      </c>
      <c r="D7" s="212">
        <f>C7*B5</f>
        <v>0.59632649245575875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0.99999999999999789</v>
      </c>
      <c r="O7" s="114">
        <f>B7/(B7+D7)</f>
        <v>0.40367350754423997</v>
      </c>
      <c r="P7" s="129">
        <f>B7-D7</f>
        <v>-0.19265298491151961</v>
      </c>
      <c r="Q7" s="129">
        <f>($G$2*SUM(C7))*B7</f>
        <v>5.2081385818400037</v>
      </c>
      <c r="R7" s="58">
        <f>($I$2*SUM(C7))*D7*COUNT(D7:M7)</f>
        <v>18.916399912723065</v>
      </c>
      <c r="S7" s="58">
        <f>Q7-R7</f>
        <v>-13.708261330883062</v>
      </c>
      <c r="T7" s="129">
        <f>(S7+U7*D7)/B7</f>
        <v>-32.481534193794836</v>
      </c>
      <c r="U7" s="58">
        <f t="shared" ref="U7:U16" si="2">COUNT(D7:M7)</f>
        <v>1</v>
      </c>
    </row>
    <row r="8" spans="1:21" x14ac:dyDescent="0.2">
      <c r="A8" s="209">
        <v>2</v>
      </c>
      <c r="B8" s="116">
        <f>C8*B4</f>
        <v>0.53165386836388673</v>
      </c>
      <c r="C8" s="116">
        <f>1/(1-B4*B5)</f>
        <v>1.3170392865219722</v>
      </c>
      <c r="D8" s="194">
        <f>C8*B5</f>
        <v>0.78538541815808272</v>
      </c>
      <c r="E8" s="1">
        <f>D8*B5</f>
        <v>0.46834613163610883</v>
      </c>
      <c r="F8" s="1"/>
      <c r="G8" s="1"/>
      <c r="H8" s="1"/>
      <c r="I8" s="1"/>
      <c r="J8" s="1"/>
      <c r="K8" s="1"/>
      <c r="L8" s="1"/>
      <c r="M8" s="9"/>
      <c r="N8">
        <f>B8+E8</f>
        <v>0.99999999999999556</v>
      </c>
      <c r="O8" s="116">
        <f>B8/(B8+E8)</f>
        <v>0.53165386836388906</v>
      </c>
      <c r="P8" s="112">
        <f>B8-E8</f>
        <v>6.3307736727777897E-2</v>
      </c>
      <c r="Q8" s="112">
        <f>($G$2*SUM(C8:D8))*B8</f>
        <v>14.421210388937402</v>
      </c>
      <c r="R8" s="9">
        <f>($I$2*SUM(C8:D8))*E8*COUNT(D8:M8)</f>
        <v>62.470037601738383</v>
      </c>
      <c r="S8" s="9">
        <f t="shared" ref="S8:S16" si="3">Q8-R8</f>
        <v>-48.04882721280098</v>
      </c>
      <c r="T8" s="112">
        <f>(S8+U8*E8)/B8</f>
        <v>-88.614299176476962</v>
      </c>
      <c r="U8" s="9">
        <f t="shared" si="2"/>
        <v>2</v>
      </c>
    </row>
    <row r="9" spans="1:21" x14ac:dyDescent="0.2">
      <c r="A9" s="209">
        <v>3</v>
      </c>
      <c r="B9" s="116">
        <f>C9*B4</f>
        <v>0.59106402400293578</v>
      </c>
      <c r="C9" s="216">
        <f>1/(1-B5*B4/(1-B5*B4))</f>
        <v>1.4642130656497447</v>
      </c>
      <c r="D9" s="217">
        <f>C9*B5*C8</f>
        <v>1.1499715908378529</v>
      </c>
      <c r="E9" s="218">
        <f>D9*(B5)</f>
        <v>0.68575852518810576</v>
      </c>
      <c r="F9" s="218">
        <f>E9*B5</f>
        <v>0.40893597599705722</v>
      </c>
      <c r="G9" s="218"/>
      <c r="H9" s="218"/>
      <c r="I9" s="218"/>
      <c r="J9" s="218"/>
      <c r="K9" s="218"/>
      <c r="L9" s="218"/>
      <c r="M9" s="219"/>
      <c r="N9">
        <f>B9+F9</f>
        <v>0.99999999999999301</v>
      </c>
      <c r="O9" s="116">
        <f>B9/(B9+F9)</f>
        <v>0.59106402400293989</v>
      </c>
      <c r="P9" s="112">
        <f>B9-F9</f>
        <v>0.18212804800587856</v>
      </c>
      <c r="Q9" s="112">
        <f>($G$2*SUM(C9:E9))*B9</f>
        <v>25.164787758934562</v>
      </c>
      <c r="R9" s="9">
        <f>($I$2*SUM(C9:E9))*F9*COUNT(D9:M9)</f>
        <v>128.42140565360017</v>
      </c>
      <c r="S9" s="9">
        <f t="shared" si="3"/>
        <v>-103.25661789466561</v>
      </c>
      <c r="T9" s="112">
        <f>(S9+U9*F9)/B9</f>
        <v>-172.62057209248732</v>
      </c>
      <c r="U9" s="9">
        <f t="shared" si="2"/>
        <v>3</v>
      </c>
    </row>
    <row r="10" spans="1:21" x14ac:dyDescent="0.2">
      <c r="A10" s="209">
        <v>4</v>
      </c>
      <c r="B10" s="116">
        <f>C10*B4</f>
        <v>0.62340234780790171</v>
      </c>
      <c r="C10" s="116">
        <f>1/(1-B5*B4/(1-B5*B4/(1-B5*B4)))</f>
        <v>1.5443231625488383</v>
      </c>
      <c r="D10" s="194">
        <f>C10*B5*C9</f>
        <v>1.3484242893724827</v>
      </c>
      <c r="E10" s="1">
        <f>D10*B5*C8</f>
        <v>1.059032774363323</v>
      </c>
      <c r="F10" s="1">
        <f>E10*B5</f>
        <v>0.63152929973177141</v>
      </c>
      <c r="G10" s="1">
        <f>F10*B5</f>
        <v>0.37659765219208879</v>
      </c>
      <c r="H10" s="1"/>
      <c r="I10" s="1"/>
      <c r="J10" s="1"/>
      <c r="K10" s="1"/>
      <c r="L10" s="1"/>
      <c r="M10" s="9"/>
      <c r="N10">
        <f>B10+G10</f>
        <v>0.99999999999999045</v>
      </c>
      <c r="O10" s="116">
        <f>B10/(B10+G10)</f>
        <v>0.62340234780790771</v>
      </c>
      <c r="P10" s="112">
        <f>B10-G10</f>
        <v>0.24680469561581292</v>
      </c>
      <c r="Q10" s="112">
        <f>($G$2*SUM(C10:F10))*B10</f>
        <v>36.863783309373019</v>
      </c>
      <c r="R10" s="9">
        <f>($I$2*SUM(C10:F10))*G10*COUNT(D10:M10)</f>
        <v>219.01364352234941</v>
      </c>
      <c r="S10" s="9">
        <f t="shared" si="3"/>
        <v>-182.14986021297639</v>
      </c>
      <c r="T10" s="112">
        <f>(S10+U10*G10)/B10</f>
        <v>-289.77027475018815</v>
      </c>
      <c r="U10" s="9">
        <f t="shared" si="2"/>
        <v>4</v>
      </c>
    </row>
    <row r="11" spans="1:21" x14ac:dyDescent="0.2">
      <c r="A11" s="209">
        <v>5</v>
      </c>
      <c r="B11" s="116">
        <f>C11*B4</f>
        <v>0.64253778850108711</v>
      </c>
      <c r="C11" s="116">
        <f>1/(1-B5*B4/(1-B5*B4/(1-B5*B4/(1-B5*B4))))</f>
        <v>1.5917264236882587</v>
      </c>
      <c r="D11" s="194">
        <f>C11*B5*C10</f>
        <v>1.4658539949476632</v>
      </c>
      <c r="E11" s="1">
        <f>D11*B5*C9</f>
        <v>1.279909010882694</v>
      </c>
      <c r="F11" s="1">
        <f>E11*B5*C8</f>
        <v>1.0052218737164027</v>
      </c>
      <c r="G11" s="1">
        <f>F11*B5</f>
        <v>0.5994404340931081</v>
      </c>
      <c r="H11" s="1">
        <f>G11*B5</f>
        <v>0.35746221149890056</v>
      </c>
      <c r="I11" s="1"/>
      <c r="J11" s="1"/>
      <c r="K11" s="1"/>
      <c r="L11" s="1"/>
      <c r="M11" s="9"/>
      <c r="N11">
        <f>B11+H11</f>
        <v>0.99999999999998768</v>
      </c>
      <c r="O11" s="116">
        <f>B11/(B11+H11)</f>
        <v>0.642537788501095</v>
      </c>
      <c r="P11" s="112">
        <f>B11-H11</f>
        <v>0.28507557700218655</v>
      </c>
      <c r="Q11" s="112">
        <f>($G$2*SUM(C11:G11))*B11</f>
        <v>49.260032641432879</v>
      </c>
      <c r="R11" s="9">
        <f>($I$2*SUM(C11:G11))*H11*COUNT(D11:M11)</f>
        <v>336.8978682533139</v>
      </c>
      <c r="S11" s="9">
        <f t="shared" si="3"/>
        <v>-287.63783561188103</v>
      </c>
      <c r="T11" s="112">
        <f>(S11+U11*H11)/B11</f>
        <v>-444.87737479412527</v>
      </c>
      <c r="U11" s="9">
        <f t="shared" si="2"/>
        <v>5</v>
      </c>
    </row>
    <row r="12" spans="1:21" x14ac:dyDescent="0.2">
      <c r="A12" s="209">
        <v>6</v>
      </c>
      <c r="B12" s="116">
        <f>C12*B4</f>
        <v>0.65442418851188378</v>
      </c>
      <c r="C12" s="116">
        <f>1/(1-B5*B4/(1-B5*B4/(1-B5*B4/(1-B5*B4/(1-B5*B4)))))</f>
        <v>1.621172002327065</v>
      </c>
      <c r="D12" s="194">
        <f>C12*B5*C11</f>
        <v>1.5387980402924755</v>
      </c>
      <c r="E12" s="1">
        <f>D12*B5*C10</f>
        <v>1.4171111449878979</v>
      </c>
      <c r="F12" s="1">
        <f>E12*B5*C9</f>
        <v>1.237349238153191</v>
      </c>
      <c r="G12" s="1">
        <f>F12*B5*C8</f>
        <v>0.97179604881452908</v>
      </c>
      <c r="H12" s="1">
        <f>G12*B5</f>
        <v>0.57950772917193338</v>
      </c>
      <c r="I12" s="1">
        <f>H12*B5</f>
        <v>0.34557581148810079</v>
      </c>
      <c r="J12" s="1"/>
      <c r="K12" s="1"/>
      <c r="L12" s="1"/>
      <c r="M12" s="9"/>
      <c r="N12">
        <f>B12+I12</f>
        <v>0.99999999999998457</v>
      </c>
      <c r="O12" s="116">
        <f>B12/(B12+I12)</f>
        <v>0.65442418851189388</v>
      </c>
      <c r="P12" s="112">
        <f>B12-I12</f>
        <v>0.30884837702378298</v>
      </c>
      <c r="Q12" s="112">
        <f>($G$2*SUM(C12:H12))*B12</f>
        <v>62.191018551237072</v>
      </c>
      <c r="R12" s="9">
        <f>($I$2*SUM(C12:H12))*I12*COUNT(D12:M12)</f>
        <v>484.46790705297519</v>
      </c>
      <c r="S12" s="9">
        <f t="shared" si="3"/>
        <v>-422.27688850173814</v>
      </c>
      <c r="T12" s="112">
        <f>(S12+U12*I12)/B12</f>
        <v>-642.09642768297374</v>
      </c>
      <c r="U12" s="9">
        <f t="shared" si="2"/>
        <v>6</v>
      </c>
    </row>
    <row r="13" spans="1:21" x14ac:dyDescent="0.2">
      <c r="A13" s="209">
        <v>7</v>
      </c>
      <c r="B13" s="116">
        <f>C13*B4</f>
        <v>0.66203169483266455</v>
      </c>
      <c r="C13" s="216">
        <f>1/(1-B5*B4/(1-B5*B4/(1-B5*B4/(1-B5*B4/(1-B5*B4/(1-B5*B4))))))</f>
        <v>1.6400176936558355</v>
      </c>
      <c r="D13" s="217">
        <f>C13*B5*C12</f>
        <v>1.585483519959989</v>
      </c>
      <c r="E13" s="218">
        <f>D13*B5*C11</f>
        <v>1.5049229384225693</v>
      </c>
      <c r="F13" s="218">
        <f>E13*B5*C10</f>
        <v>1.3859148585744319</v>
      </c>
      <c r="G13" s="218">
        <f>F13*B5*C9</f>
        <v>1.2101102305683338</v>
      </c>
      <c r="H13" s="218">
        <f>G13*B5*C8</f>
        <v>0.95040292945228477</v>
      </c>
      <c r="I13" s="218">
        <f>H13*B5</f>
        <v>0.56675044533995889</v>
      </c>
      <c r="J13" s="218">
        <f>I13*B5</f>
        <v>0.33796830516731691</v>
      </c>
      <c r="K13" s="218"/>
      <c r="L13" s="218"/>
      <c r="M13" s="219"/>
      <c r="N13">
        <f>B13+J13</f>
        <v>0.99999999999998146</v>
      </c>
      <c r="O13" s="116">
        <f>B13/(B13+J13)</f>
        <v>0.66203169483267688</v>
      </c>
      <c r="P13" s="112">
        <f>B13-J13</f>
        <v>0.32406338966534765</v>
      </c>
      <c r="Q13" s="112">
        <f>($G$2*SUM(C13:I13))*B13</f>
        <v>75.537096045135456</v>
      </c>
      <c r="R13" s="9">
        <f>($I$2*SUM(C13:I13))*J13*COUNT(D13:M13)</f>
        <v>663.67829771263814</v>
      </c>
      <c r="S13" s="9">
        <f t="shared" si="3"/>
        <v>-588.14120166750263</v>
      </c>
      <c r="T13" s="112">
        <f>(S13+U13*J13)/B13</f>
        <v>-884.81477262110889</v>
      </c>
      <c r="U13" s="9">
        <f t="shared" si="2"/>
        <v>7</v>
      </c>
    </row>
    <row r="14" spans="1:21" x14ac:dyDescent="0.2">
      <c r="A14" s="209">
        <v>8</v>
      </c>
      <c r="B14" s="116">
        <f>C14*B4</f>
        <v>0.66699415446502586</v>
      </c>
      <c r="C14" s="116">
        <f>1/(1-B5*B4/(1-B5*B4/(1-B5*B4/(1-B5*B4/(1-B5*B4/(1-B5*B4/(1-B5*B4)))))))</f>
        <v>1.6523109443636923</v>
      </c>
      <c r="D14" s="194">
        <f>C14*B5*C13</f>
        <v>1.6159369692899768</v>
      </c>
      <c r="E14" s="1">
        <f>D14*B5*C12</f>
        <v>1.5622035323242094</v>
      </c>
      <c r="F14" s="1">
        <f>E14*B5*C11</f>
        <v>1.4828258387313895</v>
      </c>
      <c r="G14" s="1">
        <f>F14*B5*C10</f>
        <v>1.3655651795234189</v>
      </c>
      <c r="H14" s="1">
        <f>G14*B5*C9</f>
        <v>1.1923419278071217</v>
      </c>
      <c r="I14" s="1">
        <f>H14*B5*C8</f>
        <v>0.93644796355821081</v>
      </c>
      <c r="J14" s="1">
        <f>I14*B5</f>
        <v>0.55842872947600608</v>
      </c>
      <c r="K14" s="1">
        <f>J14*B5</f>
        <v>0.33300584553495249</v>
      </c>
      <c r="L14" s="1"/>
      <c r="M14" s="9"/>
      <c r="N14">
        <f>B14+K14</f>
        <v>0.99999999999997835</v>
      </c>
      <c r="O14" s="116">
        <f>B14/(B14+K14)</f>
        <v>0.66699415446504029</v>
      </c>
      <c r="P14" s="112">
        <f>B14-K14</f>
        <v>0.33398830893007336</v>
      </c>
      <c r="Q14" s="112">
        <f>($G$2*SUM(C14:J14))*B14</f>
        <v>89.204769413343499</v>
      </c>
      <c r="R14" s="9">
        <f>($I$2*SUM(C14:J14))*K14*COUNT(D14:M14)</f>
        <v>876.01187002457823</v>
      </c>
      <c r="S14" s="9">
        <f t="shared" si="3"/>
        <v>-786.80710061123477</v>
      </c>
      <c r="T14" s="112">
        <f>(S14+U14*K14)/B14</f>
        <v>-1175.6370705765639</v>
      </c>
      <c r="U14" s="9">
        <f t="shared" si="2"/>
        <v>8</v>
      </c>
    </row>
    <row r="15" spans="1:21" x14ac:dyDescent="0.2">
      <c r="A15" s="209">
        <v>9</v>
      </c>
      <c r="B15" s="116">
        <f>C15*B4</f>
        <v>0.67027151055424183</v>
      </c>
      <c r="C15" s="116">
        <f>1/(1-B5*B4/(1-B5*B4/(1-B5*B4/(1-B5*B4/(1-B5*B4/(1-B5*B4/(1-B5*B4/(1-B5*B4))))))))</f>
        <v>1.6604297731398334</v>
      </c>
      <c r="D15" s="194">
        <f>C15*B5*C14</f>
        <v>1.6360493339223059</v>
      </c>
      <c r="E15" s="1">
        <f>D15*B5*C13</f>
        <v>1.6000333419599841</v>
      </c>
      <c r="F15" s="1">
        <f>E15*B5*C12</f>
        <v>1.5468287353712076</v>
      </c>
      <c r="G15" s="1">
        <f>F15*B5*C11</f>
        <v>1.4682322561952899</v>
      </c>
      <c r="H15" s="1">
        <f>G15*B5*C10</f>
        <v>1.3521256456042849</v>
      </c>
      <c r="I15" s="1">
        <f>H15*B5*C9</f>
        <v>1.18060721164545</v>
      </c>
      <c r="J15" s="1">
        <f>I15*B5*C8</f>
        <v>0.92723168859860994</v>
      </c>
      <c r="K15" s="1">
        <f>J15*B5</f>
        <v>0.55293282055583937</v>
      </c>
      <c r="L15" s="1">
        <f>K15*B5</f>
        <v>0.32972848944573313</v>
      </c>
      <c r="M15" s="9"/>
      <c r="N15">
        <f>B15+L15</f>
        <v>0.99999999999997491</v>
      </c>
      <c r="O15" s="116">
        <f>B15/(B15+L15)</f>
        <v>0.6702715105542586</v>
      </c>
      <c r="P15" s="112">
        <f>B15-L15</f>
        <v>0.3405430211085087</v>
      </c>
      <c r="Q15" s="112">
        <f>($G$2*SUM(C15:K15))*B15</f>
        <v>103.11982291184835</v>
      </c>
      <c r="R15" s="9">
        <f>($I$2*SUM(C15:K15))*L15*COUNT(D15:M15)</f>
        <v>1122.5158454859522</v>
      </c>
      <c r="S15" s="9">
        <f t="shared" si="3"/>
        <v>-1019.3960225741039</v>
      </c>
      <c r="T15" s="112">
        <f>(S15+U15*L15)/B15</f>
        <v>-1516.4428894323976</v>
      </c>
      <c r="U15" s="9">
        <f t="shared" si="2"/>
        <v>9</v>
      </c>
    </row>
    <row r="16" spans="1:21" ht="17" thickBot="1" x14ac:dyDescent="0.25">
      <c r="A16" s="210">
        <v>10</v>
      </c>
      <c r="B16" s="195">
        <f>C16*B4</f>
        <v>0.67245369084084683</v>
      </c>
      <c r="C16" s="195">
        <f>1/(1-B5*B4/(1-B5*B4/(1-B5*B4/(1-B5*B4/(1-B5*B4/(1-B5*B4/(1-B5*B4/(1-B5*B4/(1-B5*B4)))))))))</f>
        <v>1.6658355781922392</v>
      </c>
      <c r="D16" s="213">
        <f>C16*B5*C15</f>
        <v>1.6494408618560861</v>
      </c>
      <c r="E16" s="131">
        <f>D16*B5*C14</f>
        <v>1.6252217751317226</v>
      </c>
      <c r="F16" s="131">
        <f>E16*B5*C13</f>
        <v>1.5894441410613589</v>
      </c>
      <c r="G16" s="131">
        <f>F16*B5*C12</f>
        <v>1.536591648552412</v>
      </c>
      <c r="H16" s="131">
        <f>G16*B5*C11</f>
        <v>1.4585153297294648</v>
      </c>
      <c r="I16" s="131">
        <f>H16*B5*C10</f>
        <v>1.3431771257665999</v>
      </c>
      <c r="J16" s="131">
        <f>I16*B5*C9</f>
        <v>1.1727938201250179</v>
      </c>
      <c r="K16" s="131">
        <f>J16*B5*C8</f>
        <v>0.92109516483210241</v>
      </c>
      <c r="L16" s="131">
        <f>K16*B5</f>
        <v>0.54927344886228657</v>
      </c>
      <c r="M16" s="10">
        <f>L16*B5</f>
        <v>0.32754630915912492</v>
      </c>
      <c r="N16">
        <f>B16+M16</f>
        <v>0.9999999999999718</v>
      </c>
      <c r="O16" s="195">
        <f>B16/(B16+M16)</f>
        <v>0.67245369084086581</v>
      </c>
      <c r="P16" s="113">
        <f>B16-M16</f>
        <v>0.34490738168172191</v>
      </c>
      <c r="Q16" s="113">
        <f>($G$2*SUM(C16:L16))*B16</f>
        <v>117.22349330349059</v>
      </c>
      <c r="R16" s="10">
        <f>($I$2*SUM(C16:L16))*M16*COUNT(D16:M16)</f>
        <v>1403.8706272725256</v>
      </c>
      <c r="S16" s="10">
        <f t="shared" si="3"/>
        <v>-1286.6471339690349</v>
      </c>
      <c r="T16" s="113">
        <f>(S16+U16*M16)/B16</f>
        <v>-1908.4907828711523</v>
      </c>
      <c r="U16" s="10">
        <f t="shared" si="2"/>
        <v>10</v>
      </c>
    </row>
    <row r="17" spans="1:8" ht="17" thickBot="1" x14ac:dyDescent="0.25"/>
    <row r="18" spans="1:8" ht="17" thickBot="1" x14ac:dyDescent="0.25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">
      <c r="A19" s="264">
        <v>1</v>
      </c>
      <c r="B19" s="146">
        <v>1</v>
      </c>
      <c r="C19" s="150">
        <f>B19*$M$3</f>
        <v>3</v>
      </c>
      <c r="D19" s="151">
        <f>SUM($C$19:C19)</f>
        <v>3</v>
      </c>
      <c r="E19" s="9">
        <f>B19/P7</f>
        <v>-5.1906800222133773</v>
      </c>
      <c r="F19" s="9">
        <f>D19/P7</f>
        <v>-15.572040066640131</v>
      </c>
      <c r="G19" s="28">
        <f>S7/E19</f>
        <v>2.6409374633417819</v>
      </c>
      <c r="H19" s="8">
        <f>S7/F19</f>
        <v>0.88031248778059412</v>
      </c>
    </row>
    <row r="20" spans="1:8" x14ac:dyDescent="0.2">
      <c r="A20" s="265">
        <v>2</v>
      </c>
      <c r="B20" s="141">
        <f>B19*($M$3+1)</f>
        <v>4</v>
      </c>
      <c r="C20" s="140">
        <f>B20*$M$3</f>
        <v>12</v>
      </c>
      <c r="D20" s="142">
        <f>SUM($C$19:C20)</f>
        <v>15</v>
      </c>
      <c r="E20" s="9">
        <f t="shared" ref="E20:E28" si="4">B20/P8</f>
        <v>63.183430758233015</v>
      </c>
      <c r="F20" s="9">
        <f t="shared" ref="F20:F28" si="5">D20/P8</f>
        <v>236.9378653433738</v>
      </c>
      <c r="G20" s="112">
        <f t="shared" ref="G20:G28" si="6">S8/E20</f>
        <v>-0.76046562581662369</v>
      </c>
      <c r="H20" s="9">
        <f t="shared" ref="H20:H28" si="7">S8/F20</f>
        <v>-0.20279083355109964</v>
      </c>
    </row>
    <row r="21" spans="1:8" x14ac:dyDescent="0.2">
      <c r="A21" s="265">
        <v>3</v>
      </c>
      <c r="B21" s="141">
        <f t="shared" ref="B21:B28" si="8">B20*($M$3+1)</f>
        <v>16</v>
      </c>
      <c r="C21" s="140">
        <f t="shared" ref="C21:C28" si="9">B21*$M$3</f>
        <v>48</v>
      </c>
      <c r="D21" s="142">
        <f>SUM($C$19:C21)</f>
        <v>63</v>
      </c>
      <c r="E21" s="9">
        <f t="shared" si="4"/>
        <v>87.850279927688931</v>
      </c>
      <c r="F21" s="9">
        <f t="shared" si="5"/>
        <v>345.91047721527519</v>
      </c>
      <c r="G21" s="112">
        <f t="shared" si="6"/>
        <v>-1.17537039130277</v>
      </c>
      <c r="H21" s="9">
        <f t="shared" si="7"/>
        <v>-0.29850676604514786</v>
      </c>
    </row>
    <row r="22" spans="1:8" x14ac:dyDescent="0.2">
      <c r="A22" s="265">
        <v>4</v>
      </c>
      <c r="B22" s="141">
        <f t="shared" si="8"/>
        <v>64</v>
      </c>
      <c r="C22" s="140">
        <f t="shared" si="9"/>
        <v>192</v>
      </c>
      <c r="D22" s="142">
        <f>SUM($C$19:C22)</f>
        <v>255</v>
      </c>
      <c r="E22" s="9">
        <f t="shared" si="4"/>
        <v>259.31435315811507</v>
      </c>
      <c r="F22" s="9">
        <f t="shared" si="5"/>
        <v>1033.2056258643647</v>
      </c>
      <c r="G22" s="112">
        <f t="shared" si="6"/>
        <v>-0.70242876259885167</v>
      </c>
      <c r="H22" s="9">
        <f t="shared" si="7"/>
        <v>-0.17629584629931963</v>
      </c>
    </row>
    <row r="23" spans="1:8" x14ac:dyDescent="0.2">
      <c r="A23" s="265">
        <v>5</v>
      </c>
      <c r="B23" s="141">
        <f t="shared" si="8"/>
        <v>256</v>
      </c>
      <c r="C23" s="140">
        <f t="shared" si="9"/>
        <v>768</v>
      </c>
      <c r="D23" s="142">
        <f>SUM($C$19:C23)</f>
        <v>1023</v>
      </c>
      <c r="E23" s="9">
        <f t="shared" si="4"/>
        <v>898.00747819949675</v>
      </c>
      <c r="F23" s="9">
        <f t="shared" si="5"/>
        <v>3588.5220710862704</v>
      </c>
      <c r="G23" s="112">
        <f t="shared" si="6"/>
        <v>-0.32030672638561353</v>
      </c>
      <c r="H23" s="9">
        <f t="shared" si="7"/>
        <v>-8.0154957922499576E-2</v>
      </c>
    </row>
    <row r="24" spans="1:8" x14ac:dyDescent="0.2">
      <c r="A24" s="265">
        <v>6</v>
      </c>
      <c r="B24" s="141">
        <f t="shared" si="8"/>
        <v>1024</v>
      </c>
      <c r="C24" s="140">
        <f t="shared" si="9"/>
        <v>3072</v>
      </c>
      <c r="D24" s="142">
        <f>SUM($C$19:C24)</f>
        <v>4095</v>
      </c>
      <c r="E24" s="9">
        <f t="shared" si="4"/>
        <v>3315.5427587730096</v>
      </c>
      <c r="F24" s="9">
        <f t="shared" si="5"/>
        <v>13258.933200366673</v>
      </c>
      <c r="G24" s="112">
        <f t="shared" si="6"/>
        <v>-0.12736282389493631</v>
      </c>
      <c r="H24" s="9">
        <f t="shared" si="7"/>
        <v>-3.1848481481908372E-2</v>
      </c>
    </row>
    <row r="25" spans="1:8" x14ac:dyDescent="0.2">
      <c r="A25" s="265">
        <v>7</v>
      </c>
      <c r="B25" s="141">
        <f t="shared" si="8"/>
        <v>4096</v>
      </c>
      <c r="C25" s="140">
        <f t="shared" si="9"/>
        <v>12288</v>
      </c>
      <c r="D25" s="142">
        <f>SUM($C$19:C25)</f>
        <v>16383</v>
      </c>
      <c r="E25" s="9">
        <f t="shared" si="4"/>
        <v>12639.502426453784</v>
      </c>
      <c r="F25" s="9">
        <f t="shared" si="5"/>
        <v>50554.923889793055</v>
      </c>
      <c r="G25" s="112">
        <f t="shared" si="6"/>
        <v>-4.6531990091362725E-2</v>
      </c>
      <c r="H25" s="9">
        <f t="shared" si="7"/>
        <v>-1.1633707588001082E-2</v>
      </c>
    </row>
    <row r="26" spans="1:8" x14ac:dyDescent="0.2">
      <c r="A26" s="265">
        <v>8</v>
      </c>
      <c r="B26" s="141">
        <f t="shared" si="8"/>
        <v>16384</v>
      </c>
      <c r="C26" s="140">
        <f t="shared" si="9"/>
        <v>49152</v>
      </c>
      <c r="D26" s="142">
        <f>SUM($C$19:C26)</f>
        <v>65535</v>
      </c>
      <c r="E26" s="9">
        <f t="shared" si="4"/>
        <v>49055.609319038449</v>
      </c>
      <c r="F26" s="9">
        <f t="shared" si="5"/>
        <v>196219.44315937409</v>
      </c>
      <c r="G26" s="112">
        <f t="shared" si="6"/>
        <v>-1.603908526533938E-2</v>
      </c>
      <c r="H26" s="9">
        <f t="shared" si="7"/>
        <v>-4.0098325015231612E-3</v>
      </c>
    </row>
    <row r="27" spans="1:8" x14ac:dyDescent="0.2">
      <c r="A27" s="265">
        <v>9</v>
      </c>
      <c r="B27" s="141">
        <f t="shared" si="8"/>
        <v>65536</v>
      </c>
      <c r="C27" s="140">
        <f t="shared" si="9"/>
        <v>196608</v>
      </c>
      <c r="D27" s="142">
        <f>SUM($C$19:C27)</f>
        <v>262143</v>
      </c>
      <c r="E27" s="9">
        <f t="shared" si="4"/>
        <v>192445.58231342517</v>
      </c>
      <c r="F27" s="9">
        <f t="shared" si="5"/>
        <v>769779.39276715415</v>
      </c>
      <c r="G27" s="112">
        <f t="shared" si="6"/>
        <v>-5.2970611760464921E-3</v>
      </c>
      <c r="H27" s="9">
        <f t="shared" si="7"/>
        <v>-1.3242703457020896E-3</v>
      </c>
    </row>
    <row r="28" spans="1:8" ht="17" thickBot="1" x14ac:dyDescent="0.25">
      <c r="A28" s="266">
        <v>10</v>
      </c>
      <c r="B28" s="143">
        <f t="shared" si="8"/>
        <v>262144</v>
      </c>
      <c r="C28" s="144">
        <f t="shared" si="9"/>
        <v>786432</v>
      </c>
      <c r="D28" s="145">
        <f>SUM($C$19:C28)</f>
        <v>1048575</v>
      </c>
      <c r="E28" s="9">
        <f t="shared" si="4"/>
        <v>760041.72111893108</v>
      </c>
      <c r="F28" s="9">
        <f t="shared" si="5"/>
        <v>3040163.9851466487</v>
      </c>
      <c r="G28" s="113">
        <f t="shared" si="6"/>
        <v>-1.6928638234159528E-3</v>
      </c>
      <c r="H28" s="10">
        <f t="shared" si="7"/>
        <v>-4.2321635946456052E-4</v>
      </c>
    </row>
    <row r="29" spans="1:8" ht="17" thickBot="1" x14ac:dyDescent="0.25"/>
    <row r="30" spans="1:8" ht="17" thickBot="1" x14ac:dyDescent="0.25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">
      <c r="A31" s="264">
        <v>1</v>
      </c>
      <c r="B31" s="146">
        <v>1</v>
      </c>
      <c r="C31" s="150">
        <f>B31*$M$3</f>
        <v>3</v>
      </c>
      <c r="D31" s="151">
        <f>SUM($C$31:C31)</f>
        <v>3</v>
      </c>
      <c r="E31" s="129">
        <f>B31/P7</f>
        <v>-5.1906800222133773</v>
      </c>
      <c r="F31" s="58">
        <f>D31/P7</f>
        <v>-15.572040066640131</v>
      </c>
      <c r="G31" s="28">
        <f>S7/E31</f>
        <v>2.6409374633417819</v>
      </c>
      <c r="H31" s="8">
        <f>S7/F31</f>
        <v>0.88031248778059412</v>
      </c>
    </row>
    <row r="32" spans="1:8" x14ac:dyDescent="0.2">
      <c r="A32" s="265">
        <v>2</v>
      </c>
      <c r="B32" s="141">
        <f>C31</f>
        <v>3</v>
      </c>
      <c r="C32" s="140">
        <f>B32*$M$3</f>
        <v>9</v>
      </c>
      <c r="D32" s="142">
        <f>SUM($C$31:C32)</f>
        <v>12</v>
      </c>
      <c r="E32" s="112">
        <f t="shared" ref="E32:E40" si="10">B32/P8</f>
        <v>47.387573068674762</v>
      </c>
      <c r="F32" s="9">
        <f t="shared" ref="F32:F40" si="11">D32/P8</f>
        <v>189.55029227469905</v>
      </c>
      <c r="G32" s="112">
        <f t="shared" ref="G32:G40" si="12">S8/E32</f>
        <v>-1.0139541677554982</v>
      </c>
      <c r="H32" s="9">
        <f t="shared" ref="H32:H40" si="13">S8/F32</f>
        <v>-0.25348854193887455</v>
      </c>
    </row>
    <row r="33" spans="1:8" x14ac:dyDescent="0.2">
      <c r="A33" s="265">
        <v>3</v>
      </c>
      <c r="B33" s="141">
        <f t="shared" ref="B33:B40" si="14">C32</f>
        <v>9</v>
      </c>
      <c r="C33" s="140">
        <f t="shared" ref="C33:C40" si="15">B33*$M$3</f>
        <v>27</v>
      </c>
      <c r="D33" s="142">
        <f>SUM($C$31:C33)</f>
        <v>39</v>
      </c>
      <c r="E33" s="112">
        <f t="shared" si="10"/>
        <v>49.415782459325023</v>
      </c>
      <c r="F33" s="9">
        <f t="shared" si="11"/>
        <v>214.13505732374176</v>
      </c>
      <c r="G33" s="112">
        <f t="shared" si="12"/>
        <v>-2.0895473623160354</v>
      </c>
      <c r="H33" s="9">
        <f t="shared" si="13"/>
        <v>-0.48220323745754662</v>
      </c>
    </row>
    <row r="34" spans="1:8" x14ac:dyDescent="0.2">
      <c r="A34" s="265">
        <v>4</v>
      </c>
      <c r="B34" s="141">
        <f t="shared" si="14"/>
        <v>27</v>
      </c>
      <c r="C34" s="140">
        <f t="shared" si="15"/>
        <v>81</v>
      </c>
      <c r="D34" s="142">
        <f>SUM($C$31:C34)</f>
        <v>120</v>
      </c>
      <c r="E34" s="112">
        <f t="shared" si="10"/>
        <v>109.39824273857978</v>
      </c>
      <c r="F34" s="9">
        <f t="shared" si="11"/>
        <v>486.21441217146571</v>
      </c>
      <c r="G34" s="112">
        <f t="shared" si="12"/>
        <v>-1.6650163261602411</v>
      </c>
      <c r="H34" s="9">
        <f t="shared" si="13"/>
        <v>-0.37462867338605427</v>
      </c>
    </row>
    <row r="35" spans="1:8" x14ac:dyDescent="0.2">
      <c r="A35" s="265">
        <v>5</v>
      </c>
      <c r="B35" s="141">
        <f t="shared" si="14"/>
        <v>81</v>
      </c>
      <c r="C35" s="140">
        <f t="shared" si="15"/>
        <v>243</v>
      </c>
      <c r="D35" s="142">
        <f>SUM($C$31:C35)</f>
        <v>363</v>
      </c>
      <c r="E35" s="112">
        <f t="shared" si="10"/>
        <v>284.13517864905953</v>
      </c>
      <c r="F35" s="9">
        <f t="shared" si="11"/>
        <v>1273.3465413531926</v>
      </c>
      <c r="G35" s="112">
        <f t="shared" si="12"/>
        <v>-1.0123274315397168</v>
      </c>
      <c r="H35" s="9">
        <f t="shared" si="13"/>
        <v>-0.22589124505431701</v>
      </c>
    </row>
    <row r="36" spans="1:8" x14ac:dyDescent="0.2">
      <c r="A36" s="265">
        <v>6</v>
      </c>
      <c r="B36" s="141">
        <f t="shared" si="14"/>
        <v>243</v>
      </c>
      <c r="C36" s="140">
        <f t="shared" si="15"/>
        <v>729</v>
      </c>
      <c r="D36" s="142">
        <f>SUM($C$31:C36)</f>
        <v>1092</v>
      </c>
      <c r="E36" s="112">
        <f t="shared" si="10"/>
        <v>786.79383826351693</v>
      </c>
      <c r="F36" s="9">
        <f t="shared" si="11"/>
        <v>3535.7155200977795</v>
      </c>
      <c r="G36" s="112">
        <f t="shared" si="12"/>
        <v>-0.53670589163956706</v>
      </c>
      <c r="H36" s="9">
        <f t="shared" si="13"/>
        <v>-0.11943180555715641</v>
      </c>
    </row>
    <row r="37" spans="1:8" x14ac:dyDescent="0.2">
      <c r="A37" s="265">
        <v>7</v>
      </c>
      <c r="B37" s="141">
        <f t="shared" si="14"/>
        <v>729</v>
      </c>
      <c r="C37" s="140">
        <f t="shared" si="15"/>
        <v>2187</v>
      </c>
      <c r="D37" s="142">
        <f>SUM($C$31:C37)</f>
        <v>3279</v>
      </c>
      <c r="E37" s="112">
        <f t="shared" si="10"/>
        <v>2249.5598800988305</v>
      </c>
      <c r="F37" s="9">
        <f t="shared" si="11"/>
        <v>10118.390736411611</v>
      </c>
      <c r="G37" s="112">
        <f t="shared" si="12"/>
        <v>-0.26144723102088024</v>
      </c>
      <c r="H37" s="9">
        <f t="shared" si="13"/>
        <v>-5.8125962614889212E-2</v>
      </c>
    </row>
    <row r="38" spans="1:8" x14ac:dyDescent="0.2">
      <c r="A38" s="265">
        <v>8</v>
      </c>
      <c r="B38" s="141">
        <f t="shared" si="14"/>
        <v>2187</v>
      </c>
      <c r="C38" s="140">
        <f t="shared" si="15"/>
        <v>6561</v>
      </c>
      <c r="D38" s="142">
        <f>SUM($C$31:C38)</f>
        <v>9840</v>
      </c>
      <c r="E38" s="112">
        <f t="shared" si="10"/>
        <v>6548.1333972617858</v>
      </c>
      <c r="F38" s="9">
        <f t="shared" si="11"/>
        <v>29462.109112508446</v>
      </c>
      <c r="G38" s="112">
        <f t="shared" si="12"/>
        <v>-0.1201574636430363</v>
      </c>
      <c r="H38" s="9">
        <f t="shared" si="13"/>
        <v>-2.6705728962126054E-2</v>
      </c>
    </row>
    <row r="39" spans="1:8" x14ac:dyDescent="0.2">
      <c r="A39" s="265">
        <v>9</v>
      </c>
      <c r="B39" s="141">
        <f t="shared" si="14"/>
        <v>6561</v>
      </c>
      <c r="C39" s="140">
        <f t="shared" si="15"/>
        <v>19683</v>
      </c>
      <c r="D39" s="142">
        <f>SUM($C$31:C39)</f>
        <v>29523</v>
      </c>
      <c r="E39" s="112">
        <f t="shared" si="10"/>
        <v>19266.288231786843</v>
      </c>
      <c r="F39" s="9">
        <f t="shared" si="11"/>
        <v>86693.892313221004</v>
      </c>
      <c r="G39" s="112">
        <f t="shared" si="12"/>
        <v>-5.2910867433833698E-2</v>
      </c>
      <c r="H39" s="9">
        <f t="shared" si="13"/>
        <v>-1.1758567937993526E-2</v>
      </c>
    </row>
    <row r="40" spans="1:8" ht="17" thickBot="1" x14ac:dyDescent="0.25">
      <c r="A40" s="266">
        <v>10</v>
      </c>
      <c r="B40" s="143">
        <f t="shared" si="14"/>
        <v>19683</v>
      </c>
      <c r="C40" s="144">
        <f t="shared" si="15"/>
        <v>59049</v>
      </c>
      <c r="D40" s="145">
        <f>SUM($C$31:C40)</f>
        <v>88572</v>
      </c>
      <c r="E40" s="113">
        <f t="shared" si="10"/>
        <v>57067.494189391786</v>
      </c>
      <c r="F40" s="10">
        <f t="shared" si="11"/>
        <v>256799.37485865006</v>
      </c>
      <c r="G40" s="113">
        <f t="shared" si="12"/>
        <v>-2.2546059753368465E-2</v>
      </c>
      <c r="H40" s="10">
        <f t="shared" si="13"/>
        <v>-5.0103203509636405E-3</v>
      </c>
    </row>
    <row r="41" spans="1:8" ht="17" thickBot="1" x14ac:dyDescent="0.25"/>
    <row r="42" spans="1:8" ht="17" thickBot="1" x14ac:dyDescent="0.25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">
      <c r="A43" s="264">
        <v>1</v>
      </c>
      <c r="B43" s="146">
        <v>1</v>
      </c>
      <c r="C43" s="150">
        <f>B43*$M$3</f>
        <v>3</v>
      </c>
      <c r="D43" s="151">
        <f>SUM(C43:C43)</f>
        <v>3</v>
      </c>
      <c r="E43" s="129">
        <f>B43/P7</f>
        <v>-5.1906800222133773</v>
      </c>
      <c r="F43" s="58">
        <f>D43/P7</f>
        <v>-15.572040066640131</v>
      </c>
      <c r="G43" s="28">
        <f>S7/E43</f>
        <v>2.6409374633417819</v>
      </c>
      <c r="H43" s="8">
        <f>S7/F43</f>
        <v>0.88031248778059412</v>
      </c>
    </row>
    <row r="44" spans="1:8" x14ac:dyDescent="0.2">
      <c r="A44" s="265">
        <v>2</v>
      </c>
      <c r="B44" s="141">
        <f>B43*$M$3*2</f>
        <v>6</v>
      </c>
      <c r="C44" s="140">
        <f>B44*$M$3</f>
        <v>18</v>
      </c>
      <c r="D44" s="142">
        <f>SUM($C$43:C44)</f>
        <v>21</v>
      </c>
      <c r="E44" s="112">
        <f t="shared" ref="E44:E52" si="16">B44/P8</f>
        <v>94.775146137349523</v>
      </c>
      <c r="F44" s="9">
        <f t="shared" ref="F44:F52" si="17">D44/P8</f>
        <v>331.71301148072331</v>
      </c>
      <c r="G44" s="112">
        <f t="shared" ref="G44:G52" si="18">S8/E44</f>
        <v>-0.50697708387774909</v>
      </c>
      <c r="H44" s="9">
        <f t="shared" ref="H44:H52" si="19">S8/F44</f>
        <v>-0.14485059539364262</v>
      </c>
    </row>
    <row r="45" spans="1:8" x14ac:dyDescent="0.2">
      <c r="A45" s="265">
        <v>3</v>
      </c>
      <c r="B45" s="141">
        <f t="shared" ref="B45:B52" si="20">B44*$M$3*2</f>
        <v>36</v>
      </c>
      <c r="C45" s="140">
        <f t="shared" ref="C45:C52" si="21">B45*$M$3</f>
        <v>108</v>
      </c>
      <c r="D45" s="142">
        <f>SUM($C$43:C45)</f>
        <v>129</v>
      </c>
      <c r="E45" s="112">
        <f t="shared" si="16"/>
        <v>197.66312983730009</v>
      </c>
      <c r="F45" s="9">
        <f t="shared" si="17"/>
        <v>708.29288191699197</v>
      </c>
      <c r="G45" s="112">
        <f t="shared" si="18"/>
        <v>-0.52238684057900886</v>
      </c>
      <c r="H45" s="9">
        <f t="shared" si="19"/>
        <v>-0.14578237411507225</v>
      </c>
    </row>
    <row r="46" spans="1:8" x14ac:dyDescent="0.2">
      <c r="A46" s="265">
        <v>4</v>
      </c>
      <c r="B46" s="141">
        <f t="shared" si="20"/>
        <v>216</v>
      </c>
      <c r="C46" s="140">
        <f t="shared" si="21"/>
        <v>648</v>
      </c>
      <c r="D46" s="142">
        <f>SUM($C$43:C46)</f>
        <v>777</v>
      </c>
      <c r="E46" s="112">
        <f t="shared" si="16"/>
        <v>875.18594190863826</v>
      </c>
      <c r="F46" s="9">
        <f t="shared" si="17"/>
        <v>3148.2383188102403</v>
      </c>
      <c r="G46" s="112">
        <f t="shared" si="18"/>
        <v>-0.20812704077003014</v>
      </c>
      <c r="H46" s="9">
        <f t="shared" si="19"/>
        <v>-5.7857710175452395E-2</v>
      </c>
    </row>
    <row r="47" spans="1:8" x14ac:dyDescent="0.2">
      <c r="A47" s="265">
        <v>5</v>
      </c>
      <c r="B47" s="141">
        <f t="shared" si="20"/>
        <v>1296</v>
      </c>
      <c r="C47" s="140">
        <f t="shared" si="21"/>
        <v>3888</v>
      </c>
      <c r="D47" s="142">
        <f>SUM($C$43:C47)</f>
        <v>4665</v>
      </c>
      <c r="E47" s="112">
        <f t="shared" si="16"/>
        <v>4546.1628583849524</v>
      </c>
      <c r="F47" s="9">
        <f t="shared" si="17"/>
        <v>16364.081585158798</v>
      </c>
      <c r="G47" s="112">
        <f t="shared" si="18"/>
        <v>-6.3270464471232302E-2</v>
      </c>
      <c r="H47" s="9">
        <f t="shared" si="19"/>
        <v>-1.7577389486541709E-2</v>
      </c>
    </row>
    <row r="48" spans="1:8" x14ac:dyDescent="0.2">
      <c r="A48" s="265">
        <v>6</v>
      </c>
      <c r="B48" s="141">
        <f t="shared" si="20"/>
        <v>7776</v>
      </c>
      <c r="C48" s="140">
        <f t="shared" si="21"/>
        <v>23328</v>
      </c>
      <c r="D48" s="142">
        <f>SUM($C$43:C48)</f>
        <v>27993</v>
      </c>
      <c r="E48" s="112">
        <f t="shared" si="16"/>
        <v>25177.402824432542</v>
      </c>
      <c r="F48" s="9">
        <f t="shared" si="17"/>
        <v>90636.707467121931</v>
      </c>
      <c r="G48" s="112">
        <f t="shared" si="18"/>
        <v>-1.6772059113736471E-2</v>
      </c>
      <c r="H48" s="9">
        <f t="shared" si="19"/>
        <v>-4.6590051680211048E-3</v>
      </c>
    </row>
    <row r="49" spans="1:8" x14ac:dyDescent="0.2">
      <c r="A49" s="265">
        <v>7</v>
      </c>
      <c r="B49" s="141">
        <f t="shared" si="20"/>
        <v>46656</v>
      </c>
      <c r="C49" s="140">
        <f t="shared" si="21"/>
        <v>139968</v>
      </c>
      <c r="D49" s="142">
        <f>SUM($C$43:C49)</f>
        <v>167961</v>
      </c>
      <c r="E49" s="112">
        <f t="shared" si="16"/>
        <v>143971.83232632515</v>
      </c>
      <c r="F49" s="9">
        <f t="shared" si="17"/>
        <v>518296.74488515727</v>
      </c>
      <c r="G49" s="112">
        <f t="shared" si="18"/>
        <v>-4.0851129847012538E-3</v>
      </c>
      <c r="H49" s="9">
        <f t="shared" si="19"/>
        <v>-1.1347576604939344E-3</v>
      </c>
    </row>
    <row r="50" spans="1:8" x14ac:dyDescent="0.2">
      <c r="A50" s="265">
        <v>8</v>
      </c>
      <c r="B50" s="141">
        <f t="shared" si="20"/>
        <v>279936</v>
      </c>
      <c r="C50" s="140">
        <f t="shared" si="21"/>
        <v>839808</v>
      </c>
      <c r="D50" s="142">
        <f>SUM($C$43:C50)</f>
        <v>1007769</v>
      </c>
      <c r="E50" s="112">
        <f t="shared" si="16"/>
        <v>838161.07484950859</v>
      </c>
      <c r="F50" s="9">
        <f t="shared" si="17"/>
        <v>3017378.0729881627</v>
      </c>
      <c r="G50" s="112">
        <f t="shared" si="18"/>
        <v>-9.3873018471122107E-4</v>
      </c>
      <c r="H50" s="9">
        <f t="shared" si="19"/>
        <v>-2.6075853989090795E-4</v>
      </c>
    </row>
    <row r="51" spans="1:8" x14ac:dyDescent="0.2">
      <c r="A51" s="265">
        <v>9</v>
      </c>
      <c r="B51" s="141">
        <f t="shared" si="20"/>
        <v>1679616</v>
      </c>
      <c r="C51" s="140">
        <f t="shared" si="21"/>
        <v>5038848</v>
      </c>
      <c r="D51" s="142">
        <f>SUM($C$43:C51)</f>
        <v>6046617</v>
      </c>
      <c r="E51" s="112">
        <f t="shared" si="16"/>
        <v>4932169.7873374317</v>
      </c>
      <c r="F51" s="9">
        <f t="shared" si="17"/>
        <v>17755809.472522829</v>
      </c>
      <c r="G51" s="112">
        <f t="shared" si="18"/>
        <v>-2.0668307591341288E-4</v>
      </c>
      <c r="H51" s="9">
        <f t="shared" si="19"/>
        <v>-5.7411971228437792E-5</v>
      </c>
    </row>
    <row r="52" spans="1:8" ht="17" thickBot="1" x14ac:dyDescent="0.25">
      <c r="A52" s="266">
        <v>10</v>
      </c>
      <c r="B52" s="143">
        <f t="shared" si="20"/>
        <v>10077696</v>
      </c>
      <c r="C52" s="144">
        <f t="shared" si="21"/>
        <v>30233088</v>
      </c>
      <c r="D52" s="145">
        <f>SUM($C$43:C52)</f>
        <v>36279705</v>
      </c>
      <c r="E52" s="113">
        <f t="shared" si="16"/>
        <v>29218557.024968594</v>
      </c>
      <c r="F52" s="10">
        <f t="shared" si="17"/>
        <v>105186803.5502895</v>
      </c>
      <c r="G52" s="113">
        <f t="shared" si="18"/>
        <v>-4.4035272955797783E-5</v>
      </c>
      <c r="H52" s="10">
        <f t="shared" si="19"/>
        <v>-1.2232020467794639E-5</v>
      </c>
    </row>
  </sheetData>
  <conditionalFormatting sqref="O7:O16">
    <cfRule type="cellIs" dxfId="411" priority="27" operator="lessThanOrEqual">
      <formula>0</formula>
    </cfRule>
    <cfRule type="cellIs" dxfId="410" priority="28" operator="greaterThan">
      <formula>0</formula>
    </cfRule>
  </conditionalFormatting>
  <conditionalFormatting sqref="P7:P16 S7:S16">
    <cfRule type="cellIs" dxfId="409" priority="25" operator="lessThanOrEqual">
      <formula>0</formula>
    </cfRule>
    <cfRule type="cellIs" dxfId="408" priority="26" operator="greaterThan">
      <formula>0</formula>
    </cfRule>
  </conditionalFormatting>
  <conditionalFormatting sqref="G43:G52">
    <cfRule type="cellIs" dxfId="407" priority="24" operator="equal">
      <formula>MAX($G$43:$G$52)</formula>
    </cfRule>
  </conditionalFormatting>
  <conditionalFormatting sqref="H43:H52">
    <cfRule type="cellIs" dxfId="406" priority="23" operator="equal">
      <formula>MAX($H$43:$H$52)</formula>
    </cfRule>
  </conditionalFormatting>
  <conditionalFormatting sqref="G31:G40">
    <cfRule type="cellIs" dxfId="405" priority="22" operator="equal">
      <formula>MAX($G$31:$G$40)</formula>
    </cfRule>
  </conditionalFormatting>
  <conditionalFormatting sqref="H31:H40">
    <cfRule type="cellIs" dxfId="404" priority="21" operator="equal">
      <formula>MAX($H$31:$H$40)</formula>
    </cfRule>
  </conditionalFormatting>
  <conditionalFormatting sqref="G19:G28">
    <cfRule type="cellIs" dxfId="403" priority="1" operator="lessThanOrEqual">
      <formula>0</formula>
    </cfRule>
    <cfRule type="cellIs" dxfId="402" priority="20" operator="equal">
      <formula>MAX($G$19:$G$28)</formula>
    </cfRule>
  </conditionalFormatting>
  <conditionalFormatting sqref="H19:H28">
    <cfRule type="cellIs" dxfId="401" priority="2" operator="lessThanOrEqual">
      <formula>0</formula>
    </cfRule>
    <cfRule type="cellIs" dxfId="400" priority="19" operator="equal">
      <formula>MAX($H$19:$H$28)</formula>
    </cfRule>
  </conditionalFormatting>
  <conditionalFormatting sqref="F19:F28">
    <cfRule type="cellIs" dxfId="399" priority="17" stopIfTrue="1" operator="lessThan">
      <formula>0</formula>
    </cfRule>
    <cfRule type="cellIs" dxfId="398" priority="18" operator="equal">
      <formula>MIN($F$19:$F$28)</formula>
    </cfRule>
  </conditionalFormatting>
  <conditionalFormatting sqref="E19:E28">
    <cfRule type="cellIs" dxfId="397" priority="15" stopIfTrue="1" operator="lessThan">
      <formula>0</formula>
    </cfRule>
    <cfRule type="cellIs" dxfId="396" priority="16" operator="equal">
      <formula>MIN($E$19:$E$28)</formula>
    </cfRule>
  </conditionalFormatting>
  <conditionalFormatting sqref="F31:F40">
    <cfRule type="cellIs" dxfId="395" priority="13" stopIfTrue="1" operator="lessThan">
      <formula>0</formula>
    </cfRule>
    <cfRule type="cellIs" dxfId="394" priority="14" operator="equal">
      <formula>MIN($F$31:$F$40)</formula>
    </cfRule>
  </conditionalFormatting>
  <conditionalFormatting sqref="E31:E40">
    <cfRule type="cellIs" dxfId="393" priority="11" stopIfTrue="1" operator="lessThan">
      <formula>0</formula>
    </cfRule>
    <cfRule type="cellIs" dxfId="392" priority="12" operator="equal">
      <formula>MIN($E$31:$E$40)</formula>
    </cfRule>
  </conditionalFormatting>
  <conditionalFormatting sqref="F43:F52">
    <cfRule type="cellIs" dxfId="391" priority="9" stopIfTrue="1" operator="lessThan">
      <formula>0</formula>
    </cfRule>
    <cfRule type="cellIs" dxfId="390" priority="10" operator="equal">
      <formula>MIN($F$43:$F$52)</formula>
    </cfRule>
  </conditionalFormatting>
  <conditionalFormatting sqref="E43:E52">
    <cfRule type="cellIs" dxfId="389" priority="7" stopIfTrue="1" operator="lessThan">
      <formula>0</formula>
    </cfRule>
    <cfRule type="cellIs" dxfId="388" priority="8" operator="equal">
      <formula>MIN($E$43:$E$52)</formula>
    </cfRule>
  </conditionalFormatting>
  <conditionalFormatting sqref="Q7:Q16">
    <cfRule type="cellIs" dxfId="387" priority="5" operator="lessThanOrEqual">
      <formula>0</formula>
    </cfRule>
    <cfRule type="cellIs" dxfId="386" priority="6" operator="greaterThan">
      <formula>0</formula>
    </cfRule>
  </conditionalFormatting>
  <conditionalFormatting sqref="R7:R16">
    <cfRule type="cellIs" dxfId="385" priority="3" operator="lessThanOrEqual">
      <formula>0</formula>
    </cfRule>
    <cfRule type="cellIs" dxfId="384" priority="4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U52"/>
  <sheetViews>
    <sheetView topLeftCell="A22" workbookViewId="0">
      <selection activeCell="B43" sqref="B43:D5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1" x14ac:dyDescent="0.2">
      <c r="B1" s="202"/>
      <c r="C1" t="s">
        <v>99</v>
      </c>
      <c r="D1">
        <f>C2+E2</f>
        <v>0.99999999999999778</v>
      </c>
    </row>
    <row r="2" spans="1:21" x14ac:dyDescent="0.2">
      <c r="A2" t="s">
        <v>40</v>
      </c>
      <c r="B2" s="201" t="s">
        <v>129</v>
      </c>
      <c r="C2" s="222">
        <f>Analysis!B31</f>
        <v>0.41520482141992027</v>
      </c>
      <c r="D2" s="199" t="s">
        <v>130</v>
      </c>
      <c r="E2" s="222">
        <f>Analysis!J31</f>
        <v>0.58479517858007746</v>
      </c>
      <c r="F2" s="199" t="s">
        <v>49</v>
      </c>
      <c r="G2" s="222">
        <f>Analysis!S31</f>
        <v>16.346961737415967</v>
      </c>
      <c r="H2" t="s">
        <v>163</v>
      </c>
      <c r="I2" s="238">
        <f>Analysis!T31</f>
        <v>45.984125497158196</v>
      </c>
      <c r="J2" t="s">
        <v>50</v>
      </c>
      <c r="K2" s="238">
        <f>C2*G2-E2*I2</f>
        <v>-20.103957553017256</v>
      </c>
      <c r="L2" t="s">
        <v>49</v>
      </c>
      <c r="M2" s="267">
        <v>2</v>
      </c>
    </row>
    <row r="3" spans="1:21" x14ac:dyDescent="0.2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3</v>
      </c>
    </row>
    <row r="4" spans="1:21" x14ac:dyDescent="0.2">
      <c r="A4" t="s">
        <v>127</v>
      </c>
      <c r="B4" s="202">
        <f>$C$2</f>
        <v>0.41520482141992027</v>
      </c>
      <c r="C4">
        <f>B4*$C$2</f>
        <v>0.17239504373034789</v>
      </c>
      <c r="D4">
        <f t="shared" ref="D4:K4" si="0">C4*$C$2</f>
        <v>7.1579253345738447E-2</v>
      </c>
      <c r="E4">
        <f t="shared" si="0"/>
        <v>2.9720051102788563E-2</v>
      </c>
      <c r="F4">
        <f t="shared" si="0"/>
        <v>1.233990851072423E-2</v>
      </c>
      <c r="G4">
        <f t="shared" si="0"/>
        <v>5.1235895095334081E-3</v>
      </c>
      <c r="H4">
        <f t="shared" si="0"/>
        <v>2.1273390673347955E-3</v>
      </c>
      <c r="I4">
        <f t="shared" si="0"/>
        <v>8.8328143755236346E-4</v>
      </c>
      <c r="J4">
        <f t="shared" si="0"/>
        <v>3.6674271154245954E-4</v>
      </c>
      <c r="K4">
        <f t="shared" si="0"/>
        <v>1.5227334205304425E-4</v>
      </c>
    </row>
    <row r="5" spans="1:21" ht="17" thickBot="1" x14ac:dyDescent="0.25">
      <c r="A5" t="s">
        <v>128</v>
      </c>
      <c r="B5" s="202">
        <f>$E$2</f>
        <v>0.58479517858007746</v>
      </c>
      <c r="C5">
        <f>B5*$E$2</f>
        <v>0.34198540089050466</v>
      </c>
      <c r="D5">
        <f t="shared" ref="D5:K5" si="1">C5*$E$2</f>
        <v>0.19999141358554207</v>
      </c>
      <c r="E5">
        <f t="shared" si="1"/>
        <v>0.1169540144222392</v>
      </c>
      <c r="F5">
        <f t="shared" si="1"/>
        <v>6.8394143749710326E-2</v>
      </c>
      <c r="G5">
        <f t="shared" si="1"/>
        <v>3.9996565507943338E-2</v>
      </c>
      <c r="H5">
        <f t="shared" si="1"/>
        <v>2.3389798668807492E-2</v>
      </c>
      <c r="I5">
        <f t="shared" si="1"/>
        <v>1.3678241489477334E-2</v>
      </c>
      <c r="J5">
        <f t="shared" si="1"/>
        <v>7.9989696745003218E-3</v>
      </c>
      <c r="K5">
        <f t="shared" si="1"/>
        <v>4.67775889925604E-3</v>
      </c>
    </row>
    <row r="6" spans="1:21" ht="17" thickBot="1" x14ac:dyDescent="0.25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">
      <c r="A7" s="208">
        <v>1</v>
      </c>
      <c r="B7" s="114">
        <f>C7*B4</f>
        <v>0.41520482141992027</v>
      </c>
      <c r="C7" s="114">
        <v>1</v>
      </c>
      <c r="D7" s="212">
        <f>C7*B5</f>
        <v>0.58479517858007746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0.99999999999999778</v>
      </c>
      <c r="O7" s="114">
        <f>B7/(B7+D7)</f>
        <v>0.41520482141992121</v>
      </c>
      <c r="P7" s="129">
        <f>B7-D7</f>
        <v>-0.16959035716015719</v>
      </c>
      <c r="Q7" s="129">
        <f>($G$2*SUM(C7))*B7</f>
        <v>6.7873373289420664</v>
      </c>
      <c r="R7" s="58">
        <f>($I$2*SUM(C7))*D7*COUNT(D7:M7)</f>
        <v>26.891294881959322</v>
      </c>
      <c r="S7" s="58">
        <f>Q7-R7</f>
        <v>-20.103957553017256</v>
      </c>
      <c r="T7" s="129">
        <f>(S7+U7*D7)/B7</f>
        <v>-47.010924169149618</v>
      </c>
      <c r="U7" s="58">
        <f t="shared" ref="U7:U16" si="2">COUNT(D7:M7)</f>
        <v>1</v>
      </c>
    </row>
    <row r="8" spans="1:21" x14ac:dyDescent="0.2">
      <c r="A8" s="209">
        <v>2</v>
      </c>
      <c r="B8" s="116">
        <f>C8*B4</f>
        <v>0.54834942288741939</v>
      </c>
      <c r="C8" s="116">
        <f>1/(1-B4*B5)</f>
        <v>1.3206720986817309</v>
      </c>
      <c r="D8" s="194">
        <f>C8*B5</f>
        <v>0.77232267579430847</v>
      </c>
      <c r="E8" s="1">
        <f>D8*B5</f>
        <v>0.45165057711257589</v>
      </c>
      <c r="F8" s="1"/>
      <c r="G8" s="1"/>
      <c r="H8" s="1"/>
      <c r="I8" s="1"/>
      <c r="J8" s="1"/>
      <c r="K8" s="1"/>
      <c r="L8" s="1"/>
      <c r="M8" s="9"/>
      <c r="N8">
        <f>B8+E8</f>
        <v>0.99999999999999534</v>
      </c>
      <c r="O8" s="116">
        <f>B8/(B8+E8)</f>
        <v>0.54834942288742194</v>
      </c>
      <c r="P8" s="112">
        <f>B8-E8</f>
        <v>9.66988457748435E-2</v>
      </c>
      <c r="Q8" s="112">
        <f>($G$2*SUM(C8:D8))*B8</f>
        <v>18.761285002776841</v>
      </c>
      <c r="R8" s="9">
        <f>($I$2*SUM(C8:D8))*E8*COUNT(D8:M8)</f>
        <v>86.937798988260084</v>
      </c>
      <c r="S8" s="9">
        <f t="shared" ref="S8:S16" si="3">Q8-R8</f>
        <v>-68.17651398548324</v>
      </c>
      <c r="T8" s="112">
        <f>(S8+U8*E8)/B8</f>
        <v>-122.68311048276571</v>
      </c>
      <c r="U8" s="9">
        <f t="shared" si="2"/>
        <v>2</v>
      </c>
    </row>
    <row r="9" spans="1:21" x14ac:dyDescent="0.2">
      <c r="A9" s="209">
        <v>3</v>
      </c>
      <c r="B9" s="116">
        <f>C9*B4</f>
        <v>0.61119942315661546</v>
      </c>
      <c r="C9" s="216">
        <f>1/(1-B5*B4/(1-B5*B4))</f>
        <v>1.4720431739362552</v>
      </c>
      <c r="D9" s="217">
        <f>C9*B5*C8</f>
        <v>1.1368923229791952</v>
      </c>
      <c r="E9" s="218">
        <f>D9*(B5)</f>
        <v>0.66484914904293757</v>
      </c>
      <c r="F9" s="218">
        <f>E9*B5</f>
        <v>0.38880057684337721</v>
      </c>
      <c r="G9" s="218"/>
      <c r="H9" s="218"/>
      <c r="I9" s="218"/>
      <c r="J9" s="218"/>
      <c r="K9" s="218"/>
      <c r="L9" s="218"/>
      <c r="M9" s="219"/>
      <c r="N9">
        <f>B9+F9</f>
        <v>0.99999999999999267</v>
      </c>
      <c r="O9" s="116">
        <f>B9/(B9+F9)</f>
        <v>0.6111994231566199</v>
      </c>
      <c r="P9" s="112">
        <f>B9-F9</f>
        <v>0.22239884631323825</v>
      </c>
      <c r="Q9" s="112">
        <f>($G$2*SUM(C9:E9))*B9</f>
        <v>32.709212578066065</v>
      </c>
      <c r="R9" s="9">
        <f>($I$2*SUM(C9:E9))*F9*COUNT(D9:M9)</f>
        <v>175.59259396343572</v>
      </c>
      <c r="S9" s="9">
        <f t="shared" si="3"/>
        <v>-142.88338138536966</v>
      </c>
      <c r="T9" s="112">
        <f>(S9+U9*F9)/B9</f>
        <v>-231.86700491784589</v>
      </c>
      <c r="U9" s="9">
        <f t="shared" si="2"/>
        <v>3</v>
      </c>
    </row>
    <row r="10" spans="1:21" x14ac:dyDescent="0.2">
      <c r="A10" s="209">
        <v>4</v>
      </c>
      <c r="B10" s="116">
        <f>C10*B4</f>
        <v>0.64615924215861775</v>
      </c>
      <c r="C10" s="116">
        <f>1/(1-B5*B4/(1-B5*B4/(1-B5*B4)))</f>
        <v>1.5562421456207518</v>
      </c>
      <c r="D10" s="194">
        <f>C10*B5*C9</f>
        <v>1.3396813257575171</v>
      </c>
      <c r="E10" s="1">
        <f>D10*B5*C8</f>
        <v>1.0346662662207122</v>
      </c>
      <c r="F10" s="1">
        <f>E10*B5</f>
        <v>0.60506784392532342</v>
      </c>
      <c r="G10" s="1">
        <f>F10*B5</f>
        <v>0.35384075784137192</v>
      </c>
      <c r="H10" s="1"/>
      <c r="I10" s="1"/>
      <c r="J10" s="1"/>
      <c r="K10" s="1"/>
      <c r="L10" s="1"/>
      <c r="M10" s="9"/>
      <c r="N10">
        <f>B10+G10</f>
        <v>0.99999999999998967</v>
      </c>
      <c r="O10" s="116">
        <f>B10/(B10+G10)</f>
        <v>0.64615924215862441</v>
      </c>
      <c r="P10" s="112">
        <f>B10-G10</f>
        <v>0.29231848431724583</v>
      </c>
      <c r="Q10" s="112">
        <f>($G$2*SUM(C10:F10))*B10</f>
        <v>47.908973612513584</v>
      </c>
      <c r="R10" s="9">
        <f>($I$2*SUM(C10:F10))*G10*COUNT(D10:M10)</f>
        <v>295.19978694461105</v>
      </c>
      <c r="S10" s="9">
        <f t="shared" si="3"/>
        <v>-247.29081333209746</v>
      </c>
      <c r="T10" s="112">
        <f>(S10+U10*G10)/B10</f>
        <v>-380.51835253387117</v>
      </c>
      <c r="U10" s="9">
        <f t="shared" si="2"/>
        <v>4</v>
      </c>
    </row>
    <row r="11" spans="1:21" x14ac:dyDescent="0.2">
      <c r="A11" s="209">
        <v>5</v>
      </c>
      <c r="B11" s="116">
        <f>C11*B4</f>
        <v>0.66739324837933101</v>
      </c>
      <c r="C11" s="116">
        <f>1/(1-B5*B4/(1-B5*B4/(1-B5*B4/(1-B5*B4))))</f>
        <v>1.6073831852360843</v>
      </c>
      <c r="D11" s="194">
        <f>C11*B5*C10</f>
        <v>1.4628519561958631</v>
      </c>
      <c r="E11" s="1">
        <f>D11*B5*C9</f>
        <v>1.2592869648069751</v>
      </c>
      <c r="F11" s="1">
        <f>E11*B5*C8</f>
        <v>0.97257587825261627</v>
      </c>
      <c r="G11" s="1">
        <f>F11*B5</f>
        <v>0.56875768440541441</v>
      </c>
      <c r="H11" s="1">
        <f>G11*B5</f>
        <v>0.33260675162065567</v>
      </c>
      <c r="I11" s="1"/>
      <c r="J11" s="1"/>
      <c r="K11" s="1"/>
      <c r="L11" s="1"/>
      <c r="M11" s="9"/>
      <c r="N11">
        <f>B11+H11</f>
        <v>0.99999999999998668</v>
      </c>
      <c r="O11" s="116">
        <f>B11/(B11+H11)</f>
        <v>0.66739324837933989</v>
      </c>
      <c r="P11" s="112">
        <f>B11-H11</f>
        <v>0.33478649675867533</v>
      </c>
      <c r="Q11" s="112">
        <f>($G$2*SUM(C11:G11))*B11</f>
        <v>64.050165844978366</v>
      </c>
      <c r="R11" s="9">
        <f>($I$2*SUM(C11:G11))*H11*COUNT(D11:M11)</f>
        <v>448.96284403527557</v>
      </c>
      <c r="S11" s="9">
        <f t="shared" si="3"/>
        <v>-384.91267819029719</v>
      </c>
      <c r="T11" s="112">
        <f>(S11+U11*H11)/B11</f>
        <v>-574.24860884172983</v>
      </c>
      <c r="U11" s="9">
        <f t="shared" si="2"/>
        <v>5</v>
      </c>
    </row>
    <row r="12" spans="1:21" x14ac:dyDescent="0.2">
      <c r="A12" s="209">
        <v>6</v>
      </c>
      <c r="B12" s="116">
        <f>C12*B4</f>
        <v>0.68098555121054538</v>
      </c>
      <c r="C12" s="116">
        <f>1/(1-B5*B4/(1-B5*B4/(1-B5*B4/(1-B5*B4/(1-B5*B4)))))</f>
        <v>1.6401195652827594</v>
      </c>
      <c r="D12" s="194">
        <f>C12*B5*C11</f>
        <v>1.5416958866076607</v>
      </c>
      <c r="E12" s="1">
        <f>D12*B5*C10</f>
        <v>1.4030710687395231</v>
      </c>
      <c r="F12" s="1">
        <f>E12*B5*C9</f>
        <v>1.2078249614241241</v>
      </c>
      <c r="G12" s="1">
        <f>F12*B5*C8</f>
        <v>0.93283060609823687</v>
      </c>
      <c r="H12" s="1">
        <f>G12*B5</f>
        <v>0.54551484087818036</v>
      </c>
      <c r="I12" s="1">
        <f>H12*B5</f>
        <v>0.31901444878943802</v>
      </c>
      <c r="J12" s="1"/>
      <c r="K12" s="1"/>
      <c r="L12" s="1"/>
      <c r="M12" s="9"/>
      <c r="N12">
        <f>B12+I12</f>
        <v>0.99999999999998335</v>
      </c>
      <c r="O12" s="116">
        <f>B12/(B12+I12)</f>
        <v>0.68098555121055671</v>
      </c>
      <c r="P12" s="112">
        <f>B12-I12</f>
        <v>0.36197110242110736</v>
      </c>
      <c r="Q12" s="112">
        <f>($G$2*SUM(C12:H12))*B12</f>
        <v>80.941731109198017</v>
      </c>
      <c r="R12" s="9">
        <f>($I$2*SUM(C12:H12))*I12*COUNT(D12:M12)</f>
        <v>639.98099992480434</v>
      </c>
      <c r="S12" s="9">
        <f t="shared" si="3"/>
        <v>-559.03926881560631</v>
      </c>
      <c r="T12" s="112">
        <f>(S12+U12*I12)/B12</f>
        <v>-818.11601014515372</v>
      </c>
      <c r="U12" s="9">
        <f t="shared" si="2"/>
        <v>6</v>
      </c>
    </row>
    <row r="13" spans="1:21" x14ac:dyDescent="0.2">
      <c r="A13" s="209">
        <v>7</v>
      </c>
      <c r="B13" s="116">
        <f>C13*B4</f>
        <v>0.68998071943565487</v>
      </c>
      <c r="C13" s="216">
        <f>1/(1-B5*B4/(1-B5*B4/(1-B5*B4/(1-B5*B4/(1-B5*B4/(1-B5*B4))))))</f>
        <v>1.6617839770647511</v>
      </c>
      <c r="D13" s="217">
        <f>C13*B5*C12</f>
        <v>1.5938735364429966</v>
      </c>
      <c r="E13" s="218">
        <f>D13*B5*C11</f>
        <v>1.4982250848786967</v>
      </c>
      <c r="F13" s="218">
        <f>E13*B5*C10</f>
        <v>1.3635090352862012</v>
      </c>
      <c r="G13" s="218">
        <f>F13*B5*C9</f>
        <v>1.173768232157697</v>
      </c>
      <c r="H13" s="218">
        <f>G13*B5*C8</f>
        <v>0.90652782182238756</v>
      </c>
      <c r="I13" s="218">
        <f>H13*B5</f>
        <v>0.53013309945043174</v>
      </c>
      <c r="J13" s="218">
        <f>I13*B5</f>
        <v>0.31001928056432521</v>
      </c>
      <c r="K13" s="218"/>
      <c r="L13" s="218"/>
      <c r="M13" s="219"/>
      <c r="N13">
        <f>B13+J13</f>
        <v>0.99999999999998002</v>
      </c>
      <c r="O13" s="116">
        <f>B13/(B13+J13)</f>
        <v>0.68998071943566863</v>
      </c>
      <c r="P13" s="112">
        <f>B13-J13</f>
        <v>0.37996143887132966</v>
      </c>
      <c r="Q13" s="112">
        <f>($G$2*SUM(C13:I13))*B13</f>
        <v>98.441862373128984</v>
      </c>
      <c r="R13" s="9">
        <f>($I$2*SUM(C13:I13))*J13*COUNT(D13:M13)</f>
        <v>870.96458446278473</v>
      </c>
      <c r="S13" s="9">
        <f t="shared" si="3"/>
        <v>-772.52272208965576</v>
      </c>
      <c r="T13" s="112">
        <f>(S13+U13*J13)/B13</f>
        <v>-1116.4842225675347</v>
      </c>
      <c r="U13" s="9">
        <f t="shared" si="2"/>
        <v>7</v>
      </c>
    </row>
    <row r="14" spans="1:21" x14ac:dyDescent="0.2">
      <c r="A14" s="209">
        <v>8</v>
      </c>
      <c r="B14" s="116">
        <f>C14*B4</f>
        <v>0.69606539863374295</v>
      </c>
      <c r="C14" s="116">
        <f>1/(1-B5*B4/(1-B5*B4/(1-B5*B4/(1-B5*B4/(1-B5*B4/(1-B5*B4/(1-B5*B4)))))))</f>
        <v>1.6764386219151641</v>
      </c>
      <c r="D14" s="194">
        <f>C14*B5*C13</f>
        <v>1.629168513992383</v>
      </c>
      <c r="E14" s="1">
        <f>D14*B5*C12</f>
        <v>1.5625909364255721</v>
      </c>
      <c r="F14" s="1">
        <f>E14*B5*C11</f>
        <v>1.4688197556636029</v>
      </c>
      <c r="G14" s="1">
        <f>F14*B5*C10</f>
        <v>1.3367477478968688</v>
      </c>
      <c r="H14" s="1">
        <f>G14*B5*C9</f>
        <v>1.1507309451457721</v>
      </c>
      <c r="I14" s="1">
        <f>H14*B5*C8</f>
        <v>0.88873560267429641</v>
      </c>
      <c r="J14" s="1">
        <f>I14*B5</f>
        <v>0.51972829547638788</v>
      </c>
      <c r="K14" s="1">
        <f>J14*B5</f>
        <v>0.30393460136623351</v>
      </c>
      <c r="L14" s="1"/>
      <c r="M14" s="9"/>
      <c r="N14">
        <f>B14+K14</f>
        <v>0.99999999999997646</v>
      </c>
      <c r="O14" s="116">
        <f>B14/(B14+K14)</f>
        <v>0.69606539863375938</v>
      </c>
      <c r="P14" s="112">
        <f>B14-K14</f>
        <v>0.39213079726750943</v>
      </c>
      <c r="Q14" s="112">
        <f>($G$2*SUM(C14:J14))*B14</f>
        <v>116.43629719375087</v>
      </c>
      <c r="R14" s="9">
        <f>($I$2*SUM(C14:J14))*K14*COUNT(D14:M14)</f>
        <v>1144.1404976806723</v>
      </c>
      <c r="S14" s="9">
        <f t="shared" si="3"/>
        <v>-1027.7042004869213</v>
      </c>
      <c r="T14" s="112">
        <f>(S14+U14*K14)/B14</f>
        <v>-1472.9545897388753</v>
      </c>
      <c r="U14" s="9">
        <f t="shared" si="2"/>
        <v>8</v>
      </c>
    </row>
    <row r="15" spans="1:21" x14ac:dyDescent="0.2">
      <c r="A15" s="209">
        <v>9</v>
      </c>
      <c r="B15" s="116">
        <f>C15*B4</f>
        <v>0.70024252494792316</v>
      </c>
      <c r="C15" s="116">
        <f>1/(1-B5*B4/(1-B5*B4/(1-B5*B4/(1-B5*B4/(1-B5*B4/(1-B5*B4/(1-B5*B4/(1-B5*B4))))))))</f>
        <v>1.6864990212619138</v>
      </c>
      <c r="D15" s="194">
        <f>C15*B5*C14</f>
        <v>1.6533984815354981</v>
      </c>
      <c r="E15" s="1">
        <f>D15*B5*C13</f>
        <v>1.606778030515192</v>
      </c>
      <c r="F15" s="1">
        <f>E15*B5*C12</f>
        <v>1.5411154621310765</v>
      </c>
      <c r="G15" s="1">
        <f>F15*B5*C11</f>
        <v>1.4486330259375513</v>
      </c>
      <c r="H15" s="1">
        <f>G15*B5*C10</f>
        <v>1.3183761502963784</v>
      </c>
      <c r="I15" s="1">
        <f>H15*B5*C9</f>
        <v>1.1349158701595521</v>
      </c>
      <c r="J15" s="1">
        <f>I15*B5*C8</f>
        <v>0.87652126164305122</v>
      </c>
      <c r="K15" s="1">
        <f>J15*B5</f>
        <v>0.51258540773178296</v>
      </c>
      <c r="L15" s="1">
        <f>K15*B5</f>
        <v>0.29975747505204986</v>
      </c>
      <c r="M15" s="9"/>
      <c r="N15">
        <f>B15+L15</f>
        <v>0.99999999999997302</v>
      </c>
      <c r="O15" s="116">
        <f>B15/(B15+L15)</f>
        <v>0.70024252494794204</v>
      </c>
      <c r="P15" s="112">
        <f>B15-L15</f>
        <v>0.4004850498958733</v>
      </c>
      <c r="Q15" s="112">
        <f>($G$2*SUM(C15:K15))*B15</f>
        <v>134.8302726053756</v>
      </c>
      <c r="R15" s="9">
        <f>($I$2*SUM(C15:K15))*L15*COUNT(D15:M15)</f>
        <v>1461.2426783242963</v>
      </c>
      <c r="S15" s="9">
        <f t="shared" si="3"/>
        <v>-1326.4124057189208</v>
      </c>
      <c r="T15" s="112">
        <f>(S15+U15*L15)/B15</f>
        <v>-1890.3658965040672</v>
      </c>
      <c r="U15" s="9">
        <f t="shared" si="2"/>
        <v>9</v>
      </c>
    </row>
    <row r="16" spans="1:21" ht="17" thickBot="1" x14ac:dyDescent="0.25">
      <c r="A16" s="210">
        <v>10</v>
      </c>
      <c r="B16" s="195">
        <f>C16*B4</f>
        <v>0.70313926038964081</v>
      </c>
      <c r="C16" s="195">
        <f>1/(1-B5*B4/(1-B5*B4/(1-B5*B4/(1-B5*B4/(1-B5*B4/(1-B5*B4/(1-B5*B4/(1-B5*B4/(1-B5*B4)))))))))</f>
        <v>1.6934756633726951</v>
      </c>
      <c r="D16" s="213">
        <f>C16*B5*C15</f>
        <v>1.6702013743509587</v>
      </c>
      <c r="E16" s="131">
        <f>D16*B5*C14</f>
        <v>1.6374207049015026</v>
      </c>
      <c r="F16" s="131">
        <f>E16*B5*C13</f>
        <v>1.591250775132605</v>
      </c>
      <c r="G16" s="131">
        <f>F16*B5*C12</f>
        <v>1.5262227433484514</v>
      </c>
      <c r="H16" s="131">
        <f>G16*B5*C11</f>
        <v>1.4346340201494461</v>
      </c>
      <c r="I16" s="131">
        <f>H16*B5*C10</f>
        <v>1.3056358944631565</v>
      </c>
      <c r="J16" s="131">
        <f>I16*B5*C9</f>
        <v>1.123948500542189</v>
      </c>
      <c r="K16" s="131">
        <f>J16*B5*C8</f>
        <v>0.86805091339374407</v>
      </c>
      <c r="L16" s="131">
        <f>K16*B5</f>
        <v>0.50763198891469397</v>
      </c>
      <c r="M16" s="10">
        <f>L16*B5</f>
        <v>0.29686073961032838</v>
      </c>
      <c r="N16">
        <f>B16+M16</f>
        <v>0.99999999999996914</v>
      </c>
      <c r="O16" s="195">
        <f>B16/(B16+M16)</f>
        <v>0.70313926038966246</v>
      </c>
      <c r="P16" s="113">
        <f>B16-M16</f>
        <v>0.40627852077931242</v>
      </c>
      <c r="Q16" s="113">
        <f>($G$2*SUM(C16:L16))*B16</f>
        <v>153.54482975144919</v>
      </c>
      <c r="R16" s="10">
        <f>($I$2*SUM(C16:L16))*M16*COUNT(D16:M16)</f>
        <v>1823.5492626346106</v>
      </c>
      <c r="S16" s="10">
        <f t="shared" si="3"/>
        <v>-1670.0044328831614</v>
      </c>
      <c r="T16" s="113">
        <f>(S16+U16*M16)/B16</f>
        <v>-2370.8473120435333</v>
      </c>
      <c r="U16" s="10">
        <f t="shared" si="2"/>
        <v>10</v>
      </c>
    </row>
    <row r="17" spans="1:8" ht="17" thickBot="1" x14ac:dyDescent="0.25"/>
    <row r="18" spans="1:8" ht="17" thickBot="1" x14ac:dyDescent="0.25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">
      <c r="A19" s="264">
        <v>1</v>
      </c>
      <c r="B19" s="146">
        <v>1</v>
      </c>
      <c r="C19" s="150">
        <f>B19*$M$3</f>
        <v>3</v>
      </c>
      <c r="D19" s="151">
        <f>SUM($C$19:C19)</f>
        <v>3</v>
      </c>
      <c r="E19" s="9">
        <f>B19/P7</f>
        <v>-5.8965616721687972</v>
      </c>
      <c r="F19" s="9">
        <f>D19/P7</f>
        <v>-17.689685016506392</v>
      </c>
      <c r="G19" s="28">
        <f>S7/E19</f>
        <v>3.4094373417488359</v>
      </c>
      <c r="H19" s="8">
        <f>S7/F19</f>
        <v>1.1364791139162786</v>
      </c>
    </row>
    <row r="20" spans="1:8" x14ac:dyDescent="0.2">
      <c r="A20" s="265">
        <v>2</v>
      </c>
      <c r="B20" s="141">
        <f>B19*($M$3+1)</f>
        <v>4</v>
      </c>
      <c r="C20" s="140">
        <f>B20*$M$3</f>
        <v>12</v>
      </c>
      <c r="D20" s="142">
        <f>SUM($C$19:C20)</f>
        <v>15</v>
      </c>
      <c r="E20" s="9">
        <f t="shared" ref="E20:E28" si="4">B20/P8</f>
        <v>41.36554028073634</v>
      </c>
      <c r="F20" s="9">
        <f t="shared" ref="F20:F28" si="5">D20/P8</f>
        <v>155.12077605276127</v>
      </c>
      <c r="G20" s="112">
        <f t="shared" ref="G20:G28" si="6">S8/E20</f>
        <v>-1.6481475528371763</v>
      </c>
      <c r="H20" s="9">
        <f t="shared" ref="H20:H28" si="7">S8/F20</f>
        <v>-0.43950601408991369</v>
      </c>
    </row>
    <row r="21" spans="1:8" x14ac:dyDescent="0.2">
      <c r="A21" s="265">
        <v>3</v>
      </c>
      <c r="B21" s="141">
        <f t="shared" ref="B21:B28" si="8">B20*($M$3+1)</f>
        <v>16</v>
      </c>
      <c r="C21" s="140">
        <f t="shared" ref="C21:C28" si="9">B21*$M$3</f>
        <v>48</v>
      </c>
      <c r="D21" s="142">
        <f>SUM($C$19:C21)</f>
        <v>63</v>
      </c>
      <c r="E21" s="9">
        <f t="shared" si="4"/>
        <v>71.942819242257926</v>
      </c>
      <c r="F21" s="9">
        <f t="shared" si="5"/>
        <v>283.27485076639056</v>
      </c>
      <c r="G21" s="112">
        <f t="shared" si="6"/>
        <v>-1.9860686985900395</v>
      </c>
      <c r="H21" s="9">
        <f t="shared" si="7"/>
        <v>-0.50439839964191491</v>
      </c>
    </row>
    <row r="22" spans="1:8" x14ac:dyDescent="0.2">
      <c r="A22" s="265">
        <v>4</v>
      </c>
      <c r="B22" s="141">
        <f t="shared" si="8"/>
        <v>64</v>
      </c>
      <c r="C22" s="140">
        <f t="shared" si="9"/>
        <v>192</v>
      </c>
      <c r="D22" s="142">
        <f>SUM($C$19:C22)</f>
        <v>255</v>
      </c>
      <c r="E22" s="9">
        <f t="shared" si="4"/>
        <v>218.93928517548835</v>
      </c>
      <c r="F22" s="9">
        <f t="shared" si="5"/>
        <v>872.33621437108638</v>
      </c>
      <c r="G22" s="112">
        <f t="shared" si="6"/>
        <v>-1.1294949334190265</v>
      </c>
      <c r="H22" s="9">
        <f t="shared" si="7"/>
        <v>-0.28348108132869682</v>
      </c>
    </row>
    <row r="23" spans="1:8" x14ac:dyDescent="0.2">
      <c r="A23" s="265">
        <v>5</v>
      </c>
      <c r="B23" s="141">
        <f t="shared" si="8"/>
        <v>256</v>
      </c>
      <c r="C23" s="140">
        <f t="shared" si="9"/>
        <v>768</v>
      </c>
      <c r="D23" s="142">
        <f>SUM($C$19:C23)</f>
        <v>1023</v>
      </c>
      <c r="E23" s="9">
        <f t="shared" si="4"/>
        <v>764.66644407266187</v>
      </c>
      <c r="F23" s="9">
        <f t="shared" si="5"/>
        <v>3055.6787979934884</v>
      </c>
      <c r="G23" s="112">
        <f t="shared" si="6"/>
        <v>-0.50337330894269128</v>
      </c>
      <c r="H23" s="9">
        <f t="shared" si="7"/>
        <v>-0.12596634124079079</v>
      </c>
    </row>
    <row r="24" spans="1:8" x14ac:dyDescent="0.2">
      <c r="A24" s="265">
        <v>6</v>
      </c>
      <c r="B24" s="141">
        <f t="shared" si="8"/>
        <v>1024</v>
      </c>
      <c r="C24" s="140">
        <f t="shared" si="9"/>
        <v>3072</v>
      </c>
      <c r="D24" s="142">
        <f>SUM($C$19:C24)</f>
        <v>4095</v>
      </c>
      <c r="E24" s="9">
        <f t="shared" si="4"/>
        <v>2828.955110368745</v>
      </c>
      <c r="F24" s="9">
        <f t="shared" si="5"/>
        <v>11313.05779000001</v>
      </c>
      <c r="G24" s="112">
        <f t="shared" si="6"/>
        <v>-0.1976133402635496</v>
      </c>
      <c r="H24" s="9">
        <f t="shared" si="7"/>
        <v>-4.9415399372374796E-2</v>
      </c>
    </row>
    <row r="25" spans="1:8" x14ac:dyDescent="0.2">
      <c r="A25" s="265">
        <v>7</v>
      </c>
      <c r="B25" s="141">
        <f t="shared" si="8"/>
        <v>4096</v>
      </c>
      <c r="C25" s="140">
        <f t="shared" si="9"/>
        <v>12288</v>
      </c>
      <c r="D25" s="142">
        <f>SUM($C$19:C25)</f>
        <v>16383</v>
      </c>
      <c r="E25" s="9">
        <f t="shared" si="4"/>
        <v>10780.041290945504</v>
      </c>
      <c r="F25" s="9">
        <f t="shared" si="5"/>
        <v>43117.533317763722</v>
      </c>
      <c r="G25" s="112">
        <f t="shared" si="6"/>
        <v>-7.1662315685054184E-2</v>
      </c>
      <c r="H25" s="9">
        <f t="shared" si="7"/>
        <v>-1.7916672468167121E-2</v>
      </c>
    </row>
    <row r="26" spans="1:8" x14ac:dyDescent="0.2">
      <c r="A26" s="265">
        <v>8</v>
      </c>
      <c r="B26" s="141">
        <f t="shared" si="8"/>
        <v>16384</v>
      </c>
      <c r="C26" s="140">
        <f t="shared" si="9"/>
        <v>49152</v>
      </c>
      <c r="D26" s="142">
        <f>SUM($C$19:C26)</f>
        <v>65535</v>
      </c>
      <c r="E26" s="9">
        <f t="shared" si="4"/>
        <v>41781.97712133007</v>
      </c>
      <c r="F26" s="9">
        <f t="shared" si="5"/>
        <v>167125.35831581824</v>
      </c>
      <c r="G26" s="112">
        <f t="shared" si="6"/>
        <v>-2.4596830291266164E-2</v>
      </c>
      <c r="H26" s="9">
        <f t="shared" si="7"/>
        <v>-6.1493014037095417E-3</v>
      </c>
    </row>
    <row r="27" spans="1:8" x14ac:dyDescent="0.2">
      <c r="A27" s="265">
        <v>9</v>
      </c>
      <c r="B27" s="141">
        <f t="shared" si="8"/>
        <v>65536</v>
      </c>
      <c r="C27" s="140">
        <f t="shared" si="9"/>
        <v>196608</v>
      </c>
      <c r="D27" s="142">
        <f>SUM($C$19:C27)</f>
        <v>262143</v>
      </c>
      <c r="E27" s="9">
        <f t="shared" si="4"/>
        <v>163641.56419082175</v>
      </c>
      <c r="F27" s="9">
        <f t="shared" si="5"/>
        <v>654563.75979117712</v>
      </c>
      <c r="G27" s="112">
        <f t="shared" si="6"/>
        <v>-8.1055959852119035E-3</v>
      </c>
      <c r="H27" s="9">
        <f t="shared" si="7"/>
        <v>-2.0264067264311745E-3</v>
      </c>
    </row>
    <row r="28" spans="1:8" ht="17" thickBot="1" x14ac:dyDescent="0.25">
      <c r="A28" s="266">
        <v>10</v>
      </c>
      <c r="B28" s="143">
        <f t="shared" si="8"/>
        <v>262144</v>
      </c>
      <c r="C28" s="144">
        <f t="shared" si="9"/>
        <v>786432</v>
      </c>
      <c r="D28" s="145">
        <f>SUM($C$19:C28)</f>
        <v>1048575</v>
      </c>
      <c r="E28" s="9">
        <f t="shared" si="4"/>
        <v>645232.23993521114</v>
      </c>
      <c r="F28" s="9">
        <f t="shared" si="5"/>
        <v>2580926.4983751834</v>
      </c>
      <c r="G28" s="113">
        <f t="shared" si="6"/>
        <v>-2.5882222392527212E-3</v>
      </c>
      <c r="H28" s="10">
        <f t="shared" si="7"/>
        <v>-6.4705617689403742E-4</v>
      </c>
    </row>
    <row r="29" spans="1:8" ht="17" thickBot="1" x14ac:dyDescent="0.25"/>
    <row r="30" spans="1:8" ht="17" thickBot="1" x14ac:dyDescent="0.25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">
      <c r="A31" s="264">
        <v>1</v>
      </c>
      <c r="B31" s="146">
        <v>1</v>
      </c>
      <c r="C31" s="150">
        <f>B31*$M$3</f>
        <v>3</v>
      </c>
      <c r="D31" s="151">
        <f>SUM($C$31:C31)</f>
        <v>3</v>
      </c>
      <c r="E31" s="129">
        <f>B31/P7</f>
        <v>-5.8965616721687972</v>
      </c>
      <c r="F31" s="58">
        <f>D31/P7</f>
        <v>-17.689685016506392</v>
      </c>
      <c r="G31" s="28">
        <f>S7/E31</f>
        <v>3.4094373417488359</v>
      </c>
      <c r="H31" s="8">
        <f>S7/F31</f>
        <v>1.1364791139162786</v>
      </c>
    </row>
    <row r="32" spans="1:8" x14ac:dyDescent="0.2">
      <c r="A32" s="265">
        <v>2</v>
      </c>
      <c r="B32" s="141">
        <f>C31</f>
        <v>3</v>
      </c>
      <c r="C32" s="140">
        <f>B32*$M$3</f>
        <v>9</v>
      </c>
      <c r="D32" s="142">
        <f>SUM($C$31:C32)</f>
        <v>12</v>
      </c>
      <c r="E32" s="112">
        <f t="shared" ref="E32:E40" si="10">B32/P8</f>
        <v>31.024155210552255</v>
      </c>
      <c r="F32" s="9">
        <f t="shared" ref="F32:F40" si="11">D32/P8</f>
        <v>124.09662084220902</v>
      </c>
      <c r="G32" s="112">
        <f t="shared" ref="G32:G40" si="12">S8/E32</f>
        <v>-2.1975300704495684</v>
      </c>
      <c r="H32" s="9">
        <f t="shared" ref="H32:H40" si="13">S8/F32</f>
        <v>-0.5493825176123921</v>
      </c>
    </row>
    <row r="33" spans="1:8" x14ac:dyDescent="0.2">
      <c r="A33" s="265">
        <v>3</v>
      </c>
      <c r="B33" s="141">
        <f t="shared" ref="B33:B40" si="14">C32</f>
        <v>9</v>
      </c>
      <c r="C33" s="140">
        <f t="shared" ref="C33:C40" si="15">B33*$M$3</f>
        <v>27</v>
      </c>
      <c r="D33" s="142">
        <f>SUM($C$31:C33)</f>
        <v>39</v>
      </c>
      <c r="E33" s="112">
        <f t="shared" si="10"/>
        <v>40.467835823770081</v>
      </c>
      <c r="F33" s="9">
        <f t="shared" si="11"/>
        <v>175.3606219030037</v>
      </c>
      <c r="G33" s="112">
        <f t="shared" si="12"/>
        <v>-3.530788797493404</v>
      </c>
      <c r="H33" s="9">
        <f t="shared" si="13"/>
        <v>-0.81479741480617007</v>
      </c>
    </row>
    <row r="34" spans="1:8" x14ac:dyDescent="0.2">
      <c r="A34" s="265">
        <v>4</v>
      </c>
      <c r="B34" s="141">
        <f t="shared" si="14"/>
        <v>27</v>
      </c>
      <c r="C34" s="140">
        <f t="shared" si="15"/>
        <v>81</v>
      </c>
      <c r="D34" s="142">
        <f>SUM($C$31:C34)</f>
        <v>120</v>
      </c>
      <c r="E34" s="112">
        <f t="shared" si="10"/>
        <v>92.365010933409138</v>
      </c>
      <c r="F34" s="9">
        <f t="shared" si="11"/>
        <v>410.51115970404061</v>
      </c>
      <c r="G34" s="112">
        <f t="shared" si="12"/>
        <v>-2.6773213236599149</v>
      </c>
      <c r="H34" s="9">
        <f t="shared" si="13"/>
        <v>-0.60239729782348084</v>
      </c>
    </row>
    <row r="35" spans="1:8" x14ac:dyDescent="0.2">
      <c r="A35" s="265">
        <v>5</v>
      </c>
      <c r="B35" s="141">
        <f t="shared" si="14"/>
        <v>81</v>
      </c>
      <c r="C35" s="140">
        <f t="shared" si="15"/>
        <v>243</v>
      </c>
      <c r="D35" s="142">
        <f>SUM($C$31:C35)</f>
        <v>363</v>
      </c>
      <c r="E35" s="112">
        <f t="shared" si="10"/>
        <v>241.94524206986566</v>
      </c>
      <c r="F35" s="9">
        <f t="shared" si="11"/>
        <v>1084.2731218686572</v>
      </c>
      <c r="G35" s="112">
        <f t="shared" si="12"/>
        <v>-1.590908235670728</v>
      </c>
      <c r="H35" s="9">
        <f t="shared" si="13"/>
        <v>-0.35499605258768313</v>
      </c>
    </row>
    <row r="36" spans="1:8" x14ac:dyDescent="0.2">
      <c r="A36" s="265">
        <v>6</v>
      </c>
      <c r="B36" s="141">
        <f t="shared" si="14"/>
        <v>243</v>
      </c>
      <c r="C36" s="140">
        <f t="shared" si="15"/>
        <v>729</v>
      </c>
      <c r="D36" s="142">
        <f>SUM($C$31:C36)</f>
        <v>1092</v>
      </c>
      <c r="E36" s="112">
        <f t="shared" si="10"/>
        <v>671.32430841758298</v>
      </c>
      <c r="F36" s="9">
        <f t="shared" si="11"/>
        <v>3016.8154106666693</v>
      </c>
      <c r="G36" s="112">
        <f t="shared" si="12"/>
        <v>-0.83274098942335306</v>
      </c>
      <c r="H36" s="9">
        <f t="shared" si="13"/>
        <v>-0.18530774764640548</v>
      </c>
    </row>
    <row r="37" spans="1:8" x14ac:dyDescent="0.2">
      <c r="A37" s="265">
        <v>7</v>
      </c>
      <c r="B37" s="141">
        <f t="shared" si="14"/>
        <v>729</v>
      </c>
      <c r="C37" s="140">
        <f t="shared" si="15"/>
        <v>2187</v>
      </c>
      <c r="D37" s="142">
        <f>SUM($C$31:C37)</f>
        <v>3279</v>
      </c>
      <c r="E37" s="112">
        <f t="shared" si="10"/>
        <v>1918.6157473386897</v>
      </c>
      <c r="F37" s="9">
        <f t="shared" si="11"/>
        <v>8629.8230939966579</v>
      </c>
      <c r="G37" s="112">
        <f t="shared" si="12"/>
        <v>-0.40264587797802731</v>
      </c>
      <c r="H37" s="9">
        <f t="shared" si="13"/>
        <v>-8.951779354863737E-2</v>
      </c>
    </row>
    <row r="38" spans="1:8" x14ac:dyDescent="0.2">
      <c r="A38" s="265">
        <v>8</v>
      </c>
      <c r="B38" s="141">
        <f t="shared" si="14"/>
        <v>2187</v>
      </c>
      <c r="C38" s="140">
        <f t="shared" si="15"/>
        <v>6561</v>
      </c>
      <c r="D38" s="142">
        <f>SUM($C$31:C38)</f>
        <v>9840</v>
      </c>
      <c r="E38" s="112">
        <f t="shared" si="10"/>
        <v>5577.2207009490276</v>
      </c>
      <c r="F38" s="9">
        <f t="shared" si="11"/>
        <v>25093.667900017572</v>
      </c>
      <c r="G38" s="112">
        <f t="shared" si="12"/>
        <v>-0.18426816071884078</v>
      </c>
      <c r="H38" s="9">
        <f t="shared" si="13"/>
        <v>-4.0954722306108214E-2</v>
      </c>
    </row>
    <row r="39" spans="1:8" x14ac:dyDescent="0.2">
      <c r="A39" s="265">
        <v>9</v>
      </c>
      <c r="B39" s="141">
        <f t="shared" si="14"/>
        <v>6561</v>
      </c>
      <c r="C39" s="140">
        <f t="shared" si="15"/>
        <v>19683</v>
      </c>
      <c r="D39" s="142">
        <f>SUM($C$31:C39)</f>
        <v>29523</v>
      </c>
      <c r="E39" s="112">
        <f t="shared" si="10"/>
        <v>16382.634012695029</v>
      </c>
      <c r="F39" s="9">
        <f t="shared" si="11"/>
        <v>73718.107598962859</v>
      </c>
      <c r="G39" s="112">
        <f t="shared" si="12"/>
        <v>-8.0964538711606054E-2</v>
      </c>
      <c r="H39" s="9">
        <f t="shared" si="13"/>
        <v>-1.7993033854515034E-2</v>
      </c>
    </row>
    <row r="40" spans="1:8" ht="17" thickBot="1" x14ac:dyDescent="0.25">
      <c r="A40" s="266">
        <v>10</v>
      </c>
      <c r="B40" s="143">
        <f t="shared" si="14"/>
        <v>19683</v>
      </c>
      <c r="C40" s="144">
        <f t="shared" si="15"/>
        <v>59049</v>
      </c>
      <c r="D40" s="145">
        <f>SUM($C$31:C40)</f>
        <v>88572</v>
      </c>
      <c r="E40" s="113">
        <f t="shared" si="10"/>
        <v>48447.060312823342</v>
      </c>
      <c r="F40" s="10">
        <f t="shared" si="11"/>
        <v>218008.07935921298</v>
      </c>
      <c r="G40" s="113">
        <f t="shared" si="12"/>
        <v>-3.447070724415309E-2</v>
      </c>
      <c r="H40" s="10">
        <f t="shared" si="13"/>
        <v>-7.6602868929985246E-3</v>
      </c>
    </row>
    <row r="41" spans="1:8" ht="17" thickBot="1" x14ac:dyDescent="0.25"/>
    <row r="42" spans="1:8" ht="17" thickBot="1" x14ac:dyDescent="0.25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">
      <c r="A43" s="264">
        <v>1</v>
      </c>
      <c r="B43" s="146">
        <v>1</v>
      </c>
      <c r="C43" s="150">
        <f>B43*$M$3</f>
        <v>3</v>
      </c>
      <c r="D43" s="151">
        <f>SUM(C43:C43)</f>
        <v>3</v>
      </c>
      <c r="E43" s="129">
        <f>B43/P7</f>
        <v>-5.8965616721687972</v>
      </c>
      <c r="F43" s="58">
        <f>D43/P7</f>
        <v>-17.689685016506392</v>
      </c>
      <c r="G43" s="28">
        <f>S7/E43</f>
        <v>3.4094373417488359</v>
      </c>
      <c r="H43" s="8">
        <f>S7/F43</f>
        <v>1.1364791139162786</v>
      </c>
    </row>
    <row r="44" spans="1:8" x14ac:dyDescent="0.2">
      <c r="A44" s="265">
        <v>2</v>
      </c>
      <c r="B44" s="141">
        <f>B43*$M$3*2</f>
        <v>6</v>
      </c>
      <c r="C44" s="140">
        <f>B44*$M$3</f>
        <v>18</v>
      </c>
      <c r="D44" s="142">
        <f>SUM($C$43:C44)</f>
        <v>21</v>
      </c>
      <c r="E44" s="112">
        <f t="shared" ref="E44:E52" si="16">B44/P8</f>
        <v>62.04831042110451</v>
      </c>
      <c r="F44" s="9">
        <f t="shared" ref="F44:F52" si="17">D44/P8</f>
        <v>217.1690864738658</v>
      </c>
      <c r="G44" s="112">
        <f t="shared" ref="G44:G52" si="18">S8/E44</f>
        <v>-1.0987650352247842</v>
      </c>
      <c r="H44" s="9">
        <f t="shared" ref="H44:H52" si="19">S8/F44</f>
        <v>-0.31393286720708119</v>
      </c>
    </row>
    <row r="45" spans="1:8" x14ac:dyDescent="0.2">
      <c r="A45" s="265">
        <v>3</v>
      </c>
      <c r="B45" s="141">
        <f t="shared" ref="B45:B52" si="20">B44*$M$3*2</f>
        <v>36</v>
      </c>
      <c r="C45" s="140">
        <f t="shared" ref="C45:C52" si="21">B45*$M$3</f>
        <v>108</v>
      </c>
      <c r="D45" s="142">
        <f>SUM($C$43:C45)</f>
        <v>129</v>
      </c>
      <c r="E45" s="112">
        <f t="shared" si="16"/>
        <v>161.87134329508032</v>
      </c>
      <c r="F45" s="9">
        <f t="shared" si="17"/>
        <v>580.03898014070455</v>
      </c>
      <c r="G45" s="112">
        <f t="shared" si="18"/>
        <v>-0.882697199373351</v>
      </c>
      <c r="H45" s="9">
        <f t="shared" si="19"/>
        <v>-0.24633410215070259</v>
      </c>
    </row>
    <row r="46" spans="1:8" x14ac:dyDescent="0.2">
      <c r="A46" s="265">
        <v>4</v>
      </c>
      <c r="B46" s="141">
        <f t="shared" si="20"/>
        <v>216</v>
      </c>
      <c r="C46" s="140">
        <f t="shared" si="21"/>
        <v>648</v>
      </c>
      <c r="D46" s="142">
        <f>SUM($C$43:C46)</f>
        <v>777</v>
      </c>
      <c r="E46" s="112">
        <f t="shared" si="16"/>
        <v>738.92008746727311</v>
      </c>
      <c r="F46" s="9">
        <f t="shared" si="17"/>
        <v>2658.0597590836633</v>
      </c>
      <c r="G46" s="112">
        <f t="shared" si="18"/>
        <v>-0.33466516545748937</v>
      </c>
      <c r="H46" s="9">
        <f t="shared" si="19"/>
        <v>-9.3034331710190085E-2</v>
      </c>
    </row>
    <row r="47" spans="1:8" x14ac:dyDescent="0.2">
      <c r="A47" s="265">
        <v>5</v>
      </c>
      <c r="B47" s="141">
        <f t="shared" si="20"/>
        <v>1296</v>
      </c>
      <c r="C47" s="140">
        <f t="shared" si="21"/>
        <v>3888</v>
      </c>
      <c r="D47" s="142">
        <f>SUM($C$43:C47)</f>
        <v>4665</v>
      </c>
      <c r="E47" s="112">
        <f t="shared" si="16"/>
        <v>3871.1238731178505</v>
      </c>
      <c r="F47" s="9">
        <f t="shared" si="17"/>
        <v>13934.253756245967</v>
      </c>
      <c r="G47" s="112">
        <f t="shared" si="18"/>
        <v>-9.9431764729420502E-2</v>
      </c>
      <c r="H47" s="9">
        <f t="shared" si="19"/>
        <v>-2.762348705023129E-2</v>
      </c>
    </row>
    <row r="48" spans="1:8" x14ac:dyDescent="0.2">
      <c r="A48" s="265">
        <v>6</v>
      </c>
      <c r="B48" s="141">
        <f t="shared" si="20"/>
        <v>7776</v>
      </c>
      <c r="C48" s="140">
        <f t="shared" si="21"/>
        <v>23328</v>
      </c>
      <c r="D48" s="142">
        <f>SUM($C$43:C48)</f>
        <v>27993</v>
      </c>
      <c r="E48" s="112">
        <f t="shared" si="16"/>
        <v>21482.377869362655</v>
      </c>
      <c r="F48" s="9">
        <f t="shared" si="17"/>
        <v>77334.902738820572</v>
      </c>
      <c r="G48" s="112">
        <f t="shared" si="18"/>
        <v>-2.6023155919479783E-2</v>
      </c>
      <c r="H48" s="9">
        <f t="shared" si="19"/>
        <v>-7.2288093605499528E-3</v>
      </c>
    </row>
    <row r="49" spans="1:8" x14ac:dyDescent="0.2">
      <c r="A49" s="265">
        <v>7</v>
      </c>
      <c r="B49" s="141">
        <f t="shared" si="20"/>
        <v>46656</v>
      </c>
      <c r="C49" s="140">
        <f t="shared" si="21"/>
        <v>139968</v>
      </c>
      <c r="D49" s="142">
        <f>SUM($C$43:C49)</f>
        <v>167961</v>
      </c>
      <c r="E49" s="112">
        <f t="shared" si="16"/>
        <v>122791.40782967614</v>
      </c>
      <c r="F49" s="9">
        <f t="shared" si="17"/>
        <v>442047.48907922313</v>
      </c>
      <c r="G49" s="112">
        <f t="shared" si="18"/>
        <v>-6.2913418434066767E-3</v>
      </c>
      <c r="H49" s="9">
        <f t="shared" si="19"/>
        <v>-1.747601199361649E-3</v>
      </c>
    </row>
    <row r="50" spans="1:8" x14ac:dyDescent="0.2">
      <c r="A50" s="265">
        <v>8</v>
      </c>
      <c r="B50" s="141">
        <f t="shared" si="20"/>
        <v>279936</v>
      </c>
      <c r="C50" s="140">
        <f t="shared" si="21"/>
        <v>839808</v>
      </c>
      <c r="D50" s="142">
        <f>SUM($C$43:C50)</f>
        <v>1007769</v>
      </c>
      <c r="E50" s="112">
        <f t="shared" si="16"/>
        <v>713884.24972147553</v>
      </c>
      <c r="F50" s="9">
        <f t="shared" si="17"/>
        <v>2569981.7688956107</v>
      </c>
      <c r="G50" s="112">
        <f t="shared" si="18"/>
        <v>-1.4395950056159436E-3</v>
      </c>
      <c r="H50" s="9">
        <f t="shared" si="19"/>
        <v>-3.9988773964281973E-4</v>
      </c>
    </row>
    <row r="51" spans="1:8" x14ac:dyDescent="0.2">
      <c r="A51" s="265">
        <v>9</v>
      </c>
      <c r="B51" s="141">
        <f t="shared" si="20"/>
        <v>1679616</v>
      </c>
      <c r="C51" s="140">
        <f t="shared" si="21"/>
        <v>5038848</v>
      </c>
      <c r="D51" s="142">
        <f>SUM($C$43:C51)</f>
        <v>6046617</v>
      </c>
      <c r="E51" s="112">
        <f t="shared" si="16"/>
        <v>4193954.3072499274</v>
      </c>
      <c r="F51" s="9">
        <f t="shared" si="17"/>
        <v>15098234.007916473</v>
      </c>
      <c r="G51" s="112">
        <f t="shared" si="18"/>
        <v>-3.1626772934221115E-4</v>
      </c>
      <c r="H51" s="9">
        <f t="shared" si="19"/>
        <v>-8.7852155756987317E-5</v>
      </c>
    </row>
    <row r="52" spans="1:8" ht="17" thickBot="1" x14ac:dyDescent="0.25">
      <c r="A52" s="266">
        <v>10</v>
      </c>
      <c r="B52" s="143">
        <f t="shared" si="20"/>
        <v>10077696</v>
      </c>
      <c r="C52" s="144">
        <f t="shared" si="21"/>
        <v>30233088</v>
      </c>
      <c r="D52" s="145">
        <f>SUM($C$43:C52)</f>
        <v>36279705</v>
      </c>
      <c r="E52" s="113">
        <f t="shared" si="16"/>
        <v>24804894.880165551</v>
      </c>
      <c r="F52" s="10">
        <f t="shared" si="17"/>
        <v>89297620.09177658</v>
      </c>
      <c r="G52" s="113">
        <f t="shared" si="18"/>
        <v>-6.7325600086236504E-5</v>
      </c>
      <c r="H52" s="10">
        <f t="shared" si="19"/>
        <v>-1.8701555888799685E-5</v>
      </c>
    </row>
  </sheetData>
  <conditionalFormatting sqref="O7:O16">
    <cfRule type="cellIs" dxfId="383" priority="27" operator="lessThanOrEqual">
      <formula>0</formula>
    </cfRule>
    <cfRule type="cellIs" dxfId="382" priority="28" operator="greaterThan">
      <formula>0</formula>
    </cfRule>
  </conditionalFormatting>
  <conditionalFormatting sqref="P7:P16 S7:S16">
    <cfRule type="cellIs" dxfId="381" priority="25" operator="lessThanOrEqual">
      <formula>0</formula>
    </cfRule>
    <cfRule type="cellIs" dxfId="380" priority="26" operator="greaterThan">
      <formula>0</formula>
    </cfRule>
  </conditionalFormatting>
  <conditionalFormatting sqref="G43:G52">
    <cfRule type="cellIs" dxfId="379" priority="24" operator="equal">
      <formula>MAX($G$43:$G$52)</formula>
    </cfRule>
  </conditionalFormatting>
  <conditionalFormatting sqref="H43:H52">
    <cfRule type="cellIs" dxfId="378" priority="23" operator="equal">
      <formula>MAX($H$43:$H$52)</formula>
    </cfRule>
  </conditionalFormatting>
  <conditionalFormatting sqref="G31:G40">
    <cfRule type="cellIs" dxfId="377" priority="22" operator="equal">
      <formula>MAX($G$31:$G$40)</formula>
    </cfRule>
  </conditionalFormatting>
  <conditionalFormatting sqref="H31:H40">
    <cfRule type="cellIs" dxfId="376" priority="21" operator="equal">
      <formula>MAX($H$31:$H$40)</formula>
    </cfRule>
  </conditionalFormatting>
  <conditionalFormatting sqref="G19:G28">
    <cfRule type="cellIs" dxfId="375" priority="1" operator="lessThanOrEqual">
      <formula>0</formula>
    </cfRule>
    <cfRule type="cellIs" dxfId="374" priority="20" operator="equal">
      <formula>MAX($G$19:$G$28)</formula>
    </cfRule>
  </conditionalFormatting>
  <conditionalFormatting sqref="H19:H28">
    <cfRule type="cellIs" dxfId="373" priority="2" operator="lessThanOrEqual">
      <formula>0</formula>
    </cfRule>
    <cfRule type="cellIs" dxfId="372" priority="19" operator="equal">
      <formula>MAX($H$19:$H$28)</formula>
    </cfRule>
  </conditionalFormatting>
  <conditionalFormatting sqref="F19:F28">
    <cfRule type="cellIs" dxfId="371" priority="17" stopIfTrue="1" operator="lessThan">
      <formula>0</formula>
    </cfRule>
    <cfRule type="cellIs" dxfId="370" priority="18" operator="equal">
      <formula>MIN($F$19:$F$28)</formula>
    </cfRule>
  </conditionalFormatting>
  <conditionalFormatting sqref="E19:E28">
    <cfRule type="cellIs" dxfId="369" priority="15" stopIfTrue="1" operator="lessThan">
      <formula>0</formula>
    </cfRule>
    <cfRule type="cellIs" dxfId="368" priority="16" operator="equal">
      <formula>MIN($E$19:$E$28)</formula>
    </cfRule>
  </conditionalFormatting>
  <conditionalFormatting sqref="F31:F40">
    <cfRule type="cellIs" dxfId="367" priority="13" stopIfTrue="1" operator="lessThan">
      <formula>0</formula>
    </cfRule>
    <cfRule type="cellIs" dxfId="366" priority="14" operator="equal">
      <formula>MIN($F$31:$F$40)</formula>
    </cfRule>
  </conditionalFormatting>
  <conditionalFormatting sqref="E31:E40">
    <cfRule type="cellIs" dxfId="365" priority="11" stopIfTrue="1" operator="lessThan">
      <formula>0</formula>
    </cfRule>
    <cfRule type="cellIs" dxfId="364" priority="12" operator="equal">
      <formula>MIN($E$31:$E$40)</formula>
    </cfRule>
  </conditionalFormatting>
  <conditionalFormatting sqref="F43:F52">
    <cfRule type="cellIs" dxfId="363" priority="9" stopIfTrue="1" operator="lessThan">
      <formula>0</formula>
    </cfRule>
    <cfRule type="cellIs" dxfId="362" priority="10" operator="equal">
      <formula>MIN($F$43:$F$52)</formula>
    </cfRule>
  </conditionalFormatting>
  <conditionalFormatting sqref="E43:E52">
    <cfRule type="cellIs" dxfId="361" priority="7" stopIfTrue="1" operator="lessThan">
      <formula>0</formula>
    </cfRule>
    <cfRule type="cellIs" dxfId="360" priority="8" operator="equal">
      <formula>MIN($E$43:$E$52)</formula>
    </cfRule>
  </conditionalFormatting>
  <conditionalFormatting sqref="Q7:Q16">
    <cfRule type="cellIs" dxfId="359" priority="5" operator="lessThanOrEqual">
      <formula>0</formula>
    </cfRule>
    <cfRule type="cellIs" dxfId="358" priority="6" operator="greaterThan">
      <formula>0</formula>
    </cfRule>
  </conditionalFormatting>
  <conditionalFormatting sqref="R7:R16">
    <cfRule type="cellIs" dxfId="357" priority="3" operator="lessThanOrEqual">
      <formula>0</formula>
    </cfRule>
    <cfRule type="cellIs" dxfId="356" priority="4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U52"/>
  <sheetViews>
    <sheetView topLeftCell="A25" workbookViewId="0">
      <selection activeCell="B43" sqref="B43:D5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1" x14ac:dyDescent="0.2">
      <c r="B1" s="202"/>
      <c r="C1" t="s">
        <v>99</v>
      </c>
      <c r="D1">
        <f>C2+E2</f>
        <v>0.99999999999999711</v>
      </c>
    </row>
    <row r="2" spans="1:21" x14ac:dyDescent="0.2">
      <c r="A2" t="s">
        <v>40</v>
      </c>
      <c r="B2" s="201" t="s">
        <v>129</v>
      </c>
      <c r="C2" s="222">
        <f>Analysis!B32</f>
        <v>0.422581099377692</v>
      </c>
      <c r="D2" s="199" t="s">
        <v>130</v>
      </c>
      <c r="E2" s="222">
        <f>Analysis!K32</f>
        <v>0.57741890062230516</v>
      </c>
      <c r="F2" s="199" t="s">
        <v>49</v>
      </c>
      <c r="G2" s="222">
        <f>Analysis!S32</f>
        <v>19.857608766888934</v>
      </c>
      <c r="H2" t="s">
        <v>163</v>
      </c>
      <c r="I2" s="238">
        <f>Analysis!T32</f>
        <v>63.22431849813519</v>
      </c>
      <c r="J2" t="s">
        <v>50</v>
      </c>
      <c r="K2" s="238">
        <f>C2*G2-E2*I2</f>
        <v>-28.115466336063669</v>
      </c>
      <c r="L2" t="s">
        <v>49</v>
      </c>
      <c r="M2" s="267">
        <v>2</v>
      </c>
    </row>
    <row r="3" spans="1:21" x14ac:dyDescent="0.2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3</v>
      </c>
    </row>
    <row r="4" spans="1:21" x14ac:dyDescent="0.2">
      <c r="A4" t="s">
        <v>127</v>
      </c>
      <c r="B4" s="202">
        <f>$C$2</f>
        <v>0.422581099377692</v>
      </c>
      <c r="C4">
        <f>B4*$C$2</f>
        <v>0.1785747855512588</v>
      </c>
      <c r="D4">
        <f t="shared" ref="D4:K4" si="0">C4*$C$2</f>
        <v>7.546232919938653E-2</v>
      </c>
      <c r="E4">
        <f t="shared" si="0"/>
        <v>3.188895403467807E-2</v>
      </c>
      <c r="F4">
        <f t="shared" si="0"/>
        <v>1.3475669253978946E-2</v>
      </c>
      <c r="G4">
        <f t="shared" si="0"/>
        <v>5.6945631281965859E-3</v>
      </c>
      <c r="H4">
        <f t="shared" si="0"/>
        <v>2.4064147471889821E-3</v>
      </c>
      <c r="I4">
        <f t="shared" si="0"/>
        <v>1.0169053894258108E-3</v>
      </c>
      <c r="J4">
        <f t="shared" si="0"/>
        <v>4.2972499742665915E-4</v>
      </c>
      <c r="K4">
        <f t="shared" si="0"/>
        <v>1.8159366184263348E-4</v>
      </c>
    </row>
    <row r="5" spans="1:21" ht="17" thickBot="1" x14ac:dyDescent="0.25">
      <c r="A5" t="s">
        <v>128</v>
      </c>
      <c r="B5" s="202">
        <f>$E$2</f>
        <v>0.57741890062230516</v>
      </c>
      <c r="C5">
        <f>B5*$E$2</f>
        <v>0.33341258679587155</v>
      </c>
      <c r="D5">
        <f t="shared" ref="D5:K5" si="1">C5*$E$2</f>
        <v>0.19251872932131106</v>
      </c>
      <c r="E5">
        <f t="shared" si="1"/>
        <v>0.11116395303391458</v>
      </c>
      <c r="F5">
        <f t="shared" si="1"/>
        <v>6.418816754967252E-2</v>
      </c>
      <c r="G5">
        <f t="shared" si="1"/>
        <v>3.7063461139492229E-2</v>
      </c>
      <c r="H5">
        <f t="shared" si="1"/>
        <v>2.1401142984423131E-2</v>
      </c>
      <c r="I5">
        <f t="shared" si="1"/>
        <v>1.2357424454126364E-2</v>
      </c>
      <c r="J5">
        <f t="shared" si="1"/>
        <v>7.1354104428248341E-3</v>
      </c>
      <c r="K5">
        <f t="shared" si="1"/>
        <v>4.1201208533848312E-3</v>
      </c>
    </row>
    <row r="6" spans="1:21" ht="17" thickBot="1" x14ac:dyDescent="0.25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">
      <c r="A7" s="208">
        <v>1</v>
      </c>
      <c r="B7" s="114">
        <f>C7*B4</f>
        <v>0.422581099377692</v>
      </c>
      <c r="C7" s="114">
        <v>1</v>
      </c>
      <c r="D7" s="212">
        <f>C7*B5</f>
        <v>0.57741890062230516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0.99999999999999711</v>
      </c>
      <c r="O7" s="114">
        <f>B7/(B7+D7)</f>
        <v>0.42258109937769323</v>
      </c>
      <c r="P7" s="129">
        <f>B7-D7</f>
        <v>-0.15483780124461316</v>
      </c>
      <c r="Q7" s="129">
        <f>($G$2*SUM(C7))*B7</f>
        <v>8.3914501437240201</v>
      </c>
      <c r="R7" s="58">
        <f>($I$2*SUM(C7))*D7*COUNT(D7:M7)</f>
        <v>36.506916479787691</v>
      </c>
      <c r="S7" s="58">
        <f>Q7-R7</f>
        <v>-28.115466336063669</v>
      </c>
      <c r="T7" s="129">
        <f>(S7+U7*D7)/B7</f>
        <v>-65.166301748930266</v>
      </c>
      <c r="U7" s="58">
        <f t="shared" ref="U7:U16" si="2">COUNT(D7:M7)</f>
        <v>1</v>
      </c>
    </row>
    <row r="8" spans="1:21" x14ac:dyDescent="0.2">
      <c r="A8" s="209">
        <v>2</v>
      </c>
      <c r="B8" s="116">
        <f>C8*B4</f>
        <v>0.55897437651439852</v>
      </c>
      <c r="C8" s="116">
        <f>1/(1-B4*B5)</f>
        <v>1.3227623699629825</v>
      </c>
      <c r="D8" s="194">
        <f>C8*B5</f>
        <v>0.76378799344858028</v>
      </c>
      <c r="E8" s="1">
        <f>D8*B5</f>
        <v>0.44102562348559565</v>
      </c>
      <c r="F8" s="1"/>
      <c r="G8" s="1"/>
      <c r="H8" s="1"/>
      <c r="I8" s="1"/>
      <c r="J8" s="1"/>
      <c r="K8" s="1"/>
      <c r="L8" s="1"/>
      <c r="M8" s="9"/>
      <c r="N8">
        <f>B8+E8</f>
        <v>0.99999999999999423</v>
      </c>
      <c r="O8" s="116">
        <f>B8/(B8+E8)</f>
        <v>0.55897437651440174</v>
      </c>
      <c r="P8" s="112">
        <f>B8-E8</f>
        <v>0.11794875302880287</v>
      </c>
      <c r="Q8" s="112">
        <f>($G$2*SUM(C8:D8))*B8</f>
        <v>23.160488860111258</v>
      </c>
      <c r="R8" s="9">
        <f>($I$2*SUM(C8:D8))*E8*COUNT(D8:M8)</f>
        <v>116.36083975714219</v>
      </c>
      <c r="S8" s="9">
        <f t="shared" ref="S8:S16" si="3">Q8-R8</f>
        <v>-93.20035089703093</v>
      </c>
      <c r="T8" s="112">
        <f>(S8+U8*E8)/B8</f>
        <v>-165.15658593463584</v>
      </c>
      <c r="U8" s="9">
        <f t="shared" si="2"/>
        <v>2</v>
      </c>
    </row>
    <row r="9" spans="1:21" x14ac:dyDescent="0.2">
      <c r="A9" s="209">
        <v>3</v>
      </c>
      <c r="B9" s="116">
        <f>C9*B4</f>
        <v>0.6239775828088493</v>
      </c>
      <c r="C9" s="216">
        <f>1/(1-B5*B4/(1-B5*B4))</f>
        <v>1.4765865859304663</v>
      </c>
      <c r="D9" s="217">
        <f>C9*B5*C8</f>
        <v>1.1277991056209205</v>
      </c>
      <c r="E9" s="218">
        <f>D9*(B5)</f>
        <v>0.65121251969045091</v>
      </c>
      <c r="F9" s="218">
        <f>E9*B5</f>
        <v>0.37602241719114143</v>
      </c>
      <c r="G9" s="218"/>
      <c r="H9" s="218"/>
      <c r="I9" s="218"/>
      <c r="J9" s="218"/>
      <c r="K9" s="218"/>
      <c r="L9" s="218"/>
      <c r="M9" s="219"/>
      <c r="N9">
        <f>B9+F9</f>
        <v>0.99999999999999067</v>
      </c>
      <c r="O9" s="116">
        <f>B9/(B9+F9)</f>
        <v>0.62397758280885507</v>
      </c>
      <c r="P9" s="112">
        <f>B9-F9</f>
        <v>0.24795516561770786</v>
      </c>
      <c r="Q9" s="112">
        <f>($G$2*SUM(C9:E9))*B9</f>
        <v>40.339149607117548</v>
      </c>
      <c r="R9" s="9">
        <f>($I$2*SUM(C9:E9))*F9*COUNT(D9:M9)</f>
        <v>232.19344201197799</v>
      </c>
      <c r="S9" s="9">
        <f t="shared" si="3"/>
        <v>-191.85429240486044</v>
      </c>
      <c r="T9" s="112">
        <f>(S9+U9*F9)/B9</f>
        <v>-305.66198275061197</v>
      </c>
      <c r="U9" s="9">
        <f t="shared" si="2"/>
        <v>3</v>
      </c>
    </row>
    <row r="10" spans="1:21" x14ac:dyDescent="0.2">
      <c r="A10" s="209">
        <v>4</v>
      </c>
      <c r="B10" s="116">
        <f>C10*B4</f>
        <v>0.6605889545202569</v>
      </c>
      <c r="C10" s="116">
        <f>1/(1-B5*B4/(1-B5*B4/(1-B5*B4)))</f>
        <v>1.5632240899866647</v>
      </c>
      <c r="D10" s="194">
        <f>C10*B5*C9</f>
        <v>1.3328189330192206</v>
      </c>
      <c r="E10" s="1">
        <f>D10*B5*C8</f>
        <v>1.0179910984810281</v>
      </c>
      <c r="F10" s="1">
        <f>E10*B5</f>
        <v>0.58780730092820799</v>
      </c>
      <c r="G10" s="1">
        <f>F10*B5</f>
        <v>0.33941104547973033</v>
      </c>
      <c r="H10" s="1"/>
      <c r="I10" s="1"/>
      <c r="J10" s="1"/>
      <c r="K10" s="1"/>
      <c r="L10" s="1"/>
      <c r="M10" s="9"/>
      <c r="N10">
        <f>B10+G10</f>
        <v>0.99999999999998723</v>
      </c>
      <c r="O10" s="116">
        <f>B10/(B10+G10)</f>
        <v>0.66058895452026534</v>
      </c>
      <c r="P10" s="112">
        <f>B10-G10</f>
        <v>0.32117790904052657</v>
      </c>
      <c r="Q10" s="112">
        <f>($G$2*SUM(C10:F10))*B10</f>
        <v>59.053881823807401</v>
      </c>
      <c r="R10" s="9">
        <f>($I$2*SUM(C10:F10))*G10*COUNT(D10:M10)</f>
        <v>386.42063731194918</v>
      </c>
      <c r="S10" s="9">
        <f t="shared" si="3"/>
        <v>-327.36675548814179</v>
      </c>
      <c r="T10" s="112">
        <f>(S10+U10*G10)/B10</f>
        <v>-493.51281016041543</v>
      </c>
      <c r="U10" s="9">
        <f t="shared" si="2"/>
        <v>4</v>
      </c>
    </row>
    <row r="11" spans="1:21" x14ac:dyDescent="0.2">
      <c r="A11" s="209">
        <v>5</v>
      </c>
      <c r="B11" s="116">
        <f>C11*B4</f>
        <v>0.68316532108544348</v>
      </c>
      <c r="C11" s="116">
        <f>1/(1-B5*B4/(1-B5*B4/(1-B5*B4/(1-B5*B4))))</f>
        <v>1.6166490221439083</v>
      </c>
      <c r="D11" s="194">
        <f>C11*B5*C10</f>
        <v>1.4592442091044953</v>
      </c>
      <c r="E11" s="1">
        <f>D11*B5*C9</f>
        <v>1.24416475043557</v>
      </c>
      <c r="F11" s="1">
        <f>E11*B5*C8</f>
        <v>0.9502780982546376</v>
      </c>
      <c r="G11" s="1">
        <f>F11*B5</f>
        <v>0.54870853477964776</v>
      </c>
      <c r="H11" s="1">
        <f>G11*B5</f>
        <v>0.31683467891454009</v>
      </c>
      <c r="I11" s="1"/>
      <c r="J11" s="1"/>
      <c r="K11" s="1"/>
      <c r="L11" s="1"/>
      <c r="M11" s="9"/>
      <c r="N11">
        <f>B11+H11</f>
        <v>0.99999999999998357</v>
      </c>
      <c r="O11" s="116">
        <f>B11/(B11+H11)</f>
        <v>0.68316532108545469</v>
      </c>
      <c r="P11" s="112">
        <f>B11-H11</f>
        <v>0.36633064217090339</v>
      </c>
      <c r="Q11" s="112">
        <f>($G$2*SUM(C11:G11))*B11</f>
        <v>78.941331889787392</v>
      </c>
      <c r="R11" s="9">
        <f>($I$2*SUM(C11:G11))*H11*COUNT(D11:M11)</f>
        <v>582.82551879289986</v>
      </c>
      <c r="S11" s="9">
        <f t="shared" si="3"/>
        <v>-503.88418690311244</v>
      </c>
      <c r="T11" s="112">
        <f>(S11+U11*H11)/B11</f>
        <v>-735.25396855692725</v>
      </c>
      <c r="U11" s="9">
        <f t="shared" si="2"/>
        <v>5</v>
      </c>
    </row>
    <row r="12" spans="1:21" x14ac:dyDescent="0.2">
      <c r="A12" s="209">
        <v>6</v>
      </c>
      <c r="B12" s="116">
        <f>C12*B4</f>
        <v>0.69787275934251936</v>
      </c>
      <c r="C12" s="116">
        <f>1/(1-B5*B4/(1-B5*B4/(1-B5*B4/(1-B5*B4/(1-B5*B4)))))</f>
        <v>1.6514528462589351</v>
      </c>
      <c r="D12" s="194">
        <f>C12*B5*C11</f>
        <v>1.5416043150493191</v>
      </c>
      <c r="E12" s="1">
        <f>D12*B5*C10</f>
        <v>1.391506219750134</v>
      </c>
      <c r="F12" s="1">
        <f>E12*B5*C9</f>
        <v>1.1864107308586855</v>
      </c>
      <c r="G12" s="1">
        <f>F12*B5*C8</f>
        <v>0.906166271528419</v>
      </c>
      <c r="H12" s="1">
        <f>G12*B5</f>
        <v>0.52323753228695302</v>
      </c>
      <c r="I12" s="1">
        <f>H12*B5</f>
        <v>0.30212724065746033</v>
      </c>
      <c r="J12" s="1"/>
      <c r="K12" s="1"/>
      <c r="L12" s="1"/>
      <c r="M12" s="9"/>
      <c r="N12">
        <f>B12+I12</f>
        <v>0.99999999999997968</v>
      </c>
      <c r="O12" s="116">
        <f>B12/(B12+I12)</f>
        <v>0.69787275934253357</v>
      </c>
      <c r="P12" s="112">
        <f>B12-I12</f>
        <v>0.39574551868505903</v>
      </c>
      <c r="Q12" s="112">
        <f>($G$2*SUM(C12:H12))*B12</f>
        <v>99.783443601519309</v>
      </c>
      <c r="R12" s="9">
        <f>($I$2*SUM(C12:H12))*I12*COUNT(D12:M12)</f>
        <v>825.24059325976555</v>
      </c>
      <c r="S12" s="9">
        <f t="shared" si="3"/>
        <v>-725.45714965824618</v>
      </c>
      <c r="T12" s="112">
        <f>(S12+U12*I12)/B12</f>
        <v>-1036.9288334109244</v>
      </c>
      <c r="U12" s="9">
        <f t="shared" si="2"/>
        <v>6</v>
      </c>
    </row>
    <row r="13" spans="1:21" x14ac:dyDescent="0.2">
      <c r="A13" s="209">
        <v>7</v>
      </c>
      <c r="B13" s="116">
        <f>C13*B4</f>
        <v>0.70779944860334731</v>
      </c>
      <c r="C13" s="216">
        <f>1/(1-B5*B4/(1-B5*B4/(1-B5*B4/(1-B5*B4/(1-B5*B4/(1-B5*B4))))))</f>
        <v>1.6749434597185677</v>
      </c>
      <c r="D13" s="217">
        <f>C13*B5*C12</f>
        <v>1.597192729898506</v>
      </c>
      <c r="E13" s="218">
        <f>D13*B5*C11</f>
        <v>1.4909533808093229</v>
      </c>
      <c r="F13" s="218">
        <f>E13*B5*C10</f>
        <v>1.3457869068609154</v>
      </c>
      <c r="G13" s="218">
        <f>F13*B5*C9</f>
        <v>1.1474300330728038</v>
      </c>
      <c r="H13" s="218">
        <f>G13*B5*C8</f>
        <v>0.87639328258331484</v>
      </c>
      <c r="I13" s="218">
        <f>H13*B5</f>
        <v>0.50604604574203083</v>
      </c>
      <c r="J13" s="218">
        <f>I13*B5</f>
        <v>0.29220055139662821</v>
      </c>
      <c r="K13" s="218"/>
      <c r="L13" s="218"/>
      <c r="M13" s="219"/>
      <c r="N13">
        <f>B13+J13</f>
        <v>0.99999999999997558</v>
      </c>
      <c r="O13" s="116">
        <f>B13/(B13+J13)</f>
        <v>0.70779944860336463</v>
      </c>
      <c r="P13" s="112">
        <f>B13-J13</f>
        <v>0.41559889720671911</v>
      </c>
      <c r="Q13" s="112">
        <f>($G$2*SUM(C13:I13))*B13</f>
        <v>121.41933969538553</v>
      </c>
      <c r="R13" s="9">
        <f>($I$2*SUM(C13:I13))*J13*COUNT(D13:M13)</f>
        <v>1117.1562631392499</v>
      </c>
      <c r="S13" s="9">
        <f t="shared" si="3"/>
        <v>-995.73692344386427</v>
      </c>
      <c r="T13" s="112">
        <f>(S13+U13*J13)/B13</f>
        <v>-1403.9167755002807</v>
      </c>
      <c r="U13" s="9">
        <f t="shared" si="2"/>
        <v>7</v>
      </c>
    </row>
    <row r="14" spans="1:21" x14ac:dyDescent="0.2">
      <c r="A14" s="209">
        <v>8</v>
      </c>
      <c r="B14" s="116">
        <f>C14*B4</f>
        <v>0.71466057465661692</v>
      </c>
      <c r="C14" s="116">
        <f>1/(1-B5*B4/(1-B5*B4/(1-B5*B4/(1-B5*B4/(1-B5*B4/(1-B5*B4/(1-B5*B4)))))))</f>
        <v>1.6911796947593054</v>
      </c>
      <c r="D14" s="194">
        <f>C14*B5*C13</f>
        <v>1.6356143135061205</v>
      </c>
      <c r="E14" s="1">
        <f>D14*B5*C12</f>
        <v>1.5596892392348922</v>
      </c>
      <c r="F14" s="1">
        <f>E14*B5*C11</f>
        <v>1.4559444835420414</v>
      </c>
      <c r="G14" s="1">
        <f>F14*B5*C10</f>
        <v>1.3141866461335332</v>
      </c>
      <c r="H14" s="1">
        <f>G14*B5*C9</f>
        <v>1.1204873662756474</v>
      </c>
      <c r="I14" s="1">
        <f>H14*B5*C8</f>
        <v>0.85581479717216113</v>
      </c>
      <c r="J14" s="1">
        <f>I14*B5</f>
        <v>0.49416363931945034</v>
      </c>
      <c r="K14" s="1">
        <f>J14*B5</f>
        <v>0.28533942534335432</v>
      </c>
      <c r="L14" s="1"/>
      <c r="M14" s="9"/>
      <c r="N14">
        <f>B14+K14</f>
        <v>0.99999999999997125</v>
      </c>
      <c r="O14" s="116">
        <f>B14/(B14+K14)</f>
        <v>0.71466057465663746</v>
      </c>
      <c r="P14" s="112">
        <f>B14-K14</f>
        <v>0.4293211493132626</v>
      </c>
      <c r="Q14" s="112">
        <f>($G$2*SUM(C14:J14))*B14</f>
        <v>143.71795295793956</v>
      </c>
      <c r="R14" s="9">
        <f>($I$2*SUM(C14:J14))*K14*COUNT(D14:M14)</f>
        <v>1461.5718654179702</v>
      </c>
      <c r="S14" s="9">
        <f t="shared" si="3"/>
        <v>-1317.8539124600306</v>
      </c>
      <c r="T14" s="112">
        <f>(S14+U14*K14)/B14</f>
        <v>-1840.833598088708</v>
      </c>
      <c r="U14" s="9">
        <f t="shared" si="2"/>
        <v>8</v>
      </c>
    </row>
    <row r="15" spans="1:21" x14ac:dyDescent="0.2">
      <c r="A15" s="209">
        <v>9</v>
      </c>
      <c r="B15" s="116">
        <f>C15*B4</f>
        <v>0.71948111306240015</v>
      </c>
      <c r="C15" s="116">
        <f>1/(1-B5*B4/(1-B5*B4/(1-B5*B4/(1-B5*B4/(1-B5*B4/(1-B5*B4/(1-B5*B4/(1-B5*B4))))))))</f>
        <v>1.7025870634581945</v>
      </c>
      <c r="D15" s="194">
        <f>C15*B5*C14</f>
        <v>1.6626088211064083</v>
      </c>
      <c r="E15" s="1">
        <f>D15*B5*C13</f>
        <v>1.6079821641603917</v>
      </c>
      <c r="F15" s="1">
        <f>E15*B5*C12</f>
        <v>1.5333397718601052</v>
      </c>
      <c r="G15" s="1">
        <f>F15*B5*C11</f>
        <v>1.431347685216106</v>
      </c>
      <c r="H15" s="1">
        <f>G15*B5*C10</f>
        <v>1.2919847117445629</v>
      </c>
      <c r="I15" s="1">
        <f>H15*B5*C9</f>
        <v>1.1015577971288961</v>
      </c>
      <c r="J15" s="1">
        <f>I15*B5*C8</f>
        <v>0.8413566195367177</v>
      </c>
      <c r="K15" s="1">
        <f>J15*B5</f>
        <v>0.48581521428419061</v>
      </c>
      <c r="L15" s="1">
        <f>K15*B5</f>
        <v>0.28051888693756694</v>
      </c>
      <c r="M15" s="9"/>
      <c r="N15">
        <f>B15+L15</f>
        <v>0.99999999999996714</v>
      </c>
      <c r="O15" s="116">
        <f>B15/(B15+L15)</f>
        <v>0.71948111306242379</v>
      </c>
      <c r="P15" s="112">
        <f>B15-L15</f>
        <v>0.43896222612483321</v>
      </c>
      <c r="Q15" s="112">
        <f>($G$2*SUM(C15:K15))*B15</f>
        <v>166.56816423216404</v>
      </c>
      <c r="R15" s="9">
        <f>($I$2*SUM(C15:K15))*L15*COUNT(D15:M15)</f>
        <v>1860.9488002348762</v>
      </c>
      <c r="S15" s="9">
        <f t="shared" si="3"/>
        <v>-1694.3806360027122</v>
      </c>
      <c r="T15" s="112">
        <f>(S15+U15*L15)/B15</f>
        <v>-2351.4946192528341</v>
      </c>
      <c r="U15" s="9">
        <f t="shared" si="2"/>
        <v>9</v>
      </c>
    </row>
    <row r="16" spans="1:21" ht="17" thickBot="1" x14ac:dyDescent="0.25">
      <c r="A16" s="210">
        <v>10</v>
      </c>
      <c r="B16" s="195">
        <f>C16*B4</f>
        <v>0.72290704181765419</v>
      </c>
      <c r="C16" s="195">
        <f>1/(1-B5*B4/(1-B5*B4/(1-B5*B4/(1-B5*B4/(1-B5*B4/(1-B5*B4/(1-B5*B4/(1-B5*B4/(1-B5*B4)))))))))</f>
        <v>1.7106942143939539</v>
      </c>
      <c r="D16" s="213">
        <f>C16*B5*C15</f>
        <v>1.6817936614783469</v>
      </c>
      <c r="E16" s="131">
        <f>D16*B5*C14</f>
        <v>1.6423036665011062</v>
      </c>
      <c r="F16" s="131">
        <f>E16*B5*C13</f>
        <v>1.5883441554891053</v>
      </c>
      <c r="G16" s="131">
        <f>F16*B5*C12</f>
        <v>1.5146133578444747</v>
      </c>
      <c r="H16" s="131">
        <f>G16*B5*C11</f>
        <v>1.4138668829532421</v>
      </c>
      <c r="I16" s="131">
        <f>H16*B5*C10</f>
        <v>1.2762059254259612</v>
      </c>
      <c r="J16" s="131">
        <f>I16*B5*C9</f>
        <v>1.0881046618553241</v>
      </c>
      <c r="K16" s="131">
        <f>J16*B5*C8</f>
        <v>0.83108127634052387</v>
      </c>
      <c r="L16" s="131">
        <f>K16*B5</f>
        <v>0.4798820369123275</v>
      </c>
      <c r="M16" s="10">
        <f>L16*B5</f>
        <v>0.27709295818230861</v>
      </c>
      <c r="N16">
        <f>B16+M16</f>
        <v>0.99999999999996281</v>
      </c>
      <c r="O16" s="195">
        <f>B16/(B16+M16)</f>
        <v>0.72290704181768106</v>
      </c>
      <c r="P16" s="113">
        <f>B16-M16</f>
        <v>0.44581408363534558</v>
      </c>
      <c r="Q16" s="113">
        <f>($G$2*SUM(C16:L16))*B16</f>
        <v>189.87471794815318</v>
      </c>
      <c r="R16" s="10">
        <f>($I$2*SUM(C16:L16))*M16*COUNT(D16:M16)</f>
        <v>2317.2206088484672</v>
      </c>
      <c r="S16" s="10">
        <f t="shared" si="3"/>
        <v>-2127.3458909003139</v>
      </c>
      <c r="T16" s="113">
        <f>(S16+U16*M16)/B16</f>
        <v>-2938.9324469388594</v>
      </c>
      <c r="U16" s="10">
        <f t="shared" si="2"/>
        <v>10</v>
      </c>
    </row>
    <row r="17" spans="1:8" ht="17" thickBot="1" x14ac:dyDescent="0.25"/>
    <row r="18" spans="1:8" ht="17" thickBot="1" x14ac:dyDescent="0.25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">
      <c r="A19" s="264">
        <v>1</v>
      </c>
      <c r="B19" s="146">
        <v>1</v>
      </c>
      <c r="C19" s="150">
        <f>B19*$M$3</f>
        <v>3</v>
      </c>
      <c r="D19" s="151">
        <f>SUM($C$19:C19)</f>
        <v>3</v>
      </c>
      <c r="E19" s="9">
        <f>B19/P7</f>
        <v>-6.4583712243510707</v>
      </c>
      <c r="F19" s="9">
        <f>D19/P7</f>
        <v>-19.37511367305321</v>
      </c>
      <c r="G19" s="28">
        <f>S7/E19</f>
        <v>4.3533369884430382</v>
      </c>
      <c r="H19" s="8">
        <f>S7/F19</f>
        <v>1.4511123294810129</v>
      </c>
    </row>
    <row r="20" spans="1:8" x14ac:dyDescent="0.2">
      <c r="A20" s="265">
        <v>2</v>
      </c>
      <c r="B20" s="141">
        <f>B19*($M$3+1)</f>
        <v>4</v>
      </c>
      <c r="C20" s="140">
        <f>B20*$M$3</f>
        <v>12</v>
      </c>
      <c r="D20" s="142">
        <f>SUM($C$19:C20)</f>
        <v>15</v>
      </c>
      <c r="E20" s="9">
        <f t="shared" ref="E20:E28" si="4">B20/P8</f>
        <v>33.913033391910531</v>
      </c>
      <c r="F20" s="9">
        <f t="shared" ref="F20:F28" si="5">D20/P8</f>
        <v>127.1738752196645</v>
      </c>
      <c r="G20" s="112">
        <f t="shared" ref="G20:G28" si="6">S8/E20</f>
        <v>-2.7482162925379168</v>
      </c>
      <c r="H20" s="9">
        <f t="shared" ref="H20:H28" si="7">S8/F20</f>
        <v>-0.73285767801011115</v>
      </c>
    </row>
    <row r="21" spans="1:8" x14ac:dyDescent="0.2">
      <c r="A21" s="265">
        <v>3</v>
      </c>
      <c r="B21" s="141">
        <f t="shared" ref="B21:B28" si="8">B20*($M$3+1)</f>
        <v>16</v>
      </c>
      <c r="C21" s="140">
        <f t="shared" ref="C21:C28" si="9">B21*$M$3</f>
        <v>48</v>
      </c>
      <c r="D21" s="142">
        <f>SUM($C$19:C21)</f>
        <v>63</v>
      </c>
      <c r="E21" s="9">
        <f t="shared" si="4"/>
        <v>64.527794612145598</v>
      </c>
      <c r="F21" s="9">
        <f t="shared" si="5"/>
        <v>254.0781912853233</v>
      </c>
      <c r="G21" s="112">
        <f t="shared" si="6"/>
        <v>-2.9732039279822078</v>
      </c>
      <c r="H21" s="9">
        <f t="shared" si="7"/>
        <v>-0.75509941028119565</v>
      </c>
    </row>
    <row r="22" spans="1:8" x14ac:dyDescent="0.2">
      <c r="A22" s="265">
        <v>4</v>
      </c>
      <c r="B22" s="141">
        <f t="shared" si="8"/>
        <v>64</v>
      </c>
      <c r="C22" s="140">
        <f t="shared" si="9"/>
        <v>192</v>
      </c>
      <c r="D22" s="142">
        <f>SUM($C$19:C22)</f>
        <v>255</v>
      </c>
      <c r="E22" s="9">
        <f t="shared" si="4"/>
        <v>199.26650681297141</v>
      </c>
      <c r="F22" s="9">
        <f t="shared" si="5"/>
        <v>793.95248808293297</v>
      </c>
      <c r="G22" s="112">
        <f t="shared" si="6"/>
        <v>-1.6428589065166048</v>
      </c>
      <c r="H22" s="9">
        <f t="shared" si="7"/>
        <v>-0.41232537261593216</v>
      </c>
    </row>
    <row r="23" spans="1:8" x14ac:dyDescent="0.2">
      <c r="A23" s="265">
        <v>5</v>
      </c>
      <c r="B23" s="141">
        <f t="shared" si="8"/>
        <v>256</v>
      </c>
      <c r="C23" s="140">
        <f t="shared" si="9"/>
        <v>768</v>
      </c>
      <c r="D23" s="142">
        <f>SUM($C$19:C23)</f>
        <v>1023</v>
      </c>
      <c r="E23" s="9">
        <f t="shared" si="4"/>
        <v>698.82224015693703</v>
      </c>
      <c r="F23" s="9">
        <f t="shared" si="5"/>
        <v>2792.5591862521351</v>
      </c>
      <c r="G23" s="112">
        <f t="shared" si="6"/>
        <v>-0.72104772565617448</v>
      </c>
      <c r="H23" s="9">
        <f t="shared" si="7"/>
        <v>-0.18043814053566049</v>
      </c>
    </row>
    <row r="24" spans="1:8" x14ac:dyDescent="0.2">
      <c r="A24" s="265">
        <v>6</v>
      </c>
      <c r="B24" s="141">
        <f t="shared" si="8"/>
        <v>1024</v>
      </c>
      <c r="C24" s="140">
        <f t="shared" si="9"/>
        <v>3072</v>
      </c>
      <c r="D24" s="142">
        <f>SUM($C$19:C24)</f>
        <v>4095</v>
      </c>
      <c r="E24" s="9">
        <f t="shared" si="4"/>
        <v>2587.5214036596999</v>
      </c>
      <c r="F24" s="9">
        <f t="shared" si="5"/>
        <v>10347.558738268039</v>
      </c>
      <c r="G24" s="112">
        <f t="shared" si="6"/>
        <v>-0.28036759372586634</v>
      </c>
      <c r="H24" s="9">
        <f t="shared" si="7"/>
        <v>-7.010901489018001E-2</v>
      </c>
    </row>
    <row r="25" spans="1:8" x14ac:dyDescent="0.2">
      <c r="A25" s="265">
        <v>7</v>
      </c>
      <c r="B25" s="141">
        <f t="shared" si="8"/>
        <v>4096</v>
      </c>
      <c r="C25" s="140">
        <f t="shared" si="9"/>
        <v>12288</v>
      </c>
      <c r="D25" s="142">
        <f>SUM($C$19:C25)</f>
        <v>16383</v>
      </c>
      <c r="E25" s="9">
        <f t="shared" si="4"/>
        <v>9855.6565658128966</v>
      </c>
      <c r="F25" s="9">
        <f t="shared" si="5"/>
        <v>39420.220097097823</v>
      </c>
      <c r="G25" s="112">
        <f t="shared" si="6"/>
        <v>-0.10103202326447296</v>
      </c>
      <c r="H25" s="9">
        <f t="shared" si="7"/>
        <v>-2.5259547536548937E-2</v>
      </c>
    </row>
    <row r="26" spans="1:8" x14ac:dyDescent="0.2">
      <c r="A26" s="265">
        <v>8</v>
      </c>
      <c r="B26" s="141">
        <f t="shared" si="8"/>
        <v>16384</v>
      </c>
      <c r="C26" s="140">
        <f t="shared" si="9"/>
        <v>49152</v>
      </c>
      <c r="D26" s="142">
        <f>SUM($C$19:C26)</f>
        <v>65535</v>
      </c>
      <c r="E26" s="9">
        <f t="shared" si="4"/>
        <v>38162.573696189131</v>
      </c>
      <c r="F26" s="9">
        <f t="shared" si="5"/>
        <v>152647.96552610805</v>
      </c>
      <c r="G26" s="112">
        <f t="shared" si="6"/>
        <v>-3.4532626728779298E-2</v>
      </c>
      <c r="H26" s="9">
        <f t="shared" si="7"/>
        <v>-8.6332884157216787E-3</v>
      </c>
    </row>
    <row r="27" spans="1:8" x14ac:dyDescent="0.2">
      <c r="A27" s="265">
        <v>9</v>
      </c>
      <c r="B27" s="141">
        <f t="shared" si="8"/>
        <v>65536</v>
      </c>
      <c r="C27" s="140">
        <f t="shared" si="9"/>
        <v>196608</v>
      </c>
      <c r="D27" s="142">
        <f>SUM($C$19:C27)</f>
        <v>262143</v>
      </c>
      <c r="E27" s="9">
        <f t="shared" si="4"/>
        <v>149297.58439251833</v>
      </c>
      <c r="F27" s="9">
        <f t="shared" si="5"/>
        <v>597188.05946972547</v>
      </c>
      <c r="G27" s="112">
        <f t="shared" si="6"/>
        <v>-1.134901574527834E-2</v>
      </c>
      <c r="H27" s="9">
        <f t="shared" si="7"/>
        <v>-2.8372647596257056E-3</v>
      </c>
    </row>
    <row r="28" spans="1:8" ht="17" thickBot="1" x14ac:dyDescent="0.25">
      <c r="A28" s="266">
        <v>10</v>
      </c>
      <c r="B28" s="143">
        <f t="shared" si="8"/>
        <v>262144</v>
      </c>
      <c r="C28" s="144">
        <f t="shared" si="9"/>
        <v>786432</v>
      </c>
      <c r="D28" s="145">
        <f>SUM($C$19:C28)</f>
        <v>1048575</v>
      </c>
      <c r="E28" s="9">
        <f t="shared" si="4"/>
        <v>588011.93058409786</v>
      </c>
      <c r="F28" s="9">
        <f t="shared" si="5"/>
        <v>2352045.4792488874</v>
      </c>
      <c r="G28" s="113">
        <f t="shared" si="6"/>
        <v>-3.6178617817960402E-3</v>
      </c>
      <c r="H28" s="10">
        <f t="shared" si="7"/>
        <v>-9.044663080152982E-4</v>
      </c>
    </row>
    <row r="29" spans="1:8" ht="17" thickBot="1" x14ac:dyDescent="0.25"/>
    <row r="30" spans="1:8" ht="17" thickBot="1" x14ac:dyDescent="0.25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">
      <c r="A31" s="264">
        <v>1</v>
      </c>
      <c r="B31" s="146">
        <v>1</v>
      </c>
      <c r="C31" s="150">
        <f>B31*$M$3</f>
        <v>3</v>
      </c>
      <c r="D31" s="151">
        <f>SUM($C$31:C31)</f>
        <v>3</v>
      </c>
      <c r="E31" s="129">
        <f>B31/P7</f>
        <v>-6.4583712243510707</v>
      </c>
      <c r="F31" s="58">
        <f>D31/P7</f>
        <v>-19.37511367305321</v>
      </c>
      <c r="G31" s="28">
        <f>S7/E31</f>
        <v>4.3533369884430382</v>
      </c>
      <c r="H31" s="8">
        <f>S7/F31</f>
        <v>1.4511123294810129</v>
      </c>
    </row>
    <row r="32" spans="1:8" x14ac:dyDescent="0.2">
      <c r="A32" s="265">
        <v>2</v>
      </c>
      <c r="B32" s="141">
        <f>C31</f>
        <v>3</v>
      </c>
      <c r="C32" s="140">
        <f>B32*$M$3</f>
        <v>9</v>
      </c>
      <c r="D32" s="142">
        <f>SUM($C$31:C32)</f>
        <v>12</v>
      </c>
      <c r="E32" s="112">
        <f t="shared" ref="E32:E40" si="10">B32/P8</f>
        <v>25.434775043932898</v>
      </c>
      <c r="F32" s="9">
        <f t="shared" ref="F32:F40" si="11">D32/P8</f>
        <v>101.73910017573159</v>
      </c>
      <c r="G32" s="112">
        <f t="shared" ref="G32:G40" si="12">S8/E32</f>
        <v>-3.6642883900505554</v>
      </c>
      <c r="H32" s="9">
        <f t="shared" ref="H32:H40" si="13">S8/F32</f>
        <v>-0.91607209751263885</v>
      </c>
    </row>
    <row r="33" spans="1:8" x14ac:dyDescent="0.2">
      <c r="A33" s="265">
        <v>3</v>
      </c>
      <c r="B33" s="141">
        <f t="shared" ref="B33:B40" si="14">C32</f>
        <v>9</v>
      </c>
      <c r="C33" s="140">
        <f t="shared" ref="C33:C40" si="15">B33*$M$3</f>
        <v>27</v>
      </c>
      <c r="D33" s="142">
        <f>SUM($C$31:C33)</f>
        <v>39</v>
      </c>
      <c r="E33" s="112">
        <f t="shared" si="10"/>
        <v>36.2968844693319</v>
      </c>
      <c r="F33" s="9">
        <f t="shared" si="11"/>
        <v>157.28649936710491</v>
      </c>
      <c r="G33" s="112">
        <f t="shared" si="12"/>
        <v>-5.2856958719683691</v>
      </c>
      <c r="H33" s="9">
        <f t="shared" si="13"/>
        <v>-1.219775970454239</v>
      </c>
    </row>
    <row r="34" spans="1:8" x14ac:dyDescent="0.2">
      <c r="A34" s="265">
        <v>4</v>
      </c>
      <c r="B34" s="141">
        <f t="shared" si="14"/>
        <v>27</v>
      </c>
      <c r="C34" s="140">
        <f t="shared" si="15"/>
        <v>81</v>
      </c>
      <c r="D34" s="142">
        <f>SUM($C$31:C34)</f>
        <v>120</v>
      </c>
      <c r="E34" s="112">
        <f t="shared" si="10"/>
        <v>84.065557561722315</v>
      </c>
      <c r="F34" s="9">
        <f t="shared" si="11"/>
        <v>373.62470027432141</v>
      </c>
      <c r="G34" s="112">
        <f t="shared" si="12"/>
        <v>-3.8941840747060263</v>
      </c>
      <c r="H34" s="9">
        <f t="shared" si="13"/>
        <v>-0.87619141680885582</v>
      </c>
    </row>
    <row r="35" spans="1:8" x14ac:dyDescent="0.2">
      <c r="A35" s="265">
        <v>5</v>
      </c>
      <c r="B35" s="141">
        <f t="shared" si="14"/>
        <v>81</v>
      </c>
      <c r="C35" s="140">
        <f t="shared" si="15"/>
        <v>243</v>
      </c>
      <c r="D35" s="142">
        <f>SUM($C$31:C35)</f>
        <v>363</v>
      </c>
      <c r="E35" s="112">
        <f t="shared" si="10"/>
        <v>221.11172442465585</v>
      </c>
      <c r="F35" s="9">
        <f t="shared" si="11"/>
        <v>990.90809834753179</v>
      </c>
      <c r="G35" s="112">
        <f t="shared" si="12"/>
        <v>-2.2788668860244528</v>
      </c>
      <c r="H35" s="9">
        <f t="shared" si="13"/>
        <v>-0.50850748696413406</v>
      </c>
    </row>
    <row r="36" spans="1:8" x14ac:dyDescent="0.2">
      <c r="A36" s="265">
        <v>6</v>
      </c>
      <c r="B36" s="141">
        <f t="shared" si="14"/>
        <v>243</v>
      </c>
      <c r="C36" s="140">
        <f t="shared" si="15"/>
        <v>729</v>
      </c>
      <c r="D36" s="142">
        <f>SUM($C$31:C36)</f>
        <v>1092</v>
      </c>
      <c r="E36" s="112">
        <f t="shared" si="10"/>
        <v>614.03095809502645</v>
      </c>
      <c r="F36" s="9">
        <f t="shared" si="11"/>
        <v>2759.3489968714771</v>
      </c>
      <c r="G36" s="112">
        <f t="shared" si="12"/>
        <v>-1.181466732408589</v>
      </c>
      <c r="H36" s="9">
        <f t="shared" si="13"/>
        <v>-0.262908805838175</v>
      </c>
    </row>
    <row r="37" spans="1:8" x14ac:dyDescent="0.2">
      <c r="A37" s="265">
        <v>7</v>
      </c>
      <c r="B37" s="141">
        <f t="shared" si="14"/>
        <v>729</v>
      </c>
      <c r="C37" s="140">
        <f t="shared" si="15"/>
        <v>2187</v>
      </c>
      <c r="D37" s="142">
        <f>SUM($C$31:C37)</f>
        <v>3279</v>
      </c>
      <c r="E37" s="112">
        <f t="shared" si="10"/>
        <v>1754.0951260931643</v>
      </c>
      <c r="F37" s="9">
        <f t="shared" si="11"/>
        <v>7889.8188181885953</v>
      </c>
      <c r="G37" s="112">
        <f t="shared" si="12"/>
        <v>-0.56766415266293735</v>
      </c>
      <c r="H37" s="9">
        <f t="shared" si="13"/>
        <v>-0.12620529652067133</v>
      </c>
    </row>
    <row r="38" spans="1:8" x14ac:dyDescent="0.2">
      <c r="A38" s="265">
        <v>8</v>
      </c>
      <c r="B38" s="141">
        <f t="shared" si="14"/>
        <v>2187</v>
      </c>
      <c r="C38" s="140">
        <f t="shared" si="15"/>
        <v>6561</v>
      </c>
      <c r="D38" s="142">
        <f>SUM($C$31:C38)</f>
        <v>9840</v>
      </c>
      <c r="E38" s="112">
        <f t="shared" si="10"/>
        <v>5094.0886641580582</v>
      </c>
      <c r="F38" s="9">
        <f t="shared" si="11"/>
        <v>22919.905100738586</v>
      </c>
      <c r="G38" s="112">
        <f t="shared" si="12"/>
        <v>-0.25870258633942389</v>
      </c>
      <c r="H38" s="9">
        <f t="shared" si="13"/>
        <v>-5.7498227268731723E-2</v>
      </c>
    </row>
    <row r="39" spans="1:8" x14ac:dyDescent="0.2">
      <c r="A39" s="265">
        <v>9</v>
      </c>
      <c r="B39" s="141">
        <f t="shared" si="14"/>
        <v>6561</v>
      </c>
      <c r="C39" s="140">
        <f t="shared" si="15"/>
        <v>19683</v>
      </c>
      <c r="D39" s="142">
        <f>SUM($C$31:C39)</f>
        <v>29523</v>
      </c>
      <c r="E39" s="112">
        <f t="shared" si="10"/>
        <v>14946.616381825452</v>
      </c>
      <c r="F39" s="9">
        <f t="shared" si="11"/>
        <v>67256.356567692856</v>
      </c>
      <c r="G39" s="112">
        <f t="shared" si="12"/>
        <v>-0.11336215453171182</v>
      </c>
      <c r="H39" s="9">
        <f t="shared" si="13"/>
        <v>-2.5192869826323922E-2</v>
      </c>
    </row>
    <row r="40" spans="1:8" ht="17" thickBot="1" x14ac:dyDescent="0.25">
      <c r="A40" s="266">
        <v>10</v>
      </c>
      <c r="B40" s="143">
        <f t="shared" si="14"/>
        <v>19683</v>
      </c>
      <c r="C40" s="144">
        <f t="shared" si="15"/>
        <v>59049</v>
      </c>
      <c r="D40" s="145">
        <f>SUM($C$31:C40)</f>
        <v>88572</v>
      </c>
      <c r="E40" s="113">
        <f t="shared" si="10"/>
        <v>44150.691336390671</v>
      </c>
      <c r="F40" s="10">
        <f t="shared" si="11"/>
        <v>198674.7463825024</v>
      </c>
      <c r="G40" s="113">
        <f t="shared" si="12"/>
        <v>-4.8183750390039186E-2</v>
      </c>
      <c r="H40" s="10">
        <f t="shared" si="13"/>
        <v>-1.0707681422200485E-2</v>
      </c>
    </row>
    <row r="41" spans="1:8" ht="17" thickBot="1" x14ac:dyDescent="0.25"/>
    <row r="42" spans="1:8" ht="17" thickBot="1" x14ac:dyDescent="0.25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">
      <c r="A43" s="264">
        <v>1</v>
      </c>
      <c r="B43" s="146">
        <v>1</v>
      </c>
      <c r="C43" s="150">
        <f>B43*$M$3</f>
        <v>3</v>
      </c>
      <c r="D43" s="151">
        <f>SUM(C43:C43)</f>
        <v>3</v>
      </c>
      <c r="E43" s="129">
        <f>B43/P7</f>
        <v>-6.4583712243510707</v>
      </c>
      <c r="F43" s="58">
        <f>D43/P7</f>
        <v>-19.37511367305321</v>
      </c>
      <c r="G43" s="28">
        <f>S7/E43</f>
        <v>4.3533369884430382</v>
      </c>
      <c r="H43" s="8">
        <f>S7/F43</f>
        <v>1.4511123294810129</v>
      </c>
    </row>
    <row r="44" spans="1:8" x14ac:dyDescent="0.2">
      <c r="A44" s="265">
        <v>2</v>
      </c>
      <c r="B44" s="141">
        <f>B43*$M$3*2</f>
        <v>6</v>
      </c>
      <c r="C44" s="140">
        <f>B44*$M$3</f>
        <v>18</v>
      </c>
      <c r="D44" s="142">
        <f>SUM($C$43:C44)</f>
        <v>21</v>
      </c>
      <c r="E44" s="112">
        <f t="shared" ref="E44:E52" si="16">B44/P8</f>
        <v>50.869550087865797</v>
      </c>
      <c r="F44" s="9">
        <f t="shared" ref="F44:F52" si="17">D44/P8</f>
        <v>178.0434253075303</v>
      </c>
      <c r="G44" s="112">
        <f t="shared" ref="G44:G52" si="18">S8/E44</f>
        <v>-1.8321441950252777</v>
      </c>
      <c r="H44" s="9">
        <f t="shared" ref="H44:H52" si="19">S8/F44</f>
        <v>-0.52346977000722217</v>
      </c>
    </row>
    <row r="45" spans="1:8" x14ac:dyDescent="0.2">
      <c r="A45" s="265">
        <v>3</v>
      </c>
      <c r="B45" s="141">
        <f t="shared" ref="B45:B52" si="20">B44*$M$3*2</f>
        <v>36</v>
      </c>
      <c r="C45" s="140">
        <f t="shared" ref="C45:C52" si="21">B45*$M$3</f>
        <v>108</v>
      </c>
      <c r="D45" s="142">
        <f>SUM($C$43:C45)</f>
        <v>129</v>
      </c>
      <c r="E45" s="112">
        <f t="shared" si="16"/>
        <v>145.1875378773276</v>
      </c>
      <c r="F45" s="9">
        <f t="shared" si="17"/>
        <v>520.25534406042391</v>
      </c>
      <c r="G45" s="112">
        <f t="shared" si="18"/>
        <v>-1.3214239679920923</v>
      </c>
      <c r="H45" s="9">
        <f t="shared" si="19"/>
        <v>-0.36876947943965366</v>
      </c>
    </row>
    <row r="46" spans="1:8" x14ac:dyDescent="0.2">
      <c r="A46" s="265">
        <v>4</v>
      </c>
      <c r="B46" s="141">
        <f t="shared" si="20"/>
        <v>216</v>
      </c>
      <c r="C46" s="140">
        <f t="shared" si="21"/>
        <v>648</v>
      </c>
      <c r="D46" s="142">
        <f>SUM($C$43:C46)</f>
        <v>777</v>
      </c>
      <c r="E46" s="112">
        <f t="shared" si="16"/>
        <v>672.52446049377852</v>
      </c>
      <c r="F46" s="9">
        <f t="shared" si="17"/>
        <v>2419.219934276231</v>
      </c>
      <c r="G46" s="112">
        <f t="shared" si="18"/>
        <v>-0.48677300933825329</v>
      </c>
      <c r="H46" s="9">
        <f t="shared" si="19"/>
        <v>-0.13531913773109744</v>
      </c>
    </row>
    <row r="47" spans="1:8" x14ac:dyDescent="0.2">
      <c r="A47" s="265">
        <v>5</v>
      </c>
      <c r="B47" s="141">
        <f t="shared" si="20"/>
        <v>1296</v>
      </c>
      <c r="C47" s="140">
        <f t="shared" si="21"/>
        <v>3888</v>
      </c>
      <c r="D47" s="142">
        <f>SUM($C$43:C47)</f>
        <v>4665</v>
      </c>
      <c r="E47" s="112">
        <f t="shared" si="16"/>
        <v>3537.7875907944936</v>
      </c>
      <c r="F47" s="9">
        <f t="shared" si="17"/>
        <v>12734.397462234809</v>
      </c>
      <c r="G47" s="112">
        <f t="shared" si="18"/>
        <v>-0.1424291803765283</v>
      </c>
      <c r="H47" s="9">
        <f t="shared" si="19"/>
        <v>-3.9568749789492111E-2</v>
      </c>
    </row>
    <row r="48" spans="1:8" x14ac:dyDescent="0.2">
      <c r="A48" s="265">
        <v>6</v>
      </c>
      <c r="B48" s="141">
        <f t="shared" si="20"/>
        <v>7776</v>
      </c>
      <c r="C48" s="140">
        <f t="shared" si="21"/>
        <v>23328</v>
      </c>
      <c r="D48" s="142">
        <f>SUM($C$43:C48)</f>
        <v>27993</v>
      </c>
      <c r="E48" s="112">
        <f t="shared" si="16"/>
        <v>19648.990659040846</v>
      </c>
      <c r="F48" s="9">
        <f t="shared" si="17"/>
        <v>70734.8502467246</v>
      </c>
      <c r="G48" s="112">
        <f t="shared" si="18"/>
        <v>-3.6920835387768407E-2</v>
      </c>
      <c r="H48" s="9">
        <f t="shared" si="19"/>
        <v>-1.0256007429546212E-2</v>
      </c>
    </row>
    <row r="49" spans="1:8" x14ac:dyDescent="0.2">
      <c r="A49" s="265">
        <v>7</v>
      </c>
      <c r="B49" s="141">
        <f t="shared" si="20"/>
        <v>46656</v>
      </c>
      <c r="C49" s="140">
        <f t="shared" si="21"/>
        <v>139968</v>
      </c>
      <c r="D49" s="142">
        <f>SUM($C$43:C49)</f>
        <v>167961</v>
      </c>
      <c r="E49" s="112">
        <f t="shared" si="16"/>
        <v>112262.08806996251</v>
      </c>
      <c r="F49" s="9">
        <f t="shared" si="17"/>
        <v>404142.0733521728</v>
      </c>
      <c r="G49" s="112">
        <f t="shared" si="18"/>
        <v>-8.8697523853583961E-3</v>
      </c>
      <c r="H49" s="9">
        <f t="shared" si="19"/>
        <v>-2.4638289084447061E-3</v>
      </c>
    </row>
    <row r="50" spans="1:8" x14ac:dyDescent="0.2">
      <c r="A50" s="265">
        <v>8</v>
      </c>
      <c r="B50" s="141">
        <f t="shared" si="20"/>
        <v>279936</v>
      </c>
      <c r="C50" s="140">
        <f t="shared" si="21"/>
        <v>839808</v>
      </c>
      <c r="D50" s="142">
        <f>SUM($C$43:C50)</f>
        <v>1007769</v>
      </c>
      <c r="E50" s="112">
        <f t="shared" si="16"/>
        <v>652043.34901223145</v>
      </c>
      <c r="F50" s="9">
        <f t="shared" si="17"/>
        <v>2347354.6588888438</v>
      </c>
      <c r="G50" s="112">
        <f t="shared" si="18"/>
        <v>-2.0211139557767491E-3</v>
      </c>
      <c r="H50" s="9">
        <f t="shared" si="19"/>
        <v>-5.6142087752681432E-4</v>
      </c>
    </row>
    <row r="51" spans="1:8" x14ac:dyDescent="0.2">
      <c r="A51" s="265">
        <v>9</v>
      </c>
      <c r="B51" s="141">
        <f t="shared" si="20"/>
        <v>1679616</v>
      </c>
      <c r="C51" s="140">
        <f t="shared" si="21"/>
        <v>5038848</v>
      </c>
      <c r="D51" s="142">
        <f>SUM($C$43:C51)</f>
        <v>6046617</v>
      </c>
      <c r="E51" s="112">
        <f t="shared" si="16"/>
        <v>3826333.7937473156</v>
      </c>
      <c r="F51" s="9">
        <f t="shared" si="17"/>
        <v>13774800.290630126</v>
      </c>
      <c r="G51" s="112">
        <f t="shared" si="18"/>
        <v>-4.428209161394993E-4</v>
      </c>
      <c r="H51" s="9">
        <f t="shared" si="19"/>
        <v>-1.2300582224449824E-4</v>
      </c>
    </row>
    <row r="52" spans="1:8" ht="17" thickBot="1" x14ac:dyDescent="0.25">
      <c r="A52" s="266">
        <v>10</v>
      </c>
      <c r="B52" s="143">
        <f t="shared" si="20"/>
        <v>10077696</v>
      </c>
      <c r="C52" s="144">
        <f t="shared" si="21"/>
        <v>30233088</v>
      </c>
      <c r="D52" s="145">
        <f>SUM($C$43:C52)</f>
        <v>36279705</v>
      </c>
      <c r="E52" s="113">
        <f t="shared" si="16"/>
        <v>22605153.964232024</v>
      </c>
      <c r="F52" s="10">
        <f t="shared" si="17"/>
        <v>81378552.925382793</v>
      </c>
      <c r="G52" s="113">
        <f t="shared" si="18"/>
        <v>-9.4108887480545285E-5</v>
      </c>
      <c r="H52" s="10">
        <f t="shared" si="19"/>
        <v>-2.6141358065815068E-5</v>
      </c>
    </row>
  </sheetData>
  <conditionalFormatting sqref="O7:O16">
    <cfRule type="cellIs" dxfId="355" priority="27" operator="lessThanOrEqual">
      <formula>0</formula>
    </cfRule>
    <cfRule type="cellIs" dxfId="354" priority="28" operator="greaterThan">
      <formula>0</formula>
    </cfRule>
  </conditionalFormatting>
  <conditionalFormatting sqref="P7:P16 S7:S16">
    <cfRule type="cellIs" dxfId="353" priority="25" operator="lessThanOrEqual">
      <formula>0</formula>
    </cfRule>
    <cfRule type="cellIs" dxfId="352" priority="26" operator="greaterThan">
      <formula>0</formula>
    </cfRule>
  </conditionalFormatting>
  <conditionalFormatting sqref="G43:G52">
    <cfRule type="cellIs" dxfId="351" priority="24" operator="equal">
      <formula>MAX($G$43:$G$52)</formula>
    </cfRule>
  </conditionalFormatting>
  <conditionalFormatting sqref="H43:H52">
    <cfRule type="cellIs" dxfId="350" priority="23" operator="equal">
      <formula>MAX($H$43:$H$52)</formula>
    </cfRule>
  </conditionalFormatting>
  <conditionalFormatting sqref="G31:G40">
    <cfRule type="cellIs" dxfId="349" priority="22" operator="equal">
      <formula>MAX($G$31:$G$40)</formula>
    </cfRule>
  </conditionalFormatting>
  <conditionalFormatting sqref="H31:H40">
    <cfRule type="cellIs" dxfId="348" priority="21" operator="equal">
      <formula>MAX($H$31:$H$40)</formula>
    </cfRule>
  </conditionalFormatting>
  <conditionalFormatting sqref="G19:G28">
    <cfRule type="cellIs" dxfId="347" priority="1" operator="lessThanOrEqual">
      <formula>0</formula>
    </cfRule>
    <cfRule type="cellIs" dxfId="346" priority="20" operator="equal">
      <formula>MAX($G$19:$G$28)</formula>
    </cfRule>
  </conditionalFormatting>
  <conditionalFormatting sqref="H19:H28">
    <cfRule type="cellIs" dxfId="345" priority="2" operator="lessThanOrEqual">
      <formula>0</formula>
    </cfRule>
    <cfRule type="cellIs" dxfId="344" priority="19" operator="equal">
      <formula>MAX($H$19:$H$28)</formula>
    </cfRule>
  </conditionalFormatting>
  <conditionalFormatting sqref="F19:F28">
    <cfRule type="cellIs" dxfId="343" priority="17" stopIfTrue="1" operator="lessThan">
      <formula>0</formula>
    </cfRule>
    <cfRule type="cellIs" dxfId="342" priority="18" operator="equal">
      <formula>MIN($F$19:$F$28)</formula>
    </cfRule>
  </conditionalFormatting>
  <conditionalFormatting sqref="E19:E28">
    <cfRule type="cellIs" dxfId="341" priority="15" stopIfTrue="1" operator="lessThan">
      <formula>0</formula>
    </cfRule>
    <cfRule type="cellIs" dxfId="340" priority="16" operator="equal">
      <formula>MIN($E$19:$E$28)</formula>
    </cfRule>
  </conditionalFormatting>
  <conditionalFormatting sqref="F31:F40">
    <cfRule type="cellIs" dxfId="339" priority="13" stopIfTrue="1" operator="lessThan">
      <formula>0</formula>
    </cfRule>
    <cfRule type="cellIs" dxfId="338" priority="14" operator="equal">
      <formula>MIN($F$31:$F$40)</formula>
    </cfRule>
  </conditionalFormatting>
  <conditionalFormatting sqref="E31:E40">
    <cfRule type="cellIs" dxfId="337" priority="11" stopIfTrue="1" operator="lessThan">
      <formula>0</formula>
    </cfRule>
    <cfRule type="cellIs" dxfId="336" priority="12" operator="equal">
      <formula>MIN($E$31:$E$40)</formula>
    </cfRule>
  </conditionalFormatting>
  <conditionalFormatting sqref="F43:F52">
    <cfRule type="cellIs" dxfId="335" priority="9" stopIfTrue="1" operator="lessThan">
      <formula>0</formula>
    </cfRule>
    <cfRule type="cellIs" dxfId="334" priority="10" operator="equal">
      <formula>MIN($F$43:$F$52)</formula>
    </cfRule>
  </conditionalFormatting>
  <conditionalFormatting sqref="E43:E52">
    <cfRule type="cellIs" dxfId="333" priority="7" stopIfTrue="1" operator="lessThan">
      <formula>0</formula>
    </cfRule>
    <cfRule type="cellIs" dxfId="332" priority="8" operator="equal">
      <formula>MIN($E$43:$E$52)</formula>
    </cfRule>
  </conditionalFormatting>
  <conditionalFormatting sqref="Q7:Q16">
    <cfRule type="cellIs" dxfId="331" priority="5" operator="lessThanOrEqual">
      <formula>0</formula>
    </cfRule>
    <cfRule type="cellIs" dxfId="330" priority="6" operator="greaterThan">
      <formula>0</formula>
    </cfRule>
  </conditionalFormatting>
  <conditionalFormatting sqref="R7:R16">
    <cfRule type="cellIs" dxfId="329" priority="3" operator="lessThanOrEqual">
      <formula>0</formula>
    </cfRule>
    <cfRule type="cellIs" dxfId="328" priority="4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U52"/>
  <sheetViews>
    <sheetView topLeftCell="A25" workbookViewId="0">
      <selection activeCell="B43" sqref="B43:D5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1" x14ac:dyDescent="0.2">
      <c r="B1" s="202"/>
      <c r="C1" t="s">
        <v>99</v>
      </c>
      <c r="D1">
        <f>C2+E2</f>
        <v>0.99999999999999667</v>
      </c>
    </row>
    <row r="2" spans="1:21" x14ac:dyDescent="0.2">
      <c r="A2" t="s">
        <v>40</v>
      </c>
      <c r="B2" s="201" t="s">
        <v>129</v>
      </c>
      <c r="C2" s="222">
        <f>Analysis!B33</f>
        <v>0.42735278945488536</v>
      </c>
      <c r="D2" s="199" t="s">
        <v>130</v>
      </c>
      <c r="E2" s="222">
        <f>Analysis!L33</f>
        <v>0.57264721054511136</v>
      </c>
      <c r="F2" s="199" t="s">
        <v>49</v>
      </c>
      <c r="G2" s="222">
        <f>Analysis!S33</f>
        <v>23.40937904656348</v>
      </c>
      <c r="H2" t="s">
        <v>163</v>
      </c>
      <c r="I2" s="238">
        <f>Analysis!T33</f>
        <v>83.533124675716664</v>
      </c>
      <c r="J2" t="s">
        <v>50</v>
      </c>
      <c r="K2" s="238">
        <f>C2*G2-E2*I2</f>
        <v>-37.830947398710514</v>
      </c>
      <c r="L2" t="s">
        <v>49</v>
      </c>
      <c r="M2" s="267">
        <v>2</v>
      </c>
    </row>
    <row r="3" spans="1:21" x14ac:dyDescent="0.2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3</v>
      </c>
    </row>
    <row r="4" spans="1:21" x14ac:dyDescent="0.2">
      <c r="A4" t="s">
        <v>127</v>
      </c>
      <c r="B4" s="202">
        <f>$C$2</f>
        <v>0.42735278945488536</v>
      </c>
      <c r="C4">
        <f>B4*$C$2</f>
        <v>0.18263040665487157</v>
      </c>
      <c r="D4">
        <f t="shared" ref="D4:K4" si="0">C4*$C$2</f>
        <v>7.8047613723239428E-2</v>
      </c>
      <c r="E4">
        <f t="shared" si="0"/>
        <v>3.335386543492376E-2</v>
      </c>
      <c r="F4">
        <f t="shared" si="0"/>
        <v>1.4253867432717553E-2</v>
      </c>
      <c r="G4">
        <f t="shared" si="0"/>
        <v>6.0914300078919919E-3</v>
      </c>
      <c r="H4">
        <f t="shared" si="0"/>
        <v>2.6031896056418371E-3</v>
      </c>
      <c r="I4">
        <f t="shared" si="0"/>
        <v>1.1124803394510021E-3</v>
      </c>
      <c r="J4">
        <f t="shared" si="0"/>
        <v>4.7542157627810354E-4</v>
      </c>
      <c r="K4">
        <f t="shared" si="0"/>
        <v>2.0317273678948611E-4</v>
      </c>
    </row>
    <row r="5" spans="1:21" ht="17" thickBot="1" x14ac:dyDescent="0.25">
      <c r="A5" t="s">
        <v>128</v>
      </c>
      <c r="B5" s="202">
        <f>$E$2</f>
        <v>0.57264721054511136</v>
      </c>
      <c r="C5">
        <f>B5*$E$2</f>
        <v>0.32792482774509712</v>
      </c>
      <c r="D5">
        <f t="shared" ref="D5:K5" si="1">C5*$E$2</f>
        <v>0.187785237876716</v>
      </c>
      <c r="E5">
        <f t="shared" si="1"/>
        <v>0.10753469265165161</v>
      </c>
      <c r="F5">
        <f t="shared" si="1"/>
        <v>6.1579441783794181E-2</v>
      </c>
      <c r="G5">
        <f t="shared" si="1"/>
        <v>3.5263295564414814E-2</v>
      </c>
      <c r="H5">
        <f t="shared" si="1"/>
        <v>2.0193427839589943E-2</v>
      </c>
      <c r="I5">
        <f t="shared" si="1"/>
        <v>1.1563710123685175E-2</v>
      </c>
      <c r="J5">
        <f t="shared" si="1"/>
        <v>6.6219263458805796E-3</v>
      </c>
      <c r="K5">
        <f t="shared" si="1"/>
        <v>3.7920276504036961E-3</v>
      </c>
    </row>
    <row r="6" spans="1:21" ht="17" thickBot="1" x14ac:dyDescent="0.25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">
      <c r="A7" s="208">
        <v>1</v>
      </c>
      <c r="B7" s="114">
        <f>C7*B4</f>
        <v>0.42735278945488536</v>
      </c>
      <c r="C7" s="114">
        <v>1</v>
      </c>
      <c r="D7" s="212">
        <f>C7*B5</f>
        <v>0.57264721054511136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0.99999999999999667</v>
      </c>
      <c r="O7" s="114">
        <f>B7/(B7+D7)</f>
        <v>0.42735278945488681</v>
      </c>
      <c r="P7" s="129">
        <f>B7-D7</f>
        <v>-0.145294421090226</v>
      </c>
      <c r="Q7" s="129">
        <f>($G$2*SUM(C7))*B7</f>
        <v>10.004063434955647</v>
      </c>
      <c r="R7" s="58">
        <f>($I$2*SUM(C7))*D7*COUNT(D7:M7)</f>
        <v>47.835010833666161</v>
      </c>
      <c r="S7" s="58">
        <f>Q7-R7</f>
        <v>-37.830947398710514</v>
      </c>
      <c r="T7" s="129">
        <f>(S7+U7*D7)/B7</f>
        <v>-87.183940546382402</v>
      </c>
      <c r="U7" s="58">
        <f t="shared" ref="U7:U16" si="2">COUNT(D7:M7)</f>
        <v>1</v>
      </c>
    </row>
    <row r="8" spans="1:21" x14ac:dyDescent="0.2">
      <c r="A8" s="209">
        <v>2</v>
      </c>
      <c r="B8" s="116">
        <f>C8*B4</f>
        <v>0.56582212913867924</v>
      </c>
      <c r="C8" s="116">
        <f>1/(1-B4*B5)</f>
        <v>1.3240164639159604</v>
      </c>
      <c r="D8" s="194">
        <f>C8*B5</f>
        <v>0.75819433477727682</v>
      </c>
      <c r="E8" s="1">
        <f>D8*B5</f>
        <v>0.43417787086131387</v>
      </c>
      <c r="F8" s="1"/>
      <c r="G8" s="1"/>
      <c r="H8" s="1"/>
      <c r="I8" s="1"/>
      <c r="J8" s="1"/>
      <c r="K8" s="1"/>
      <c r="L8" s="1"/>
      <c r="M8" s="9"/>
      <c r="N8">
        <f>B8+E8</f>
        <v>0.99999999999999312</v>
      </c>
      <c r="O8" s="116">
        <f>B8/(B8+E8)</f>
        <v>0.56582212913868313</v>
      </c>
      <c r="P8" s="112">
        <f>B8-E8</f>
        <v>0.13164425827736537</v>
      </c>
      <c r="Q8" s="112">
        <f>($G$2*SUM(C8:D8))*B8</f>
        <v>27.58001619629772</v>
      </c>
      <c r="R8" s="9">
        <f>($I$2*SUM(C8:D8))*E8*COUNT(D8:M8)</f>
        <v>151.03621787690739</v>
      </c>
      <c r="S8" s="9">
        <f t="shared" ref="S8:S16" si="3">Q8-R8</f>
        <v>-123.45620168060967</v>
      </c>
      <c r="T8" s="112">
        <f>(S8+U8*E8)/B8</f>
        <v>-216.65438593837953</v>
      </c>
      <c r="U8" s="9">
        <f t="shared" si="2"/>
        <v>2</v>
      </c>
    </row>
    <row r="9" spans="1:21" x14ac:dyDescent="0.2">
      <c r="A9" s="209">
        <v>3</v>
      </c>
      <c r="B9" s="116">
        <f>C9*B4</f>
        <v>0.6321940796524903</v>
      </c>
      <c r="C9" s="216">
        <f>1/(1-B5*B4/(1-B5*B4))</f>
        <v>1.4793259696722525</v>
      </c>
      <c r="D9" s="217">
        <f>C9*B5*C8</f>
        <v>1.1216165694944036</v>
      </c>
      <c r="E9" s="218">
        <f>D9*(B5)</f>
        <v>0.64229059982214731</v>
      </c>
      <c r="F9" s="218">
        <f>E9*B5</f>
        <v>0.36780592034749904</v>
      </c>
      <c r="G9" s="218"/>
      <c r="H9" s="218"/>
      <c r="I9" s="218"/>
      <c r="J9" s="218"/>
      <c r="K9" s="218"/>
      <c r="L9" s="218"/>
      <c r="M9" s="219"/>
      <c r="N9">
        <f>B9+F9</f>
        <v>0.99999999999998934</v>
      </c>
      <c r="O9" s="116">
        <f>B9/(B9+F9)</f>
        <v>0.63219407965249708</v>
      </c>
      <c r="P9" s="112">
        <f>B9-F9</f>
        <v>0.26438815930499127</v>
      </c>
      <c r="Q9" s="112">
        <f>($G$2*SUM(C9:E9))*B9</f>
        <v>47.997485626278078</v>
      </c>
      <c r="R9" s="9">
        <f>($I$2*SUM(C9:E9))*F9*COUNT(D9:M9)</f>
        <v>298.93506889586149</v>
      </c>
      <c r="S9" s="9">
        <f t="shared" si="3"/>
        <v>-250.9375832695834</v>
      </c>
      <c r="T9" s="112">
        <f>(S9+U9*F9)/B9</f>
        <v>-395.1858670455627</v>
      </c>
      <c r="U9" s="9">
        <f t="shared" si="2"/>
        <v>3</v>
      </c>
    </row>
    <row r="10" spans="1:21" x14ac:dyDescent="0.2">
      <c r="A10" s="209">
        <v>4</v>
      </c>
      <c r="B10" s="116">
        <f>C10*B4</f>
        <v>0.66985734182469647</v>
      </c>
      <c r="C10" s="116">
        <f>1/(1-B5*B4/(1-B5*B4/(1-B5*B4)))</f>
        <v>1.5674575160235658</v>
      </c>
      <c r="D10" s="194">
        <f>C10*B5*C9</f>
        <v>1.3278432480747175</v>
      </c>
      <c r="E10" s="1">
        <f>D10*B5*C8</f>
        <v>1.006763228162509</v>
      </c>
      <c r="F10" s="1">
        <f>E10*B5</f>
        <v>0.57652015428665226</v>
      </c>
      <c r="G10" s="1">
        <f>F10*B5</f>
        <v>0.33014265817528865</v>
      </c>
      <c r="H10" s="1"/>
      <c r="I10" s="1"/>
      <c r="J10" s="1"/>
      <c r="K10" s="1"/>
      <c r="L10" s="1"/>
      <c r="M10" s="9"/>
      <c r="N10">
        <f>B10+G10</f>
        <v>0.99999999999998512</v>
      </c>
      <c r="O10" s="116">
        <f>B10/(B10+G10)</f>
        <v>0.66985734182470646</v>
      </c>
      <c r="P10" s="112">
        <f>B10-G10</f>
        <v>0.33971468364940782</v>
      </c>
      <c r="Q10" s="112">
        <f>($G$2*SUM(C10:F10))*B10</f>
        <v>70.228429090802877</v>
      </c>
      <c r="R10" s="9">
        <f>($I$2*SUM(C10:F10))*G10*COUNT(D10:M10)</f>
        <v>494.03884827999502</v>
      </c>
      <c r="S10" s="9">
        <f t="shared" si="3"/>
        <v>-423.81041918919215</v>
      </c>
      <c r="T10" s="112">
        <f>(S10+U10*G10)/B10</f>
        <v>-630.71615727257006</v>
      </c>
      <c r="U10" s="9">
        <f t="shared" si="2"/>
        <v>4</v>
      </c>
    </row>
    <row r="11" spans="1:21" x14ac:dyDescent="0.2">
      <c r="A11" s="209">
        <v>5</v>
      </c>
      <c r="B11" s="116">
        <f>C11*B4</f>
        <v>0.69329526328372593</v>
      </c>
      <c r="C11" s="116">
        <f>1/(1-B5*B4/(1-B5*B4/(1-B5*B4/(1-B5*B4))))</f>
        <v>1.6223019490947197</v>
      </c>
      <c r="D11" s="194">
        <f>C11*B5*C10</f>
        <v>1.456178512110577</v>
      </c>
      <c r="E11" s="1">
        <f>D11*B5*C9</f>
        <v>1.2335752551703913</v>
      </c>
      <c r="F11" s="1">
        <f>E11*B5*C8</f>
        <v>0.93528976999162439</v>
      </c>
      <c r="G11" s="1">
        <f>F11*B5</f>
        <v>0.53559107783708249</v>
      </c>
      <c r="H11" s="1">
        <f>G11*B5</f>
        <v>0.30670473671625492</v>
      </c>
      <c r="I11" s="1"/>
      <c r="J11" s="1"/>
      <c r="K11" s="1"/>
      <c r="L11" s="1"/>
      <c r="M11" s="9"/>
      <c r="N11">
        <f>B11+H11</f>
        <v>0.9999999999999809</v>
      </c>
      <c r="O11" s="116">
        <f>B11/(B11+H11)</f>
        <v>0.69329526328373914</v>
      </c>
      <c r="P11" s="112">
        <f>B11-H11</f>
        <v>0.386590526567471</v>
      </c>
      <c r="Q11" s="112">
        <f>($G$2*SUM(C11:G11))*B11</f>
        <v>93.854814398810916</v>
      </c>
      <c r="R11" s="9">
        <f>($I$2*SUM(C11:G11))*H11*COUNT(D11:M11)</f>
        <v>740.79431875888133</v>
      </c>
      <c r="S11" s="9">
        <f t="shared" si="3"/>
        <v>-646.93950436007037</v>
      </c>
      <c r="T11" s="112">
        <f>(S11+U11*H11)/B11</f>
        <v>-930.92512650322476</v>
      </c>
      <c r="U11" s="9">
        <f t="shared" si="2"/>
        <v>5</v>
      </c>
    </row>
    <row r="12" spans="1:21" x14ac:dyDescent="0.2">
      <c r="A12" s="209">
        <v>6</v>
      </c>
      <c r="B12" s="116">
        <f>C12*B4</f>
        <v>0.70872707653969214</v>
      </c>
      <c r="C12" s="116">
        <f>1/(1-B5*B4/(1-B5*B4/(1-B5*B4/(1-B5*B4/(1-B5*B4)))))</f>
        <v>1.6584121925206501</v>
      </c>
      <c r="D12" s="194">
        <f>C12*B5*C11</f>
        <v>1.5406760146821441</v>
      </c>
      <c r="E12" s="1">
        <f>D12*B5*C10</f>
        <v>1.3829110591627043</v>
      </c>
      <c r="F12" s="1">
        <f>E12*B5*C9</f>
        <v>1.1715080592777263</v>
      </c>
      <c r="G12" s="1">
        <f>F12*B5*C8</f>
        <v>0.88823077369029424</v>
      </c>
      <c r="H12" s="1">
        <f>G12*B5</f>
        <v>0.50864287487407311</v>
      </c>
      <c r="I12" s="1">
        <f>H12*B5</f>
        <v>0.29127292346028411</v>
      </c>
      <c r="J12" s="1"/>
      <c r="K12" s="1"/>
      <c r="L12" s="1"/>
      <c r="M12" s="9"/>
      <c r="N12">
        <f>B12+I12</f>
        <v>0.99999999999997624</v>
      </c>
      <c r="O12" s="116">
        <f>B12/(B12+I12)</f>
        <v>0.70872707653970901</v>
      </c>
      <c r="P12" s="112">
        <f>B12-I12</f>
        <v>0.41745415307940803</v>
      </c>
      <c r="Q12" s="112">
        <f>($G$2*SUM(C12:H12))*B12</f>
        <v>118.6309752332924</v>
      </c>
      <c r="R12" s="9">
        <f>($I$2*SUM(C12:H12))*I12*COUNT(D12:M12)</f>
        <v>1043.8528325075781</v>
      </c>
      <c r="S12" s="9">
        <f t="shared" si="3"/>
        <v>-925.22185727428575</v>
      </c>
      <c r="T12" s="112">
        <f>(S12+U12*I12)/B12</f>
        <v>-1303.0040057765523</v>
      </c>
      <c r="U12" s="9">
        <f t="shared" si="2"/>
        <v>6</v>
      </c>
    </row>
    <row r="13" spans="1:21" x14ac:dyDescent="0.2">
      <c r="A13" s="209">
        <v>7</v>
      </c>
      <c r="B13" s="116">
        <f>C13*B4</f>
        <v>0.71926821356405823</v>
      </c>
      <c r="C13" s="216">
        <f>1/(1-B5*B4/(1-B5*B4/(1-B5*B4/(1-B5*B4/(1-B5*B4/(1-B5*B4))))))</f>
        <v>1.6830783168199952</v>
      </c>
      <c r="D13" s="217">
        <f>C13*B5*C12</f>
        <v>1.5983944265142234</v>
      </c>
      <c r="E13" s="218">
        <f>D13*B5*C11</f>
        <v>1.4849191087947342</v>
      </c>
      <c r="F13" s="218">
        <f>E13*B5*C10</f>
        <v>1.3328636507253755</v>
      </c>
      <c r="G13" s="218">
        <f>F13*B5*C9</f>
        <v>1.1291113035776212</v>
      </c>
      <c r="H13" s="218">
        <f>G13*B5*C8</f>
        <v>0.85608579370553839</v>
      </c>
      <c r="I13" s="218">
        <f>H13*B5</f>
        <v>0.49023514175277422</v>
      </c>
      <c r="J13" s="218">
        <f>I13*B5</f>
        <v>0.2807317864359134</v>
      </c>
      <c r="K13" s="218"/>
      <c r="L13" s="218"/>
      <c r="M13" s="219"/>
      <c r="N13">
        <f>B13+J13</f>
        <v>0.99999999999997158</v>
      </c>
      <c r="O13" s="116">
        <f>B13/(B13+J13)</f>
        <v>0.71926821356407866</v>
      </c>
      <c r="P13" s="112">
        <f>B13-J13</f>
        <v>0.43853642712814483</v>
      </c>
      <c r="Q13" s="112">
        <f>($G$2*SUM(C13:I13))*B13</f>
        <v>144.37735308792216</v>
      </c>
      <c r="R13" s="9">
        <f>($I$2*SUM(C13:I13))*J13*COUNT(D13:M13)</f>
        <v>1407.5592010399032</v>
      </c>
      <c r="S13" s="9">
        <f t="shared" si="3"/>
        <v>-1263.1818479519811</v>
      </c>
      <c r="T13" s="112">
        <f>(S13+U13*J13)/B13</f>
        <v>-1753.4720729523876</v>
      </c>
      <c r="U13" s="9">
        <f t="shared" si="2"/>
        <v>7</v>
      </c>
    </row>
    <row r="14" spans="1:21" x14ac:dyDescent="0.2">
      <c r="A14" s="209">
        <v>8</v>
      </c>
      <c r="B14" s="116">
        <f>C14*B4</f>
        <v>0.72665073386337653</v>
      </c>
      <c r="C14" s="116">
        <f>1/(1-B5*B4/(1-B5*B4/(1-B5*B4/(1-B5*B4/(1-B5*B4/(1-B5*B4/(1-B5*B4)))))))</f>
        <v>1.7003533188358593</v>
      </c>
      <c r="D14" s="194">
        <f>C14*B5*C13</f>
        <v>1.6388177077987554</v>
      </c>
      <c r="E14" s="1">
        <f>D14*B5*C12</f>
        <v>1.5563607849024996</v>
      </c>
      <c r="F14" s="1">
        <f>E14*B5*C11</f>
        <v>1.4458695747084598</v>
      </c>
      <c r="G14" s="1">
        <f>F14*B5*C10</f>
        <v>1.2978127821271512</v>
      </c>
      <c r="H14" s="1">
        <f>G14*B5*C9</f>
        <v>1.0994185950151731</v>
      </c>
      <c r="I14" s="1">
        <f>H14*B5*C8</f>
        <v>0.83357295028929745</v>
      </c>
      <c r="J14" s="1">
        <f>I14*B5</f>
        <v>0.47734322476902497</v>
      </c>
      <c r="K14" s="1">
        <f>J14*B5</f>
        <v>0.27334926613659027</v>
      </c>
      <c r="L14" s="1"/>
      <c r="M14" s="9"/>
      <c r="N14">
        <f>B14+K14</f>
        <v>0.9999999999999668</v>
      </c>
      <c r="O14" s="116">
        <f>B14/(B14+K14)</f>
        <v>0.72665073386340062</v>
      </c>
      <c r="P14" s="112">
        <f>B14-K14</f>
        <v>0.45330146772678626</v>
      </c>
      <c r="Q14" s="112">
        <f>($G$2*SUM(C14:J14))*B14</f>
        <v>170.94727400127852</v>
      </c>
      <c r="R14" s="9">
        <f>($I$2*SUM(C14:J14))*K14*COUNT(D14:M14)</f>
        <v>1835.748558287816</v>
      </c>
      <c r="S14" s="9">
        <f t="shared" si="3"/>
        <v>-1664.8012842865373</v>
      </c>
      <c r="T14" s="112">
        <f>(S14+U14*K14)/B14</f>
        <v>-2288.0517594991466</v>
      </c>
      <c r="U14" s="9">
        <f t="shared" si="2"/>
        <v>8</v>
      </c>
    </row>
    <row r="15" spans="1:21" x14ac:dyDescent="0.2">
      <c r="A15" s="209">
        <v>9</v>
      </c>
      <c r="B15" s="116">
        <f>C15*B4</f>
        <v>0.73191199474877844</v>
      </c>
      <c r="C15" s="116">
        <f>1/(1-B5*B4/(1-B5*B4/(1-B5*B4/(1-B5*B4/(1-B5*B4/(1-B5*B4/(1-B5*B4/(1-B5*B4))))))))</f>
        <v>1.7126646012592477</v>
      </c>
      <c r="D15" s="194">
        <f>C15*B5*C14</f>
        <v>1.6676259494369863</v>
      </c>
      <c r="E15" s="1">
        <f>D15*B5*C13</f>
        <v>1.6072747385191326</v>
      </c>
      <c r="F15" s="1">
        <f>E15*B5*C12</f>
        <v>1.5264048964637975</v>
      </c>
      <c r="G15" s="1">
        <f>F15*B5*C11</f>
        <v>1.4180403540694975</v>
      </c>
      <c r="H15" s="1">
        <f>G15*B5*C10</f>
        <v>1.2728332688337998</v>
      </c>
      <c r="I15" s="1">
        <f>H15*B5*C9</f>
        <v>1.0782576527072028</v>
      </c>
      <c r="J15" s="1">
        <f>I15*B5*C8</f>
        <v>0.81752884371284551</v>
      </c>
      <c r="K15" s="1">
        <f>J15*B5</f>
        <v>0.46815561189233129</v>
      </c>
      <c r="L15" s="1">
        <f>K15*B5</f>
        <v>0.26808800525118326</v>
      </c>
      <c r="M15" s="9"/>
      <c r="N15">
        <f>B15+L15</f>
        <v>0.9999999999999617</v>
      </c>
      <c r="O15" s="116">
        <f>B15/(B15+L15)</f>
        <v>0.73191199474880653</v>
      </c>
      <c r="P15" s="112">
        <f>B15-L15</f>
        <v>0.46382398949759518</v>
      </c>
      <c r="Q15" s="112">
        <f>($G$2*SUM(C15:K15))*B15</f>
        <v>198.21501185993023</v>
      </c>
      <c r="R15" s="9">
        <f>($I$2*SUM(C15:K15))*L15*COUNT(D15:M15)</f>
        <v>2331.6663453844567</v>
      </c>
      <c r="S15" s="9">
        <f t="shared" si="3"/>
        <v>-2133.4513335245265</v>
      </c>
      <c r="T15" s="112">
        <f>(S15+U15*L15)/B15</f>
        <v>-2911.6048879738933</v>
      </c>
      <c r="U15" s="9">
        <f t="shared" si="2"/>
        <v>9</v>
      </c>
    </row>
    <row r="16" spans="1:21" ht="17" thickBot="1" x14ac:dyDescent="0.25">
      <c r="A16" s="210">
        <v>10</v>
      </c>
      <c r="B16" s="195">
        <f>C16*B4</f>
        <v>0.73570824585936689</v>
      </c>
      <c r="C16" s="195">
        <f>1/(1-B5*B4/(1-B5*B4/(1-B5*B4/(1-B5*B4/(1-B5*B4/(1-B5*B4/(1-B5*B4/(1-B5*B4/(1-B5*B4)))))))))</f>
        <v>1.7215477797578151</v>
      </c>
      <c r="D16" s="213">
        <f>C16*B5*C15</f>
        <v>1.6884124722297789</v>
      </c>
      <c r="E16" s="131">
        <f>D16*B5*C14</f>
        <v>1.6440115887099065</v>
      </c>
      <c r="F16" s="131">
        <f>E16*B5*C13</f>
        <v>1.584514979068443</v>
      </c>
      <c r="G16" s="131">
        <f>F16*B5*C12</f>
        <v>1.5047902916701708</v>
      </c>
      <c r="H16" s="131">
        <f>G16*B5*C11</f>
        <v>1.3979602417050561</v>
      </c>
      <c r="I16" s="131">
        <f>H16*B5*C10</f>
        <v>1.2548093564775447</v>
      </c>
      <c r="J16" s="131">
        <f>I16*B5*C9</f>
        <v>1.0629890217672979</v>
      </c>
      <c r="K16" s="131">
        <f>J16*B5*C8</f>
        <v>0.80595225423440464</v>
      </c>
      <c r="L16" s="131">
        <f>K16*B5</f>
        <v>0.46152631021987622</v>
      </c>
      <c r="M16" s="10">
        <f>L16*B5</f>
        <v>0.26429175414058986</v>
      </c>
      <c r="N16">
        <f>B16+M16</f>
        <v>0.9999999999999567</v>
      </c>
      <c r="O16" s="195">
        <f>B16/(B16+M16)</f>
        <v>0.73570824585939876</v>
      </c>
      <c r="P16" s="113">
        <f>B16-M16</f>
        <v>0.47141649171877703</v>
      </c>
      <c r="Q16" s="113">
        <f>($G$2*SUM(C16:L16))*B16</f>
        <v>226.07104060394937</v>
      </c>
      <c r="R16" s="10">
        <f>($I$2*SUM(C16:L16))*M16*COUNT(D16:M16)</f>
        <v>2897.9557943323966</v>
      </c>
      <c r="S16" s="10">
        <f t="shared" si="3"/>
        <v>-2671.8847537284473</v>
      </c>
      <c r="T16" s="113">
        <f>(S16+U16*M16)/B16</f>
        <v>-3628.1254848097433</v>
      </c>
      <c r="U16" s="10">
        <f t="shared" si="2"/>
        <v>10</v>
      </c>
    </row>
    <row r="17" spans="1:8" ht="17" thickBot="1" x14ac:dyDescent="0.25"/>
    <row r="18" spans="1:8" ht="17" thickBot="1" x14ac:dyDescent="0.25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">
      <c r="A19" s="264">
        <v>1</v>
      </c>
      <c r="B19" s="146">
        <v>1</v>
      </c>
      <c r="C19" s="150">
        <f>B19*$M$3</f>
        <v>3</v>
      </c>
      <c r="D19" s="151">
        <f>SUM($C$19:C19)</f>
        <v>3</v>
      </c>
      <c r="E19" s="9">
        <f>B19/P7</f>
        <v>-6.8825767190263463</v>
      </c>
      <c r="F19" s="9">
        <f>D19/P7</f>
        <v>-20.647730157079039</v>
      </c>
      <c r="G19" s="28">
        <f>S7/E19</f>
        <v>5.4966256015904351</v>
      </c>
      <c r="H19" s="8">
        <f>S7/F19</f>
        <v>1.8322085338634784</v>
      </c>
    </row>
    <row r="20" spans="1:8" x14ac:dyDescent="0.2">
      <c r="A20" s="265">
        <v>2</v>
      </c>
      <c r="B20" s="141">
        <f>B19*($M$3+1)</f>
        <v>4</v>
      </c>
      <c r="C20" s="140">
        <f>B20*$M$3</f>
        <v>12</v>
      </c>
      <c r="D20" s="142">
        <f>SUM($C$19:C20)</f>
        <v>15</v>
      </c>
      <c r="E20" s="9">
        <f t="shared" ref="E20:E28" si="4">B20/P8</f>
        <v>30.38491805371622</v>
      </c>
      <c r="F20" s="9">
        <f t="shared" ref="F20:F28" si="5">D20/P8</f>
        <v>113.94344270143583</v>
      </c>
      <c r="G20" s="112">
        <f t="shared" ref="G20:G28" si="6">S8/E20</f>
        <v>-4.0630750249961718</v>
      </c>
      <c r="H20" s="9">
        <f t="shared" ref="H20:H28" si="7">S8/F20</f>
        <v>-1.0834866733323125</v>
      </c>
    </row>
    <row r="21" spans="1:8" x14ac:dyDescent="0.2">
      <c r="A21" s="265">
        <v>3</v>
      </c>
      <c r="B21" s="141">
        <f t="shared" ref="B21:B28" si="8">B20*($M$3+1)</f>
        <v>16</v>
      </c>
      <c r="C21" s="140">
        <f t="shared" ref="C21:C28" si="9">B21*$M$3</f>
        <v>48</v>
      </c>
      <c r="D21" s="142">
        <f>SUM($C$19:C21)</f>
        <v>63</v>
      </c>
      <c r="E21" s="9">
        <f t="shared" si="4"/>
        <v>60.5170823158643</v>
      </c>
      <c r="F21" s="9">
        <f t="shared" si="5"/>
        <v>238.28601161871569</v>
      </c>
      <c r="G21" s="112">
        <f t="shared" si="6"/>
        <v>-4.1465578588180074</v>
      </c>
      <c r="H21" s="9">
        <f t="shared" si="7"/>
        <v>-1.0530940593823512</v>
      </c>
    </row>
    <row r="22" spans="1:8" x14ac:dyDescent="0.2">
      <c r="A22" s="265">
        <v>4</v>
      </c>
      <c r="B22" s="141">
        <f t="shared" si="8"/>
        <v>64</v>
      </c>
      <c r="C22" s="140">
        <f t="shared" si="9"/>
        <v>192</v>
      </c>
      <c r="D22" s="142">
        <f>SUM($C$19:C22)</f>
        <v>255</v>
      </c>
      <c r="E22" s="9">
        <f t="shared" si="4"/>
        <v>188.39338739343174</v>
      </c>
      <c r="F22" s="9">
        <f t="shared" si="5"/>
        <v>750.62990289570462</v>
      </c>
      <c r="G22" s="112">
        <f t="shared" si="6"/>
        <v>-2.2496034762840522</v>
      </c>
      <c r="H22" s="9">
        <f t="shared" si="7"/>
        <v>-0.56460636267521302</v>
      </c>
    </row>
    <row r="23" spans="1:8" x14ac:dyDescent="0.2">
      <c r="A23" s="265">
        <v>5</v>
      </c>
      <c r="B23" s="141">
        <f t="shared" si="8"/>
        <v>256</v>
      </c>
      <c r="C23" s="140">
        <f t="shared" si="9"/>
        <v>768</v>
      </c>
      <c r="D23" s="142">
        <f>SUM($C$19:C23)</f>
        <v>1023</v>
      </c>
      <c r="E23" s="9">
        <f t="shared" si="4"/>
        <v>662.19936187525991</v>
      </c>
      <c r="F23" s="9">
        <f t="shared" si="5"/>
        <v>2646.2107312437142</v>
      </c>
      <c r="G23" s="112">
        <f t="shared" si="6"/>
        <v>-0.97695579549944644</v>
      </c>
      <c r="H23" s="9">
        <f t="shared" si="7"/>
        <v>-0.24447769662547245</v>
      </c>
    </row>
    <row r="24" spans="1:8" x14ac:dyDescent="0.2">
      <c r="A24" s="265">
        <v>6</v>
      </c>
      <c r="B24" s="141">
        <f t="shared" si="8"/>
        <v>1024</v>
      </c>
      <c r="C24" s="140">
        <f t="shared" si="9"/>
        <v>3072</v>
      </c>
      <c r="D24" s="142">
        <f>SUM($C$19:C24)</f>
        <v>4095</v>
      </c>
      <c r="E24" s="9">
        <f t="shared" si="4"/>
        <v>2452.96397807118</v>
      </c>
      <c r="F24" s="9">
        <f t="shared" si="5"/>
        <v>9809.4604396498835</v>
      </c>
      <c r="G24" s="112">
        <f t="shared" si="6"/>
        <v>-0.37718526058495494</v>
      </c>
      <c r="H24" s="9">
        <f t="shared" si="7"/>
        <v>-9.4319342329424641E-2</v>
      </c>
    </row>
    <row r="25" spans="1:8" x14ac:dyDescent="0.2">
      <c r="A25" s="265">
        <v>7</v>
      </c>
      <c r="B25" s="141">
        <f t="shared" si="8"/>
        <v>4096</v>
      </c>
      <c r="C25" s="140">
        <f t="shared" si="9"/>
        <v>12288</v>
      </c>
      <c r="D25" s="142">
        <f>SUM($C$19:C25)</f>
        <v>16383</v>
      </c>
      <c r="E25" s="9">
        <f t="shared" si="4"/>
        <v>9340.1590988086991</v>
      </c>
      <c r="F25" s="9">
        <f t="shared" si="5"/>
        <v>37358.356082954815</v>
      </c>
      <c r="G25" s="112">
        <f t="shared" si="6"/>
        <v>-0.13524200547216536</v>
      </c>
      <c r="H25" s="9">
        <f t="shared" si="7"/>
        <v>-3.3812565123236847E-2</v>
      </c>
    </row>
    <row r="26" spans="1:8" x14ac:dyDescent="0.2">
      <c r="A26" s="265">
        <v>8</v>
      </c>
      <c r="B26" s="141">
        <f t="shared" si="8"/>
        <v>16384</v>
      </c>
      <c r="C26" s="140">
        <f t="shared" si="9"/>
        <v>49152</v>
      </c>
      <c r="D26" s="142">
        <f>SUM($C$19:C26)</f>
        <v>65535</v>
      </c>
      <c r="E26" s="9">
        <f t="shared" si="4"/>
        <v>36143.717076766581</v>
      </c>
      <c r="F26" s="9">
        <f t="shared" si="5"/>
        <v>144572.66226964709</v>
      </c>
      <c r="G26" s="112">
        <f t="shared" si="6"/>
        <v>-4.6060599709504768E-2</v>
      </c>
      <c r="H26" s="9">
        <f t="shared" si="7"/>
        <v>-1.1515325637301078E-2</v>
      </c>
    </row>
    <row r="27" spans="1:8" x14ac:dyDescent="0.2">
      <c r="A27" s="265">
        <v>9</v>
      </c>
      <c r="B27" s="141">
        <f t="shared" si="8"/>
        <v>65536</v>
      </c>
      <c r="C27" s="140">
        <f t="shared" si="9"/>
        <v>196608</v>
      </c>
      <c r="D27" s="142">
        <f>SUM($C$19:C27)</f>
        <v>262143</v>
      </c>
      <c r="E27" s="9">
        <f t="shared" si="4"/>
        <v>141294.97715499208</v>
      </c>
      <c r="F27" s="9">
        <f t="shared" si="5"/>
        <v>565177.7526297163</v>
      </c>
      <c r="G27" s="112">
        <f t="shared" si="6"/>
        <v>-1.5099272291783301E-2</v>
      </c>
      <c r="H27" s="9">
        <f t="shared" si="7"/>
        <v>-3.7748324727889379E-3</v>
      </c>
    </row>
    <row r="28" spans="1:8" ht="17" thickBot="1" x14ac:dyDescent="0.25">
      <c r="A28" s="266">
        <v>10</v>
      </c>
      <c r="B28" s="143">
        <f t="shared" si="8"/>
        <v>262144</v>
      </c>
      <c r="C28" s="144">
        <f t="shared" si="9"/>
        <v>786432</v>
      </c>
      <c r="D28" s="145">
        <f>SUM($C$19:C28)</f>
        <v>1048575</v>
      </c>
      <c r="E28" s="9">
        <f t="shared" si="4"/>
        <v>556077.27901972027</v>
      </c>
      <c r="F28" s="9">
        <f t="shared" si="5"/>
        <v>2224306.9948124052</v>
      </c>
      <c r="G28" s="113">
        <f t="shared" si="6"/>
        <v>-4.8048802828962447E-3</v>
      </c>
      <c r="H28" s="10">
        <f t="shared" si="7"/>
        <v>-1.2012212162978834E-3</v>
      </c>
    </row>
    <row r="29" spans="1:8" ht="17" thickBot="1" x14ac:dyDescent="0.25"/>
    <row r="30" spans="1:8" ht="17" thickBot="1" x14ac:dyDescent="0.25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">
      <c r="A31" s="264">
        <v>1</v>
      </c>
      <c r="B31" s="146">
        <v>1</v>
      </c>
      <c r="C31" s="150">
        <f>B31*$M$3</f>
        <v>3</v>
      </c>
      <c r="D31" s="151">
        <f>SUM($C$31:C31)</f>
        <v>3</v>
      </c>
      <c r="E31" s="129">
        <f>B31/P7</f>
        <v>-6.8825767190263463</v>
      </c>
      <c r="F31" s="58">
        <f>D31/P7</f>
        <v>-20.647730157079039</v>
      </c>
      <c r="G31" s="28">
        <f>S7/E31</f>
        <v>5.4966256015904351</v>
      </c>
      <c r="H31" s="8">
        <f>S7/F31</f>
        <v>1.8322085338634784</v>
      </c>
    </row>
    <row r="32" spans="1:8" x14ac:dyDescent="0.2">
      <c r="A32" s="265">
        <v>2</v>
      </c>
      <c r="B32" s="141">
        <f>C31</f>
        <v>3</v>
      </c>
      <c r="C32" s="140">
        <f>B32*$M$3</f>
        <v>9</v>
      </c>
      <c r="D32" s="142">
        <f>SUM($C$31:C32)</f>
        <v>12</v>
      </c>
      <c r="E32" s="112">
        <f t="shared" ref="E32:E40" si="10">B32/P8</f>
        <v>22.788688540287165</v>
      </c>
      <c r="F32" s="9">
        <f t="shared" ref="F32:F40" si="11">D32/P8</f>
        <v>91.154754161148659</v>
      </c>
      <c r="G32" s="112">
        <f t="shared" ref="G32:G40" si="12">S8/E32</f>
        <v>-5.4174333666615624</v>
      </c>
      <c r="H32" s="9">
        <f t="shared" ref="H32:H40" si="13">S8/F32</f>
        <v>-1.3543583416653906</v>
      </c>
    </row>
    <row r="33" spans="1:8" x14ac:dyDescent="0.2">
      <c r="A33" s="265">
        <v>3</v>
      </c>
      <c r="B33" s="141">
        <f t="shared" ref="B33:B40" si="14">C32</f>
        <v>9</v>
      </c>
      <c r="C33" s="140">
        <f t="shared" ref="C33:C40" si="15">B33*$M$3</f>
        <v>27</v>
      </c>
      <c r="D33" s="142">
        <f>SUM($C$31:C33)</f>
        <v>39</v>
      </c>
      <c r="E33" s="112">
        <f t="shared" si="10"/>
        <v>34.040858802673668</v>
      </c>
      <c r="F33" s="9">
        <f t="shared" si="11"/>
        <v>147.51038814491923</v>
      </c>
      <c r="G33" s="112">
        <f t="shared" si="12"/>
        <v>-7.3716584156764586</v>
      </c>
      <c r="H33" s="9">
        <f t="shared" si="13"/>
        <v>-1.7011519420791827</v>
      </c>
    </row>
    <row r="34" spans="1:8" x14ac:dyDescent="0.2">
      <c r="A34" s="265">
        <v>4</v>
      </c>
      <c r="B34" s="141">
        <f t="shared" si="14"/>
        <v>27</v>
      </c>
      <c r="C34" s="140">
        <f t="shared" si="15"/>
        <v>81</v>
      </c>
      <c r="D34" s="142">
        <f>SUM($C$31:C34)</f>
        <v>120</v>
      </c>
      <c r="E34" s="112">
        <f t="shared" si="10"/>
        <v>79.478460306604021</v>
      </c>
      <c r="F34" s="9">
        <f t="shared" si="11"/>
        <v>353.23760136268453</v>
      </c>
      <c r="G34" s="112">
        <f t="shared" si="12"/>
        <v>-5.3323934252659004</v>
      </c>
      <c r="H34" s="9">
        <f t="shared" si="13"/>
        <v>-1.1997885206848278</v>
      </c>
    </row>
    <row r="35" spans="1:8" x14ac:dyDescent="0.2">
      <c r="A35" s="265">
        <v>5</v>
      </c>
      <c r="B35" s="141">
        <f t="shared" si="14"/>
        <v>81</v>
      </c>
      <c r="C35" s="140">
        <f t="shared" si="15"/>
        <v>243</v>
      </c>
      <c r="D35" s="142">
        <f>SUM($C$31:C35)</f>
        <v>363</v>
      </c>
      <c r="E35" s="112">
        <f t="shared" si="10"/>
        <v>209.52401684334396</v>
      </c>
      <c r="F35" s="9">
        <f t="shared" si="11"/>
        <v>938.97800140905986</v>
      </c>
      <c r="G35" s="112">
        <f t="shared" si="12"/>
        <v>-3.0876627610846703</v>
      </c>
      <c r="H35" s="9">
        <f t="shared" si="13"/>
        <v>-0.68898259958087693</v>
      </c>
    </row>
    <row r="36" spans="1:8" x14ac:dyDescent="0.2">
      <c r="A36" s="265">
        <v>6</v>
      </c>
      <c r="B36" s="141">
        <f t="shared" si="14"/>
        <v>243</v>
      </c>
      <c r="C36" s="140">
        <f t="shared" si="15"/>
        <v>729</v>
      </c>
      <c r="D36" s="142">
        <f>SUM($C$31:C36)</f>
        <v>1092</v>
      </c>
      <c r="E36" s="112">
        <f t="shared" si="10"/>
        <v>582.09985026493814</v>
      </c>
      <c r="F36" s="9">
        <f t="shared" si="11"/>
        <v>2615.8561172399691</v>
      </c>
      <c r="G36" s="112">
        <f t="shared" si="12"/>
        <v>-1.5894555836995634</v>
      </c>
      <c r="H36" s="9">
        <f t="shared" si="13"/>
        <v>-0.35369753373534241</v>
      </c>
    </row>
    <row r="37" spans="1:8" x14ac:dyDescent="0.2">
      <c r="A37" s="265">
        <v>7</v>
      </c>
      <c r="B37" s="141">
        <f t="shared" si="14"/>
        <v>729</v>
      </c>
      <c r="C37" s="140">
        <f t="shared" si="15"/>
        <v>2187</v>
      </c>
      <c r="D37" s="142">
        <f>SUM($C$31:C37)</f>
        <v>3279</v>
      </c>
      <c r="E37" s="112">
        <f t="shared" si="10"/>
        <v>1662.3476521073101</v>
      </c>
      <c r="F37" s="9">
        <f t="shared" si="11"/>
        <v>7477.1439660629212</v>
      </c>
      <c r="G37" s="112">
        <f t="shared" si="12"/>
        <v>-0.75987826394237212</v>
      </c>
      <c r="H37" s="9">
        <f t="shared" si="13"/>
        <v>-0.16893908338334532</v>
      </c>
    </row>
    <row r="38" spans="1:8" x14ac:dyDescent="0.2">
      <c r="A38" s="265">
        <v>8</v>
      </c>
      <c r="B38" s="141">
        <f t="shared" si="14"/>
        <v>2187</v>
      </c>
      <c r="C38" s="140">
        <f t="shared" si="15"/>
        <v>6561</v>
      </c>
      <c r="D38" s="142">
        <f>SUM($C$31:C38)</f>
        <v>9840</v>
      </c>
      <c r="E38" s="112">
        <f t="shared" si="10"/>
        <v>4824.6038358696605</v>
      </c>
      <c r="F38" s="9">
        <f t="shared" si="11"/>
        <v>21707.408205284617</v>
      </c>
      <c r="G38" s="112">
        <f t="shared" si="12"/>
        <v>-0.34506486769114131</v>
      </c>
      <c r="H38" s="9">
        <f t="shared" si="13"/>
        <v>-7.6692770898427451E-2</v>
      </c>
    </row>
    <row r="39" spans="1:8" x14ac:dyDescent="0.2">
      <c r="A39" s="265">
        <v>9</v>
      </c>
      <c r="B39" s="141">
        <f t="shared" si="14"/>
        <v>6561</v>
      </c>
      <c r="C39" s="140">
        <f t="shared" si="15"/>
        <v>19683</v>
      </c>
      <c r="D39" s="142">
        <f>SUM($C$31:C39)</f>
        <v>29523</v>
      </c>
      <c r="E39" s="112">
        <f t="shared" si="10"/>
        <v>14145.452043363999</v>
      </c>
      <c r="F39" s="9">
        <f t="shared" si="11"/>
        <v>63651.300209759997</v>
      </c>
      <c r="G39" s="112">
        <f t="shared" si="12"/>
        <v>-0.15082242172143126</v>
      </c>
      <c r="H39" s="9">
        <f t="shared" si="13"/>
        <v>-3.3517796596359124E-2</v>
      </c>
    </row>
    <row r="40" spans="1:8" ht="17" thickBot="1" x14ac:dyDescent="0.25">
      <c r="A40" s="266">
        <v>10</v>
      </c>
      <c r="B40" s="143">
        <f t="shared" si="14"/>
        <v>19683</v>
      </c>
      <c r="C40" s="144">
        <f t="shared" si="15"/>
        <v>59049</v>
      </c>
      <c r="D40" s="145">
        <f>SUM($C$31:C40)</f>
        <v>88572</v>
      </c>
      <c r="E40" s="113">
        <f t="shared" si="10"/>
        <v>41752.888042240724</v>
      </c>
      <c r="F40" s="10">
        <f t="shared" si="11"/>
        <v>187884.81429036963</v>
      </c>
      <c r="G40" s="113">
        <f t="shared" si="12"/>
        <v>-6.3992812928900744E-2</v>
      </c>
      <c r="H40" s="10">
        <f t="shared" si="13"/>
        <v>-1.422086592692446E-2</v>
      </c>
    </row>
    <row r="41" spans="1:8" ht="17" thickBot="1" x14ac:dyDescent="0.25"/>
    <row r="42" spans="1:8" ht="17" thickBot="1" x14ac:dyDescent="0.25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">
      <c r="A43" s="264">
        <v>1</v>
      </c>
      <c r="B43" s="146">
        <v>1</v>
      </c>
      <c r="C43" s="150">
        <f>B43*$M$3</f>
        <v>3</v>
      </c>
      <c r="D43" s="151">
        <f>SUM(C43:C43)</f>
        <v>3</v>
      </c>
      <c r="E43" s="129">
        <f>B43/P7</f>
        <v>-6.8825767190263463</v>
      </c>
      <c r="F43" s="58">
        <f>D43/P7</f>
        <v>-20.647730157079039</v>
      </c>
      <c r="G43" s="28">
        <f>S7/E43</f>
        <v>5.4966256015904351</v>
      </c>
      <c r="H43" s="8">
        <f>S7/F43</f>
        <v>1.8322085338634784</v>
      </c>
    </row>
    <row r="44" spans="1:8" x14ac:dyDescent="0.2">
      <c r="A44" s="265">
        <v>2</v>
      </c>
      <c r="B44" s="141">
        <f>B43*$M$3*2</f>
        <v>6</v>
      </c>
      <c r="C44" s="140">
        <f>B44*$M$3</f>
        <v>18</v>
      </c>
      <c r="D44" s="142">
        <f>SUM($C$43:C44)</f>
        <v>21</v>
      </c>
      <c r="E44" s="112">
        <f t="shared" ref="E44:E52" si="16">B44/P8</f>
        <v>45.57737708057433</v>
      </c>
      <c r="F44" s="9">
        <f t="shared" ref="F44:F52" si="17">D44/P8</f>
        <v>159.52081978201016</v>
      </c>
      <c r="G44" s="112">
        <f t="shared" ref="G44:G52" si="18">S8/E44</f>
        <v>-2.7087166833307812</v>
      </c>
      <c r="H44" s="9">
        <f t="shared" ref="H44:H52" si="19">S8/F44</f>
        <v>-0.77391905238022318</v>
      </c>
    </row>
    <row r="45" spans="1:8" x14ac:dyDescent="0.2">
      <c r="A45" s="265">
        <v>3</v>
      </c>
      <c r="B45" s="141">
        <f t="shared" ref="B45:B52" si="20">B44*$M$3*2</f>
        <v>36</v>
      </c>
      <c r="C45" s="140">
        <f t="shared" ref="C45:C52" si="21">B45*$M$3</f>
        <v>108</v>
      </c>
      <c r="D45" s="142">
        <f>SUM($C$43:C45)</f>
        <v>129</v>
      </c>
      <c r="E45" s="112">
        <f t="shared" si="16"/>
        <v>136.16343521069467</v>
      </c>
      <c r="F45" s="9">
        <f t="shared" si="17"/>
        <v>487.91897617165591</v>
      </c>
      <c r="G45" s="112">
        <f t="shared" si="18"/>
        <v>-1.8429146039191147</v>
      </c>
      <c r="H45" s="9">
        <f t="shared" si="19"/>
        <v>-0.51430174993091571</v>
      </c>
    </row>
    <row r="46" spans="1:8" x14ac:dyDescent="0.2">
      <c r="A46" s="265">
        <v>4</v>
      </c>
      <c r="B46" s="141">
        <f t="shared" si="20"/>
        <v>216</v>
      </c>
      <c r="C46" s="140">
        <f t="shared" si="21"/>
        <v>648</v>
      </c>
      <c r="D46" s="142">
        <f>SUM($C$43:C46)</f>
        <v>777</v>
      </c>
      <c r="E46" s="112">
        <f t="shared" si="16"/>
        <v>635.82768245283216</v>
      </c>
      <c r="F46" s="9">
        <f t="shared" si="17"/>
        <v>2287.2134688233823</v>
      </c>
      <c r="G46" s="112">
        <f t="shared" si="18"/>
        <v>-0.66654917815823755</v>
      </c>
      <c r="H46" s="9">
        <f t="shared" si="19"/>
        <v>-0.18529552443008923</v>
      </c>
    </row>
    <row r="47" spans="1:8" x14ac:dyDescent="0.2">
      <c r="A47" s="265">
        <v>5</v>
      </c>
      <c r="B47" s="141">
        <f t="shared" si="20"/>
        <v>1296</v>
      </c>
      <c r="C47" s="140">
        <f t="shared" si="21"/>
        <v>3888</v>
      </c>
      <c r="D47" s="142">
        <f>SUM($C$43:C47)</f>
        <v>4665</v>
      </c>
      <c r="E47" s="112">
        <f t="shared" si="16"/>
        <v>3352.3842694935033</v>
      </c>
      <c r="F47" s="9">
        <f t="shared" si="17"/>
        <v>12067.031340422216</v>
      </c>
      <c r="G47" s="112">
        <f t="shared" si="18"/>
        <v>-0.19297892256779189</v>
      </c>
      <c r="H47" s="9">
        <f t="shared" si="19"/>
        <v>-5.3612150835553762E-2</v>
      </c>
    </row>
    <row r="48" spans="1:8" x14ac:dyDescent="0.2">
      <c r="A48" s="265">
        <v>6</v>
      </c>
      <c r="B48" s="141">
        <f t="shared" si="20"/>
        <v>7776</v>
      </c>
      <c r="C48" s="140">
        <f t="shared" si="21"/>
        <v>23328</v>
      </c>
      <c r="D48" s="142">
        <f>SUM($C$43:C48)</f>
        <v>27993</v>
      </c>
      <c r="E48" s="112">
        <f t="shared" si="16"/>
        <v>18627.195208478021</v>
      </c>
      <c r="F48" s="9">
        <f t="shared" si="17"/>
        <v>67056.465466939975</v>
      </c>
      <c r="G48" s="112">
        <f t="shared" si="18"/>
        <v>-4.9670486990611357E-2</v>
      </c>
      <c r="H48" s="9">
        <f t="shared" si="19"/>
        <v>-1.37976532289856E-2</v>
      </c>
    </row>
    <row r="49" spans="1:8" x14ac:dyDescent="0.2">
      <c r="A49" s="265">
        <v>7</v>
      </c>
      <c r="B49" s="141">
        <f t="shared" si="20"/>
        <v>46656</v>
      </c>
      <c r="C49" s="140">
        <f t="shared" si="21"/>
        <v>139968</v>
      </c>
      <c r="D49" s="142">
        <f>SUM($C$43:C49)</f>
        <v>167961</v>
      </c>
      <c r="E49" s="112">
        <f t="shared" si="16"/>
        <v>106390.24973486784</v>
      </c>
      <c r="F49" s="9">
        <f t="shared" si="17"/>
        <v>383003.53085815621</v>
      </c>
      <c r="G49" s="112">
        <f t="shared" si="18"/>
        <v>-1.1873097874099564E-2</v>
      </c>
      <c r="H49" s="9">
        <f t="shared" si="19"/>
        <v>-3.2980945244073883E-3</v>
      </c>
    </row>
    <row r="50" spans="1:8" x14ac:dyDescent="0.2">
      <c r="A50" s="265">
        <v>8</v>
      </c>
      <c r="B50" s="141">
        <f t="shared" si="20"/>
        <v>279936</v>
      </c>
      <c r="C50" s="140">
        <f t="shared" si="21"/>
        <v>839808</v>
      </c>
      <c r="D50" s="142">
        <f>SUM($C$43:C50)</f>
        <v>1007769</v>
      </c>
      <c r="E50" s="112">
        <f t="shared" si="16"/>
        <v>617549.29099131655</v>
      </c>
      <c r="F50" s="9">
        <f t="shared" si="17"/>
        <v>2223176.1239462881</v>
      </c>
      <c r="G50" s="112">
        <f t="shared" si="18"/>
        <v>-2.6958192788370415E-3</v>
      </c>
      <c r="H50" s="9">
        <f t="shared" si="19"/>
        <v>-7.48839134405331E-4</v>
      </c>
    </row>
    <row r="51" spans="1:8" x14ac:dyDescent="0.2">
      <c r="A51" s="265">
        <v>9</v>
      </c>
      <c r="B51" s="141">
        <f t="shared" si="20"/>
        <v>1679616</v>
      </c>
      <c r="C51" s="140">
        <f t="shared" si="21"/>
        <v>5038848</v>
      </c>
      <c r="D51" s="142">
        <f>SUM($C$43:C51)</f>
        <v>6046617</v>
      </c>
      <c r="E51" s="112">
        <f t="shared" si="16"/>
        <v>3621235.7231011838</v>
      </c>
      <c r="F51" s="9">
        <f t="shared" si="17"/>
        <v>13036447.309570111</v>
      </c>
      <c r="G51" s="112">
        <f t="shared" si="18"/>
        <v>-5.8915008484934086E-4</v>
      </c>
      <c r="H51" s="9">
        <f t="shared" si="19"/>
        <v>-1.6365281758614947E-4</v>
      </c>
    </row>
    <row r="52" spans="1:8" ht="17" thickBot="1" x14ac:dyDescent="0.25">
      <c r="A52" s="266">
        <v>10</v>
      </c>
      <c r="B52" s="143">
        <f t="shared" si="20"/>
        <v>10077696</v>
      </c>
      <c r="C52" s="144">
        <f t="shared" si="21"/>
        <v>30233088</v>
      </c>
      <c r="D52" s="145">
        <f>SUM($C$43:C52)</f>
        <v>36279705</v>
      </c>
      <c r="E52" s="113">
        <f t="shared" si="16"/>
        <v>21377478.677627251</v>
      </c>
      <c r="F52" s="10">
        <f t="shared" si="17"/>
        <v>76958921.966698214</v>
      </c>
      <c r="G52" s="113">
        <f t="shared" si="18"/>
        <v>-1.2498596275175927E-4</v>
      </c>
      <c r="H52" s="10">
        <f t="shared" si="19"/>
        <v>-3.4718323560777389E-5</v>
      </c>
    </row>
  </sheetData>
  <conditionalFormatting sqref="O7:O16">
    <cfRule type="cellIs" dxfId="327" priority="27" operator="lessThanOrEqual">
      <formula>0</formula>
    </cfRule>
    <cfRule type="cellIs" dxfId="326" priority="28" operator="greaterThan">
      <formula>0</formula>
    </cfRule>
  </conditionalFormatting>
  <conditionalFormatting sqref="P7:P16 S7:S16">
    <cfRule type="cellIs" dxfId="325" priority="25" operator="lessThanOrEqual">
      <formula>0</formula>
    </cfRule>
    <cfRule type="cellIs" dxfId="324" priority="26" operator="greaterThan">
      <formula>0</formula>
    </cfRule>
  </conditionalFormatting>
  <conditionalFormatting sqref="G43:G52">
    <cfRule type="cellIs" dxfId="323" priority="24" operator="equal">
      <formula>MAX($G$43:$G$52)</formula>
    </cfRule>
  </conditionalFormatting>
  <conditionalFormatting sqref="H43:H52">
    <cfRule type="cellIs" dxfId="322" priority="23" operator="equal">
      <formula>MAX($H$43:$H$52)</formula>
    </cfRule>
  </conditionalFormatting>
  <conditionalFormatting sqref="G31:G40">
    <cfRule type="cellIs" dxfId="321" priority="22" operator="equal">
      <formula>MAX($G$31:$G$40)</formula>
    </cfRule>
  </conditionalFormatting>
  <conditionalFormatting sqref="H31:H40">
    <cfRule type="cellIs" dxfId="320" priority="21" operator="equal">
      <formula>MAX($H$31:$H$40)</formula>
    </cfRule>
  </conditionalFormatting>
  <conditionalFormatting sqref="G19:G28">
    <cfRule type="cellIs" dxfId="319" priority="1" operator="lessThanOrEqual">
      <formula>0</formula>
    </cfRule>
    <cfRule type="cellIs" dxfId="318" priority="20" operator="equal">
      <formula>MAX($G$19:$G$28)</formula>
    </cfRule>
  </conditionalFormatting>
  <conditionalFormatting sqref="H19:H28">
    <cfRule type="cellIs" dxfId="317" priority="2" operator="lessThanOrEqual">
      <formula>0</formula>
    </cfRule>
    <cfRule type="cellIs" dxfId="316" priority="19" operator="equal">
      <formula>MAX($H$19:$H$28)</formula>
    </cfRule>
  </conditionalFormatting>
  <conditionalFormatting sqref="F19:F28">
    <cfRule type="cellIs" dxfId="315" priority="17" stopIfTrue="1" operator="lessThan">
      <formula>0</formula>
    </cfRule>
    <cfRule type="cellIs" dxfId="314" priority="18" operator="equal">
      <formula>MIN($F$19:$F$28)</formula>
    </cfRule>
  </conditionalFormatting>
  <conditionalFormatting sqref="E19:E28">
    <cfRule type="cellIs" dxfId="313" priority="15" stopIfTrue="1" operator="lessThan">
      <formula>0</formula>
    </cfRule>
    <cfRule type="cellIs" dxfId="312" priority="16" operator="equal">
      <formula>MIN($E$19:$E$28)</formula>
    </cfRule>
  </conditionalFormatting>
  <conditionalFormatting sqref="F31:F40">
    <cfRule type="cellIs" dxfId="311" priority="13" stopIfTrue="1" operator="lessThan">
      <formula>0</formula>
    </cfRule>
    <cfRule type="cellIs" dxfId="310" priority="14" operator="equal">
      <formula>MIN($F$31:$F$40)</formula>
    </cfRule>
  </conditionalFormatting>
  <conditionalFormatting sqref="E31:E40">
    <cfRule type="cellIs" dxfId="309" priority="11" stopIfTrue="1" operator="lessThan">
      <formula>0</formula>
    </cfRule>
    <cfRule type="cellIs" dxfId="308" priority="12" operator="equal">
      <formula>MIN($E$31:$E$40)</formula>
    </cfRule>
  </conditionalFormatting>
  <conditionalFormatting sqref="F43:F52">
    <cfRule type="cellIs" dxfId="307" priority="9" stopIfTrue="1" operator="lessThan">
      <formula>0</formula>
    </cfRule>
    <cfRule type="cellIs" dxfId="306" priority="10" operator="equal">
      <formula>MIN($F$43:$F$52)</formula>
    </cfRule>
  </conditionalFormatting>
  <conditionalFormatting sqref="E43:E52">
    <cfRule type="cellIs" dxfId="305" priority="7" stopIfTrue="1" operator="lessThan">
      <formula>0</formula>
    </cfRule>
    <cfRule type="cellIs" dxfId="304" priority="8" operator="equal">
      <formula>MIN($E$43:$E$52)</formula>
    </cfRule>
  </conditionalFormatting>
  <conditionalFormatting sqref="Q7:Q16">
    <cfRule type="cellIs" dxfId="303" priority="5" operator="lessThanOrEqual">
      <formula>0</formula>
    </cfRule>
    <cfRule type="cellIs" dxfId="302" priority="6" operator="greaterThan">
      <formula>0</formula>
    </cfRule>
  </conditionalFormatting>
  <conditionalFormatting sqref="R7:R16">
    <cfRule type="cellIs" dxfId="301" priority="3" operator="lessThanOrEqual">
      <formula>0</formula>
    </cfRule>
    <cfRule type="cellIs" dxfId="300" priority="4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U52"/>
  <sheetViews>
    <sheetView topLeftCell="A22" workbookViewId="0">
      <selection activeCell="B43" sqref="B43:D5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1" x14ac:dyDescent="0.2">
      <c r="B1" s="202"/>
      <c r="C1" t="s">
        <v>99</v>
      </c>
      <c r="D1">
        <f>C2+E2</f>
        <v>0.99999999999999611</v>
      </c>
    </row>
    <row r="2" spans="1:21" x14ac:dyDescent="0.2">
      <c r="A2" t="s">
        <v>40</v>
      </c>
      <c r="B2" s="201" t="s">
        <v>129</v>
      </c>
      <c r="C2" s="222">
        <f>Analysis!B34</f>
        <v>0.43046203841549002</v>
      </c>
      <c r="D2" s="199" t="s">
        <v>130</v>
      </c>
      <c r="E2" s="222">
        <f>Analysis!M34</f>
        <v>0.56953796158450609</v>
      </c>
      <c r="F2" s="199" t="s">
        <v>49</v>
      </c>
      <c r="G2" s="222">
        <f>Analysis!S34</f>
        <v>26.986774277400567</v>
      </c>
      <c r="H2" t="s">
        <v>163</v>
      </c>
      <c r="I2" s="238">
        <f>Analysis!T34</f>
        <v>106.96939621006125</v>
      </c>
      <c r="J2" t="s">
        <v>50</v>
      </c>
      <c r="K2" s="238">
        <f>C2*G2-E2*I2</f>
        <v>-49.306350003695115</v>
      </c>
      <c r="L2" t="s">
        <v>49</v>
      </c>
      <c r="M2" s="267">
        <v>2</v>
      </c>
    </row>
    <row r="3" spans="1:21" x14ac:dyDescent="0.2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3</v>
      </c>
    </row>
    <row r="4" spans="1:21" x14ac:dyDescent="0.2">
      <c r="A4" t="s">
        <v>127</v>
      </c>
      <c r="B4" s="202">
        <f>$C$2</f>
        <v>0.43046203841549002</v>
      </c>
      <c r="C4">
        <f>B4*$C$2</f>
        <v>0.18529756651681881</v>
      </c>
      <c r="D4">
        <f t="shared" ref="D4:K4" si="0">C4*$C$2</f>
        <v>7.9763568196259668E-2</v>
      </c>
      <c r="E4">
        <f t="shared" si="0"/>
        <v>3.4335188157054886E-2</v>
      </c>
      <c r="F4">
        <f t="shared" si="0"/>
        <v>1.4779995083465239E-2</v>
      </c>
      <c r="G4">
        <f t="shared" si="0"/>
        <v>6.3622268113993673E-3</v>
      </c>
      <c r="H4">
        <f t="shared" si="0"/>
        <v>2.7386971220966548E-3</v>
      </c>
      <c r="I4">
        <f t="shared" si="0"/>
        <v>1.1789051457803622E-3</v>
      </c>
      <c r="J4">
        <f t="shared" si="0"/>
        <v>5.0747391215112518E-4</v>
      </c>
      <c r="K4">
        <f t="shared" si="0"/>
        <v>2.1844825466725665E-4</v>
      </c>
    </row>
    <row r="5" spans="1:21" ht="17" thickBot="1" x14ac:dyDescent="0.25">
      <c r="A5" t="s">
        <v>128</v>
      </c>
      <c r="B5" s="202">
        <f>$E$2</f>
        <v>0.56953796158450609</v>
      </c>
      <c r="C5">
        <f>B5*$E$2</f>
        <v>0.32437348968583435</v>
      </c>
      <c r="D5">
        <f t="shared" ref="D5:K5" si="1">C5*$E$2</f>
        <v>0.1847430161077229</v>
      </c>
      <c r="E5">
        <f t="shared" si="1"/>
        <v>0.10521816081096608</v>
      </c>
      <c r="F5">
        <f t="shared" si="1"/>
        <v>5.9925736829948381E-2</v>
      </c>
      <c r="G5">
        <f t="shared" si="1"/>
        <v>3.412998200057836E-2</v>
      </c>
      <c r="H5">
        <f t="shared" si="1"/>
        <v>1.9438320377525284E-2</v>
      </c>
      <c r="I5">
        <f t="shared" si="1"/>
        <v>1.1070861364442318E-2</v>
      </c>
      <c r="J5">
        <f t="shared" si="1"/>
        <v>6.3052758144891419E-3</v>
      </c>
      <c r="K5">
        <f t="shared" si="1"/>
        <v>3.5910939346122323E-3</v>
      </c>
    </row>
    <row r="6" spans="1:21" ht="17" thickBot="1" x14ac:dyDescent="0.25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">
      <c r="A7" s="208">
        <v>1</v>
      </c>
      <c r="B7" s="114">
        <f>C7*B4</f>
        <v>0.43046203841549002</v>
      </c>
      <c r="C7" s="114">
        <v>1</v>
      </c>
      <c r="D7" s="212">
        <f>C7*B5</f>
        <v>0.56953796158450609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0.99999999999999611</v>
      </c>
      <c r="O7" s="114">
        <f>B7/(B7+D7)</f>
        <v>0.43046203841549169</v>
      </c>
      <c r="P7" s="129">
        <f>B7-D7</f>
        <v>-0.13907592316901607</v>
      </c>
      <c r="Q7" s="129">
        <f>($G$2*SUM(C7))*B7</f>
        <v>11.61678186570856</v>
      </c>
      <c r="R7" s="58">
        <f>($I$2*SUM(C7))*D7*COUNT(D7:M7)</f>
        <v>60.923131869403676</v>
      </c>
      <c r="S7" s="58">
        <f>Q7-R7</f>
        <v>-49.306350003695115</v>
      </c>
      <c r="T7" s="129">
        <f>(S7+U7*D7)/B7</f>
        <v>-113.21976781392492</v>
      </c>
      <c r="U7" s="58">
        <f t="shared" ref="U7:U16" si="2">COUNT(D7:M7)</f>
        <v>1</v>
      </c>
    </row>
    <row r="8" spans="1:21" x14ac:dyDescent="0.2">
      <c r="A8" s="209">
        <v>2</v>
      </c>
      <c r="B8" s="116">
        <f>C8*B4</f>
        <v>0.5702726254794197</v>
      </c>
      <c r="C8" s="116">
        <f>1/(1-B4*B5)</f>
        <v>1.3247919086629931</v>
      </c>
      <c r="D8" s="194">
        <f>C8*B5</f>
        <v>0.75451928318356831</v>
      </c>
      <c r="E8" s="1">
        <f>D8*B5</f>
        <v>0.42972737452057219</v>
      </c>
      <c r="F8" s="1"/>
      <c r="G8" s="1"/>
      <c r="H8" s="1"/>
      <c r="I8" s="1"/>
      <c r="J8" s="1"/>
      <c r="K8" s="1"/>
      <c r="L8" s="1"/>
      <c r="M8" s="9"/>
      <c r="N8">
        <f>B8+E8</f>
        <v>0.9999999999999919</v>
      </c>
      <c r="O8" s="116">
        <f>B8/(B8+E8)</f>
        <v>0.57027262547942437</v>
      </c>
      <c r="P8" s="112">
        <f>B8-E8</f>
        <v>0.14054525095884751</v>
      </c>
      <c r="Q8" s="112">
        <f>($G$2*SUM(C8:D8))*B8</f>
        <v>32.000222097873205</v>
      </c>
      <c r="R8" s="9">
        <f>($I$2*SUM(C8:D8))*E8*COUNT(D8:M8)</f>
        <v>191.16221377307676</v>
      </c>
      <c r="S8" s="9">
        <f t="shared" ref="S8:S16" si="3">Q8-R8</f>
        <v>-159.16199167520355</v>
      </c>
      <c r="T8" s="112">
        <f>(S8+U8*E8)/B8</f>
        <v>-277.5909799161056</v>
      </c>
      <c r="U8" s="9">
        <f t="shared" si="2"/>
        <v>2</v>
      </c>
    </row>
    <row r="9" spans="1:21" x14ac:dyDescent="0.2">
      <c r="A9" s="209">
        <v>3</v>
      </c>
      <c r="B9" s="116">
        <f>C9*B4</f>
        <v>0.63752499997906531</v>
      </c>
      <c r="C9" s="216">
        <f>1/(1-B5*B4/(1-B5*B4))</f>
        <v>1.4810249059958087</v>
      </c>
      <c r="D9" s="217">
        <f>C9*B5*C8</f>
        <v>1.1174618504489691</v>
      </c>
      <c r="E9" s="218">
        <f>D9*(B5)</f>
        <v>0.63643694445315602</v>
      </c>
      <c r="F9" s="218">
        <f>E9*B5</f>
        <v>0.36247500002092203</v>
      </c>
      <c r="G9" s="218"/>
      <c r="H9" s="218"/>
      <c r="I9" s="218"/>
      <c r="J9" s="218"/>
      <c r="K9" s="218"/>
      <c r="L9" s="218"/>
      <c r="M9" s="219"/>
      <c r="N9">
        <f>B9+F9</f>
        <v>0.99999999999998734</v>
      </c>
      <c r="O9" s="116">
        <f>B9/(B9+F9)</f>
        <v>0.63752499997907341</v>
      </c>
      <c r="P9" s="112">
        <f>B9-F9</f>
        <v>0.27504999995814328</v>
      </c>
      <c r="Q9" s="112">
        <f>($G$2*SUM(C9:E9))*B9</f>
        <v>55.656031774040869</v>
      </c>
      <c r="R9" s="9">
        <f>($I$2*SUM(C9:E9))*F9*COUNT(D9:M9)</f>
        <v>376.29019282344137</v>
      </c>
      <c r="S9" s="9">
        <f t="shared" si="3"/>
        <v>-320.63416104940052</v>
      </c>
      <c r="T9" s="112">
        <f>(S9+U9*F9)/B9</f>
        <v>-501.23012597126524</v>
      </c>
      <c r="U9" s="9">
        <f t="shared" si="2"/>
        <v>3</v>
      </c>
    </row>
    <row r="10" spans="1:21" x14ac:dyDescent="0.2">
      <c r="A10" s="209">
        <v>4</v>
      </c>
      <c r="B10" s="116">
        <f>C10*B4</f>
        <v>0.67586504766927713</v>
      </c>
      <c r="C10" s="116">
        <f>1/(1-B5*B4/(1-B5*B4/(1-B5*B4)))</f>
        <v>1.570092104189033</v>
      </c>
      <c r="D10" s="194">
        <f>C10*B5*C9</f>
        <v>1.324372542321071</v>
      </c>
      <c r="E10" s="1">
        <f>D10*B5*C8</f>
        <v>0.99926462130009441</v>
      </c>
      <c r="F10" s="1">
        <f>E10*B5</f>
        <v>0.56911913549876925</v>
      </c>
      <c r="G10" s="1">
        <f>F10*B5</f>
        <v>0.32413495233070538</v>
      </c>
      <c r="H10" s="1"/>
      <c r="I10" s="1"/>
      <c r="J10" s="1"/>
      <c r="K10" s="1"/>
      <c r="L10" s="1"/>
      <c r="M10" s="9"/>
      <c r="N10">
        <f>B10+G10</f>
        <v>0.99999999999998246</v>
      </c>
      <c r="O10" s="116">
        <f>B10/(B10+G10)</f>
        <v>0.67586504766928901</v>
      </c>
      <c r="P10" s="112">
        <f>B10-G10</f>
        <v>0.35173009533857175</v>
      </c>
      <c r="Q10" s="112">
        <f>($G$2*SUM(C10:F10))*B10</f>
        <v>81.399755193235151</v>
      </c>
      <c r="R10" s="9">
        <f>($I$2*SUM(C10:F10))*G10*COUNT(D10:M10)</f>
        <v>618.95280460684694</v>
      </c>
      <c r="S10" s="9">
        <f t="shared" si="3"/>
        <v>-537.5530494136118</v>
      </c>
      <c r="T10" s="112">
        <f>(S10+U10*G10)/B10</f>
        <v>-793.43725711748425</v>
      </c>
      <c r="U10" s="9">
        <f t="shared" si="2"/>
        <v>4</v>
      </c>
    </row>
    <row r="11" spans="1:21" x14ac:dyDescent="0.2">
      <c r="A11" s="209">
        <v>5</v>
      </c>
      <c r="B11" s="116">
        <f>C11*B4</f>
        <v>0.69985952719517419</v>
      </c>
      <c r="C11" s="116">
        <f>1/(1-B5*B4/(1-B5*B4/(1-B5*B4/(1-B5*B4))))</f>
        <v>1.6258333249810444</v>
      </c>
      <c r="D11" s="194">
        <f>C11*B5*C10</f>
        <v>1.4538641485895172</v>
      </c>
      <c r="E11" s="1">
        <f>D11*B5*C9</f>
        <v>1.2263342726963622</v>
      </c>
      <c r="F11" s="1">
        <f>E11*B5*C8</f>
        <v>0.92529285637830183</v>
      </c>
      <c r="G11" s="1">
        <f>F11*B5</f>
        <v>0.52698940729040322</v>
      </c>
      <c r="H11" s="1">
        <f>G11*B5</f>
        <v>0.30014047280480333</v>
      </c>
      <c r="I11" s="1"/>
      <c r="J11" s="1"/>
      <c r="K11" s="1"/>
      <c r="L11" s="1"/>
      <c r="M11" s="9"/>
      <c r="N11">
        <f>B11+H11</f>
        <v>0.99999999999997757</v>
      </c>
      <c r="O11" s="116">
        <f>B11/(B11+H11)</f>
        <v>0.69985952719518985</v>
      </c>
      <c r="P11" s="112">
        <f>B11-H11</f>
        <v>0.39971905439037086</v>
      </c>
      <c r="Q11" s="112">
        <f>($G$2*SUM(C11:G11))*B11</f>
        <v>108.75699504523585</v>
      </c>
      <c r="R11" s="9">
        <f>($I$2*SUM(C11:G11))*H11*COUNT(D11:M11)</f>
        <v>924.37768975931453</v>
      </c>
      <c r="S11" s="9">
        <f t="shared" si="3"/>
        <v>-815.6206947140787</v>
      </c>
      <c r="T11" s="112">
        <f>(S11+U11*H11)/B11</f>
        <v>-1163.2619986082091</v>
      </c>
      <c r="U11" s="9">
        <f t="shared" si="2"/>
        <v>5</v>
      </c>
    </row>
    <row r="12" spans="1:21" x14ac:dyDescent="0.2">
      <c r="A12" s="209">
        <v>6</v>
      </c>
      <c r="B12" s="116">
        <f>C12*B4</f>
        <v>0.71576252458692435</v>
      </c>
      <c r="C12" s="116">
        <f>1/(1-B5*B4/(1-B5*B4/(1-B5*B4/(1-B5*B4/(1-B5*B4)))))</f>
        <v>1.6627773432045521</v>
      </c>
      <c r="D12" s="194">
        <f>C12*B5*C11</f>
        <v>1.5396882513594079</v>
      </c>
      <c r="E12" s="1">
        <f>D12*B5*C10</f>
        <v>1.3768308929711641</v>
      </c>
      <c r="F12" s="1">
        <f>E12*B5*C9</f>
        <v>1.1613567288221178</v>
      </c>
      <c r="G12" s="1">
        <f>F12*B5*C8</f>
        <v>0.87626604655127804</v>
      </c>
      <c r="H12" s="1">
        <f>G12*B5</f>
        <v>0.49906677795852883</v>
      </c>
      <c r="I12" s="1">
        <f>H12*B5</f>
        <v>0.28423747541304784</v>
      </c>
      <c r="J12" s="1"/>
      <c r="K12" s="1"/>
      <c r="L12" s="1"/>
      <c r="M12" s="9"/>
      <c r="N12">
        <f>B12+I12</f>
        <v>0.99999999999997224</v>
      </c>
      <c r="O12" s="116">
        <f>B12/(B12+I12)</f>
        <v>0.71576252458694423</v>
      </c>
      <c r="P12" s="112">
        <f>B12-I12</f>
        <v>0.43152504917387652</v>
      </c>
      <c r="Q12" s="112">
        <f>($G$2*SUM(C12:H12))*B12</f>
        <v>137.45325229015813</v>
      </c>
      <c r="R12" s="9">
        <f>($I$2*SUM(C12:H12))*I12*COUNT(D12:M12)</f>
        <v>1298.1569996613596</v>
      </c>
      <c r="S12" s="9">
        <f t="shared" si="3"/>
        <v>-1160.7037473712014</v>
      </c>
      <c r="T12" s="112">
        <f>(S12+U12*I12)/B12</f>
        <v>-1619.2497968339371</v>
      </c>
      <c r="U12" s="9">
        <f t="shared" si="2"/>
        <v>6</v>
      </c>
    </row>
    <row r="13" spans="1:21" x14ac:dyDescent="0.2">
      <c r="A13" s="209">
        <v>7</v>
      </c>
      <c r="B13" s="116">
        <f>C13*B4</f>
        <v>0.72670700399387467</v>
      </c>
      <c r="C13" s="216">
        <f>1/(1-B5*B4/(1-B5*B4/(1-B5*B4/(1-B5*B4/(1-B5*B4/(1-B5*B4))))))</f>
        <v>1.6882023015754144</v>
      </c>
      <c r="D13" s="217">
        <f>C13*B5*C12</f>
        <v>1.5987525964162919</v>
      </c>
      <c r="E13" s="218">
        <f>D13*B5*C11</f>
        <v>1.4804030134236041</v>
      </c>
      <c r="F13" s="218">
        <f>E13*B5*C10</f>
        <v>1.3238164291567571</v>
      </c>
      <c r="G13" s="218">
        <f>F13*B5*C9</f>
        <v>1.1166390335771379</v>
      </c>
      <c r="H13" s="218">
        <f>G13*B5*C8</f>
        <v>0.84252568318941456</v>
      </c>
      <c r="I13" s="218">
        <f>H13*B5</f>
        <v>0.47985036018629257</v>
      </c>
      <c r="J13" s="218">
        <f>I13*B5</f>
        <v>0.27329299600609208</v>
      </c>
      <c r="K13" s="218"/>
      <c r="L13" s="218"/>
      <c r="M13" s="219"/>
      <c r="N13">
        <f>B13+J13</f>
        <v>0.99999999999996669</v>
      </c>
      <c r="O13" s="116">
        <f>B13/(B13+J13)</f>
        <v>0.72670700399389887</v>
      </c>
      <c r="P13" s="112">
        <f>B13-J13</f>
        <v>0.45341400798778259</v>
      </c>
      <c r="Q13" s="112">
        <f>($G$2*SUM(C13:I13))*B13</f>
        <v>167.28962109608224</v>
      </c>
      <c r="R13" s="9">
        <f>($I$2*SUM(C13:I13))*J13*COUNT(D13:M13)</f>
        <v>1745.6001121148929</v>
      </c>
      <c r="S13" s="9">
        <f t="shared" si="3"/>
        <v>-1578.3104910188106</v>
      </c>
      <c r="T13" s="112">
        <f>(S13+U13*J13)/B13</f>
        <v>-2169.2338609413696</v>
      </c>
      <c r="U13" s="9">
        <f t="shared" si="2"/>
        <v>7</v>
      </c>
    </row>
    <row r="14" spans="1:21" x14ac:dyDescent="0.2">
      <c r="A14" s="209">
        <v>8</v>
      </c>
      <c r="B14" s="116">
        <f>C14*B4</f>
        <v>0.73443551703358578</v>
      </c>
      <c r="C14" s="116">
        <f>1/(1-B5*B4/(1-B5*B4/(1-B5*B4/(1-B5*B4/(1-B5*B4/(1-B5*B4/(1-B5*B4)))))))</f>
        <v>1.7061562960046546</v>
      </c>
      <c r="D14" s="194">
        <f>C14*B5*C13</f>
        <v>1.6404612555476017</v>
      </c>
      <c r="E14" s="1">
        <f>D14*B5*C12</f>
        <v>1.5535411183716472</v>
      </c>
      <c r="F14" s="1">
        <f>E14*B5*C11</f>
        <v>1.4385383693950926</v>
      </c>
      <c r="G14" s="1">
        <f>F14*B5*C10</f>
        <v>1.2863799317548943</v>
      </c>
      <c r="H14" s="1">
        <f>G14*B5*C9</f>
        <v>1.0850613515370708</v>
      </c>
      <c r="I14" s="1">
        <f>H14*B5*C8</f>
        <v>0.81869971317194445</v>
      </c>
      <c r="J14" s="1">
        <f>I14*B5</f>
        <v>0.46628056578976906</v>
      </c>
      <c r="K14" s="1">
        <f>J14*B5</f>
        <v>0.26556448296637525</v>
      </c>
      <c r="L14" s="1"/>
      <c r="M14" s="9"/>
      <c r="N14">
        <f>B14+K14</f>
        <v>0.99999999999996103</v>
      </c>
      <c r="O14" s="116">
        <f>B14/(B14+K14)</f>
        <v>0.73443551703361443</v>
      </c>
      <c r="P14" s="112">
        <f>B14-K14</f>
        <v>0.46887103406721053</v>
      </c>
      <c r="Q14" s="112">
        <f>($G$2*SUM(C14:J14))*B14</f>
        <v>198.10370565588528</v>
      </c>
      <c r="R14" s="9">
        <f>($I$2*SUM(C14:J14))*K14*COUNT(D14:M14)</f>
        <v>2271.4724541015648</v>
      </c>
      <c r="S14" s="9">
        <f t="shared" si="3"/>
        <v>-2073.3687484456796</v>
      </c>
      <c r="T14" s="112">
        <f>(S14+U14*K14)/B14</f>
        <v>-2820.1852777324634</v>
      </c>
      <c r="U14" s="9">
        <f t="shared" si="2"/>
        <v>8</v>
      </c>
    </row>
    <row r="15" spans="1:21" x14ac:dyDescent="0.2">
      <c r="A15" s="209">
        <v>9</v>
      </c>
      <c r="B15" s="116">
        <f>C15*B4</f>
        <v>0.73999283116223924</v>
      </c>
      <c r="C15" s="116">
        <f>1/(1-B5*B4/(1-B5*B4/(1-B5*B4/(1-B5*B4/(1-B5*B4/(1-B5*B4/(1-B5*B4/(1-B5*B4))))))))</f>
        <v>1.7190664103299726</v>
      </c>
      <c r="D15" s="194">
        <f>C15*B5*C14</f>
        <v>1.6704525513488286</v>
      </c>
      <c r="E15" s="1">
        <f>D15*B5*C13</f>
        <v>1.6061322729549732</v>
      </c>
      <c r="F15" s="1">
        <f>E15*B5*C12</f>
        <v>1.5210310631483617</v>
      </c>
      <c r="G15" s="1">
        <f>F15*B5*C11</f>
        <v>1.4084349100937585</v>
      </c>
      <c r="H15" s="1">
        <f>G15*B5*C10</f>
        <v>1.2594606039528002</v>
      </c>
      <c r="I15" s="1">
        <f>H15*B5*C9</f>
        <v>1.0623549010659705</v>
      </c>
      <c r="J15" s="1">
        <f>I15*B5*C8</f>
        <v>0.80156725843884669</v>
      </c>
      <c r="K15" s="1">
        <f>J15*B5</f>
        <v>0.45652298244414174</v>
      </c>
      <c r="L15" s="1">
        <f>K15*B5</f>
        <v>0.26000716883771574</v>
      </c>
      <c r="M15" s="9"/>
      <c r="N15">
        <f>B15+L15</f>
        <v>0.99999999999995492</v>
      </c>
      <c r="O15" s="116">
        <f>B15/(B15+L15)</f>
        <v>0.73999283116227255</v>
      </c>
      <c r="P15" s="112">
        <f>B15-L15</f>
        <v>0.4799856623245235</v>
      </c>
      <c r="Q15" s="112">
        <f>($G$2*SUM(C15:K15))*B15</f>
        <v>229.75553275179902</v>
      </c>
      <c r="R15" s="9">
        <f>($I$2*SUM(C15:K15))*L15*COUNT(D15:M15)</f>
        <v>2879.8831427240129</v>
      </c>
      <c r="S15" s="9">
        <f t="shared" si="3"/>
        <v>-2650.127609972214</v>
      </c>
      <c r="T15" s="112">
        <f>(S15+U15*L15)/B15</f>
        <v>-3578.1259411581545</v>
      </c>
      <c r="U15" s="9">
        <f t="shared" si="2"/>
        <v>9</v>
      </c>
    </row>
    <row r="16" spans="1:21" ht="17" thickBot="1" x14ac:dyDescent="0.25">
      <c r="A16" s="210">
        <v>10</v>
      </c>
      <c r="B16" s="195">
        <f>C16*B4</f>
        <v>0.74404117364812705</v>
      </c>
      <c r="C16" s="195">
        <f>1/(1-B5*B4/(1-B5*B4/(1-B5*B4/(1-B5*B4/(1-B5*B4/(1-B5*B4/(1-B5*B4/(1-B5*B4/(1-B5*B4)))))))))</f>
        <v>1.7284710549318278</v>
      </c>
      <c r="D16" s="213">
        <f>C16*B5*C15</f>
        <v>1.6923003422399212</v>
      </c>
      <c r="E16" s="131">
        <f>D16*B5*C14</f>
        <v>1.6444434068143712</v>
      </c>
      <c r="F16" s="131">
        <f>E16*B5*C13</f>
        <v>1.581124602790974</v>
      </c>
      <c r="G16" s="131">
        <f>F16*B5*C12</f>
        <v>1.4973484289239527</v>
      </c>
      <c r="H16" s="131">
        <f>G16*B5*C11</f>
        <v>1.3865054113394091</v>
      </c>
      <c r="I16" s="131">
        <f>H16*B5*C10</f>
        <v>1.2398506528307447</v>
      </c>
      <c r="J16" s="131">
        <f>I16*B5*C9</f>
        <v>1.0458139091375238</v>
      </c>
      <c r="K16" s="131">
        <f>J16*B5*C8</f>
        <v>0.78908676106584985</v>
      </c>
      <c r="L16" s="131">
        <f>K16*B5</f>
        <v>0.44941486541076431</v>
      </c>
      <c r="M16" s="10">
        <f>L16*B5</f>
        <v>0.25595882635182188</v>
      </c>
      <c r="N16">
        <f>B16+M16</f>
        <v>0.99999999999994893</v>
      </c>
      <c r="O16" s="195">
        <f>B16/(B16+M16)</f>
        <v>0.74404117364816502</v>
      </c>
      <c r="P16" s="113">
        <f>B16-M16</f>
        <v>0.48808234729630517</v>
      </c>
      <c r="Q16" s="113">
        <f>($G$2*SUM(C16:L16))*B16</f>
        <v>262.12202353007802</v>
      </c>
      <c r="R16" s="10">
        <f>($I$2*SUM(C16:L16))*M16*COUNT(D16:M16)</f>
        <v>3574.2524278100923</v>
      </c>
      <c r="S16" s="10">
        <f t="shared" si="3"/>
        <v>-3312.1304042800143</v>
      </c>
      <c r="T16" s="113">
        <f>(S16+U16*M16)/B16</f>
        <v>-4448.1017089272837</v>
      </c>
      <c r="U16" s="10">
        <f t="shared" si="2"/>
        <v>10</v>
      </c>
    </row>
    <row r="17" spans="1:8" ht="17" thickBot="1" x14ac:dyDescent="0.25"/>
    <row r="18" spans="1:8" ht="17" thickBot="1" x14ac:dyDescent="0.25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">
      <c r="A19" s="264">
        <v>1</v>
      </c>
      <c r="B19" s="146">
        <v>1</v>
      </c>
      <c r="C19" s="150">
        <f>B19*$M$3</f>
        <v>3</v>
      </c>
      <c r="D19" s="151">
        <f>SUM($C$19:C19)</f>
        <v>3</v>
      </c>
      <c r="E19" s="9">
        <f>B19/P7</f>
        <v>-7.1903171822539038</v>
      </c>
      <c r="F19" s="9">
        <f>D19/P7</f>
        <v>-21.570951546761712</v>
      </c>
      <c r="G19" s="28">
        <f>S7/E19</f>
        <v>6.8573261448585168</v>
      </c>
      <c r="H19" s="8">
        <f>S7/F19</f>
        <v>2.2857753816195054</v>
      </c>
    </row>
    <row r="20" spans="1:8" x14ac:dyDescent="0.2">
      <c r="A20" s="265">
        <v>2</v>
      </c>
      <c r="B20" s="141">
        <f>B19*($M$3+1)</f>
        <v>4</v>
      </c>
      <c r="C20" s="140">
        <f>B20*$M$3</f>
        <v>12</v>
      </c>
      <c r="D20" s="142">
        <f>SUM($C$19:C20)</f>
        <v>15</v>
      </c>
      <c r="E20" s="9">
        <f t="shared" ref="E20:E28" si="4">B20/P8</f>
        <v>28.460584564121799</v>
      </c>
      <c r="F20" s="9">
        <f t="shared" ref="F20:F28" si="5">D20/P8</f>
        <v>106.72719211545675</v>
      </c>
      <c r="G20" s="112">
        <f t="shared" ref="G20:G28" si="6">S8/E20</f>
        <v>-5.5923655157753709</v>
      </c>
      <c r="H20" s="9">
        <f t="shared" ref="H20:H28" si="7">S8/F20</f>
        <v>-1.4912974708734321</v>
      </c>
    </row>
    <row r="21" spans="1:8" x14ac:dyDescent="0.2">
      <c r="A21" s="265">
        <v>3</v>
      </c>
      <c r="B21" s="141">
        <f t="shared" ref="B21:B28" si="8">B20*($M$3+1)</f>
        <v>16</v>
      </c>
      <c r="C21" s="140">
        <f t="shared" ref="C21:C28" si="9">B21*$M$3</f>
        <v>48</v>
      </c>
      <c r="D21" s="142">
        <f>SUM($C$19:C21)</f>
        <v>63</v>
      </c>
      <c r="E21" s="9">
        <f t="shared" si="4"/>
        <v>58.171241601290156</v>
      </c>
      <c r="F21" s="9">
        <f t="shared" si="5"/>
        <v>229.04926380507999</v>
      </c>
      <c r="G21" s="112">
        <f t="shared" si="6"/>
        <v>-5.511901623951057</v>
      </c>
      <c r="H21" s="9">
        <f t="shared" si="7"/>
        <v>-1.3998480314796335</v>
      </c>
    </row>
    <row r="22" spans="1:8" x14ac:dyDescent="0.2">
      <c r="A22" s="265">
        <v>4</v>
      </c>
      <c r="B22" s="141">
        <f t="shared" si="8"/>
        <v>64</v>
      </c>
      <c r="C22" s="140">
        <f t="shared" si="9"/>
        <v>192</v>
      </c>
      <c r="D22" s="142">
        <f>SUM($C$19:C22)</f>
        <v>255</v>
      </c>
      <c r="E22" s="9">
        <f t="shared" si="4"/>
        <v>181.95770236378056</v>
      </c>
      <c r="F22" s="9">
        <f t="shared" si="5"/>
        <v>724.98772035568823</v>
      </c>
      <c r="G22" s="112">
        <f t="shared" si="6"/>
        <v>-2.9542747706217134</v>
      </c>
      <c r="H22" s="9">
        <f t="shared" si="7"/>
        <v>-0.74146504046976325</v>
      </c>
    </row>
    <row r="23" spans="1:8" x14ac:dyDescent="0.2">
      <c r="A23" s="265">
        <v>5</v>
      </c>
      <c r="B23" s="141">
        <f t="shared" si="8"/>
        <v>256</v>
      </c>
      <c r="C23" s="140">
        <f t="shared" si="9"/>
        <v>768</v>
      </c>
      <c r="D23" s="142">
        <f>SUM($C$19:C23)</f>
        <v>1023</v>
      </c>
      <c r="E23" s="9">
        <f t="shared" si="4"/>
        <v>640.44982891905636</v>
      </c>
      <c r="F23" s="9">
        <f t="shared" si="5"/>
        <v>2559.2975585320105</v>
      </c>
      <c r="G23" s="112">
        <f t="shared" si="6"/>
        <v>-1.2735122376262846</v>
      </c>
      <c r="H23" s="9">
        <f t="shared" si="7"/>
        <v>-0.31868927940599107</v>
      </c>
    </row>
    <row r="24" spans="1:8" x14ac:dyDescent="0.2">
      <c r="A24" s="265">
        <v>6</v>
      </c>
      <c r="B24" s="141">
        <f t="shared" si="8"/>
        <v>1024</v>
      </c>
      <c r="C24" s="140">
        <f t="shared" si="9"/>
        <v>3072</v>
      </c>
      <c r="D24" s="142">
        <f>SUM($C$19:C24)</f>
        <v>4095</v>
      </c>
      <c r="E24" s="9">
        <f t="shared" si="4"/>
        <v>2372.9792788631248</v>
      </c>
      <c r="F24" s="9">
        <f t="shared" si="5"/>
        <v>9489.5997528754851</v>
      </c>
      <c r="G24" s="112">
        <f t="shared" si="6"/>
        <v>-0.48913353677798871</v>
      </c>
      <c r="H24" s="9">
        <f t="shared" si="7"/>
        <v>-0.1223132458267791</v>
      </c>
    </row>
    <row r="25" spans="1:8" x14ac:dyDescent="0.2">
      <c r="A25" s="265">
        <v>7</v>
      </c>
      <c r="B25" s="141">
        <f t="shared" si="8"/>
        <v>4096</v>
      </c>
      <c r="C25" s="140">
        <f t="shared" si="9"/>
        <v>12288</v>
      </c>
      <c r="D25" s="142">
        <f>SUM($C$19:C25)</f>
        <v>16383</v>
      </c>
      <c r="E25" s="9">
        <f t="shared" si="4"/>
        <v>9033.6864936699712</v>
      </c>
      <c r="F25" s="9">
        <f t="shared" si="5"/>
        <v>36132.540484813268</v>
      </c>
      <c r="G25" s="112">
        <f t="shared" si="6"/>
        <v>-0.17471388808154395</v>
      </c>
      <c r="H25" s="9">
        <f t="shared" si="7"/>
        <v>-4.3681138105475435E-2</v>
      </c>
    </row>
    <row r="26" spans="1:8" x14ac:dyDescent="0.2">
      <c r="A26" s="265">
        <v>8</v>
      </c>
      <c r="B26" s="141">
        <f t="shared" si="8"/>
        <v>16384</v>
      </c>
      <c r="C26" s="140">
        <f t="shared" si="9"/>
        <v>49152</v>
      </c>
      <c r="D26" s="142">
        <f>SUM($C$19:C26)</f>
        <v>65535</v>
      </c>
      <c r="E26" s="9">
        <f t="shared" si="4"/>
        <v>34943.510708856091</v>
      </c>
      <c r="F26" s="9">
        <f t="shared" si="5"/>
        <v>139771.91005278833</v>
      </c>
      <c r="G26" s="112">
        <f t="shared" si="6"/>
        <v>-5.9334872380759511E-2</v>
      </c>
      <c r="H26" s="9">
        <f t="shared" si="7"/>
        <v>-1.4833944443219102E-2</v>
      </c>
    </row>
    <row r="27" spans="1:8" x14ac:dyDescent="0.2">
      <c r="A27" s="265">
        <v>9</v>
      </c>
      <c r="B27" s="141">
        <f t="shared" si="8"/>
        <v>65536</v>
      </c>
      <c r="C27" s="140">
        <f t="shared" si="9"/>
        <v>196608</v>
      </c>
      <c r="D27" s="142">
        <f>SUM($C$19:C27)</f>
        <v>262143</v>
      </c>
      <c r="E27" s="9">
        <f t="shared" si="4"/>
        <v>136537.41172729115</v>
      </c>
      <c r="F27" s="9">
        <f t="shared" si="5"/>
        <v>546147.56351359992</v>
      </c>
      <c r="G27" s="112">
        <f t="shared" si="6"/>
        <v>-1.9409534547684015E-2</v>
      </c>
      <c r="H27" s="9">
        <f t="shared" si="7"/>
        <v>-4.8524021473662065E-3</v>
      </c>
    </row>
    <row r="28" spans="1:8" ht="17" thickBot="1" x14ac:dyDescent="0.25">
      <c r="A28" s="266">
        <v>10</v>
      </c>
      <c r="B28" s="143">
        <f t="shared" si="8"/>
        <v>262144</v>
      </c>
      <c r="C28" s="144">
        <f t="shared" si="9"/>
        <v>786432</v>
      </c>
      <c r="D28" s="145">
        <f>SUM($C$19:C28)</f>
        <v>1048575</v>
      </c>
      <c r="E28" s="9">
        <f t="shared" si="4"/>
        <v>537089.69695816014</v>
      </c>
      <c r="F28" s="9">
        <f t="shared" si="5"/>
        <v>2148356.738998042</v>
      </c>
      <c r="G28" s="113">
        <f t="shared" si="6"/>
        <v>-6.1668105402849175E-3</v>
      </c>
      <c r="H28" s="10">
        <f t="shared" si="7"/>
        <v>-1.5417041053548384E-3</v>
      </c>
    </row>
    <row r="29" spans="1:8" ht="17" thickBot="1" x14ac:dyDescent="0.25"/>
    <row r="30" spans="1:8" ht="17" thickBot="1" x14ac:dyDescent="0.25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">
      <c r="A31" s="264">
        <v>1</v>
      </c>
      <c r="B31" s="146">
        <v>1</v>
      </c>
      <c r="C31" s="150">
        <f>B31*$M$3</f>
        <v>3</v>
      </c>
      <c r="D31" s="151">
        <f>SUM($C$31:C31)</f>
        <v>3</v>
      </c>
      <c r="E31" s="129">
        <f>B31/P7</f>
        <v>-7.1903171822539038</v>
      </c>
      <c r="F31" s="58">
        <f>D31/P7</f>
        <v>-21.570951546761712</v>
      </c>
      <c r="G31" s="28">
        <f>S7/E31</f>
        <v>6.8573261448585168</v>
      </c>
      <c r="H31" s="8">
        <f>S7/F31</f>
        <v>2.2857753816195054</v>
      </c>
    </row>
    <row r="32" spans="1:8" x14ac:dyDescent="0.2">
      <c r="A32" s="265">
        <v>2</v>
      </c>
      <c r="B32" s="141">
        <f>C31</f>
        <v>3</v>
      </c>
      <c r="C32" s="140">
        <f>B32*$M$3</f>
        <v>9</v>
      </c>
      <c r="D32" s="142">
        <f>SUM($C$31:C32)</f>
        <v>12</v>
      </c>
      <c r="E32" s="112">
        <f t="shared" ref="E32:E40" si="10">B32/P8</f>
        <v>21.345438423091348</v>
      </c>
      <c r="F32" s="9">
        <f t="shared" ref="F32:F40" si="11">D32/P8</f>
        <v>85.381753692365393</v>
      </c>
      <c r="G32" s="112">
        <f t="shared" ref="G32:G40" si="12">S8/E32</f>
        <v>-7.4564873543671606</v>
      </c>
      <c r="H32" s="9">
        <f t="shared" ref="H32:H40" si="13">S8/F32</f>
        <v>-1.8641218385917901</v>
      </c>
    </row>
    <row r="33" spans="1:8" x14ac:dyDescent="0.2">
      <c r="A33" s="265">
        <v>3</v>
      </c>
      <c r="B33" s="141">
        <f t="shared" ref="B33:B40" si="14">C32</f>
        <v>9</v>
      </c>
      <c r="C33" s="140">
        <f t="shared" ref="C33:C40" si="15">B33*$M$3</f>
        <v>27</v>
      </c>
      <c r="D33" s="142">
        <f>SUM($C$31:C33)</f>
        <v>39</v>
      </c>
      <c r="E33" s="112">
        <f t="shared" si="10"/>
        <v>32.721323400725716</v>
      </c>
      <c r="F33" s="9">
        <f t="shared" si="11"/>
        <v>141.79240140314477</v>
      </c>
      <c r="G33" s="112">
        <f t="shared" si="12"/>
        <v>-9.7989362203574348</v>
      </c>
      <c r="H33" s="9">
        <f t="shared" si="13"/>
        <v>-2.2612929739286387</v>
      </c>
    </row>
    <row r="34" spans="1:8" x14ac:dyDescent="0.2">
      <c r="A34" s="265">
        <v>4</v>
      </c>
      <c r="B34" s="141">
        <f t="shared" si="14"/>
        <v>27</v>
      </c>
      <c r="C34" s="140">
        <f t="shared" si="15"/>
        <v>81</v>
      </c>
      <c r="D34" s="142">
        <f>SUM($C$31:C34)</f>
        <v>120</v>
      </c>
      <c r="E34" s="112">
        <f t="shared" si="10"/>
        <v>76.763405684719928</v>
      </c>
      <c r="F34" s="9">
        <f t="shared" si="11"/>
        <v>341.17069193208857</v>
      </c>
      <c r="G34" s="112">
        <f t="shared" si="12"/>
        <v>-7.0027253822144315</v>
      </c>
      <c r="H34" s="9">
        <f t="shared" si="13"/>
        <v>-1.575613210998247</v>
      </c>
    </row>
    <row r="35" spans="1:8" x14ac:dyDescent="0.2">
      <c r="A35" s="265">
        <v>5</v>
      </c>
      <c r="B35" s="141">
        <f t="shared" si="14"/>
        <v>81</v>
      </c>
      <c r="C35" s="140">
        <f t="shared" si="15"/>
        <v>243</v>
      </c>
      <c r="D35" s="142">
        <f>SUM($C$31:C35)</f>
        <v>363</v>
      </c>
      <c r="E35" s="112">
        <f t="shared" si="10"/>
        <v>202.64232868142017</v>
      </c>
      <c r="F35" s="9">
        <f t="shared" si="11"/>
        <v>908.13784335006824</v>
      </c>
      <c r="G35" s="112">
        <f t="shared" si="12"/>
        <v>-4.0249275658312209</v>
      </c>
      <c r="H35" s="9">
        <f t="shared" si="13"/>
        <v>-0.89812433287142945</v>
      </c>
    </row>
    <row r="36" spans="1:8" x14ac:dyDescent="0.2">
      <c r="A36" s="265">
        <v>6</v>
      </c>
      <c r="B36" s="141">
        <f t="shared" si="14"/>
        <v>243</v>
      </c>
      <c r="C36" s="140">
        <f t="shared" si="15"/>
        <v>729</v>
      </c>
      <c r="D36" s="142">
        <f>SUM($C$31:C36)</f>
        <v>1092</v>
      </c>
      <c r="E36" s="112">
        <f t="shared" si="10"/>
        <v>563.11910621458924</v>
      </c>
      <c r="F36" s="9">
        <f t="shared" si="11"/>
        <v>2530.5599341001293</v>
      </c>
      <c r="G36" s="112">
        <f t="shared" si="12"/>
        <v>-2.061204698192018</v>
      </c>
      <c r="H36" s="9">
        <f t="shared" si="13"/>
        <v>-0.45867467185042166</v>
      </c>
    </row>
    <row r="37" spans="1:8" x14ac:dyDescent="0.2">
      <c r="A37" s="265">
        <v>7</v>
      </c>
      <c r="B37" s="141">
        <f t="shared" si="14"/>
        <v>729</v>
      </c>
      <c r="C37" s="140">
        <f t="shared" si="15"/>
        <v>2187</v>
      </c>
      <c r="D37" s="142">
        <f>SUM($C$31:C37)</f>
        <v>3279</v>
      </c>
      <c r="E37" s="112">
        <f t="shared" si="10"/>
        <v>1607.8021127649924</v>
      </c>
      <c r="F37" s="9">
        <f t="shared" si="11"/>
        <v>7231.8012726425377</v>
      </c>
      <c r="G37" s="112">
        <f t="shared" si="12"/>
        <v>-0.9816571818683183</v>
      </c>
      <c r="H37" s="9">
        <f t="shared" si="13"/>
        <v>-0.21824583274840015</v>
      </c>
    </row>
    <row r="38" spans="1:8" x14ac:dyDescent="0.2">
      <c r="A38" s="265">
        <v>8</v>
      </c>
      <c r="B38" s="141">
        <f t="shared" si="14"/>
        <v>2187</v>
      </c>
      <c r="C38" s="140">
        <f t="shared" si="15"/>
        <v>6561</v>
      </c>
      <c r="D38" s="142">
        <f>SUM($C$31:C38)</f>
        <v>9840</v>
      </c>
      <c r="E38" s="112">
        <f t="shared" si="10"/>
        <v>4664.3956250163737</v>
      </c>
      <c r="F38" s="9">
        <f t="shared" si="11"/>
        <v>20986.581138619626</v>
      </c>
      <c r="G38" s="112">
        <f t="shared" si="12"/>
        <v>-0.44450962463939825</v>
      </c>
      <c r="H38" s="9">
        <f t="shared" si="13"/>
        <v>-9.8794974500646726E-2</v>
      </c>
    </row>
    <row r="39" spans="1:8" x14ac:dyDescent="0.2">
      <c r="A39" s="265">
        <v>9</v>
      </c>
      <c r="B39" s="141">
        <f t="shared" si="14"/>
        <v>6561</v>
      </c>
      <c r="C39" s="140">
        <f t="shared" si="15"/>
        <v>19683</v>
      </c>
      <c r="D39" s="142">
        <f>SUM($C$31:C39)</f>
        <v>29523</v>
      </c>
      <c r="E39" s="112">
        <f t="shared" si="10"/>
        <v>13669.158299907795</v>
      </c>
      <c r="F39" s="9">
        <f t="shared" si="11"/>
        <v>61508.087256238039</v>
      </c>
      <c r="G39" s="112">
        <f t="shared" si="12"/>
        <v>-0.19387642983036421</v>
      </c>
      <c r="H39" s="9">
        <f t="shared" si="13"/>
        <v>-4.3085840060868463E-2</v>
      </c>
    </row>
    <row r="40" spans="1:8" ht="17" thickBot="1" x14ac:dyDescent="0.25">
      <c r="A40" s="266">
        <v>10</v>
      </c>
      <c r="B40" s="143">
        <f t="shared" si="14"/>
        <v>19683</v>
      </c>
      <c r="C40" s="144">
        <f t="shared" si="15"/>
        <v>59049</v>
      </c>
      <c r="D40" s="145">
        <f>SUM($C$31:C40)</f>
        <v>88572</v>
      </c>
      <c r="E40" s="113">
        <f t="shared" si="10"/>
        <v>40327.211399946078</v>
      </c>
      <c r="F40" s="10">
        <f t="shared" si="11"/>
        <v>181469.37804785979</v>
      </c>
      <c r="G40" s="113">
        <f t="shared" si="12"/>
        <v>-8.2131401832670314E-2</v>
      </c>
      <c r="H40" s="10">
        <f t="shared" si="13"/>
        <v>-1.8251731724161696E-2</v>
      </c>
    </row>
    <row r="41" spans="1:8" ht="17" thickBot="1" x14ac:dyDescent="0.25"/>
    <row r="42" spans="1:8" ht="17" thickBot="1" x14ac:dyDescent="0.25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">
      <c r="A43" s="264">
        <v>1</v>
      </c>
      <c r="B43" s="146">
        <v>1</v>
      </c>
      <c r="C43" s="150">
        <f>B43*$M$3</f>
        <v>3</v>
      </c>
      <c r="D43" s="151">
        <f>SUM(C43:C43)</f>
        <v>3</v>
      </c>
      <c r="E43" s="129">
        <f>B43/P7</f>
        <v>-7.1903171822539038</v>
      </c>
      <c r="F43" s="58">
        <f>D43/P7</f>
        <v>-21.570951546761712</v>
      </c>
      <c r="G43" s="28">
        <f>S7/E43</f>
        <v>6.8573261448585168</v>
      </c>
      <c r="H43" s="8">
        <f>S7/F43</f>
        <v>2.2857753816195054</v>
      </c>
    </row>
    <row r="44" spans="1:8" x14ac:dyDescent="0.2">
      <c r="A44" s="265">
        <v>2</v>
      </c>
      <c r="B44" s="141">
        <f>B43*$M$3*2</f>
        <v>6</v>
      </c>
      <c r="C44" s="140">
        <f>B44*$M$3</f>
        <v>18</v>
      </c>
      <c r="D44" s="142">
        <f>SUM($C$43:C44)</f>
        <v>21</v>
      </c>
      <c r="E44" s="112">
        <f t="shared" ref="E44:E52" si="16">B44/P8</f>
        <v>42.690876846182697</v>
      </c>
      <c r="F44" s="9">
        <f t="shared" ref="F44:F52" si="17">D44/P8</f>
        <v>149.41806896163945</v>
      </c>
      <c r="G44" s="112">
        <f t="shared" ref="G44:G52" si="18">S8/E44</f>
        <v>-3.7282436771835803</v>
      </c>
      <c r="H44" s="9">
        <f t="shared" ref="H44:H52" si="19">S8/F44</f>
        <v>-1.0652124791953086</v>
      </c>
    </row>
    <row r="45" spans="1:8" x14ac:dyDescent="0.2">
      <c r="A45" s="265">
        <v>3</v>
      </c>
      <c r="B45" s="141">
        <f t="shared" ref="B45:B52" si="20">B44*$M$3*2</f>
        <v>36</v>
      </c>
      <c r="C45" s="140">
        <f t="shared" ref="C45:C52" si="21">B45*$M$3</f>
        <v>108</v>
      </c>
      <c r="D45" s="142">
        <f>SUM($C$43:C45)</f>
        <v>129</v>
      </c>
      <c r="E45" s="112">
        <f t="shared" si="16"/>
        <v>130.88529360290286</v>
      </c>
      <c r="F45" s="9">
        <f t="shared" si="17"/>
        <v>469.00563541040191</v>
      </c>
      <c r="G45" s="112">
        <f t="shared" si="18"/>
        <v>-2.4497340550893587</v>
      </c>
      <c r="H45" s="9">
        <f t="shared" si="19"/>
        <v>-0.68364671304819313</v>
      </c>
    </row>
    <row r="46" spans="1:8" x14ac:dyDescent="0.2">
      <c r="A46" s="265">
        <v>4</v>
      </c>
      <c r="B46" s="141">
        <f t="shared" si="20"/>
        <v>216</v>
      </c>
      <c r="C46" s="140">
        <f t="shared" si="21"/>
        <v>648</v>
      </c>
      <c r="D46" s="142">
        <f>SUM($C$43:C46)</f>
        <v>777</v>
      </c>
      <c r="E46" s="112">
        <f t="shared" si="16"/>
        <v>614.10724547775942</v>
      </c>
      <c r="F46" s="9">
        <f t="shared" si="17"/>
        <v>2209.0802302602733</v>
      </c>
      <c r="G46" s="112">
        <f t="shared" si="18"/>
        <v>-0.87534067277680394</v>
      </c>
      <c r="H46" s="9">
        <f t="shared" si="19"/>
        <v>-0.24333794764451694</v>
      </c>
    </row>
    <row r="47" spans="1:8" x14ac:dyDescent="0.2">
      <c r="A47" s="265">
        <v>5</v>
      </c>
      <c r="B47" s="141">
        <f t="shared" si="20"/>
        <v>1296</v>
      </c>
      <c r="C47" s="140">
        <f t="shared" si="21"/>
        <v>3888</v>
      </c>
      <c r="D47" s="142">
        <f>SUM($C$43:C47)</f>
        <v>4665</v>
      </c>
      <c r="E47" s="112">
        <f t="shared" si="16"/>
        <v>3242.2772589027227</v>
      </c>
      <c r="F47" s="9">
        <f t="shared" si="17"/>
        <v>11670.697077763272</v>
      </c>
      <c r="G47" s="112">
        <f t="shared" si="18"/>
        <v>-0.25155797286445131</v>
      </c>
      <c r="H47" s="9">
        <f t="shared" si="19"/>
        <v>-6.9886202107680373E-2</v>
      </c>
    </row>
    <row r="48" spans="1:8" x14ac:dyDescent="0.2">
      <c r="A48" s="265">
        <v>6</v>
      </c>
      <c r="B48" s="141">
        <f t="shared" si="20"/>
        <v>7776</v>
      </c>
      <c r="C48" s="140">
        <f t="shared" si="21"/>
        <v>23328</v>
      </c>
      <c r="D48" s="142">
        <f>SUM($C$43:C48)</f>
        <v>27993</v>
      </c>
      <c r="E48" s="112">
        <f t="shared" si="16"/>
        <v>18019.811398866856</v>
      </c>
      <c r="F48" s="9">
        <f t="shared" si="17"/>
        <v>64869.93061837447</v>
      </c>
      <c r="G48" s="112">
        <f t="shared" si="18"/>
        <v>-6.4412646818500563E-2</v>
      </c>
      <c r="H48" s="9">
        <f t="shared" si="19"/>
        <v>-1.7892785398516072E-2</v>
      </c>
    </row>
    <row r="49" spans="1:8" x14ac:dyDescent="0.2">
      <c r="A49" s="265">
        <v>7</v>
      </c>
      <c r="B49" s="141">
        <f t="shared" si="20"/>
        <v>46656</v>
      </c>
      <c r="C49" s="140">
        <f t="shared" si="21"/>
        <v>139968</v>
      </c>
      <c r="D49" s="142">
        <f>SUM($C$43:C49)</f>
        <v>167961</v>
      </c>
      <c r="E49" s="112">
        <f t="shared" si="16"/>
        <v>102899.33521695952</v>
      </c>
      <c r="F49" s="9">
        <f t="shared" si="17"/>
        <v>370436.28348713426</v>
      </c>
      <c r="G49" s="112">
        <f t="shared" si="18"/>
        <v>-1.5338393466692473E-2</v>
      </c>
      <c r="H49" s="9">
        <f t="shared" si="19"/>
        <v>-4.2606800720524649E-3</v>
      </c>
    </row>
    <row r="50" spans="1:8" x14ac:dyDescent="0.2">
      <c r="A50" s="265">
        <v>8</v>
      </c>
      <c r="B50" s="141">
        <f t="shared" si="20"/>
        <v>279936</v>
      </c>
      <c r="C50" s="140">
        <f t="shared" si="21"/>
        <v>839808</v>
      </c>
      <c r="D50" s="142">
        <f>SUM($C$43:C50)</f>
        <v>1007769</v>
      </c>
      <c r="E50" s="112">
        <f t="shared" si="16"/>
        <v>597042.64000209584</v>
      </c>
      <c r="F50" s="9">
        <f t="shared" si="17"/>
        <v>2149352.2243379634</v>
      </c>
      <c r="G50" s="112">
        <f t="shared" si="18"/>
        <v>-3.4727314424952988E-3</v>
      </c>
      <c r="H50" s="9">
        <f t="shared" si="19"/>
        <v>-9.6464819724199089E-4</v>
      </c>
    </row>
    <row r="51" spans="1:8" x14ac:dyDescent="0.2">
      <c r="A51" s="265">
        <v>9</v>
      </c>
      <c r="B51" s="141">
        <f t="shared" si="20"/>
        <v>1679616</v>
      </c>
      <c r="C51" s="140">
        <f t="shared" si="21"/>
        <v>5038848</v>
      </c>
      <c r="D51" s="142">
        <f>SUM($C$43:C51)</f>
        <v>6046617</v>
      </c>
      <c r="E51" s="112">
        <f t="shared" si="16"/>
        <v>3499304.5247763954</v>
      </c>
      <c r="F51" s="9">
        <f t="shared" si="17"/>
        <v>12597495.039157683</v>
      </c>
      <c r="G51" s="112">
        <f t="shared" si="18"/>
        <v>-7.573298040248602E-4</v>
      </c>
      <c r="H51" s="9">
        <f t="shared" si="19"/>
        <v>-2.1036941088165825E-4</v>
      </c>
    </row>
    <row r="52" spans="1:8" ht="17" thickBot="1" x14ac:dyDescent="0.25">
      <c r="A52" s="266">
        <v>10</v>
      </c>
      <c r="B52" s="143">
        <f t="shared" si="20"/>
        <v>10077696</v>
      </c>
      <c r="C52" s="144">
        <f t="shared" si="21"/>
        <v>30233088</v>
      </c>
      <c r="D52" s="145">
        <f>SUM($C$43:C52)</f>
        <v>36279705</v>
      </c>
      <c r="E52" s="113">
        <f t="shared" si="16"/>
        <v>20647532.236772392</v>
      </c>
      <c r="F52" s="10">
        <f t="shared" si="17"/>
        <v>74331114.823079854</v>
      </c>
      <c r="G52" s="113">
        <f t="shared" si="18"/>
        <v>-1.6041289420443421E-4</v>
      </c>
      <c r="H52" s="10">
        <f t="shared" si="19"/>
        <v>-4.4559138015936175E-5</v>
      </c>
    </row>
  </sheetData>
  <conditionalFormatting sqref="O7:O16">
    <cfRule type="cellIs" dxfId="299" priority="27" operator="lessThanOrEqual">
      <formula>0</formula>
    </cfRule>
    <cfRule type="cellIs" dxfId="298" priority="28" operator="greaterThan">
      <formula>0</formula>
    </cfRule>
  </conditionalFormatting>
  <conditionalFormatting sqref="P7:P16 S7:S16">
    <cfRule type="cellIs" dxfId="297" priority="25" operator="lessThanOrEqual">
      <formula>0</formula>
    </cfRule>
    <cfRule type="cellIs" dxfId="296" priority="26" operator="greaterThan">
      <formula>0</formula>
    </cfRule>
  </conditionalFormatting>
  <conditionalFormatting sqref="G43:G52">
    <cfRule type="cellIs" dxfId="295" priority="24" operator="equal">
      <formula>MAX($G$43:$G$52)</formula>
    </cfRule>
  </conditionalFormatting>
  <conditionalFormatting sqref="H43:H52">
    <cfRule type="cellIs" dxfId="294" priority="23" operator="equal">
      <formula>MAX($H$43:$H$52)</formula>
    </cfRule>
  </conditionalFormatting>
  <conditionalFormatting sqref="G31:G40">
    <cfRule type="cellIs" dxfId="293" priority="22" operator="equal">
      <formula>MAX($G$31:$G$40)</formula>
    </cfRule>
  </conditionalFormatting>
  <conditionalFormatting sqref="H31:H40">
    <cfRule type="cellIs" dxfId="292" priority="21" operator="equal">
      <formula>MAX($H$31:$H$40)</formula>
    </cfRule>
  </conditionalFormatting>
  <conditionalFormatting sqref="G19:G28">
    <cfRule type="cellIs" dxfId="291" priority="1" operator="lessThanOrEqual">
      <formula>0</formula>
    </cfRule>
    <cfRule type="cellIs" dxfId="290" priority="20" operator="equal">
      <formula>MAX($G$19:$G$28)</formula>
    </cfRule>
  </conditionalFormatting>
  <conditionalFormatting sqref="H19:H28">
    <cfRule type="cellIs" dxfId="289" priority="2" operator="lessThanOrEqual">
      <formula>0</formula>
    </cfRule>
    <cfRule type="cellIs" dxfId="288" priority="19" operator="equal">
      <formula>MAX($H$19:$H$28)</formula>
    </cfRule>
  </conditionalFormatting>
  <conditionalFormatting sqref="F19:F28">
    <cfRule type="cellIs" dxfId="287" priority="17" stopIfTrue="1" operator="lessThan">
      <formula>0</formula>
    </cfRule>
    <cfRule type="cellIs" dxfId="286" priority="18" operator="equal">
      <formula>MIN($F$19:$F$28)</formula>
    </cfRule>
  </conditionalFormatting>
  <conditionalFormatting sqref="E19:E28">
    <cfRule type="cellIs" dxfId="285" priority="15" stopIfTrue="1" operator="lessThan">
      <formula>0</formula>
    </cfRule>
    <cfRule type="cellIs" dxfId="284" priority="16" operator="equal">
      <formula>MIN($E$19:$E$28)</formula>
    </cfRule>
  </conditionalFormatting>
  <conditionalFormatting sqref="F31:F40">
    <cfRule type="cellIs" dxfId="283" priority="13" stopIfTrue="1" operator="lessThan">
      <formula>0</formula>
    </cfRule>
    <cfRule type="cellIs" dxfId="282" priority="14" operator="equal">
      <formula>MIN($F$31:$F$40)</formula>
    </cfRule>
  </conditionalFormatting>
  <conditionalFormatting sqref="E31:E40">
    <cfRule type="cellIs" dxfId="281" priority="11" stopIfTrue="1" operator="lessThan">
      <formula>0</formula>
    </cfRule>
    <cfRule type="cellIs" dxfId="280" priority="12" operator="equal">
      <formula>MIN($E$31:$E$40)</formula>
    </cfRule>
  </conditionalFormatting>
  <conditionalFormatting sqref="F43:F52">
    <cfRule type="cellIs" dxfId="279" priority="9" stopIfTrue="1" operator="lessThan">
      <formula>0</formula>
    </cfRule>
    <cfRule type="cellIs" dxfId="278" priority="10" operator="equal">
      <formula>MIN($F$43:$F$52)</formula>
    </cfRule>
  </conditionalFormatting>
  <conditionalFormatting sqref="E43:E52">
    <cfRule type="cellIs" dxfId="277" priority="7" stopIfTrue="1" operator="lessThan">
      <formula>0</formula>
    </cfRule>
    <cfRule type="cellIs" dxfId="276" priority="8" operator="equal">
      <formula>MIN($E$43:$E$52)</formula>
    </cfRule>
  </conditionalFormatting>
  <conditionalFormatting sqref="Q7:Q16">
    <cfRule type="cellIs" dxfId="275" priority="5" operator="lessThanOrEqual">
      <formula>0</formula>
    </cfRule>
    <cfRule type="cellIs" dxfId="274" priority="6" operator="greaterThan">
      <formula>0</formula>
    </cfRule>
  </conditionalFormatting>
  <conditionalFormatting sqref="R7:R16">
    <cfRule type="cellIs" dxfId="273" priority="3" operator="lessThanOrEqual">
      <formula>0</formula>
    </cfRule>
    <cfRule type="cellIs" dxfId="272" priority="4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U52"/>
  <sheetViews>
    <sheetView topLeftCell="A19" workbookViewId="0">
      <selection activeCell="B43" sqref="B43:D52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1" x14ac:dyDescent="0.2">
      <c r="B1" s="202"/>
      <c r="C1" t="s">
        <v>99</v>
      </c>
      <c r="D1">
        <f>C2+E2</f>
        <v>0.99999999999999556</v>
      </c>
    </row>
    <row r="2" spans="1:21" x14ac:dyDescent="0.2">
      <c r="A2" t="s">
        <v>40</v>
      </c>
      <c r="B2" s="201" t="s">
        <v>129</v>
      </c>
      <c r="C2" s="222">
        <f>Analysis!B35</f>
        <v>0.43249761584665036</v>
      </c>
      <c r="D2" s="199" t="s">
        <v>130</v>
      </c>
      <c r="E2" s="222">
        <f>Analysis!N35</f>
        <v>0.5675023841533452</v>
      </c>
      <c r="F2" s="199" t="s">
        <v>49</v>
      </c>
      <c r="G2" s="222">
        <f>Analysis!S35</f>
        <v>30.579955802484957</v>
      </c>
      <c r="H2" t="s">
        <v>163</v>
      </c>
      <c r="I2" s="238">
        <f>Analysis!T35</f>
        <v>133.56696749519909</v>
      </c>
      <c r="J2" t="s">
        <v>50</v>
      </c>
      <c r="K2" s="238">
        <f>C2*G2-E2*I2</f>
        <v>-62.57381452038716</v>
      </c>
      <c r="L2" t="s">
        <v>49</v>
      </c>
      <c r="M2" s="267">
        <v>2</v>
      </c>
    </row>
    <row r="3" spans="1:21" x14ac:dyDescent="0.2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3</v>
      </c>
    </row>
    <row r="4" spans="1:21" x14ac:dyDescent="0.2">
      <c r="A4" t="s">
        <v>127</v>
      </c>
      <c r="B4" s="202">
        <f>$C$2</f>
        <v>0.43249761584665036</v>
      </c>
      <c r="C4">
        <f>B4*$C$2</f>
        <v>0.18705418771303675</v>
      </c>
      <c r="D4">
        <f t="shared" ref="D4:K4" si="0">C4*$C$2</f>
        <v>8.0900490220020202E-2</v>
      </c>
      <c r="E4">
        <f t="shared" si="0"/>
        <v>3.4989269140983992E-2</v>
      </c>
      <c r="F4">
        <f t="shared" si="0"/>
        <v>1.5132775483692353E-2</v>
      </c>
      <c r="G4">
        <f t="shared" si="0"/>
        <v>6.5448893178395836E-3</v>
      </c>
      <c r="H4">
        <f t="shared" si="0"/>
        <v>2.8306490259458299E-3</v>
      </c>
      <c r="I4">
        <f t="shared" si="0"/>
        <v>1.2242489550202146E-3</v>
      </c>
      <c r="J4">
        <f t="shared" si="0"/>
        <v>5.2948475424899593E-4</v>
      </c>
      <c r="K4">
        <f t="shared" si="0"/>
        <v>2.2900089383984032E-4</v>
      </c>
    </row>
    <row r="5" spans="1:21" ht="17" thickBot="1" x14ac:dyDescent="0.25">
      <c r="A5" t="s">
        <v>128</v>
      </c>
      <c r="B5" s="202">
        <f>$E$2</f>
        <v>0.5675023841533452</v>
      </c>
      <c r="C5">
        <f>B5*$E$2</f>
        <v>0.322058956019731</v>
      </c>
      <c r="D5">
        <f t="shared" ref="D5:K5" si="1">C5*$E$2</f>
        <v>0.18276922537913468</v>
      </c>
      <c r="E5">
        <f t="shared" si="1"/>
        <v>0.10372197115251902</v>
      </c>
      <c r="F5">
        <f t="shared" si="1"/>
        <v>5.886246591813904E-2</v>
      </c>
      <c r="G5">
        <f t="shared" si="1"/>
        <v>3.3404589745688933E-2</v>
      </c>
      <c r="H5">
        <f t="shared" si="1"/>
        <v>1.8957184322342856E-2</v>
      </c>
      <c r="I5">
        <f t="shared" si="1"/>
        <v>1.0758247299763988E-2</v>
      </c>
      <c r="J5">
        <f t="shared" si="1"/>
        <v>6.1053309919273518E-3</v>
      </c>
      <c r="K5">
        <f t="shared" si="1"/>
        <v>3.4647898939640801E-3</v>
      </c>
    </row>
    <row r="6" spans="1:21" ht="17" thickBot="1" x14ac:dyDescent="0.25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">
      <c r="A7" s="208">
        <v>1</v>
      </c>
      <c r="B7" s="114">
        <f>C7*B4</f>
        <v>0.43249761584665036</v>
      </c>
      <c r="C7" s="114">
        <v>1</v>
      </c>
      <c r="D7" s="212">
        <f>C7*B5</f>
        <v>0.5675023841533452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0.99999999999999556</v>
      </c>
      <c r="O7" s="114">
        <f>B7/(B7+D7)</f>
        <v>0.43249761584665231</v>
      </c>
      <c r="P7" s="129">
        <f>B7-D7</f>
        <v>-0.13500476830669483</v>
      </c>
      <c r="Q7" s="129">
        <f>($G$2*SUM(C7))*B7</f>
        <v>13.225757977270685</v>
      </c>
      <c r="R7" s="58">
        <f>($I$2*SUM(C7))*D7*COUNT(D7:M7)</f>
        <v>75.799572497657849</v>
      </c>
      <c r="S7" s="58">
        <f>Q7-R7</f>
        <v>-62.57381452038716</v>
      </c>
      <c r="T7" s="129">
        <f>(S7+U7*D7)/B7</f>
        <v>-143.36798600577546</v>
      </c>
      <c r="U7" s="58">
        <f t="shared" ref="U7:U16" si="2">COUNT(D7:M7)</f>
        <v>1</v>
      </c>
    </row>
    <row r="8" spans="1:21" x14ac:dyDescent="0.2">
      <c r="A8" s="209">
        <v>2</v>
      </c>
      <c r="B8" s="116">
        <f>C8*B4</f>
        <v>0.57318116622703552</v>
      </c>
      <c r="C8" s="116">
        <f>1/(1-B4*B5)</f>
        <v>1.3252816783856376</v>
      </c>
      <c r="D8" s="194">
        <f>C8*B5</f>
        <v>0.75210051215859619</v>
      </c>
      <c r="E8" s="1">
        <f>D8*B5</f>
        <v>0.42681883377295532</v>
      </c>
      <c r="F8" s="1"/>
      <c r="G8" s="1"/>
      <c r="H8" s="1"/>
      <c r="I8" s="1"/>
      <c r="J8" s="1"/>
      <c r="K8" s="1"/>
      <c r="L8" s="1"/>
      <c r="M8" s="9"/>
      <c r="N8">
        <f>B8+E8</f>
        <v>0.9999999999999909</v>
      </c>
      <c r="O8" s="116">
        <f>B8/(B8+E8)</f>
        <v>0.57318116622704074</v>
      </c>
      <c r="P8" s="112">
        <f>B8-E8</f>
        <v>0.1463623324540802</v>
      </c>
      <c r="Q8" s="112">
        <f>($G$2*SUM(C8:D8))*B8</f>
        <v>36.412053254630628</v>
      </c>
      <c r="R8" s="9">
        <f>($I$2*SUM(C8:D8))*E8*COUNT(D8:M8)</f>
        <v>236.85853589425381</v>
      </c>
      <c r="S8" s="9">
        <f t="shared" ref="S8:S16" si="3">Q8-R8</f>
        <v>-200.44648263962318</v>
      </c>
      <c r="T8" s="112">
        <f>(S8+U8*E8)/B8</f>
        <v>-348.2194753290604</v>
      </c>
      <c r="U8" s="9">
        <f t="shared" si="2"/>
        <v>2</v>
      </c>
    </row>
    <row r="9" spans="1:21" x14ac:dyDescent="0.2">
      <c r="A9" s="209">
        <v>3</v>
      </c>
      <c r="B9" s="116">
        <f>C9*B4</f>
        <v>0.641004700764367</v>
      </c>
      <c r="C9" s="216">
        <f>1/(1-B5*B4/(1-B5*B4))</f>
        <v>1.4820999637409482</v>
      </c>
      <c r="D9" s="217">
        <f>C9*B5*C8</f>
        <v>1.114688141799804</v>
      </c>
      <c r="E9" s="218">
        <f>D9*(B5)</f>
        <v>0.63258817805885093</v>
      </c>
      <c r="F9" s="218">
        <f>E9*B5</f>
        <v>0.35899529923561874</v>
      </c>
      <c r="G9" s="218"/>
      <c r="H9" s="218"/>
      <c r="I9" s="218"/>
      <c r="J9" s="218"/>
      <c r="K9" s="218"/>
      <c r="L9" s="218"/>
      <c r="M9" s="219"/>
      <c r="N9">
        <f>B9+F9</f>
        <v>0.99999999999998579</v>
      </c>
      <c r="O9" s="116">
        <f>B9/(B9+F9)</f>
        <v>0.6410047007643761</v>
      </c>
      <c r="P9" s="112">
        <f>B9-F9</f>
        <v>0.28200940152874826</v>
      </c>
      <c r="Q9" s="112">
        <f>($G$2*SUM(C9:E9))*B9</f>
        <v>63.301896178295564</v>
      </c>
      <c r="R9" s="9">
        <f>($I$2*SUM(C9:E9))*F9*COUNT(D9:M9)</f>
        <v>464.54494002323719</v>
      </c>
      <c r="S9" s="9">
        <f t="shared" si="3"/>
        <v>-401.24304384494161</v>
      </c>
      <c r="T9" s="112">
        <f>(S9+U9*F9)/B9</f>
        <v>-624.27944361415166</v>
      </c>
      <c r="U9" s="9">
        <f t="shared" si="2"/>
        <v>3</v>
      </c>
    </row>
    <row r="10" spans="1:21" x14ac:dyDescent="0.2">
      <c r="A10" s="209">
        <v>4</v>
      </c>
      <c r="B10" s="116">
        <f>C10*B4</f>
        <v>0.67978367684191277</v>
      </c>
      <c r="C10" s="116">
        <f>1/(1-B5*B4/(1-B5*B4/(1-B5*B4)))</f>
        <v>1.5717628304405313</v>
      </c>
      <c r="D10" s="194">
        <f>C10*B5*C9</f>
        <v>1.3220022712061839</v>
      </c>
      <c r="E10" s="1">
        <f>D10*B5*C8</f>
        <v>0.99427858524899826</v>
      </c>
      <c r="F10" s="1">
        <f>E10*B5</f>
        <v>0.56425546764142154</v>
      </c>
      <c r="G10" s="1">
        <f>F10*B5</f>
        <v>0.32021632315806742</v>
      </c>
      <c r="H10" s="1"/>
      <c r="I10" s="1"/>
      <c r="J10" s="1"/>
      <c r="K10" s="1"/>
      <c r="L10" s="1"/>
      <c r="M10" s="9"/>
      <c r="N10">
        <f>B10+G10</f>
        <v>0.99999999999998024</v>
      </c>
      <c r="O10" s="116">
        <f>B10/(B10+G10)</f>
        <v>0.6797836768419262</v>
      </c>
      <c r="P10" s="112">
        <f>B10-G10</f>
        <v>0.35956735368384535</v>
      </c>
      <c r="Q10" s="112">
        <f>($G$2*SUM(C10:F10))*B10</f>
        <v>92.553303089939362</v>
      </c>
      <c r="R10" s="9">
        <f>($I$2*SUM(C10:F10))*G10*COUNT(D10:M10)</f>
        <v>761.70509576581196</v>
      </c>
      <c r="S10" s="9">
        <f t="shared" si="3"/>
        <v>-669.15179267587257</v>
      </c>
      <c r="T10" s="112">
        <f>(S10+U10*G10)/B10</f>
        <v>-982.47567591793938</v>
      </c>
      <c r="U10" s="9">
        <f t="shared" si="2"/>
        <v>4</v>
      </c>
    </row>
    <row r="11" spans="1:21" x14ac:dyDescent="0.2">
      <c r="A11" s="209">
        <v>5</v>
      </c>
      <c r="B11" s="116">
        <f>C11*B4</f>
        <v>0.70413990302736729</v>
      </c>
      <c r="C11" s="116">
        <f>1/(1-B5*B4/(1-B5*B4/(1-B5*B4/(1-B5*B4))))</f>
        <v>1.6280781147173595</v>
      </c>
      <c r="D11" s="194">
        <f>C11*B5*C10</f>
        <v>1.4522117387580136</v>
      </c>
      <c r="E11" s="1">
        <f>D11*B5*C9</f>
        <v>1.2214484143083402</v>
      </c>
      <c r="F11" s="1">
        <f>E11*B5*C8</f>
        <v>0.9186519779766078</v>
      </c>
      <c r="G11" s="1">
        <f>F11*B5</f>
        <v>0.52133718770891124</v>
      </c>
      <c r="H11" s="1">
        <f>G11*B5</f>
        <v>0.29586009697260718</v>
      </c>
      <c r="I11" s="1"/>
      <c r="J11" s="1"/>
      <c r="K11" s="1"/>
      <c r="L11" s="1"/>
      <c r="M11" s="9"/>
      <c r="N11">
        <f>B11+H11</f>
        <v>0.99999999999997446</v>
      </c>
      <c r="O11" s="116">
        <f>B11/(B11+H11)</f>
        <v>0.70413990302738527</v>
      </c>
      <c r="P11" s="112">
        <f>B11-H11</f>
        <v>0.40827980605476011</v>
      </c>
      <c r="Q11" s="112">
        <f>($G$2*SUM(C11:G11))*B11</f>
        <v>123.63413130769854</v>
      </c>
      <c r="R11" s="9">
        <f>($I$2*SUM(C11:G11))*H11*COUNT(D11:M11)</f>
        <v>1134.4831180381821</v>
      </c>
      <c r="S11" s="9">
        <f t="shared" si="3"/>
        <v>-1010.8489867304835</v>
      </c>
      <c r="T11" s="112">
        <f>(S11+U11*H11)/B11</f>
        <v>-1433.4788895018637</v>
      </c>
      <c r="U11" s="9">
        <f t="shared" si="2"/>
        <v>5</v>
      </c>
    </row>
    <row r="12" spans="1:21" x14ac:dyDescent="0.2">
      <c r="A12" s="209">
        <v>6</v>
      </c>
      <c r="B12" s="116">
        <f>C12*B4</f>
        <v>0.72035041525598476</v>
      </c>
      <c r="C12" s="116">
        <f>1/(1-B5*B4/(1-B5*B4/(1-B5*B4/(1-B5*B4/(1-B5*B4)))))</f>
        <v>1.6655592744617527</v>
      </c>
      <c r="D12" s="194">
        <f>C12*B5*C11</f>
        <v>1.5388738575098606</v>
      </c>
      <c r="E12" s="1">
        <f>D12*B5*C10</f>
        <v>1.3726434009166759</v>
      </c>
      <c r="F12" s="1">
        <f>E12*B5*C9</f>
        <v>1.1545238622670713</v>
      </c>
      <c r="G12" s="1">
        <f>F12*B5*C8</f>
        <v>0.86831798811038485</v>
      </c>
      <c r="H12" s="1">
        <f>G12*B5</f>
        <v>0.49277252845587943</v>
      </c>
      <c r="I12" s="1">
        <f>H12*B5</f>
        <v>0.27964958474398371</v>
      </c>
      <c r="J12" s="1"/>
      <c r="K12" s="1"/>
      <c r="L12" s="1"/>
      <c r="M12" s="9"/>
      <c r="N12">
        <f>B12+I12</f>
        <v>0.99999999999996847</v>
      </c>
      <c r="O12" s="116">
        <f>B12/(B12+I12)</f>
        <v>0.72035041525600751</v>
      </c>
      <c r="P12" s="112">
        <f>B12-I12</f>
        <v>0.44070083051200104</v>
      </c>
      <c r="Q12" s="112">
        <f>($G$2*SUM(C12:H12))*B12</f>
        <v>156.23980874053095</v>
      </c>
      <c r="R12" s="9">
        <f>($I$2*SUM(C12:H12))*I12*COUNT(D12:M12)</f>
        <v>1589.5548899424846</v>
      </c>
      <c r="S12" s="9">
        <f t="shared" si="3"/>
        <v>-1433.3150812019537</v>
      </c>
      <c r="T12" s="112">
        <f>(S12+U12*I12)/B12</f>
        <v>-1987.417725281301</v>
      </c>
      <c r="U12" s="9">
        <f t="shared" si="2"/>
        <v>6</v>
      </c>
    </row>
    <row r="13" spans="1:21" x14ac:dyDescent="0.2">
      <c r="A13" s="209">
        <v>7</v>
      </c>
      <c r="B13" s="116">
        <f>C13*B4</f>
        <v>0.73155960546224286</v>
      </c>
      <c r="C13" s="216">
        <f>1/(1-B5*B4/(1-B5*B4/(1-B5*B4/(1-B5*B4/(1-B5*B4/(1-B5*B4))))))</f>
        <v>1.6914766201199829</v>
      </c>
      <c r="D13" s="217">
        <f>C13*B5*C12</f>
        <v>1.5987986864768244</v>
      </c>
      <c r="E13" s="218">
        <f>D13*B5*C11</f>
        <v>1.4771911992356941</v>
      </c>
      <c r="F13" s="218">
        <f>E13*B5*C10</f>
        <v>1.3176237555975725</v>
      </c>
      <c r="G13" s="218">
        <f>F13*B5*C9</f>
        <v>1.108247099218522</v>
      </c>
      <c r="H13" s="218">
        <f>G13*B5*C8</f>
        <v>0.83351321092052899</v>
      </c>
      <c r="I13" s="218">
        <f>H13*B5</f>
        <v>0.4730207344207103</v>
      </c>
      <c r="J13" s="218">
        <f>I13*B5</f>
        <v>0.2684403945377194</v>
      </c>
      <c r="K13" s="218"/>
      <c r="L13" s="218"/>
      <c r="M13" s="219"/>
      <c r="N13">
        <f>B13+J13</f>
        <v>0.99999999999996225</v>
      </c>
      <c r="O13" s="116">
        <f>B13/(B13+J13)</f>
        <v>0.7315596054622705</v>
      </c>
      <c r="P13" s="112">
        <f>B13-J13</f>
        <v>0.46311921092452346</v>
      </c>
      <c r="Q13" s="112">
        <f>($G$2*SUM(C13:I13))*B13</f>
        <v>190.15113439483434</v>
      </c>
      <c r="R13" s="9">
        <f>($I$2*SUM(C13:I13))*J13*COUNT(D13:M13)</f>
        <v>2133.3264823128202</v>
      </c>
      <c r="S13" s="9">
        <f t="shared" si="3"/>
        <v>-1943.1753479179858</v>
      </c>
      <c r="T13" s="112">
        <f>(S13+U13*J13)/B13</f>
        <v>-2653.6405928667909</v>
      </c>
      <c r="U13" s="9">
        <f t="shared" si="2"/>
        <v>7</v>
      </c>
    </row>
    <row r="14" spans="1:21" x14ac:dyDescent="0.2">
      <c r="A14" s="209">
        <v>8</v>
      </c>
      <c r="B14" s="116">
        <f>C14*B4</f>
        <v>0.73951672586014494</v>
      </c>
      <c r="C14" s="116">
        <f>1/(1-B5*B4/(1-B5*B4/(1-B5*B4/(1-B5*B4/(1-B5*B4/(1-B5*B4/(1-B5*B4)))))))</f>
        <v>1.7098746877771311</v>
      </c>
      <c r="D14" s="194">
        <f>C14*B5*C13</f>
        <v>1.6413378057298462</v>
      </c>
      <c r="E14" s="1">
        <f>D14*B5*C12</f>
        <v>1.5514070349251941</v>
      </c>
      <c r="F14" s="1">
        <f>E14*B5*C11</f>
        <v>1.4334042414520458</v>
      </c>
      <c r="G14" s="1">
        <f>F14*B5*C10</f>
        <v>1.2785667020550557</v>
      </c>
      <c r="H14" s="1">
        <f>G14*B5*C9</f>
        <v>1.0753963964980888</v>
      </c>
      <c r="I14" s="1">
        <f>H14*B5*C8</f>
        <v>0.80880618057972131</v>
      </c>
      <c r="J14" s="1">
        <f>I14*B5</f>
        <v>0.4589994357969529</v>
      </c>
      <c r="K14" s="1">
        <f>J14*B5</f>
        <v>0.26048327413981109</v>
      </c>
      <c r="L14" s="1"/>
      <c r="M14" s="9"/>
      <c r="N14">
        <f>B14+K14</f>
        <v>0.99999999999995604</v>
      </c>
      <c r="O14" s="116">
        <f>B14/(B14+K14)</f>
        <v>0.73951672586017747</v>
      </c>
      <c r="P14" s="112">
        <f>B14-K14</f>
        <v>0.47903345172033385</v>
      </c>
      <c r="Q14" s="112">
        <f>($G$2*SUM(C14:J14))*B14</f>
        <v>225.18939076165645</v>
      </c>
      <c r="R14" s="9">
        <f>($I$2*SUM(C14:J14))*K14*COUNT(D14:M14)</f>
        <v>2771.6090230245568</v>
      </c>
      <c r="S14" s="9">
        <f t="shared" si="3"/>
        <v>-2546.4196322629004</v>
      </c>
      <c r="T14" s="112">
        <f>(S14+U14*K14)/B14</f>
        <v>-3440.5384991264668</v>
      </c>
      <c r="U14" s="9">
        <f t="shared" si="2"/>
        <v>8</v>
      </c>
    </row>
    <row r="15" spans="1:21" x14ac:dyDescent="0.2">
      <c r="A15" s="209">
        <v>9</v>
      </c>
      <c r="B15" s="116">
        <f>C15*B4</f>
        <v>0.74527115458726034</v>
      </c>
      <c r="C15" s="116">
        <f>1/(1-B5*B4/(1-B5*B4/(1-B5*B4/(1-B5*B4/(1-B5*B4/(1-B5*B4/(1-B5*B4/(1-B5*B4))))))))</f>
        <v>1.7231797986408075</v>
      </c>
      <c r="D15" s="194">
        <f>C15*B5*C14</f>
        <v>1.6721012374256037</v>
      </c>
      <c r="E15" s="1">
        <f>D15*B5*C13</f>
        <v>1.6050784280350858</v>
      </c>
      <c r="F15" s="1">
        <f>E15*B5*C12</f>
        <v>1.5171343498988188</v>
      </c>
      <c r="G15" s="1">
        <f>F15*B5*C11</f>
        <v>1.4017383981389624</v>
      </c>
      <c r="H15" s="1">
        <f>G15*B5*C10</f>
        <v>1.2503214299386654</v>
      </c>
      <c r="I15" s="1">
        <f>H15*B5*C9</f>
        <v>1.0516394319195086</v>
      </c>
      <c r="J15" s="1">
        <f>I15*B5*C8</f>
        <v>0.79093855535283764</v>
      </c>
      <c r="K15" s="1">
        <f>J15*B5</f>
        <v>0.44885951588153794</v>
      </c>
      <c r="L15" s="1">
        <f>K15*B5</f>
        <v>0.25472884541268909</v>
      </c>
      <c r="M15" s="9"/>
      <c r="N15">
        <f>B15+L15</f>
        <v>0.99999999999994937</v>
      </c>
      <c r="O15" s="116">
        <f>B15/(B15+L15)</f>
        <v>0.74527115458729809</v>
      </c>
      <c r="P15" s="112">
        <f>B15-L15</f>
        <v>0.49054230917457126</v>
      </c>
      <c r="Q15" s="112">
        <f>($G$2*SUM(C15:K15))*B15</f>
        <v>261.20010233056865</v>
      </c>
      <c r="R15" s="9">
        <f>($I$2*SUM(C15:K15))*L15*COUNT(D15:M15)</f>
        <v>3509.4727889108449</v>
      </c>
      <c r="S15" s="9">
        <f t="shared" si="3"/>
        <v>-3248.2726865802761</v>
      </c>
      <c r="T15" s="112">
        <f>(S15+U15*L15)/B15</f>
        <v>-4355.4350748610723</v>
      </c>
      <c r="U15" s="9">
        <f t="shared" si="2"/>
        <v>9</v>
      </c>
    </row>
    <row r="16" spans="1:21" ht="17" thickBot="1" x14ac:dyDescent="0.25">
      <c r="A16" s="210">
        <v>10</v>
      </c>
      <c r="B16" s="195">
        <f>C16*B4</f>
        <v>0.74948875686126304</v>
      </c>
      <c r="C16" s="195">
        <f>1/(1-B5*B4/(1-B5*B4/(1-B5*B4/(1-B5*B4/(1-B5*B4/(1-B5*B4/(1-B5*B4/(1-B5*B4/(1-B5*B4)))))))))</f>
        <v>1.7329315339555709</v>
      </c>
      <c r="D16" s="213">
        <f>C16*B5*C15</f>
        <v>1.6946487266081127</v>
      </c>
      <c r="E16" s="131">
        <f>D16*B5*C14</f>
        <v>1.6444158845166514</v>
      </c>
      <c r="F16" s="131">
        <f>E16*B5*C13</f>
        <v>1.5785027867209787</v>
      </c>
      <c r="G16" s="131">
        <f>F16*B5*C12</f>
        <v>1.49201481828965</v>
      </c>
      <c r="H16" s="131">
        <f>G16*B5*C11</f>
        <v>1.3785295030254971</v>
      </c>
      <c r="I16" s="131">
        <f>H16*B5*C10</f>
        <v>1.2296195793193976</v>
      </c>
      <c r="J16" s="131">
        <f>I16*B5*C9</f>
        <v>1.0342272034287936</v>
      </c>
      <c r="K16" s="131">
        <f>J16*B5*C8</f>
        <v>0.77784280938714834</v>
      </c>
      <c r="L16" s="131">
        <f>K16*B5</f>
        <v>0.44142764882374269</v>
      </c>
      <c r="M16" s="10">
        <f>L16*B5</f>
        <v>0.25051124313867956</v>
      </c>
      <c r="N16">
        <f>B16+M16</f>
        <v>0.9999999999999426</v>
      </c>
      <c r="O16" s="195">
        <f>B16/(B16+M16)</f>
        <v>0.749488756861306</v>
      </c>
      <c r="P16" s="113">
        <f>B16-M16</f>
        <v>0.49897751372258348</v>
      </c>
      <c r="Q16" s="113">
        <f>($G$2*SUM(C16:L16))*B16</f>
        <v>298.04668552000714</v>
      </c>
      <c r="R16" s="10">
        <f>($I$2*SUM(C16:L16))*M16*COUNT(D16:M16)</f>
        <v>4351.1956214770717</v>
      </c>
      <c r="S16" s="10">
        <f t="shared" si="3"/>
        <v>-4053.1489359570646</v>
      </c>
      <c r="T16" s="113">
        <f>(S16+U16*M16)/B16</f>
        <v>-5404.5424783810167</v>
      </c>
      <c r="U16" s="10">
        <f t="shared" si="2"/>
        <v>10</v>
      </c>
    </row>
    <row r="17" spans="1:8" ht="17" thickBot="1" x14ac:dyDescent="0.25"/>
    <row r="18" spans="1:8" ht="17" thickBot="1" x14ac:dyDescent="0.25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">
      <c r="A19" s="264">
        <v>1</v>
      </c>
      <c r="B19" s="146">
        <v>1</v>
      </c>
      <c r="C19" s="150">
        <f>B19*$M$3</f>
        <v>3</v>
      </c>
      <c r="D19" s="151">
        <f>SUM($C$19:C19)</f>
        <v>3</v>
      </c>
      <c r="E19" s="9">
        <f>B19/P7</f>
        <v>-7.4071457811643118</v>
      </c>
      <c r="F19" s="9">
        <f>D19/P7</f>
        <v>-22.221437343492934</v>
      </c>
      <c r="G19" s="28">
        <f>S7/E19</f>
        <v>8.4477633313909646</v>
      </c>
      <c r="H19" s="8">
        <f>S7/F19</f>
        <v>2.8159211104636555</v>
      </c>
    </row>
    <row r="20" spans="1:8" x14ac:dyDescent="0.2">
      <c r="A20" s="265">
        <v>2</v>
      </c>
      <c r="B20" s="141">
        <f>B19*($M$3+1)</f>
        <v>4</v>
      </c>
      <c r="C20" s="140">
        <f>B20*$M$3</f>
        <v>12</v>
      </c>
      <c r="D20" s="142">
        <f>SUM($C$19:C20)</f>
        <v>15</v>
      </c>
      <c r="E20" s="9">
        <f t="shared" ref="E20:E28" si="4">B20/P8</f>
        <v>27.329436016298541</v>
      </c>
      <c r="F20" s="9">
        <f t="shared" ref="F20:F28" si="5">D20/P8</f>
        <v>102.48538506111952</v>
      </c>
      <c r="G20" s="112">
        <f t="shared" ref="G20:G28" si="6">S8/E20</f>
        <v>-7.3344536828378857</v>
      </c>
      <c r="H20" s="9">
        <f t="shared" ref="H20:H28" si="7">S8/F20</f>
        <v>-1.9558543154234365</v>
      </c>
    </row>
    <row r="21" spans="1:8" x14ac:dyDescent="0.2">
      <c r="A21" s="265">
        <v>3</v>
      </c>
      <c r="B21" s="141">
        <f t="shared" ref="B21:B28" si="8">B20*($M$3+1)</f>
        <v>16</v>
      </c>
      <c r="C21" s="140">
        <f t="shared" ref="C21:C28" si="9">B21*$M$3</f>
        <v>48</v>
      </c>
      <c r="D21" s="142">
        <f>SUM($C$19:C21)</f>
        <v>63</v>
      </c>
      <c r="E21" s="9">
        <f t="shared" si="4"/>
        <v>56.735697155007607</v>
      </c>
      <c r="F21" s="9">
        <f t="shared" si="5"/>
        <v>223.39680754784246</v>
      </c>
      <c r="G21" s="112">
        <f t="shared" si="6"/>
        <v>-7.0721444163928302</v>
      </c>
      <c r="H21" s="9">
        <f t="shared" si="7"/>
        <v>-1.7961001692426235</v>
      </c>
    </row>
    <row r="22" spans="1:8" x14ac:dyDescent="0.2">
      <c r="A22" s="265">
        <v>4</v>
      </c>
      <c r="B22" s="141">
        <f t="shared" si="8"/>
        <v>64</v>
      </c>
      <c r="C22" s="140">
        <f t="shared" si="9"/>
        <v>192</v>
      </c>
      <c r="D22" s="142">
        <f>SUM($C$19:C22)</f>
        <v>255</v>
      </c>
      <c r="E22" s="9">
        <f t="shared" si="4"/>
        <v>177.99168735511205</v>
      </c>
      <c r="F22" s="9">
        <f t="shared" si="5"/>
        <v>709.18562930552457</v>
      </c>
      <c r="G22" s="112">
        <f t="shared" si="6"/>
        <v>-3.7594553016447598</v>
      </c>
      <c r="H22" s="9">
        <f t="shared" si="7"/>
        <v>-0.94354956590299854</v>
      </c>
    </row>
    <row r="23" spans="1:8" x14ac:dyDescent="0.2">
      <c r="A23" s="265">
        <v>5</v>
      </c>
      <c r="B23" s="141">
        <f t="shared" si="8"/>
        <v>256</v>
      </c>
      <c r="C23" s="140">
        <f t="shared" si="9"/>
        <v>768</v>
      </c>
      <c r="D23" s="142">
        <f>SUM($C$19:C23)</f>
        <v>1023</v>
      </c>
      <c r="E23" s="9">
        <f t="shared" si="4"/>
        <v>627.02096994154113</v>
      </c>
      <c r="F23" s="9">
        <f t="shared" si="5"/>
        <v>2505.6345791023305</v>
      </c>
      <c r="G23" s="112">
        <f t="shared" si="6"/>
        <v>-1.6121454228631742</v>
      </c>
      <c r="H23" s="9">
        <f t="shared" si="7"/>
        <v>-0.40343033064806705</v>
      </c>
    </row>
    <row r="24" spans="1:8" x14ac:dyDescent="0.2">
      <c r="A24" s="265">
        <v>6</v>
      </c>
      <c r="B24" s="141">
        <f t="shared" si="8"/>
        <v>1024</v>
      </c>
      <c r="C24" s="140">
        <f t="shared" si="9"/>
        <v>3072</v>
      </c>
      <c r="D24" s="142">
        <f>SUM($C$19:C24)</f>
        <v>4095</v>
      </c>
      <c r="E24" s="9">
        <f t="shared" si="4"/>
        <v>2323.5717500471437</v>
      </c>
      <c r="F24" s="9">
        <f t="shared" si="5"/>
        <v>9292.0178871514199</v>
      </c>
      <c r="G24" s="112">
        <f t="shared" si="6"/>
        <v>-0.61685854167097387</v>
      </c>
      <c r="H24" s="9">
        <f t="shared" si="7"/>
        <v>-0.15425229466937174</v>
      </c>
    </row>
    <row r="25" spans="1:8" x14ac:dyDescent="0.2">
      <c r="A25" s="265">
        <v>7</v>
      </c>
      <c r="B25" s="141">
        <f t="shared" si="8"/>
        <v>4096</v>
      </c>
      <c r="C25" s="140">
        <f t="shared" si="9"/>
        <v>12288</v>
      </c>
      <c r="D25" s="142">
        <f>SUM($C$19:C25)</f>
        <v>16383</v>
      </c>
      <c r="E25" s="9">
        <f t="shared" si="4"/>
        <v>8844.3750623584965</v>
      </c>
      <c r="F25" s="9">
        <f t="shared" si="5"/>
        <v>35375.34097817853</v>
      </c>
      <c r="G25" s="112">
        <f t="shared" si="6"/>
        <v>-0.21970747895892676</v>
      </c>
      <c r="H25" s="9">
        <f t="shared" si="7"/>
        <v>-5.4930222414439595E-2</v>
      </c>
    </row>
    <row r="26" spans="1:8" x14ac:dyDescent="0.2">
      <c r="A26" s="265">
        <v>8</v>
      </c>
      <c r="B26" s="141">
        <f t="shared" si="8"/>
        <v>16384</v>
      </c>
      <c r="C26" s="140">
        <f t="shared" si="9"/>
        <v>49152</v>
      </c>
      <c r="D26" s="142">
        <f>SUM($C$19:C26)</f>
        <v>65535</v>
      </c>
      <c r="E26" s="9">
        <f t="shared" si="4"/>
        <v>34202.204337005671</v>
      </c>
      <c r="F26" s="9">
        <f t="shared" si="5"/>
        <v>136806.7298111369</v>
      </c>
      <c r="G26" s="112">
        <f t="shared" si="6"/>
        <v>-7.4451915647663597E-2</v>
      </c>
      <c r="H26" s="9">
        <f t="shared" si="7"/>
        <v>-1.8613262927768676E-2</v>
      </c>
    </row>
    <row r="27" spans="1:8" x14ac:dyDescent="0.2">
      <c r="A27" s="265">
        <v>9</v>
      </c>
      <c r="B27" s="141">
        <f t="shared" si="8"/>
        <v>65536</v>
      </c>
      <c r="C27" s="140">
        <f t="shared" si="9"/>
        <v>196608</v>
      </c>
      <c r="D27" s="142">
        <f>SUM($C$19:C27)</f>
        <v>262143</v>
      </c>
      <c r="E27" s="9">
        <f t="shared" si="4"/>
        <v>133599.07753986912</v>
      </c>
      <c r="F27" s="9">
        <f t="shared" si="5"/>
        <v>534394.27159933338</v>
      </c>
      <c r="G27" s="112">
        <f t="shared" si="6"/>
        <v>-2.4313586189327652E-2</v>
      </c>
      <c r="H27" s="9">
        <f t="shared" si="7"/>
        <v>-6.0784197346630542E-3</v>
      </c>
    </row>
    <row r="28" spans="1:8" ht="17" thickBot="1" x14ac:dyDescent="0.25">
      <c r="A28" s="266">
        <v>10</v>
      </c>
      <c r="B28" s="143">
        <f t="shared" si="8"/>
        <v>262144</v>
      </c>
      <c r="C28" s="144">
        <f t="shared" si="9"/>
        <v>786432</v>
      </c>
      <c r="D28" s="145">
        <f>SUM($C$19:C28)</f>
        <v>1048575</v>
      </c>
      <c r="E28" s="9">
        <f t="shared" si="4"/>
        <v>525362.3515903448</v>
      </c>
      <c r="F28" s="9">
        <f t="shared" si="5"/>
        <v>2101447.4022630532</v>
      </c>
      <c r="G28" s="113">
        <f t="shared" si="6"/>
        <v>-7.7149588730285297E-3</v>
      </c>
      <c r="H28" s="10">
        <f t="shared" si="7"/>
        <v>-1.9287415576484189E-3</v>
      </c>
    </row>
    <row r="29" spans="1:8" ht="17" thickBot="1" x14ac:dyDescent="0.25"/>
    <row r="30" spans="1:8" ht="17" thickBot="1" x14ac:dyDescent="0.25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">
      <c r="A31" s="264">
        <v>1</v>
      </c>
      <c r="B31" s="146">
        <v>1</v>
      </c>
      <c r="C31" s="150">
        <f>B31*$M$3</f>
        <v>3</v>
      </c>
      <c r="D31" s="151">
        <f>SUM($C$31:C31)</f>
        <v>3</v>
      </c>
      <c r="E31" s="129">
        <f>B31/P7</f>
        <v>-7.4071457811643118</v>
      </c>
      <c r="F31" s="58">
        <f>D31/P7</f>
        <v>-22.221437343492934</v>
      </c>
      <c r="G31" s="28">
        <f>S7/E31</f>
        <v>8.4477633313909646</v>
      </c>
      <c r="H31" s="8">
        <f>S7/F31</f>
        <v>2.8159211104636555</v>
      </c>
    </row>
    <row r="32" spans="1:8" x14ac:dyDescent="0.2">
      <c r="A32" s="265">
        <v>2</v>
      </c>
      <c r="B32" s="141">
        <f>C31</f>
        <v>3</v>
      </c>
      <c r="C32" s="140">
        <f>B32*$M$3</f>
        <v>9</v>
      </c>
      <c r="D32" s="142">
        <f>SUM($C$31:C32)</f>
        <v>12</v>
      </c>
      <c r="E32" s="112">
        <f t="shared" ref="E32:E40" si="10">B32/P8</f>
        <v>20.497077012223905</v>
      </c>
      <c r="F32" s="9">
        <f t="shared" ref="F32:F40" si="11">D32/P8</f>
        <v>81.988308048895618</v>
      </c>
      <c r="G32" s="112">
        <f t="shared" ref="G32:G40" si="12">S8/E32</f>
        <v>-9.7792715771171821</v>
      </c>
      <c r="H32" s="9">
        <f t="shared" ref="H32:H40" si="13">S8/F32</f>
        <v>-2.4448178942792955</v>
      </c>
    </row>
    <row r="33" spans="1:8" x14ac:dyDescent="0.2">
      <c r="A33" s="265">
        <v>3</v>
      </c>
      <c r="B33" s="141">
        <f t="shared" ref="B33:B40" si="14">C32</f>
        <v>9</v>
      </c>
      <c r="C33" s="140">
        <f t="shared" ref="C33:C40" si="15">B33*$M$3</f>
        <v>27</v>
      </c>
      <c r="D33" s="142">
        <f>SUM($C$31:C33)</f>
        <v>39</v>
      </c>
      <c r="E33" s="112">
        <f t="shared" si="10"/>
        <v>31.913829649691777</v>
      </c>
      <c r="F33" s="9">
        <f t="shared" si="11"/>
        <v>138.29326181533105</v>
      </c>
      <c r="G33" s="112">
        <f t="shared" si="12"/>
        <v>-12.572701184698365</v>
      </c>
      <c r="H33" s="9">
        <f t="shared" si="13"/>
        <v>-2.9013925810842376</v>
      </c>
    </row>
    <row r="34" spans="1:8" x14ac:dyDescent="0.2">
      <c r="A34" s="265">
        <v>4</v>
      </c>
      <c r="B34" s="141">
        <f t="shared" si="14"/>
        <v>27</v>
      </c>
      <c r="C34" s="140">
        <f t="shared" si="15"/>
        <v>81</v>
      </c>
      <c r="D34" s="142">
        <f>SUM($C$31:C34)</f>
        <v>120</v>
      </c>
      <c r="E34" s="112">
        <f t="shared" si="10"/>
        <v>75.090243102937904</v>
      </c>
      <c r="F34" s="9">
        <f t="shared" si="11"/>
        <v>333.73441379083511</v>
      </c>
      <c r="G34" s="112">
        <f t="shared" si="12"/>
        <v>-8.9113014557505412</v>
      </c>
      <c r="H34" s="9">
        <f t="shared" si="13"/>
        <v>-2.0050428275438721</v>
      </c>
    </row>
    <row r="35" spans="1:8" x14ac:dyDescent="0.2">
      <c r="A35" s="265">
        <v>5</v>
      </c>
      <c r="B35" s="141">
        <f t="shared" si="14"/>
        <v>81</v>
      </c>
      <c r="C35" s="140">
        <f t="shared" si="15"/>
        <v>243</v>
      </c>
      <c r="D35" s="142">
        <f>SUM($C$31:C35)</f>
        <v>363</v>
      </c>
      <c r="E35" s="112">
        <f t="shared" si="10"/>
        <v>198.39335377056577</v>
      </c>
      <c r="F35" s="9">
        <f t="shared" si="11"/>
        <v>889.09614097179474</v>
      </c>
      <c r="G35" s="112">
        <f t="shared" si="12"/>
        <v>-5.0951756574441056</v>
      </c>
      <c r="H35" s="9">
        <f t="shared" si="13"/>
        <v>-1.1369400227354616</v>
      </c>
    </row>
    <row r="36" spans="1:8" x14ac:dyDescent="0.2">
      <c r="A36" s="265">
        <v>6</v>
      </c>
      <c r="B36" s="141">
        <f t="shared" si="14"/>
        <v>243</v>
      </c>
      <c r="C36" s="140">
        <f t="shared" si="15"/>
        <v>729</v>
      </c>
      <c r="D36" s="142">
        <f>SUM($C$31:C36)</f>
        <v>1092</v>
      </c>
      <c r="E36" s="112">
        <f t="shared" si="10"/>
        <v>551.39446802876557</v>
      </c>
      <c r="F36" s="9">
        <f t="shared" si="11"/>
        <v>2477.8714365737119</v>
      </c>
      <c r="G36" s="112">
        <f t="shared" si="12"/>
        <v>-2.5994368175764495</v>
      </c>
      <c r="H36" s="9">
        <f t="shared" si="13"/>
        <v>-0.57844610501014404</v>
      </c>
    </row>
    <row r="37" spans="1:8" x14ac:dyDescent="0.2">
      <c r="A37" s="265">
        <v>7</v>
      </c>
      <c r="B37" s="141">
        <f t="shared" si="14"/>
        <v>729</v>
      </c>
      <c r="C37" s="140">
        <f t="shared" si="15"/>
        <v>2187</v>
      </c>
      <c r="D37" s="142">
        <f>SUM($C$31:C37)</f>
        <v>3279</v>
      </c>
      <c r="E37" s="112">
        <f t="shared" si="10"/>
        <v>1574.108745229332</v>
      </c>
      <c r="F37" s="9">
        <f t="shared" si="11"/>
        <v>7080.2504466488062</v>
      </c>
      <c r="G37" s="112">
        <f t="shared" si="12"/>
        <v>-1.2344606773878792</v>
      </c>
      <c r="H37" s="9">
        <f t="shared" si="13"/>
        <v>-0.27445008655558523</v>
      </c>
    </row>
    <row r="38" spans="1:8" x14ac:dyDescent="0.2">
      <c r="A38" s="265">
        <v>8</v>
      </c>
      <c r="B38" s="141">
        <f t="shared" si="14"/>
        <v>2187</v>
      </c>
      <c r="C38" s="140">
        <f t="shared" si="15"/>
        <v>6561</v>
      </c>
      <c r="D38" s="142">
        <f>SUM($C$31:C38)</f>
        <v>9840</v>
      </c>
      <c r="E38" s="112">
        <f t="shared" si="10"/>
        <v>4565.4431692524049</v>
      </c>
      <c r="F38" s="9">
        <f t="shared" si="11"/>
        <v>20541.362956307119</v>
      </c>
      <c r="G38" s="112">
        <f t="shared" si="12"/>
        <v>-0.55775957291784206</v>
      </c>
      <c r="H38" s="9">
        <f t="shared" si="13"/>
        <v>-0.12396546605399597</v>
      </c>
    </row>
    <row r="39" spans="1:8" x14ac:dyDescent="0.2">
      <c r="A39" s="265">
        <v>9</v>
      </c>
      <c r="B39" s="141">
        <f t="shared" si="14"/>
        <v>6561</v>
      </c>
      <c r="C39" s="140">
        <f t="shared" si="15"/>
        <v>19683</v>
      </c>
      <c r="D39" s="142">
        <f>SUM($C$31:C39)</f>
        <v>29523</v>
      </c>
      <c r="E39" s="112">
        <f t="shared" si="10"/>
        <v>13374.993099046042</v>
      </c>
      <c r="F39" s="9">
        <f t="shared" si="11"/>
        <v>60184.411105492494</v>
      </c>
      <c r="G39" s="112">
        <f t="shared" si="12"/>
        <v>-0.24286163458371848</v>
      </c>
      <c r="H39" s="9">
        <f t="shared" si="13"/>
        <v>-5.3971994191097689E-2</v>
      </c>
    </row>
    <row r="40" spans="1:8" ht="17" thickBot="1" x14ac:dyDescent="0.25">
      <c r="A40" s="266">
        <v>10</v>
      </c>
      <c r="B40" s="143">
        <f t="shared" si="14"/>
        <v>19683</v>
      </c>
      <c r="C40" s="144">
        <f t="shared" si="15"/>
        <v>59049</v>
      </c>
      <c r="D40" s="145">
        <f>SUM($C$31:C40)</f>
        <v>88572</v>
      </c>
      <c r="E40" s="113">
        <f t="shared" si="10"/>
        <v>39446.667352114702</v>
      </c>
      <c r="F40" s="10">
        <f t="shared" si="11"/>
        <v>177506.99693702706</v>
      </c>
      <c r="G40" s="113">
        <f t="shared" si="12"/>
        <v>-0.10275009799376066</v>
      </c>
      <c r="H40" s="10">
        <f t="shared" si="13"/>
        <v>-2.2833741801146987E-2</v>
      </c>
    </row>
    <row r="41" spans="1:8" ht="17" thickBot="1" x14ac:dyDescent="0.25"/>
    <row r="42" spans="1:8" ht="17" thickBot="1" x14ac:dyDescent="0.25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">
      <c r="A43" s="264">
        <v>1</v>
      </c>
      <c r="B43" s="146">
        <v>1</v>
      </c>
      <c r="C43" s="150">
        <f>B43*$M$3</f>
        <v>3</v>
      </c>
      <c r="D43" s="151">
        <f>SUM(C43:C43)</f>
        <v>3</v>
      </c>
      <c r="E43" s="129">
        <f>B43/P7</f>
        <v>-7.4071457811643118</v>
      </c>
      <c r="F43" s="58">
        <f>D43/P7</f>
        <v>-22.221437343492934</v>
      </c>
      <c r="G43" s="28">
        <f>S7/E43</f>
        <v>8.4477633313909646</v>
      </c>
      <c r="H43" s="8">
        <f>S7/F43</f>
        <v>2.8159211104636555</v>
      </c>
    </row>
    <row r="44" spans="1:8" x14ac:dyDescent="0.2">
      <c r="A44" s="265">
        <v>2</v>
      </c>
      <c r="B44" s="141">
        <f>B43*$M$3*2</f>
        <v>6</v>
      </c>
      <c r="C44" s="140">
        <f>B44*$M$3</f>
        <v>18</v>
      </c>
      <c r="D44" s="142">
        <f>SUM($C$43:C44)</f>
        <v>21</v>
      </c>
      <c r="E44" s="112">
        <f t="shared" ref="E44:E52" si="16">B44/P8</f>
        <v>40.994154024447809</v>
      </c>
      <c r="F44" s="9">
        <f t="shared" ref="F44:F52" si="17">D44/P8</f>
        <v>143.47953908556732</v>
      </c>
      <c r="G44" s="112">
        <f t="shared" ref="G44:G52" si="18">S8/E44</f>
        <v>-4.889635788558591</v>
      </c>
      <c r="H44" s="9">
        <f t="shared" ref="H44:H52" si="19">S8/F44</f>
        <v>-1.397038796731026</v>
      </c>
    </row>
    <row r="45" spans="1:8" x14ac:dyDescent="0.2">
      <c r="A45" s="265">
        <v>3</v>
      </c>
      <c r="B45" s="141">
        <f t="shared" ref="B45:B52" si="20">B44*$M$3*2</f>
        <v>36</v>
      </c>
      <c r="C45" s="140">
        <f t="shared" ref="C45:C52" si="21">B45*$M$3</f>
        <v>108</v>
      </c>
      <c r="D45" s="142">
        <f>SUM($C$43:C45)</f>
        <v>129</v>
      </c>
      <c r="E45" s="112">
        <f t="shared" si="16"/>
        <v>127.65531859876711</v>
      </c>
      <c r="F45" s="9">
        <f t="shared" si="17"/>
        <v>457.4315583122488</v>
      </c>
      <c r="G45" s="112">
        <f t="shared" si="18"/>
        <v>-3.1431752961745913</v>
      </c>
      <c r="H45" s="9">
        <f t="shared" si="19"/>
        <v>-0.87716519893244405</v>
      </c>
    </row>
    <row r="46" spans="1:8" x14ac:dyDescent="0.2">
      <c r="A46" s="265">
        <v>4</v>
      </c>
      <c r="B46" s="141">
        <f t="shared" si="20"/>
        <v>216</v>
      </c>
      <c r="C46" s="140">
        <f t="shared" si="21"/>
        <v>648</v>
      </c>
      <c r="D46" s="142">
        <f>SUM($C$43:C46)</f>
        <v>777</v>
      </c>
      <c r="E46" s="112">
        <f t="shared" si="16"/>
        <v>600.72194482350324</v>
      </c>
      <c r="F46" s="9">
        <f t="shared" si="17"/>
        <v>2160.9303292956574</v>
      </c>
      <c r="G46" s="112">
        <f t="shared" si="18"/>
        <v>-1.1139126819688177</v>
      </c>
      <c r="H46" s="9">
        <f t="shared" si="19"/>
        <v>-0.3096591239449995</v>
      </c>
    </row>
    <row r="47" spans="1:8" x14ac:dyDescent="0.2">
      <c r="A47" s="265">
        <v>5</v>
      </c>
      <c r="B47" s="141">
        <f t="shared" si="20"/>
        <v>1296</v>
      </c>
      <c r="C47" s="140">
        <f t="shared" si="21"/>
        <v>3888</v>
      </c>
      <c r="D47" s="142">
        <f>SUM($C$43:C47)</f>
        <v>4665</v>
      </c>
      <c r="E47" s="112">
        <f t="shared" si="16"/>
        <v>3174.2936603290523</v>
      </c>
      <c r="F47" s="9">
        <f t="shared" si="17"/>
        <v>11425.987596786288</v>
      </c>
      <c r="G47" s="112">
        <f t="shared" si="18"/>
        <v>-0.3184484785902566</v>
      </c>
      <c r="H47" s="9">
        <f t="shared" si="19"/>
        <v>-8.8469287942759392E-2</v>
      </c>
    </row>
    <row r="48" spans="1:8" x14ac:dyDescent="0.2">
      <c r="A48" s="265">
        <v>6</v>
      </c>
      <c r="B48" s="141">
        <f t="shared" si="20"/>
        <v>7776</v>
      </c>
      <c r="C48" s="140">
        <f t="shared" si="21"/>
        <v>23328</v>
      </c>
      <c r="D48" s="142">
        <f>SUM($C$43:C48)</f>
        <v>27993</v>
      </c>
      <c r="E48" s="112">
        <f t="shared" si="16"/>
        <v>17644.622976920498</v>
      </c>
      <c r="F48" s="9">
        <f t="shared" si="17"/>
        <v>63519.281249091502</v>
      </c>
      <c r="G48" s="112">
        <f t="shared" si="18"/>
        <v>-8.1232400549264047E-2</v>
      </c>
      <c r="H48" s="9">
        <f t="shared" si="19"/>
        <v>-2.2565039355234424E-2</v>
      </c>
    </row>
    <row r="49" spans="1:8" x14ac:dyDescent="0.2">
      <c r="A49" s="265">
        <v>7</v>
      </c>
      <c r="B49" s="141">
        <f t="shared" si="20"/>
        <v>46656</v>
      </c>
      <c r="C49" s="140">
        <f t="shared" si="21"/>
        <v>139968</v>
      </c>
      <c r="D49" s="142">
        <f>SUM($C$43:C49)</f>
        <v>167961</v>
      </c>
      <c r="E49" s="112">
        <f t="shared" si="16"/>
        <v>100742.95969467725</v>
      </c>
      <c r="F49" s="9">
        <f t="shared" si="17"/>
        <v>362673.35933808482</v>
      </c>
      <c r="G49" s="112">
        <f t="shared" si="18"/>
        <v>-1.9288448084185613E-2</v>
      </c>
      <c r="H49" s="9">
        <f t="shared" si="19"/>
        <v>-5.3579213854154477E-3</v>
      </c>
    </row>
    <row r="50" spans="1:8" x14ac:dyDescent="0.2">
      <c r="A50" s="265">
        <v>8</v>
      </c>
      <c r="B50" s="141">
        <f t="shared" si="20"/>
        <v>279936</v>
      </c>
      <c r="C50" s="140">
        <f t="shared" si="21"/>
        <v>839808</v>
      </c>
      <c r="D50" s="142">
        <f>SUM($C$43:C50)</f>
        <v>1007769</v>
      </c>
      <c r="E50" s="112">
        <f t="shared" si="16"/>
        <v>584376.72566430783</v>
      </c>
      <c r="F50" s="9">
        <f t="shared" si="17"/>
        <v>2103754.9598693768</v>
      </c>
      <c r="G50" s="112">
        <f t="shared" si="18"/>
        <v>-4.3574966634206411E-3</v>
      </c>
      <c r="H50" s="9">
        <f t="shared" si="19"/>
        <v>-1.2104164604897754E-3</v>
      </c>
    </row>
    <row r="51" spans="1:8" x14ac:dyDescent="0.2">
      <c r="A51" s="265">
        <v>9</v>
      </c>
      <c r="B51" s="141">
        <f t="shared" si="20"/>
        <v>1679616</v>
      </c>
      <c r="C51" s="140">
        <f t="shared" si="21"/>
        <v>5038848</v>
      </c>
      <c r="D51" s="142">
        <f>SUM($C$43:C51)</f>
        <v>6046617</v>
      </c>
      <c r="E51" s="112">
        <f t="shared" si="16"/>
        <v>3423998.2333557867</v>
      </c>
      <c r="F51" s="9">
        <f t="shared" si="17"/>
        <v>12326392.416944746</v>
      </c>
      <c r="G51" s="112">
        <f t="shared" si="18"/>
        <v>-9.4867826009265032E-4</v>
      </c>
      <c r="H51" s="9">
        <f t="shared" si="19"/>
        <v>-2.6352176506363426E-4</v>
      </c>
    </row>
    <row r="52" spans="1:8" ht="17" thickBot="1" x14ac:dyDescent="0.25">
      <c r="A52" s="266">
        <v>10</v>
      </c>
      <c r="B52" s="143">
        <f t="shared" si="20"/>
        <v>10077696</v>
      </c>
      <c r="C52" s="144">
        <f t="shared" si="21"/>
        <v>30233088</v>
      </c>
      <c r="D52" s="145">
        <f>SUM($C$43:C52)</f>
        <v>36279705</v>
      </c>
      <c r="E52" s="113">
        <f t="shared" si="16"/>
        <v>20196693.684282728</v>
      </c>
      <c r="F52" s="10">
        <f t="shared" si="17"/>
        <v>72708096.060958833</v>
      </c>
      <c r="G52" s="113">
        <f t="shared" si="18"/>
        <v>-2.0068378514406378E-4</v>
      </c>
      <c r="H52" s="10">
        <f t="shared" si="19"/>
        <v>-5.574549679527964E-5</v>
      </c>
    </row>
  </sheetData>
  <conditionalFormatting sqref="O7:O16">
    <cfRule type="cellIs" dxfId="271" priority="27" operator="lessThanOrEqual">
      <formula>0</formula>
    </cfRule>
    <cfRule type="cellIs" dxfId="270" priority="28" operator="greaterThan">
      <formula>0</formula>
    </cfRule>
  </conditionalFormatting>
  <conditionalFormatting sqref="P7:P16 S7:S16">
    <cfRule type="cellIs" dxfId="269" priority="25" operator="lessThanOrEqual">
      <formula>0</formula>
    </cfRule>
    <cfRule type="cellIs" dxfId="268" priority="26" operator="greaterThan">
      <formula>0</formula>
    </cfRule>
  </conditionalFormatting>
  <conditionalFormatting sqref="G43:G52">
    <cfRule type="cellIs" dxfId="267" priority="24" operator="equal">
      <formula>MAX($G$43:$G$52)</formula>
    </cfRule>
  </conditionalFormatting>
  <conditionalFormatting sqref="H43:H52">
    <cfRule type="cellIs" dxfId="266" priority="23" operator="equal">
      <formula>MAX($H$43:$H$52)</formula>
    </cfRule>
  </conditionalFormatting>
  <conditionalFormatting sqref="G31:G40">
    <cfRule type="cellIs" dxfId="265" priority="22" operator="equal">
      <formula>MAX($G$31:$G$40)</formula>
    </cfRule>
  </conditionalFormatting>
  <conditionalFormatting sqref="H31:H40">
    <cfRule type="cellIs" dxfId="264" priority="21" operator="equal">
      <formula>MAX($H$31:$H$40)</formula>
    </cfRule>
  </conditionalFormatting>
  <conditionalFormatting sqref="G19:G28">
    <cfRule type="cellIs" dxfId="263" priority="1" operator="lessThanOrEqual">
      <formula>0</formula>
    </cfRule>
    <cfRule type="cellIs" dxfId="262" priority="20" operator="equal">
      <formula>MAX($G$19:$G$28)</formula>
    </cfRule>
  </conditionalFormatting>
  <conditionalFormatting sqref="H19:H28">
    <cfRule type="cellIs" dxfId="261" priority="2" operator="lessThanOrEqual">
      <formula>0</formula>
    </cfRule>
    <cfRule type="cellIs" dxfId="260" priority="19" operator="equal">
      <formula>MAX($H$19:$H$28)</formula>
    </cfRule>
  </conditionalFormatting>
  <conditionalFormatting sqref="F19:F28">
    <cfRule type="cellIs" dxfId="259" priority="17" stopIfTrue="1" operator="lessThan">
      <formula>0</formula>
    </cfRule>
    <cfRule type="cellIs" dxfId="258" priority="18" operator="equal">
      <formula>MIN($F$19:$F$28)</formula>
    </cfRule>
  </conditionalFormatting>
  <conditionalFormatting sqref="E19:E28">
    <cfRule type="cellIs" dxfId="257" priority="15" stopIfTrue="1" operator="lessThan">
      <formula>0</formula>
    </cfRule>
    <cfRule type="cellIs" dxfId="256" priority="16" operator="equal">
      <formula>MIN($E$19:$E$28)</formula>
    </cfRule>
  </conditionalFormatting>
  <conditionalFormatting sqref="F31:F40">
    <cfRule type="cellIs" dxfId="255" priority="13" stopIfTrue="1" operator="lessThan">
      <formula>0</formula>
    </cfRule>
    <cfRule type="cellIs" dxfId="254" priority="14" operator="equal">
      <formula>MIN($F$31:$F$40)</formula>
    </cfRule>
  </conditionalFormatting>
  <conditionalFormatting sqref="E31:E40">
    <cfRule type="cellIs" dxfId="253" priority="11" stopIfTrue="1" operator="lessThan">
      <formula>0</formula>
    </cfRule>
    <cfRule type="cellIs" dxfId="252" priority="12" operator="equal">
      <formula>MIN($E$31:$E$40)</formula>
    </cfRule>
  </conditionalFormatting>
  <conditionalFormatting sqref="F43:F52">
    <cfRule type="cellIs" dxfId="251" priority="9" stopIfTrue="1" operator="lessThan">
      <formula>0</formula>
    </cfRule>
    <cfRule type="cellIs" dxfId="250" priority="10" operator="equal">
      <formula>MIN($F$43:$F$52)</formula>
    </cfRule>
  </conditionalFormatting>
  <conditionalFormatting sqref="E43:E52">
    <cfRule type="cellIs" dxfId="249" priority="7" stopIfTrue="1" operator="lessThan">
      <formula>0</formula>
    </cfRule>
    <cfRule type="cellIs" dxfId="248" priority="8" operator="equal">
      <formula>MIN($E$43:$E$52)</formula>
    </cfRule>
  </conditionalFormatting>
  <conditionalFormatting sqref="Q7:Q16">
    <cfRule type="cellIs" dxfId="247" priority="5" operator="lessThanOrEqual">
      <formula>0</formula>
    </cfRule>
    <cfRule type="cellIs" dxfId="246" priority="6" operator="greaterThan">
      <formula>0</formula>
    </cfRule>
  </conditionalFormatting>
  <conditionalFormatting sqref="R7:R16">
    <cfRule type="cellIs" dxfId="245" priority="3" operator="lessThanOrEqual">
      <formula>0</formula>
    </cfRule>
    <cfRule type="cellIs" dxfId="244" priority="4" operator="greaterThan">
      <formula>0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U52"/>
  <sheetViews>
    <sheetView topLeftCell="A19" workbookViewId="0">
      <selection activeCell="I3" sqref="I3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1" x14ac:dyDescent="0.2">
      <c r="B1" s="202"/>
      <c r="C1" t="s">
        <v>99</v>
      </c>
      <c r="D1">
        <f>C2+E2</f>
        <v>0.99999999999999722</v>
      </c>
    </row>
    <row r="2" spans="1:21" x14ac:dyDescent="0.2">
      <c r="A2" t="s">
        <v>40</v>
      </c>
      <c r="B2" s="201" t="s">
        <v>129</v>
      </c>
      <c r="C2" s="222">
        <f>Analysis!B46</f>
        <v>0.26151795788855436</v>
      </c>
      <c r="D2" s="199" t="s">
        <v>130</v>
      </c>
      <c r="E2" s="222">
        <f>Analysis!J46</f>
        <v>0.73848204211144286</v>
      </c>
      <c r="F2" s="199" t="s">
        <v>49</v>
      </c>
      <c r="G2" s="222">
        <f>Analysis!S46</f>
        <v>16.767611300447498</v>
      </c>
      <c r="H2" t="s">
        <v>163</v>
      </c>
      <c r="I2" s="238">
        <f>Analysis!T46</f>
        <v>52.537161578821106</v>
      </c>
      <c r="J2" t="s">
        <v>50</v>
      </c>
      <c r="K2" s="238">
        <f>C2*G2-E2*I2</f>
        <v>-34.412718903504569</v>
      </c>
      <c r="L2" t="s">
        <v>49</v>
      </c>
      <c r="M2" s="267">
        <v>3</v>
      </c>
    </row>
    <row r="3" spans="1:21" x14ac:dyDescent="0.2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6</v>
      </c>
    </row>
    <row r="4" spans="1:21" x14ac:dyDescent="0.2">
      <c r="A4" t="s">
        <v>127</v>
      </c>
      <c r="B4" s="202">
        <f>$C$2</f>
        <v>0.26151795788855436</v>
      </c>
      <c r="C4">
        <f>B4*$C$2</f>
        <v>6.839164229819969E-2</v>
      </c>
      <c r="D4">
        <f t="shared" ref="D4:K4" si="0">C4*$C$2</f>
        <v>1.7885642630469659E-2</v>
      </c>
      <c r="E4">
        <f t="shared" si="0"/>
        <v>4.6774167362448969E-3</v>
      </c>
      <c r="F4">
        <f t="shared" si="0"/>
        <v>1.2232284730565124E-3</v>
      </c>
      <c r="G4">
        <f t="shared" si="0"/>
        <v>3.1989621230487367E-4</v>
      </c>
      <c r="H4">
        <f t="shared" si="0"/>
        <v>8.3658604178253994E-5</v>
      </c>
      <c r="I4">
        <f t="shared" si="0"/>
        <v>2.1878227324503866E-5</v>
      </c>
      <c r="J4">
        <f t="shared" si="0"/>
        <v>5.7215493321258217E-6</v>
      </c>
      <c r="K4">
        <f t="shared" si="0"/>
        <v>1.496287897296167E-6</v>
      </c>
    </row>
    <row r="5" spans="1:21" ht="17" thickBot="1" x14ac:dyDescent="0.25">
      <c r="A5" t="s">
        <v>128</v>
      </c>
      <c r="B5" s="202">
        <f>$E$2</f>
        <v>0.73848204211144286</v>
      </c>
      <c r="C5">
        <f>B5*$E$2</f>
        <v>0.54535572652108688</v>
      </c>
      <c r="D5">
        <f t="shared" ref="D5:K5" si="1">C5*$E$2</f>
        <v>0.4027354105984618</v>
      </c>
      <c r="E5">
        <f t="shared" si="1"/>
        <v>0.2974128684493425</v>
      </c>
      <c r="F5">
        <f t="shared" si="1"/>
        <v>0.21963406244269237</v>
      </c>
      <c r="G5">
        <f t="shared" si="1"/>
        <v>0.16219581094991162</v>
      </c>
      <c r="H5">
        <f t="shared" si="1"/>
        <v>0.11977869369221225</v>
      </c>
      <c r="I5">
        <f t="shared" si="1"/>
        <v>8.84544143192659E-2</v>
      </c>
      <c r="J5">
        <f t="shared" si="1"/>
        <v>6.5321996520263131E-2</v>
      </c>
      <c r="K5">
        <f t="shared" si="1"/>
        <v>4.8239121385080484E-2</v>
      </c>
    </row>
    <row r="6" spans="1:21" ht="17" thickBot="1" x14ac:dyDescent="0.25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">
      <c r="A7" s="208">
        <v>1</v>
      </c>
      <c r="B7" s="114">
        <f>C7*B4</f>
        <v>0.26151795788855436</v>
      </c>
      <c r="C7" s="114">
        <v>1</v>
      </c>
      <c r="D7" s="212">
        <f>C7*B5</f>
        <v>0.73848204211144286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0.99999999999999722</v>
      </c>
      <c r="O7" s="114">
        <f>B7/(B7+D7)</f>
        <v>0.26151795788855509</v>
      </c>
      <c r="P7" s="129">
        <f>B7-D7</f>
        <v>-0.4769640842228885</v>
      </c>
      <c r="Q7" s="129">
        <f>($G$2*SUM(C7))*B7</f>
        <v>4.3850314659620775</v>
      </c>
      <c r="R7" s="58">
        <f>($I$2*SUM(C7))*D7*COUNT(D7:M7)</f>
        <v>38.797750369466648</v>
      </c>
      <c r="S7" s="58">
        <f>Q7-R7</f>
        <v>-34.412718903504569</v>
      </c>
      <c r="T7" s="129">
        <f>(S7+U7*D7)/B7</f>
        <v>-128.76452972205973</v>
      </c>
      <c r="U7" s="58">
        <f t="shared" ref="U7:U16" si="2">COUNT(D7:M7)</f>
        <v>1</v>
      </c>
    </row>
    <row r="8" spans="1:21" x14ac:dyDescent="0.2">
      <c r="A8" s="209">
        <v>2</v>
      </c>
      <c r="B8" s="116">
        <f>C8*B4</f>
        <v>0.32411263738251117</v>
      </c>
      <c r="C8" s="116">
        <f>1/(1-B4*B5)</f>
        <v>1.2393513623283625</v>
      </c>
      <c r="D8" s="194">
        <f>C8*B5</f>
        <v>0.9152387249458479</v>
      </c>
      <c r="E8" s="1">
        <f>D8*B5</f>
        <v>0.67588736261748295</v>
      </c>
      <c r="F8" s="1"/>
      <c r="G8" s="1"/>
      <c r="H8" s="1"/>
      <c r="I8" s="1"/>
      <c r="J8" s="1"/>
      <c r="K8" s="1"/>
      <c r="L8" s="1"/>
      <c r="M8" s="9"/>
      <c r="N8">
        <f>B8+E8</f>
        <v>0.99999999999999412</v>
      </c>
      <c r="O8" s="116">
        <f>B8/(B8+E8)</f>
        <v>0.32411263738251306</v>
      </c>
      <c r="P8" s="112">
        <f>B8-E8</f>
        <v>-0.35177472523497177</v>
      </c>
      <c r="Q8" s="112">
        <f>($G$2*SUM(C8:D8))*B8</f>
        <v>11.709323914634837</v>
      </c>
      <c r="R8" s="9">
        <f>($I$2*SUM(C8:D8))*E8*COUNT(D8:M8)</f>
        <v>153.01555607627708</v>
      </c>
      <c r="S8" s="9">
        <f t="shared" ref="S8:S16" si="3">Q8-R8</f>
        <v>-141.30623216164224</v>
      </c>
      <c r="T8" s="112">
        <f>(S8+U8*E8)/B8</f>
        <v>-431.80808550589114</v>
      </c>
      <c r="U8" s="9">
        <f t="shared" si="2"/>
        <v>2</v>
      </c>
    </row>
    <row r="9" spans="1:21" x14ac:dyDescent="0.2">
      <c r="A9" s="209">
        <v>3</v>
      </c>
      <c r="B9" s="116">
        <f>C9*B4</f>
        <v>0.34380914516466715</v>
      </c>
      <c r="C9" s="216">
        <f>1/(1-B5*B4/(1-B5*B4))</f>
        <v>1.3146674436452319</v>
      </c>
      <c r="D9" s="217">
        <f>C9*B5*C8</f>
        <v>1.2032345548496792</v>
      </c>
      <c r="E9" s="218">
        <f>D9*(B5)</f>
        <v>0.88856711120444398</v>
      </c>
      <c r="F9" s="218">
        <f>E9*B5</f>
        <v>0.65619085483532336</v>
      </c>
      <c r="G9" s="218"/>
      <c r="H9" s="218"/>
      <c r="I9" s="218"/>
      <c r="J9" s="218"/>
      <c r="K9" s="218"/>
      <c r="L9" s="218"/>
      <c r="M9" s="219"/>
      <c r="N9">
        <f>B9+F9</f>
        <v>0.99999999999999045</v>
      </c>
      <c r="O9" s="116">
        <f>B9/(B9+F9)</f>
        <v>0.34380914516467043</v>
      </c>
      <c r="P9" s="112">
        <f>B9-F9</f>
        <v>-0.3123817096706562</v>
      </c>
      <c r="Q9" s="112">
        <f>($G$2*SUM(C9:E9))*B9</f>
        <v>19.637811065544579</v>
      </c>
      <c r="R9" s="9">
        <f>($I$2*SUM(C9:E9))*F9*COUNT(D9:M9)</f>
        <v>352.30798678634198</v>
      </c>
      <c r="S9" s="9">
        <f t="shared" si="3"/>
        <v>-332.67017572079743</v>
      </c>
      <c r="T9" s="112">
        <f>(S9+U9*F9)/B9</f>
        <v>-961.87552834844507</v>
      </c>
      <c r="U9" s="9">
        <f t="shared" si="2"/>
        <v>3</v>
      </c>
    </row>
    <row r="10" spans="1:21" x14ac:dyDescent="0.2">
      <c r="A10" s="209">
        <v>4</v>
      </c>
      <c r="B10" s="116">
        <f>C10*B4</f>
        <v>0.35051181364123807</v>
      </c>
      <c r="C10" s="116">
        <f>1/(1-B5*B4/(1-B5*B4/(1-B5*B4)))</f>
        <v>1.3402973029890679</v>
      </c>
      <c r="D10" s="194">
        <f>C10*B5*C9</f>
        <v>1.3012387590380516</v>
      </c>
      <c r="E10" s="1">
        <f>D10*B5*C8</f>
        <v>1.1909441026721037</v>
      </c>
      <c r="F10" s="1">
        <f>E10*B5</f>
        <v>0.87949083298187503</v>
      </c>
      <c r="G10" s="1">
        <f>F10*B5</f>
        <v>0.64948818635874894</v>
      </c>
      <c r="H10" s="1"/>
      <c r="I10" s="1"/>
      <c r="J10" s="1"/>
      <c r="K10" s="1"/>
      <c r="L10" s="1"/>
      <c r="M10" s="9"/>
      <c r="N10">
        <f>B10+G10</f>
        <v>0.99999999999998701</v>
      </c>
      <c r="O10" s="116">
        <f>B10/(B10+G10)</f>
        <v>0.35051181364124262</v>
      </c>
      <c r="P10" s="112">
        <f>B10-G10</f>
        <v>-0.29897637271751087</v>
      </c>
      <c r="Q10" s="112">
        <f>($G$2*SUM(C10:F10))*B10</f>
        <v>27.693411978960395</v>
      </c>
      <c r="R10" s="9">
        <f>($I$2*SUM(C10:F10))*G10*COUNT(D10:M10)</f>
        <v>643.13250711557964</v>
      </c>
      <c r="S10" s="9">
        <f t="shared" si="3"/>
        <v>-615.43909513661924</v>
      </c>
      <c r="T10" s="112">
        <f>(S10+U10*G10)/B10</f>
        <v>-1748.4179378286235</v>
      </c>
      <c r="U10" s="9">
        <f t="shared" si="2"/>
        <v>4</v>
      </c>
    </row>
    <row r="11" spans="1:21" x14ac:dyDescent="0.2">
      <c r="A11" s="209">
        <v>5</v>
      </c>
      <c r="B11" s="116">
        <f>C11*B4</f>
        <v>0.35285271050397538</v>
      </c>
      <c r="C11" s="116">
        <f>1/(1-B5*B4/(1-B5*B4/(1-B5*B4/(1-B5*B4))))</f>
        <v>1.3492484927338841</v>
      </c>
      <c r="D11" s="194">
        <f>C11*B5*C10</f>
        <v>1.3354665796324243</v>
      </c>
      <c r="E11" s="1">
        <f>D11*B5*C9</f>
        <v>1.2965488111795902</v>
      </c>
      <c r="F11" s="1">
        <f>E11*B5*C8</f>
        <v>1.186651680774063</v>
      </c>
      <c r="G11" s="1">
        <f>F11*B5</f>
        <v>0.87632095649300601</v>
      </c>
      <c r="H11" s="1">
        <f>G11*B5</f>
        <v>0.64714728949600797</v>
      </c>
      <c r="I11" s="1"/>
      <c r="J11" s="1"/>
      <c r="K11" s="1"/>
      <c r="L11" s="1"/>
      <c r="M11" s="9"/>
      <c r="N11">
        <f>B11+H11</f>
        <v>0.99999999999998335</v>
      </c>
      <c r="O11" s="116">
        <f>B11/(B11+H11)</f>
        <v>0.35285271050398126</v>
      </c>
      <c r="P11" s="112">
        <f>B11-H11</f>
        <v>-0.2942945789920326</v>
      </c>
      <c r="Q11" s="112">
        <f>($G$2*SUM(C11:G11))*B11</f>
        <v>35.760707823168758</v>
      </c>
      <c r="R11" s="9">
        <f>($I$2*SUM(C11:G11))*H11*COUNT(D11:M11)</f>
        <v>1027.4985010721732</v>
      </c>
      <c r="S11" s="9">
        <f t="shared" si="3"/>
        <v>-991.73779324900443</v>
      </c>
      <c r="T11" s="112">
        <f>(S11+U11*H11)/B11</f>
        <v>-2801.4580230648039</v>
      </c>
      <c r="U11" s="9">
        <f t="shared" si="2"/>
        <v>5</v>
      </c>
    </row>
    <row r="12" spans="1:21" x14ac:dyDescent="0.2">
      <c r="A12" s="209">
        <v>6</v>
      </c>
      <c r="B12" s="116">
        <f>C12*B4</f>
        <v>0.35367764938942337</v>
      </c>
      <c r="C12" s="116">
        <f>1/(1-B5*B4/(1-B5*B4/(1-B5*B4/(1-B5*B4/(1-B5*B4)))))</f>
        <v>1.3524029181206085</v>
      </c>
      <c r="D12" s="194">
        <f>C12*B5*C11</f>
        <v>1.3475285634907899</v>
      </c>
      <c r="E12" s="1">
        <f>D12*B5*C10</f>
        <v>1.3337642186249046</v>
      </c>
      <c r="F12" s="1">
        <f>E12*B5*C9</f>
        <v>1.2948960598684298</v>
      </c>
      <c r="G12" s="1">
        <f>F12*B5*C8</f>
        <v>1.1851390187713839</v>
      </c>
      <c r="H12" s="1">
        <f>G12*B5</f>
        <v>0.87520388276824324</v>
      </c>
      <c r="I12" s="1">
        <f>H12*B5</f>
        <v>0.6463223506105561</v>
      </c>
      <c r="J12" s="1"/>
      <c r="K12" s="1"/>
      <c r="L12" s="1"/>
      <c r="M12" s="9"/>
      <c r="N12">
        <f>B12+I12</f>
        <v>0.99999999999997946</v>
      </c>
      <c r="O12" s="116">
        <f>B12/(B12+I12)</f>
        <v>0.35367764938943064</v>
      </c>
      <c r="P12" s="112">
        <f>B12-I12</f>
        <v>-0.29264470122113273</v>
      </c>
      <c r="Q12" s="112">
        <f>($G$2*SUM(C12:H12))*B12</f>
        <v>43.818816093746776</v>
      </c>
      <c r="R12" s="9">
        <f>($I$2*SUM(C12:H12))*I12*COUNT(D12:M12)</f>
        <v>1505.38941050279</v>
      </c>
      <c r="S12" s="9">
        <f t="shared" si="3"/>
        <v>-1461.5705944090432</v>
      </c>
      <c r="T12" s="112">
        <f>(S12+U12*I12)/B12</f>
        <v>-4121.5289199696081</v>
      </c>
      <c r="U12" s="9">
        <f t="shared" si="2"/>
        <v>6</v>
      </c>
    </row>
    <row r="13" spans="1:21" x14ac:dyDescent="0.2">
      <c r="A13" s="209">
        <v>7</v>
      </c>
      <c r="B13" s="116">
        <f>C13*B4</f>
        <v>0.35396928018751944</v>
      </c>
      <c r="C13" s="216">
        <f>1/(1-B5*B4/(1-B5*B4/(1-B5*B4/(1-B5*B4/(1-B5*B4/(1-B5*B4))))))</f>
        <v>1.3535180644778633</v>
      </c>
      <c r="D13" s="217">
        <f>C13*B5*C12</f>
        <v>1.3517926926781627</v>
      </c>
      <c r="E13" s="218">
        <f>D13*B5*C11</f>
        <v>1.3469205374337274</v>
      </c>
      <c r="F13" s="218">
        <f>E13*B5*C10</f>
        <v>1.3331624032564788</v>
      </c>
      <c r="G13" s="218">
        <f>F13*B5*C9</f>
        <v>1.2943117824238408</v>
      </c>
      <c r="H13" s="218">
        <f>G13*B5*C8</f>
        <v>1.1846042654279838</v>
      </c>
      <c r="I13" s="218">
        <f>H13*B5</f>
        <v>0.87480897702718319</v>
      </c>
      <c r="J13" s="218">
        <f>I13*B5</f>
        <v>0.64603071981245652</v>
      </c>
      <c r="K13" s="218"/>
      <c r="L13" s="218"/>
      <c r="M13" s="219"/>
      <c r="N13">
        <f>B13+J13</f>
        <v>0.99999999999997602</v>
      </c>
      <c r="O13" s="116">
        <f>B13/(B13+J13)</f>
        <v>0.35396928018752793</v>
      </c>
      <c r="P13" s="112">
        <f>B13-J13</f>
        <v>-0.29206143962493708</v>
      </c>
      <c r="Q13" s="112">
        <f>($G$2*SUM(C13:I13))*B13</f>
        <v>51.868586129813949</v>
      </c>
      <c r="R13" s="9">
        <f>($I$2*SUM(C13:I13))*J13*COUNT(D13:M13)</f>
        <v>2076.2777729863137</v>
      </c>
      <c r="S13" s="9">
        <f t="shared" si="3"/>
        <v>-2024.4091868564997</v>
      </c>
      <c r="T13" s="112">
        <f>(S13+U13*J13)/B13</f>
        <v>-5706.390596234095</v>
      </c>
      <c r="U13" s="9">
        <f t="shared" si="2"/>
        <v>7</v>
      </c>
    </row>
    <row r="14" spans="1:21" x14ac:dyDescent="0.2">
      <c r="A14" s="209">
        <v>8</v>
      </c>
      <c r="B14" s="116">
        <f>C14*B4</f>
        <v>0.35407249203912483</v>
      </c>
      <c r="C14" s="116">
        <f>1/(1-B5*B4/(1-B5*B4/(1-B5*B4/(1-B5*B4/(1-B5*B4/(1-B5*B4/(1-B5*B4)))))))</f>
        <v>1.3539127289683583</v>
      </c>
      <c r="D14" s="194">
        <f>C14*B5*C13</f>
        <v>1.3533018222755393</v>
      </c>
      <c r="E14" s="1">
        <f>D14*B5*C12</f>
        <v>1.3515767261265355</v>
      </c>
      <c r="F14" s="1">
        <f>E14*B5*C11</f>
        <v>1.3467053492725833</v>
      </c>
      <c r="G14" s="1">
        <f>F14*B5*C10</f>
        <v>1.3329494131370991</v>
      </c>
      <c r="H14" s="1">
        <f>G14*B5*C9</f>
        <v>1.2941049991989464</v>
      </c>
      <c r="I14" s="1">
        <f>H14*B5*C8</f>
        <v>1.1844150094128914</v>
      </c>
      <c r="J14" s="1">
        <f>I14*B5</f>
        <v>0.87466921485867577</v>
      </c>
      <c r="K14" s="1">
        <f>J14*B5</f>
        <v>0.6459275079608473</v>
      </c>
      <c r="L14" s="1"/>
      <c r="M14" s="9"/>
      <c r="N14">
        <f>B14+K14</f>
        <v>0.99999999999997213</v>
      </c>
      <c r="O14" s="116">
        <f>B14/(B14+K14)</f>
        <v>0.35407249203913471</v>
      </c>
      <c r="P14" s="112">
        <f>B14-K14</f>
        <v>-0.29185501592172247</v>
      </c>
      <c r="Q14" s="112">
        <f>($G$2*SUM(C14:J14))*B14</f>
        <v>59.913533155633573</v>
      </c>
      <c r="R14" s="9">
        <f>($I$2*SUM(C14:J14))*K14*COUNT(D14:M14)</f>
        <v>2739.6931146260099</v>
      </c>
      <c r="S14" s="9">
        <f t="shared" si="3"/>
        <v>-2679.7795814703763</v>
      </c>
      <c r="T14" s="112">
        <f>(S14+U14*K14)/B14</f>
        <v>-7553.8547092530034</v>
      </c>
      <c r="U14" s="9">
        <f t="shared" si="2"/>
        <v>8</v>
      </c>
    </row>
    <row r="15" spans="1:21" x14ac:dyDescent="0.2">
      <c r="A15" s="209">
        <v>9</v>
      </c>
      <c r="B15" s="116">
        <f>C15*B4</f>
        <v>0.35410903444918007</v>
      </c>
      <c r="C15" s="116">
        <f>1/(1-B5*B4/(1-B5*B4/(1-B5*B4/(1-B5*B4/(1-B5*B4/(1-B5*B4/(1-B5*B4/(1-B5*B4))))))))</f>
        <v>1.3540524609024491</v>
      </c>
      <c r="D15" s="194">
        <f>C15*B5*C14</f>
        <v>1.3538361333233113</v>
      </c>
      <c r="E15" s="1">
        <f>D15*B5*C13</f>
        <v>1.3532252611916504</v>
      </c>
      <c r="F15" s="1">
        <f>E15*B5*C12</f>
        <v>1.3515002626374542</v>
      </c>
      <c r="G15" s="1">
        <f>F15*B5*C11</f>
        <v>1.3466291613745682</v>
      </c>
      <c r="H15" s="1">
        <f>G15*B5*C10</f>
        <v>1.3328740034611799</v>
      </c>
      <c r="I15" s="1">
        <f>H15*B5*C9</f>
        <v>1.2940317870892946</v>
      </c>
      <c r="J15" s="1">
        <f>I15*B5*C8</f>
        <v>1.1843480028550029</v>
      </c>
      <c r="K15" s="1">
        <f>J15*B5</f>
        <v>0.87461973171897145</v>
      </c>
      <c r="L15" s="1">
        <f>K15*B5</f>
        <v>0.64589096555078829</v>
      </c>
      <c r="M15" s="9"/>
      <c r="N15">
        <f>B15+L15</f>
        <v>0.99999999999996836</v>
      </c>
      <c r="O15" s="116">
        <f>B15/(B15+L15)</f>
        <v>0.35410903444919128</v>
      </c>
      <c r="P15" s="112">
        <f>B15-L15</f>
        <v>-0.29178193110160822</v>
      </c>
      <c r="Q15" s="112">
        <f>($G$2*SUM(C15:K15))*B15</f>
        <v>67.956098036374243</v>
      </c>
      <c r="R15" s="9">
        <f>($I$2*SUM(C15:K15))*L15*COUNT(D15:M15)</f>
        <v>3495.3329744452863</v>
      </c>
      <c r="S15" s="9">
        <f t="shared" si="3"/>
        <v>-3427.3768764089118</v>
      </c>
      <c r="T15" s="112">
        <f>(S15+U15*L15)/B15</f>
        <v>-9662.4585222493115</v>
      </c>
      <c r="U15" s="9">
        <f t="shared" si="2"/>
        <v>9</v>
      </c>
    </row>
    <row r="16" spans="1:21" ht="17" thickBot="1" x14ac:dyDescent="0.25">
      <c r="A16" s="210">
        <v>10</v>
      </c>
      <c r="B16" s="195">
        <f>C16*B4</f>
        <v>0.35412197418748215</v>
      </c>
      <c r="C16" s="195">
        <f>1/(1-B5*B4/(1-B5*B4/(1-B5*B4/(1-B5*B4/(1-B5*B4/(1-B5*B4/(1-B5*B4/(1-B5*B4/(1-B5*B4)))))))))</f>
        <v>1.3541019402514258</v>
      </c>
      <c r="D16" s="213">
        <f>C16*B5*C15</f>
        <v>1.3540253339020254</v>
      </c>
      <c r="E16" s="131">
        <f>D16*B5*C14</f>
        <v>1.3538090106567804</v>
      </c>
      <c r="F16" s="131">
        <f>E16*B5*C13</f>
        <v>1.3531981507632929</v>
      </c>
      <c r="G16" s="131">
        <f>F16*B5*C12</f>
        <v>1.3514731867676073</v>
      </c>
      <c r="H16" s="131">
        <f>G16*B5*C11</f>
        <v>1.3466021830920525</v>
      </c>
      <c r="I16" s="131">
        <f>H16*B5*C10</f>
        <v>1.3328473007486181</v>
      </c>
      <c r="J16" s="131">
        <f>I16*B5*C9</f>
        <v>1.2940058625392121</v>
      </c>
      <c r="K16" s="131">
        <f>J16*B5*C8</f>
        <v>1.1843242757028405</v>
      </c>
      <c r="L16" s="131">
        <f>K16*B5</f>
        <v>0.87460220964318913</v>
      </c>
      <c r="M16" s="10">
        <f>L16*B5</f>
        <v>0.64587802581248255</v>
      </c>
      <c r="N16">
        <f>B16+M16</f>
        <v>0.99999999999996469</v>
      </c>
      <c r="O16" s="195">
        <f>B16/(B16+M16)</f>
        <v>0.35412197418749464</v>
      </c>
      <c r="P16" s="113">
        <f>B16-M16</f>
        <v>-0.2917560516250004</v>
      </c>
      <c r="Q16" s="113">
        <f>($G$2*SUM(C16:L16))*B16</f>
        <v>75.997578687330005</v>
      </c>
      <c r="R16" s="10">
        <f>($I$2*SUM(C16:L16))*M16*COUNT(D16:M16)</f>
        <v>4343.0296654059293</v>
      </c>
      <c r="S16" s="10">
        <f t="shared" si="3"/>
        <v>-4267.0320867185992</v>
      </c>
      <c r="T16" s="113">
        <f>(S16+U16*M16)/B16</f>
        <v>-12031.372287009806</v>
      </c>
      <c r="U16" s="10">
        <f t="shared" si="2"/>
        <v>10</v>
      </c>
    </row>
    <row r="17" spans="1:8" ht="17" thickBot="1" x14ac:dyDescent="0.25"/>
    <row r="18" spans="1:8" ht="17" thickBot="1" x14ac:dyDescent="0.25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">
      <c r="A19" s="264">
        <v>1</v>
      </c>
      <c r="B19" s="146">
        <v>1</v>
      </c>
      <c r="C19" s="150">
        <f>B19*$M$3</f>
        <v>6</v>
      </c>
      <c r="D19" s="151">
        <f>SUM($C$19:C19)</f>
        <v>6</v>
      </c>
      <c r="E19" s="9">
        <f>B19/P7</f>
        <v>-2.0965939220125711</v>
      </c>
      <c r="F19" s="9">
        <f>D19/P7</f>
        <v>-12.579563532075426</v>
      </c>
      <c r="G19" s="28">
        <f>S7/E19</f>
        <v>16.413630957429739</v>
      </c>
      <c r="H19" s="8">
        <f>S7/F19</f>
        <v>2.7356051595716235</v>
      </c>
    </row>
    <row r="20" spans="1:8" x14ac:dyDescent="0.2">
      <c r="A20" s="265">
        <v>2</v>
      </c>
      <c r="B20" s="141">
        <f>B19*($M$3+1)</f>
        <v>7</v>
      </c>
      <c r="C20" s="140">
        <f>B20*$M$3</f>
        <v>42</v>
      </c>
      <c r="D20" s="142">
        <f>SUM($C$19:C20)</f>
        <v>48</v>
      </c>
      <c r="E20" s="9">
        <f t="shared" ref="E20:E28" si="4">B20/P8</f>
        <v>-19.899098763631393</v>
      </c>
      <c r="F20" s="9">
        <f t="shared" ref="F20:F28" si="5">D20/P8</f>
        <v>-136.45096295061526</v>
      </c>
      <c r="G20" s="112">
        <f t="shared" ref="G20:G28" si="6">S8/E20</f>
        <v>7.1011372846644045</v>
      </c>
      <c r="H20" s="9">
        <f t="shared" ref="H20:H28" si="7">S8/F20</f>
        <v>1.0355825206802256</v>
      </c>
    </row>
    <row r="21" spans="1:8" x14ac:dyDescent="0.2">
      <c r="A21" s="265">
        <v>3</v>
      </c>
      <c r="B21" s="141">
        <f t="shared" ref="B21:B28" si="8">B20*($M$3+1)</f>
        <v>49</v>
      </c>
      <c r="C21" s="140">
        <f t="shared" ref="C21:C28" si="9">B21*$M$3</f>
        <v>294</v>
      </c>
      <c r="D21" s="142">
        <f>SUM($C$19:C21)</f>
        <v>342</v>
      </c>
      <c r="E21" s="9">
        <f t="shared" si="4"/>
        <v>-156.85937583112872</v>
      </c>
      <c r="F21" s="9">
        <f t="shared" si="5"/>
        <v>-1094.8144190662454</v>
      </c>
      <c r="G21" s="112">
        <f t="shared" si="6"/>
        <v>2.1208179234306188</v>
      </c>
      <c r="H21" s="9">
        <f t="shared" si="7"/>
        <v>0.30385987791842201</v>
      </c>
    </row>
    <row r="22" spans="1:8" x14ac:dyDescent="0.2">
      <c r="A22" s="265">
        <v>4</v>
      </c>
      <c r="B22" s="141">
        <f t="shared" si="8"/>
        <v>343</v>
      </c>
      <c r="C22" s="140">
        <f t="shared" si="9"/>
        <v>2058</v>
      </c>
      <c r="D22" s="142">
        <f>SUM($C$19:C22)</f>
        <v>2400</v>
      </c>
      <c r="E22" s="9">
        <f t="shared" si="4"/>
        <v>-1147.2478473209821</v>
      </c>
      <c r="F22" s="9">
        <f t="shared" si="5"/>
        <v>-8027.3901853363186</v>
      </c>
      <c r="G22" s="112">
        <f t="shared" si="6"/>
        <v>0.53644824575071004</v>
      </c>
      <c r="H22" s="9">
        <f t="shared" si="7"/>
        <v>7.6667395121872303E-2</v>
      </c>
    </row>
    <row r="23" spans="1:8" x14ac:dyDescent="0.2">
      <c r="A23" s="265">
        <v>5</v>
      </c>
      <c r="B23" s="141">
        <f t="shared" si="8"/>
        <v>2401</v>
      </c>
      <c r="C23" s="140">
        <f t="shared" si="9"/>
        <v>14406</v>
      </c>
      <c r="D23" s="142">
        <f>SUM($C$19:C23)</f>
        <v>16806</v>
      </c>
      <c r="E23" s="9">
        <f t="shared" si="4"/>
        <v>-8158.4921075457596</v>
      </c>
      <c r="F23" s="9">
        <f t="shared" si="5"/>
        <v>-57106.046796923794</v>
      </c>
      <c r="G23" s="112">
        <f t="shared" si="6"/>
        <v>0.12155895724060942</v>
      </c>
      <c r="H23" s="9">
        <f t="shared" si="7"/>
        <v>1.7366598615655315E-2</v>
      </c>
    </row>
    <row r="24" spans="1:8" x14ac:dyDescent="0.2">
      <c r="A24" s="265">
        <v>6</v>
      </c>
      <c r="B24" s="141">
        <f t="shared" si="8"/>
        <v>16807</v>
      </c>
      <c r="C24" s="140">
        <f t="shared" si="9"/>
        <v>100842</v>
      </c>
      <c r="D24" s="142">
        <f>SUM($C$19:C24)</f>
        <v>117648</v>
      </c>
      <c r="E24" s="9">
        <f t="shared" si="4"/>
        <v>-57431.41744876506</v>
      </c>
      <c r="F24" s="9">
        <f t="shared" si="5"/>
        <v>-402016.50502839958</v>
      </c>
      <c r="G24" s="112">
        <f t="shared" si="6"/>
        <v>2.5448973041853264E-2</v>
      </c>
      <c r="H24" s="9">
        <f t="shared" si="7"/>
        <v>3.6355984794848007E-3</v>
      </c>
    </row>
    <row r="25" spans="1:8" x14ac:dyDescent="0.2">
      <c r="A25" s="265">
        <v>7</v>
      </c>
      <c r="B25" s="141">
        <f t="shared" si="8"/>
        <v>117649</v>
      </c>
      <c r="C25" s="140">
        <f t="shared" si="9"/>
        <v>705894</v>
      </c>
      <c r="D25" s="142">
        <f>SUM($C$19:C25)</f>
        <v>823542</v>
      </c>
      <c r="E25" s="9">
        <f t="shared" si="4"/>
        <v>-402822.77643732732</v>
      </c>
      <c r="F25" s="9">
        <f t="shared" si="5"/>
        <v>-2819756.0111241867</v>
      </c>
      <c r="G25" s="112">
        <f t="shared" si="6"/>
        <v>5.0255579010723217E-3</v>
      </c>
      <c r="H25" s="9">
        <f t="shared" si="7"/>
        <v>7.1793771477745823E-4</v>
      </c>
    </row>
    <row r="26" spans="1:8" x14ac:dyDescent="0.2">
      <c r="A26" s="265">
        <v>8</v>
      </c>
      <c r="B26" s="141">
        <f t="shared" si="8"/>
        <v>823543</v>
      </c>
      <c r="C26" s="140">
        <f t="shared" si="9"/>
        <v>4941258</v>
      </c>
      <c r="D26" s="142">
        <f>SUM($C$19:C26)</f>
        <v>5764800</v>
      </c>
      <c r="E26" s="9">
        <f t="shared" si="4"/>
        <v>-2821753.799225023</v>
      </c>
      <c r="F26" s="9">
        <f t="shared" si="5"/>
        <v>-19752273.16821637</v>
      </c>
      <c r="G26" s="112">
        <f t="shared" si="6"/>
        <v>9.4968582383280961E-4</v>
      </c>
      <c r="H26" s="9">
        <f t="shared" si="7"/>
        <v>1.356694269387912E-4</v>
      </c>
    </row>
    <row r="27" spans="1:8" x14ac:dyDescent="0.2">
      <c r="A27" s="265">
        <v>9</v>
      </c>
      <c r="B27" s="141">
        <f t="shared" si="8"/>
        <v>5764801</v>
      </c>
      <c r="C27" s="140">
        <f t="shared" si="9"/>
        <v>34588806</v>
      </c>
      <c r="D27" s="142">
        <f>SUM($C$19:C27)</f>
        <v>40353606</v>
      </c>
      <c r="E27" s="9">
        <f t="shared" si="4"/>
        <v>-19757224.096212126</v>
      </c>
      <c r="F27" s="9">
        <f t="shared" si="5"/>
        <v>-138300565.24626786</v>
      </c>
      <c r="G27" s="112">
        <f t="shared" si="6"/>
        <v>1.7347461666267236E-4</v>
      </c>
      <c r="H27" s="9">
        <f t="shared" si="7"/>
        <v>2.4782088708790741E-5</v>
      </c>
    </row>
    <row r="28" spans="1:8" ht="17" thickBot="1" x14ac:dyDescent="0.25">
      <c r="A28" s="266">
        <v>10</v>
      </c>
      <c r="B28" s="143">
        <f t="shared" si="8"/>
        <v>40353607</v>
      </c>
      <c r="C28" s="144">
        <f t="shared" si="9"/>
        <v>242121642</v>
      </c>
      <c r="D28" s="145">
        <f>SUM($C$19:C28)</f>
        <v>282475248</v>
      </c>
      <c r="E28" s="9">
        <f t="shared" si="4"/>
        <v>-138312836.27277511</v>
      </c>
      <c r="F28" s="9">
        <f t="shared" si="5"/>
        <v>-968189850.48190463</v>
      </c>
      <c r="G28" s="113">
        <f t="shared" si="6"/>
        <v>3.0850586263037273E-5</v>
      </c>
      <c r="H28" s="10">
        <f t="shared" si="7"/>
        <v>4.4072266246074945E-6</v>
      </c>
    </row>
    <row r="29" spans="1:8" ht="17" thickBot="1" x14ac:dyDescent="0.25"/>
    <row r="30" spans="1:8" ht="17" thickBot="1" x14ac:dyDescent="0.25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">
      <c r="A31" s="264">
        <v>1</v>
      </c>
      <c r="B31" s="146">
        <v>1</v>
      </c>
      <c r="C31" s="150">
        <f>B31*$M$3</f>
        <v>6</v>
      </c>
      <c r="D31" s="151">
        <f>SUM($C$31:C31)</f>
        <v>6</v>
      </c>
      <c r="E31" s="129">
        <f>B31/P7</f>
        <v>-2.0965939220125711</v>
      </c>
      <c r="F31" s="58">
        <f>D31/P7</f>
        <v>-12.579563532075426</v>
      </c>
      <c r="G31" s="28">
        <f>S7/E31</f>
        <v>16.413630957429739</v>
      </c>
      <c r="H31" s="8">
        <f>S7/F31</f>
        <v>2.7356051595716235</v>
      </c>
    </row>
    <row r="32" spans="1:8" x14ac:dyDescent="0.2">
      <c r="A32" s="265">
        <v>2</v>
      </c>
      <c r="B32" s="141">
        <f>C31</f>
        <v>6</v>
      </c>
      <c r="C32" s="140">
        <f>B32*$M$3</f>
        <v>36</v>
      </c>
      <c r="D32" s="142">
        <f>SUM($C$31:C32)</f>
        <v>42</v>
      </c>
      <c r="E32" s="112">
        <f t="shared" ref="E32:E40" si="10">B32/P8</f>
        <v>-17.056370368826908</v>
      </c>
      <c r="F32" s="9">
        <f t="shared" ref="F32:F40" si="11">D32/P8</f>
        <v>-119.39459258178836</v>
      </c>
      <c r="G32" s="112">
        <f t="shared" ref="G32:G40" si="12">S8/E32</f>
        <v>8.2846601654418048</v>
      </c>
      <c r="H32" s="9">
        <f t="shared" ref="H32:H40" si="13">S8/F32</f>
        <v>1.1835228807774008</v>
      </c>
    </row>
    <row r="33" spans="1:8" x14ac:dyDescent="0.2">
      <c r="A33" s="265">
        <v>3</v>
      </c>
      <c r="B33" s="141">
        <f t="shared" ref="B33:B40" si="14">C32</f>
        <v>36</v>
      </c>
      <c r="C33" s="140">
        <f t="shared" ref="C33:C40" si="15">B33*$M$3</f>
        <v>216</v>
      </c>
      <c r="D33" s="142">
        <f>SUM($C$31:C33)</f>
        <v>258</v>
      </c>
      <c r="E33" s="112">
        <f t="shared" si="10"/>
        <v>-115.24362305960477</v>
      </c>
      <c r="F33" s="9">
        <f t="shared" si="11"/>
        <v>-825.91263192716758</v>
      </c>
      <c r="G33" s="112">
        <f t="shared" si="12"/>
        <v>2.8866688402250094</v>
      </c>
      <c r="H33" s="9">
        <f t="shared" si="13"/>
        <v>0.40279100096162918</v>
      </c>
    </row>
    <row r="34" spans="1:8" x14ac:dyDescent="0.2">
      <c r="A34" s="265">
        <v>4</v>
      </c>
      <c r="B34" s="141">
        <f t="shared" si="14"/>
        <v>216</v>
      </c>
      <c r="C34" s="140">
        <f t="shared" si="15"/>
        <v>1296</v>
      </c>
      <c r="D34" s="142">
        <f>SUM($C$31:C34)</f>
        <v>1554</v>
      </c>
      <c r="E34" s="112">
        <f t="shared" si="10"/>
        <v>-722.46511668026869</v>
      </c>
      <c r="F34" s="9">
        <f t="shared" si="11"/>
        <v>-5197.7351450052665</v>
      </c>
      <c r="G34" s="112">
        <f t="shared" si="12"/>
        <v>0.85185994579858104</v>
      </c>
      <c r="H34" s="9">
        <f t="shared" si="13"/>
        <v>0.11840524343146301</v>
      </c>
    </row>
    <row r="35" spans="1:8" x14ac:dyDescent="0.2">
      <c r="A35" s="265">
        <v>5</v>
      </c>
      <c r="B35" s="141">
        <f t="shared" si="14"/>
        <v>1296</v>
      </c>
      <c r="C35" s="140">
        <f t="shared" si="15"/>
        <v>7776</v>
      </c>
      <c r="D35" s="142">
        <f>SUM($C$31:C35)</f>
        <v>9330</v>
      </c>
      <c r="E35" s="112">
        <f t="shared" si="10"/>
        <v>-4403.7508418905891</v>
      </c>
      <c r="F35" s="9">
        <f t="shared" si="11"/>
        <v>-31702.928514536416</v>
      </c>
      <c r="G35" s="112">
        <f t="shared" si="12"/>
        <v>0.22520297556690064</v>
      </c>
      <c r="H35" s="9">
        <f t="shared" si="13"/>
        <v>3.1282213969421567E-2</v>
      </c>
    </row>
    <row r="36" spans="1:8" x14ac:dyDescent="0.2">
      <c r="A36" s="265">
        <v>6</v>
      </c>
      <c r="B36" s="141">
        <f t="shared" si="14"/>
        <v>7776</v>
      </c>
      <c r="C36" s="140">
        <f t="shared" si="15"/>
        <v>46656</v>
      </c>
      <c r="D36" s="142">
        <f>SUM($C$31:C36)</f>
        <v>55986</v>
      </c>
      <c r="E36" s="112">
        <f t="shared" si="10"/>
        <v>-26571.470344594341</v>
      </c>
      <c r="F36" s="9">
        <f t="shared" si="11"/>
        <v>-191310.48594553224</v>
      </c>
      <c r="G36" s="112">
        <f t="shared" si="12"/>
        <v>5.5005258476649672E-2</v>
      </c>
      <c r="H36" s="9">
        <f t="shared" si="13"/>
        <v>7.6397829799311947E-3</v>
      </c>
    </row>
    <row r="37" spans="1:8" x14ac:dyDescent="0.2">
      <c r="A37" s="265">
        <v>7</v>
      </c>
      <c r="B37" s="141">
        <f t="shared" si="14"/>
        <v>46656</v>
      </c>
      <c r="C37" s="140">
        <f t="shared" si="15"/>
        <v>279936</v>
      </c>
      <c r="D37" s="142">
        <f>SUM($C$31:C37)</f>
        <v>335922</v>
      </c>
      <c r="E37" s="112">
        <f t="shared" si="10"/>
        <v>-159747.20955945179</v>
      </c>
      <c r="F37" s="9">
        <f t="shared" si="11"/>
        <v>-1150175.8001035273</v>
      </c>
      <c r="G37" s="112">
        <f t="shared" si="12"/>
        <v>1.2672579336060905E-2</v>
      </c>
      <c r="H37" s="9">
        <f t="shared" si="13"/>
        <v>1.7600867508030362E-3</v>
      </c>
    </row>
    <row r="38" spans="1:8" x14ac:dyDescent="0.2">
      <c r="A38" s="265">
        <v>8</v>
      </c>
      <c r="B38" s="141">
        <f t="shared" si="14"/>
        <v>279936</v>
      </c>
      <c r="C38" s="140">
        <f t="shared" si="15"/>
        <v>1679616</v>
      </c>
      <c r="D38" s="142">
        <f>SUM($C$31:C38)</f>
        <v>2015538</v>
      </c>
      <c r="E38" s="112">
        <f t="shared" si="10"/>
        <v>-959161.17499615205</v>
      </c>
      <c r="F38" s="9">
        <f t="shared" si="11"/>
        <v>-6905956.3483417435</v>
      </c>
      <c r="G38" s="112">
        <f t="shared" si="12"/>
        <v>2.7938782879541879E-3</v>
      </c>
      <c r="H38" s="9">
        <f t="shared" si="13"/>
        <v>3.8803888213307985E-4</v>
      </c>
    </row>
    <row r="39" spans="1:8" x14ac:dyDescent="0.2">
      <c r="A39" s="265">
        <v>9</v>
      </c>
      <c r="B39" s="141">
        <f t="shared" si="14"/>
        <v>1679616</v>
      </c>
      <c r="C39" s="140">
        <f t="shared" si="15"/>
        <v>10077696</v>
      </c>
      <c r="D39" s="142">
        <f>SUM($C$31:C39)</f>
        <v>12093234</v>
      </c>
      <c r="E39" s="112">
        <f t="shared" si="10"/>
        <v>-5756408.5399623383</v>
      </c>
      <c r="F39" s="9">
        <f t="shared" si="11"/>
        <v>-41446137.375068411</v>
      </c>
      <c r="G39" s="112">
        <f t="shared" si="12"/>
        <v>5.9540195116716571E-4</v>
      </c>
      <c r="H39" s="9">
        <f t="shared" si="13"/>
        <v>8.2694723645601359E-5</v>
      </c>
    </row>
    <row r="40" spans="1:8" ht="17" thickBot="1" x14ac:dyDescent="0.25">
      <c r="A40" s="266">
        <v>10</v>
      </c>
      <c r="B40" s="143">
        <f t="shared" si="14"/>
        <v>10077696</v>
      </c>
      <c r="C40" s="144">
        <f t="shared" si="15"/>
        <v>60466176</v>
      </c>
      <c r="D40" s="145">
        <f>SUM($C$31:C40)</f>
        <v>72559410</v>
      </c>
      <c r="E40" s="113">
        <f t="shared" si="10"/>
        <v>-34541514.885021321</v>
      </c>
      <c r="F40" s="10">
        <f t="shared" si="11"/>
        <v>-248698903.05912828</v>
      </c>
      <c r="G40" s="113">
        <f t="shared" si="12"/>
        <v>1.2353343797810579E-4</v>
      </c>
      <c r="H40" s="10">
        <f t="shared" si="13"/>
        <v>1.7157422225155977E-5</v>
      </c>
    </row>
    <row r="41" spans="1:8" ht="17" thickBot="1" x14ac:dyDescent="0.25"/>
    <row r="42" spans="1:8" ht="17" thickBot="1" x14ac:dyDescent="0.25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">
      <c r="A43" s="264">
        <v>1</v>
      </c>
      <c r="B43" s="146">
        <v>1</v>
      </c>
      <c r="C43" s="150">
        <f>B43*$M$3</f>
        <v>6</v>
      </c>
      <c r="D43" s="151">
        <f>SUM(C43:C43)</f>
        <v>6</v>
      </c>
      <c r="E43" s="129">
        <f>B43/P7</f>
        <v>-2.0965939220125711</v>
      </c>
      <c r="F43" s="58">
        <f>D43/P7</f>
        <v>-12.579563532075426</v>
      </c>
      <c r="G43" s="28">
        <f>S7/E43</f>
        <v>16.413630957429739</v>
      </c>
      <c r="H43" s="8">
        <f>S7/F43</f>
        <v>2.7356051595716235</v>
      </c>
    </row>
    <row r="44" spans="1:8" x14ac:dyDescent="0.2">
      <c r="A44" s="265">
        <v>2</v>
      </c>
      <c r="B44" s="141">
        <f>B43*$M$3*2</f>
        <v>12</v>
      </c>
      <c r="C44" s="140">
        <f>B44*$M$3</f>
        <v>72</v>
      </c>
      <c r="D44" s="142">
        <f>SUM($C$43:C44)</f>
        <v>78</v>
      </c>
      <c r="E44" s="112">
        <f t="shared" ref="E44:E52" si="16">B44/P8</f>
        <v>-34.112740737653816</v>
      </c>
      <c r="F44" s="9">
        <f t="shared" ref="F44:F52" si="17">D44/P8</f>
        <v>-221.7328147947498</v>
      </c>
      <c r="G44" s="112">
        <f t="shared" ref="G44:G52" si="18">S8/E44</f>
        <v>4.1423300827209024</v>
      </c>
      <c r="H44" s="9">
        <f t="shared" ref="H44:H52" si="19">S8/F44</f>
        <v>0.63728155118783125</v>
      </c>
    </row>
    <row r="45" spans="1:8" x14ac:dyDescent="0.2">
      <c r="A45" s="265">
        <v>3</v>
      </c>
      <c r="B45" s="141">
        <f t="shared" ref="B45:B52" si="20">B44*$M$3*2</f>
        <v>144</v>
      </c>
      <c r="C45" s="140">
        <f t="shared" ref="C45:C52" si="21">B45*$M$3</f>
        <v>864</v>
      </c>
      <c r="D45" s="142">
        <f>SUM($C$43:C45)</f>
        <v>942</v>
      </c>
      <c r="E45" s="112">
        <f t="shared" si="16"/>
        <v>-460.97449223841909</v>
      </c>
      <c r="F45" s="9">
        <f t="shared" si="17"/>
        <v>-3015.5414700596584</v>
      </c>
      <c r="G45" s="112">
        <f t="shared" si="18"/>
        <v>0.72166721005625234</v>
      </c>
      <c r="H45" s="9">
        <f t="shared" si="19"/>
        <v>0.11031855440350352</v>
      </c>
    </row>
    <row r="46" spans="1:8" x14ac:dyDescent="0.2">
      <c r="A46" s="265">
        <v>4</v>
      </c>
      <c r="B46" s="141">
        <f t="shared" si="20"/>
        <v>1728</v>
      </c>
      <c r="C46" s="140">
        <f t="shared" si="21"/>
        <v>10368</v>
      </c>
      <c r="D46" s="142">
        <f>SUM($C$43:C46)</f>
        <v>11310</v>
      </c>
      <c r="E46" s="112">
        <f t="shared" si="16"/>
        <v>-5779.7209334421495</v>
      </c>
      <c r="F46" s="9">
        <f t="shared" si="17"/>
        <v>-37829.076248397403</v>
      </c>
      <c r="G46" s="112">
        <f t="shared" si="18"/>
        <v>0.10648249322482263</v>
      </c>
      <c r="H46" s="9">
        <f t="shared" si="19"/>
        <v>1.6268943261935766E-2</v>
      </c>
    </row>
    <row r="47" spans="1:8" x14ac:dyDescent="0.2">
      <c r="A47" s="265">
        <v>5</v>
      </c>
      <c r="B47" s="141">
        <f t="shared" si="20"/>
        <v>20736</v>
      </c>
      <c r="C47" s="140">
        <f t="shared" si="21"/>
        <v>124416</v>
      </c>
      <c r="D47" s="142">
        <f>SUM($C$43:C47)</f>
        <v>135726</v>
      </c>
      <c r="E47" s="112">
        <f t="shared" si="16"/>
        <v>-70460.013470249425</v>
      </c>
      <c r="F47" s="9">
        <f t="shared" si="17"/>
        <v>-461190.96201114357</v>
      </c>
      <c r="G47" s="112">
        <f t="shared" si="18"/>
        <v>1.407518597293129E-2</v>
      </c>
      <c r="H47" s="9">
        <f t="shared" si="19"/>
        <v>2.1503842766655117E-3</v>
      </c>
    </row>
    <row r="48" spans="1:8" x14ac:dyDescent="0.2">
      <c r="A48" s="265">
        <v>6</v>
      </c>
      <c r="B48" s="141">
        <f t="shared" si="20"/>
        <v>248832</v>
      </c>
      <c r="C48" s="140">
        <f t="shared" si="21"/>
        <v>1492992</v>
      </c>
      <c r="D48" s="142">
        <f>SUM($C$43:C48)</f>
        <v>1628718</v>
      </c>
      <c r="E48" s="112">
        <f t="shared" si="16"/>
        <v>-850287.05102701893</v>
      </c>
      <c r="F48" s="9">
        <f t="shared" si="17"/>
        <v>-5565513.379206148</v>
      </c>
      <c r="G48" s="112">
        <f t="shared" si="18"/>
        <v>1.7189143273953023E-3</v>
      </c>
      <c r="H48" s="9">
        <f t="shared" si="19"/>
        <v>2.6261199907806496E-4</v>
      </c>
    </row>
    <row r="49" spans="1:8" x14ac:dyDescent="0.2">
      <c r="A49" s="265">
        <v>7</v>
      </c>
      <c r="B49" s="141">
        <f t="shared" si="20"/>
        <v>2985984</v>
      </c>
      <c r="C49" s="140">
        <f t="shared" si="21"/>
        <v>17915904</v>
      </c>
      <c r="D49" s="142">
        <f>SUM($C$43:C49)</f>
        <v>19544622</v>
      </c>
      <c r="E49" s="112">
        <f t="shared" si="16"/>
        <v>-10223821.411804914</v>
      </c>
      <c r="F49" s="9">
        <f t="shared" si="17"/>
        <v>-66919556.464211926</v>
      </c>
      <c r="G49" s="112">
        <f t="shared" si="18"/>
        <v>1.9800905212595163E-4</v>
      </c>
      <c r="H49" s="9">
        <f t="shared" si="19"/>
        <v>3.0251383807947659E-5</v>
      </c>
    </row>
    <row r="50" spans="1:8" x14ac:dyDescent="0.2">
      <c r="A50" s="265">
        <v>8</v>
      </c>
      <c r="B50" s="141">
        <f t="shared" si="20"/>
        <v>35831808</v>
      </c>
      <c r="C50" s="140">
        <f t="shared" si="21"/>
        <v>214990848</v>
      </c>
      <c r="D50" s="142">
        <f>SUM($C$43:C50)</f>
        <v>234535470</v>
      </c>
      <c r="E50" s="112">
        <f t="shared" si="16"/>
        <v>-122772630.39950746</v>
      </c>
      <c r="F50" s="9">
        <f t="shared" si="17"/>
        <v>-803602669.8369441</v>
      </c>
      <c r="G50" s="112">
        <f t="shared" si="18"/>
        <v>2.1827174124642093E-5</v>
      </c>
      <c r="H50" s="9">
        <f t="shared" si="19"/>
        <v>3.3347071656868934E-6</v>
      </c>
    </row>
    <row r="51" spans="1:8" x14ac:dyDescent="0.2">
      <c r="A51" s="265">
        <v>9</v>
      </c>
      <c r="B51" s="141">
        <f t="shared" si="20"/>
        <v>429981696</v>
      </c>
      <c r="C51" s="140">
        <f t="shared" si="21"/>
        <v>2579890176</v>
      </c>
      <c r="D51" s="142">
        <f>SUM($C$43:C51)</f>
        <v>2814425646</v>
      </c>
      <c r="E51" s="112">
        <f t="shared" si="16"/>
        <v>-1473640586.2303586</v>
      </c>
      <c r="F51" s="9">
        <f t="shared" si="17"/>
        <v>-9645647471.6384106</v>
      </c>
      <c r="G51" s="112">
        <f t="shared" si="18"/>
        <v>2.3257888717467411E-6</v>
      </c>
      <c r="H51" s="9">
        <f t="shared" si="19"/>
        <v>3.553288554746172E-7</v>
      </c>
    </row>
    <row r="52" spans="1:8" ht="17" thickBot="1" x14ac:dyDescent="0.25">
      <c r="A52" s="266">
        <v>10</v>
      </c>
      <c r="B52" s="143">
        <f t="shared" si="20"/>
        <v>5159780352</v>
      </c>
      <c r="C52" s="144">
        <f t="shared" si="21"/>
        <v>30958682112</v>
      </c>
      <c r="D52" s="145">
        <f>SUM($C$43:C52)</f>
        <v>33773107758</v>
      </c>
      <c r="E52" s="113">
        <f t="shared" si="16"/>
        <v>-17685255621.130917</v>
      </c>
      <c r="F52" s="10">
        <f t="shared" si="17"/>
        <v>-115758036790.98735</v>
      </c>
      <c r="G52" s="113">
        <f t="shared" si="18"/>
        <v>2.4127624605098788E-7</v>
      </c>
      <c r="H52" s="10">
        <f t="shared" si="19"/>
        <v>3.6861648702829595E-8</v>
      </c>
    </row>
  </sheetData>
  <conditionalFormatting sqref="O7:O16">
    <cfRule type="cellIs" dxfId="243" priority="27" operator="lessThanOrEqual">
      <formula>0</formula>
    </cfRule>
    <cfRule type="cellIs" dxfId="242" priority="28" operator="greaterThan">
      <formula>0</formula>
    </cfRule>
  </conditionalFormatting>
  <conditionalFormatting sqref="P7:P16 S7:S16">
    <cfRule type="cellIs" dxfId="241" priority="25" operator="lessThanOrEqual">
      <formula>0</formula>
    </cfRule>
    <cfRule type="cellIs" dxfId="240" priority="26" operator="greaterThan">
      <formula>0</formula>
    </cfRule>
  </conditionalFormatting>
  <conditionalFormatting sqref="G43:G52">
    <cfRule type="cellIs" dxfId="239" priority="24" operator="equal">
      <formula>MAX($G$43:$G$52)</formula>
    </cfRule>
  </conditionalFormatting>
  <conditionalFormatting sqref="H43:H52">
    <cfRule type="cellIs" dxfId="238" priority="23" operator="equal">
      <formula>MAX($H$43:$H$52)</formula>
    </cfRule>
  </conditionalFormatting>
  <conditionalFormatting sqref="G31:G40">
    <cfRule type="cellIs" dxfId="237" priority="22" operator="equal">
      <formula>MAX($G$31:$G$40)</formula>
    </cfRule>
  </conditionalFormatting>
  <conditionalFormatting sqref="H31:H40">
    <cfRule type="cellIs" dxfId="236" priority="21" operator="equal">
      <formula>MAX($H$31:$H$40)</formula>
    </cfRule>
  </conditionalFormatting>
  <conditionalFormatting sqref="F19:F28">
    <cfRule type="cellIs" dxfId="235" priority="19" stopIfTrue="1" operator="lessThan">
      <formula>0</formula>
    </cfRule>
    <cfRule type="cellIs" dxfId="234" priority="20" operator="equal">
      <formula>MIN($F$19:$F$28)</formula>
    </cfRule>
  </conditionalFormatting>
  <conditionalFormatting sqref="E19:E28">
    <cfRule type="cellIs" dxfId="233" priority="17" stopIfTrue="1" operator="lessThan">
      <formula>0</formula>
    </cfRule>
    <cfRule type="cellIs" dxfId="232" priority="18" operator="equal">
      <formula>MIN($E$19:$E$28)</formula>
    </cfRule>
  </conditionalFormatting>
  <conditionalFormatting sqref="F31:F40">
    <cfRule type="cellIs" dxfId="231" priority="15" stopIfTrue="1" operator="lessThan">
      <formula>0</formula>
    </cfRule>
    <cfRule type="cellIs" dxfId="230" priority="16" operator="equal">
      <formula>MIN($F$31:$F$40)</formula>
    </cfRule>
  </conditionalFormatting>
  <conditionalFormatting sqref="E31:E40">
    <cfRule type="cellIs" dxfId="229" priority="13" stopIfTrue="1" operator="lessThan">
      <formula>0</formula>
    </cfRule>
    <cfRule type="cellIs" dxfId="228" priority="14" operator="equal">
      <formula>MIN($E$31:$E$40)</formula>
    </cfRule>
  </conditionalFormatting>
  <conditionalFormatting sqref="F43:F52">
    <cfRule type="cellIs" dxfId="227" priority="11" stopIfTrue="1" operator="lessThan">
      <formula>0</formula>
    </cfRule>
    <cfRule type="cellIs" dxfId="226" priority="12" operator="equal">
      <formula>MIN($F$43:$F$52)</formula>
    </cfRule>
  </conditionalFormatting>
  <conditionalFormatting sqref="E43:E52">
    <cfRule type="cellIs" dxfId="225" priority="9" stopIfTrue="1" operator="lessThan">
      <formula>0</formula>
    </cfRule>
    <cfRule type="cellIs" dxfId="224" priority="10" operator="equal">
      <formula>MIN($E$43:$E$52)</formula>
    </cfRule>
  </conditionalFormatting>
  <conditionalFormatting sqref="Q7:Q16">
    <cfRule type="cellIs" dxfId="223" priority="7" operator="lessThanOrEqual">
      <formula>0</formula>
    </cfRule>
    <cfRule type="cellIs" dxfId="222" priority="8" operator="greaterThan">
      <formula>0</formula>
    </cfRule>
  </conditionalFormatting>
  <conditionalFormatting sqref="R7:R16">
    <cfRule type="cellIs" dxfId="221" priority="5" operator="lessThanOrEqual">
      <formula>0</formula>
    </cfRule>
    <cfRule type="cellIs" dxfId="220" priority="6" operator="greaterThan">
      <formula>0</formula>
    </cfRule>
  </conditionalFormatting>
  <conditionalFormatting sqref="G19:G28">
    <cfRule type="cellIs" dxfId="219" priority="3" operator="lessThanOrEqual">
      <formula>0</formula>
    </cfRule>
    <cfRule type="cellIs" dxfId="218" priority="4" operator="equal">
      <formula>MAX($G$19:$G$28)</formula>
    </cfRule>
  </conditionalFormatting>
  <conditionalFormatting sqref="H19:H28">
    <cfRule type="cellIs" dxfId="217" priority="1" operator="lessThanOrEqual">
      <formula>0</formula>
    </cfRule>
    <cfRule type="cellIs" dxfId="216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U52"/>
  <sheetViews>
    <sheetView topLeftCell="A25" workbookViewId="0">
      <selection activeCell="I3" sqref="I3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1" x14ac:dyDescent="0.2">
      <c r="B1" s="202"/>
      <c r="C1" t="s">
        <v>99</v>
      </c>
      <c r="D1">
        <f>C2+E2</f>
        <v>0.99999999999999667</v>
      </c>
    </row>
    <row r="2" spans="1:21" x14ac:dyDescent="0.2">
      <c r="A2" t="s">
        <v>40</v>
      </c>
      <c r="B2" s="201" t="s">
        <v>129</v>
      </c>
      <c r="C2" s="222">
        <f>Analysis!B47</f>
        <v>0.27083275563135251</v>
      </c>
      <c r="D2" s="199" t="s">
        <v>130</v>
      </c>
      <c r="E2" s="222">
        <f>Analysis!K47</f>
        <v>0.72916724436864411</v>
      </c>
      <c r="F2" s="199" t="s">
        <v>49</v>
      </c>
      <c r="G2" s="222">
        <f>Analysis!S47</f>
        <v>21.274209444558974</v>
      </c>
      <c r="H2" t="s">
        <v>163</v>
      </c>
      <c r="I2" s="238">
        <f>Analysis!T47</f>
        <v>76.26365655261236</v>
      </c>
      <c r="J2" t="s">
        <v>50</v>
      </c>
      <c r="K2" s="238">
        <f>C2*G2-E2*I2</f>
        <v>-49.847207526196591</v>
      </c>
      <c r="L2" t="s">
        <v>49</v>
      </c>
      <c r="M2" s="267">
        <v>3</v>
      </c>
    </row>
    <row r="3" spans="1:21" x14ac:dyDescent="0.2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6</v>
      </c>
    </row>
    <row r="4" spans="1:21" x14ac:dyDescent="0.2">
      <c r="A4" t="s">
        <v>127</v>
      </c>
      <c r="B4" s="202">
        <f>$C$2</f>
        <v>0.27083275563135251</v>
      </c>
      <c r="C4">
        <f>B4*$C$2</f>
        <v>7.3350381522871905E-2</v>
      </c>
      <c r="D4">
        <f t="shared" ref="D4:K4" si="0">C4*$C$2</f>
        <v>1.986568595445044E-2</v>
      </c>
      <c r="E4">
        <f t="shared" si="0"/>
        <v>5.3802784695508674E-3</v>
      </c>
      <c r="F4">
        <f t="shared" si="0"/>
        <v>1.4571556439724974E-3</v>
      </c>
      <c r="G4">
        <f t="shared" si="0"/>
        <v>3.9464547844084949E-4</v>
      </c>
      <c r="H4">
        <f t="shared" si="0"/>
        <v>1.0688292242358879E-4</v>
      </c>
      <c r="I4">
        <f t="shared" si="0"/>
        <v>2.8947396409912629E-5</v>
      </c>
      <c r="J4">
        <f t="shared" si="0"/>
        <v>7.8399031380497575E-6</v>
      </c>
      <c r="K4">
        <f t="shared" si="0"/>
        <v>2.1233025707609035E-6</v>
      </c>
    </row>
    <row r="5" spans="1:21" ht="17" thickBot="1" x14ac:dyDescent="0.25">
      <c r="A5" t="s">
        <v>128</v>
      </c>
      <c r="B5" s="202">
        <f>$E$2</f>
        <v>0.72916724436864411</v>
      </c>
      <c r="C5">
        <f>B5*$E$2</f>
        <v>0.53168487026016198</v>
      </c>
      <c r="D5">
        <f t="shared" ref="D5:K5" si="1">C5*$E$2</f>
        <v>0.38768719172010235</v>
      </c>
      <c r="E5">
        <f t="shared" si="1"/>
        <v>0.28268880126356527</v>
      </c>
      <c r="F5">
        <f t="shared" si="1"/>
        <v>0.20612741423122916</v>
      </c>
      <c r="G5">
        <f t="shared" si="1"/>
        <v>0.15030135862381941</v>
      </c>
      <c r="H5">
        <f t="shared" si="1"/>
        <v>0.10959482749259374</v>
      </c>
      <c r="I5">
        <f t="shared" si="1"/>
        <v>7.991295835983149E-2</v>
      </c>
      <c r="J5">
        <f t="shared" si="1"/>
        <v>5.8269911636584529E-2</v>
      </c>
      <c r="K5">
        <f t="shared" si="1"/>
        <v>4.248851089765273E-2</v>
      </c>
    </row>
    <row r="6" spans="1:21" ht="17" thickBot="1" x14ac:dyDescent="0.25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">
      <c r="A7" s="208">
        <v>1</v>
      </c>
      <c r="B7" s="114">
        <f>C7*B4</f>
        <v>0.27083275563135251</v>
      </c>
      <c r="C7" s="114">
        <v>1</v>
      </c>
      <c r="D7" s="212">
        <f>C7*B5</f>
        <v>0.72916724436864411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0.99999999999999667</v>
      </c>
      <c r="O7" s="114">
        <f>B7/(B7+D7)</f>
        <v>0.27083275563135339</v>
      </c>
      <c r="P7" s="129">
        <f>B7-D7</f>
        <v>-0.4583344887372916</v>
      </c>
      <c r="Q7" s="129">
        <f>($G$2*SUM(C7))*B7</f>
        <v>5.7617527677484519</v>
      </c>
      <c r="R7" s="58">
        <f>($I$2*SUM(C7))*D7*COUNT(D7:M7)</f>
        <v>55.608960293945046</v>
      </c>
      <c r="S7" s="58">
        <f>Q7-R7</f>
        <v>-49.847207526196591</v>
      </c>
      <c r="T7" s="129">
        <f>(S7+U7*D7)/B7</f>
        <v>-181.35930481276642</v>
      </c>
      <c r="U7" s="58">
        <f t="shared" ref="U7:U16" si="2">COUNT(D7:M7)</f>
        <v>1</v>
      </c>
    </row>
    <row r="8" spans="1:21" x14ac:dyDescent="0.2">
      <c r="A8" s="209">
        <v>2</v>
      </c>
      <c r="B8" s="116">
        <f>C8*B4</f>
        <v>0.33747888755774458</v>
      </c>
      <c r="C8" s="116">
        <f>1/(1-B4*B5)</f>
        <v>1.246078550473076</v>
      </c>
      <c r="D8" s="194">
        <f>C8*B5</f>
        <v>0.90859966291532723</v>
      </c>
      <c r="E8" s="1">
        <f>D8*B5</f>
        <v>0.66252111244224809</v>
      </c>
      <c r="F8" s="1"/>
      <c r="G8" s="1"/>
      <c r="H8" s="1"/>
      <c r="I8" s="1"/>
      <c r="J8" s="1"/>
      <c r="K8" s="1"/>
      <c r="L8" s="1"/>
      <c r="M8" s="9"/>
      <c r="N8">
        <f>B8+E8</f>
        <v>0.99999999999999267</v>
      </c>
      <c r="O8" s="116">
        <f>B8/(B8+E8)</f>
        <v>0.33747888755774708</v>
      </c>
      <c r="P8" s="112">
        <f>B8-E8</f>
        <v>-0.32504222488450352</v>
      </c>
      <c r="Q8" s="112">
        <f>($G$2*SUM(C8:D8))*B8</f>
        <v>15.469720239236308</v>
      </c>
      <c r="R8" s="9">
        <f>($I$2*SUM(C8:D8))*E8*COUNT(D8:M8)</f>
        <v>217.73576054929296</v>
      </c>
      <c r="S8" s="9">
        <f t="shared" ref="S8:S16" si="3">Q8-R8</f>
        <v>-202.26604031005667</v>
      </c>
      <c r="T8" s="112">
        <f>(S8+U8*E8)/B8</f>
        <v>-595.41798166793478</v>
      </c>
      <c r="U8" s="9">
        <f t="shared" si="2"/>
        <v>2</v>
      </c>
    </row>
    <row r="9" spans="1:21" x14ac:dyDescent="0.2">
      <c r="A9" s="209">
        <v>3</v>
      </c>
      <c r="B9" s="116">
        <f>C9*B4</f>
        <v>0.35923206031781779</v>
      </c>
      <c r="C9" s="216">
        <f>1/(1-B5*B4/(1-B5*B4))</f>
        <v>1.3263981289131479</v>
      </c>
      <c r="D9" s="217">
        <f>C9*B5*C8</f>
        <v>1.2051648928220069</v>
      </c>
      <c r="E9" s="218">
        <f>D9*(B5)</f>
        <v>0.87876676390885511</v>
      </c>
      <c r="F9" s="218">
        <f>E9*B5</f>
        <v>0.64076793968217072</v>
      </c>
      <c r="G9" s="218"/>
      <c r="H9" s="218"/>
      <c r="I9" s="218"/>
      <c r="J9" s="218"/>
      <c r="K9" s="218"/>
      <c r="L9" s="218"/>
      <c r="M9" s="219"/>
      <c r="N9">
        <f>B9+F9</f>
        <v>0.99999999999998845</v>
      </c>
      <c r="O9" s="116">
        <f>B9/(B9+F9)</f>
        <v>0.35923206031782196</v>
      </c>
      <c r="P9" s="112">
        <f>B9-F9</f>
        <v>-0.28153587936435293</v>
      </c>
      <c r="Q9" s="112">
        <f>($G$2*SUM(C9:E9))*B9</f>
        <v>26.0630296348501</v>
      </c>
      <c r="R9" s="9">
        <f>($I$2*SUM(C9:E9))*F9*COUNT(D9:M9)</f>
        <v>499.9608884253073</v>
      </c>
      <c r="S9" s="9">
        <f t="shared" si="3"/>
        <v>-473.89785879045718</v>
      </c>
      <c r="T9" s="112">
        <f>(S9+U9*F9)/B9</f>
        <v>-1313.8458592861869</v>
      </c>
      <c r="U9" s="9">
        <f t="shared" si="2"/>
        <v>3</v>
      </c>
    </row>
    <row r="10" spans="1:21" x14ac:dyDescent="0.2">
      <c r="A10" s="209">
        <v>4</v>
      </c>
      <c r="B10" s="116">
        <f>C10*B4</f>
        <v>0.36695234523458187</v>
      </c>
      <c r="C10" s="116">
        <f>1/(1-B5*B4/(1-B5*B4/(1-B5*B4)))</f>
        <v>1.3549038571023653</v>
      </c>
      <c r="D10" s="194">
        <f>C10*B5*C9</f>
        <v>1.3104170367983374</v>
      </c>
      <c r="E10" s="1">
        <f>D10*B5*C8</f>
        <v>1.1906444779134715</v>
      </c>
      <c r="F10" s="1">
        <f>E10*B5</f>
        <v>0.86817895298290892</v>
      </c>
      <c r="G10" s="1">
        <f>F10*B5</f>
        <v>0.63304765476540237</v>
      </c>
      <c r="H10" s="1"/>
      <c r="I10" s="1"/>
      <c r="J10" s="1"/>
      <c r="K10" s="1"/>
      <c r="L10" s="1"/>
      <c r="M10" s="9"/>
      <c r="N10">
        <f>B10+G10</f>
        <v>0.99999999999998423</v>
      </c>
      <c r="O10" s="116">
        <f>B10/(B10+G10)</f>
        <v>0.36695234523458764</v>
      </c>
      <c r="P10" s="112">
        <f>B10-G10</f>
        <v>-0.2660953095308205</v>
      </c>
      <c r="Q10" s="112">
        <f>($G$2*SUM(C10:F10))*B10</f>
        <v>36.879604523022628</v>
      </c>
      <c r="R10" s="9">
        <f>($I$2*SUM(C10:F10))*G10*COUNT(D10:M10)</f>
        <v>912.29895371225962</v>
      </c>
      <c r="S10" s="9">
        <f t="shared" si="3"/>
        <v>-875.41934918923698</v>
      </c>
      <c r="T10" s="112">
        <f>(S10+U10*G10)/B10</f>
        <v>-2378.7480034012706</v>
      </c>
      <c r="U10" s="9">
        <f t="shared" si="2"/>
        <v>4</v>
      </c>
    </row>
    <row r="11" spans="1:21" x14ac:dyDescent="0.2">
      <c r="A11" s="209">
        <v>5</v>
      </c>
      <c r="B11" s="116">
        <f>C11*B4</f>
        <v>0.36977270040742466</v>
      </c>
      <c r="C11" s="116">
        <f>1/(1-B5*B4/(1-B5*B4/(1-B5*B4/(1-B5*B4))))</f>
        <v>1.3653174984149463</v>
      </c>
      <c r="D11" s="194">
        <f>C11*B5*C10</f>
        <v>1.3488674867385799</v>
      </c>
      <c r="E11" s="1">
        <f>D11*B5*C9</f>
        <v>1.3045788642050098</v>
      </c>
      <c r="F11" s="1">
        <f>E11*B5*C8</f>
        <v>1.1853399162631324</v>
      </c>
      <c r="G11" s="1">
        <f>F11*B5</f>
        <v>0.86431104038174755</v>
      </c>
      <c r="H11" s="1">
        <f>G11*B5</f>
        <v>0.63022729959255475</v>
      </c>
      <c r="I11" s="1"/>
      <c r="J11" s="1"/>
      <c r="K11" s="1"/>
      <c r="L11" s="1"/>
      <c r="M11" s="9"/>
      <c r="N11">
        <f>B11+H11</f>
        <v>0.99999999999997935</v>
      </c>
      <c r="O11" s="116">
        <f>B11/(B11+H11)</f>
        <v>0.36977270040743232</v>
      </c>
      <c r="P11" s="112">
        <f>B11-H11</f>
        <v>-0.26045459918513009</v>
      </c>
      <c r="Q11" s="112">
        <f>($G$2*SUM(C11:G11))*B11</f>
        <v>47.737924661590405</v>
      </c>
      <c r="R11" s="9">
        <f>($I$2*SUM(C11:G11))*H11*COUNT(D11:M11)</f>
        <v>1458.3444038309312</v>
      </c>
      <c r="S11" s="9">
        <f t="shared" si="3"/>
        <v>-1410.6064791693409</v>
      </c>
      <c r="T11" s="112">
        <f>(S11+U11*H11)/B11</f>
        <v>-3806.2716396332371</v>
      </c>
      <c r="U11" s="9">
        <f t="shared" si="2"/>
        <v>5</v>
      </c>
    </row>
    <row r="12" spans="1:21" x14ac:dyDescent="0.2">
      <c r="A12" s="209">
        <v>6</v>
      </c>
      <c r="B12" s="116">
        <f>C12*B4</f>
        <v>0.37081386784808268</v>
      </c>
      <c r="C12" s="116">
        <f>1/(1-B5*B4/(1-B5*B4/(1-B5*B4/(1-B5*B4/(1-B5*B4)))))</f>
        <v>1.3691618171652056</v>
      </c>
      <c r="D12" s="194">
        <f>C12*B5*C11</f>
        <v>1.3630619247093394</v>
      </c>
      <c r="E12" s="1">
        <f>D12*B5*C10</f>
        <v>1.3466390892859965</v>
      </c>
      <c r="F12" s="1">
        <f>E12*B5*C9</f>
        <v>1.3024236338015269</v>
      </c>
      <c r="G12" s="1">
        <f>F12*B5*C8</f>
        <v>1.183381674645023</v>
      </c>
      <c r="H12" s="1">
        <f>G12*B5</f>
        <v>0.86288315473726274</v>
      </c>
      <c r="I12" s="1">
        <f>H12*B5</f>
        <v>0.62918613215189223</v>
      </c>
      <c r="J12" s="1"/>
      <c r="K12" s="1"/>
      <c r="L12" s="1"/>
      <c r="M12" s="9"/>
      <c r="N12">
        <f>B12+I12</f>
        <v>0.99999999999997491</v>
      </c>
      <c r="O12" s="116">
        <f>B12/(B12+I12)</f>
        <v>0.370813867848092</v>
      </c>
      <c r="P12" s="112">
        <f>B12-I12</f>
        <v>-0.25837226430380955</v>
      </c>
      <c r="Q12" s="112">
        <f>($G$2*SUM(C12:H12))*B12</f>
        <v>58.594257858993103</v>
      </c>
      <c r="R12" s="9">
        <f>($I$2*SUM(C12:H12))*I12*COUNT(D12:M12)</f>
        <v>2138.4232916479559</v>
      </c>
      <c r="S12" s="9">
        <f t="shared" si="3"/>
        <v>-2079.829033788963</v>
      </c>
      <c r="T12" s="112">
        <f>(S12+U12*I12)/B12</f>
        <v>-5598.6415207280816</v>
      </c>
      <c r="U12" s="9">
        <f t="shared" si="2"/>
        <v>6</v>
      </c>
    </row>
    <row r="13" spans="1:21" x14ac:dyDescent="0.2">
      <c r="A13" s="209">
        <v>7</v>
      </c>
      <c r="B13" s="116">
        <f>C13*B4</f>
        <v>0.37119971041426103</v>
      </c>
      <c r="C13" s="216">
        <f>1/(1-B5*B4/(1-B5*B4/(1-B5*B4/(1-B5*B4/(1-B5*B4/(1-B5*B4))))))</f>
        <v>1.3705864696791856</v>
      </c>
      <c r="D13" s="217">
        <f>C13*B5*C12</f>
        <v>1.3683221913660035</v>
      </c>
      <c r="E13" s="218">
        <f>D13*B5*C11</f>
        <v>1.3622260396126711</v>
      </c>
      <c r="F13" s="218">
        <f>E13*B5*C10</f>
        <v>1.3458132753409953</v>
      </c>
      <c r="G13" s="218">
        <f>F13*B5*C9</f>
        <v>1.3016249345749489</v>
      </c>
      <c r="H13" s="218">
        <f>G13*B5*C8</f>
        <v>1.1826559767969833</v>
      </c>
      <c r="I13" s="218">
        <f>H13*B5</f>
        <v>0.86235399963716342</v>
      </c>
      <c r="J13" s="218">
        <f>I13*B5</f>
        <v>0.62880028958570922</v>
      </c>
      <c r="K13" s="218"/>
      <c r="L13" s="218"/>
      <c r="M13" s="219"/>
      <c r="N13">
        <f>B13+J13</f>
        <v>0.99999999999997025</v>
      </c>
      <c r="O13" s="116">
        <f>B13/(B13+J13)</f>
        <v>0.37119971041427208</v>
      </c>
      <c r="P13" s="112">
        <f>B13-J13</f>
        <v>-0.25760057917144819</v>
      </c>
      <c r="Q13" s="112">
        <f>($G$2*SUM(C13:I13))*B13</f>
        <v>69.442751573563868</v>
      </c>
      <c r="R13" s="9">
        <f>($I$2*SUM(C13:I13))*J13*COUNT(D13:M13)</f>
        <v>2951.8498234033959</v>
      </c>
      <c r="S13" s="9">
        <f t="shared" si="3"/>
        <v>-2882.4070718298321</v>
      </c>
      <c r="T13" s="112">
        <f>(S13+U13*J13)/B13</f>
        <v>-7753.2535426572967</v>
      </c>
      <c r="U13" s="9">
        <f t="shared" si="2"/>
        <v>7</v>
      </c>
    </row>
    <row r="14" spans="1:21" x14ac:dyDescent="0.2">
      <c r="A14" s="209">
        <v>8</v>
      </c>
      <c r="B14" s="116">
        <f>C14*B4</f>
        <v>0.37134290244760332</v>
      </c>
      <c r="C14" s="116">
        <f>1/(1-B5*B4/(1-B5*B4/(1-B5*B4/(1-B5*B4/(1-B5*B4/(1-B5*B4/(1-B5*B4)))))))</f>
        <v>1.3711151798531396</v>
      </c>
      <c r="D14" s="194">
        <f>C14*B5*C13</f>
        <v>1.3702743561723671</v>
      </c>
      <c r="E14" s="1">
        <f>D14*B5*C12</f>
        <v>1.3680105934865172</v>
      </c>
      <c r="F14" s="1">
        <f>E14*B5*C11</f>
        <v>1.3619158299646783</v>
      </c>
      <c r="G14" s="1">
        <f>F14*B5*C10</f>
        <v>1.3455068032502648</v>
      </c>
      <c r="H14" s="1">
        <f>G14*B5*C9</f>
        <v>1.301328525167823</v>
      </c>
      <c r="I14" s="1">
        <f>H14*B5*C8</f>
        <v>1.182386659309584</v>
      </c>
      <c r="J14" s="1">
        <f>I14*B5</f>
        <v>0.86215762214701619</v>
      </c>
      <c r="K14" s="1">
        <f>J14*B5</f>
        <v>0.62865709755236243</v>
      </c>
      <c r="L14" s="1"/>
      <c r="M14" s="9"/>
      <c r="N14">
        <f>B14+K14</f>
        <v>0.99999999999996581</v>
      </c>
      <c r="O14" s="116">
        <f>B14/(B14+K14)</f>
        <v>0.37134290244761603</v>
      </c>
      <c r="P14" s="112">
        <f>B14-K14</f>
        <v>-0.25731419510475911</v>
      </c>
      <c r="Q14" s="112">
        <f>($G$2*SUM(C14:J14))*B14</f>
        <v>80.285566163195057</v>
      </c>
      <c r="R14" s="9">
        <f>($I$2*SUM(C14:J14))*K14*COUNT(D14:M14)</f>
        <v>3897.8969243671154</v>
      </c>
      <c r="S14" s="9">
        <f t="shared" si="3"/>
        <v>-3817.6113582039202</v>
      </c>
      <c r="T14" s="112">
        <f>(S14+U14*K14)/B14</f>
        <v>-10267.012177407803</v>
      </c>
      <c r="U14" s="9">
        <f t="shared" si="2"/>
        <v>8</v>
      </c>
    </row>
    <row r="15" spans="1:21" x14ac:dyDescent="0.2">
      <c r="A15" s="209">
        <v>9</v>
      </c>
      <c r="B15" s="116">
        <f>C15*B4</f>
        <v>0.37139607129572161</v>
      </c>
      <c r="C15" s="116">
        <f>1/(1-B5*B4/(1-B5*B4/(1-B5*B4/(1-B5*B4/(1-B5*B4/(1-B5*B4/(1-B5*B4/(1-B5*B4))))))))</f>
        <v>1.3713114960187909</v>
      </c>
      <c r="D15" s="194">
        <f>C15*B5*C14</f>
        <v>1.3709992174070931</v>
      </c>
      <c r="E15" s="1">
        <f>D15*B5*C13</f>
        <v>1.3701584648392162</v>
      </c>
      <c r="F15" s="1">
        <f>E15*B5*C12</f>
        <v>1.3678948936117226</v>
      </c>
      <c r="G15" s="1">
        <f>F15*B5*C11</f>
        <v>1.3618006455561964</v>
      </c>
      <c r="H15" s="1">
        <f>G15*B5*C10</f>
        <v>1.3453930066397615</v>
      </c>
      <c r="I15" s="1">
        <f>H15*B5*C9</f>
        <v>1.3012184649474228</v>
      </c>
      <c r="J15" s="1">
        <f>I15*B5*C8</f>
        <v>1.1822866586304279</v>
      </c>
      <c r="K15" s="1">
        <f>J15*B5</f>
        <v>0.862084704927361</v>
      </c>
      <c r="L15" s="1">
        <f>K15*B5</f>
        <v>0.62860392870423953</v>
      </c>
      <c r="M15" s="9"/>
      <c r="N15">
        <f>B15+L15</f>
        <v>0.99999999999996114</v>
      </c>
      <c r="O15" s="116">
        <f>B15/(B15+L15)</f>
        <v>0.37139607129573604</v>
      </c>
      <c r="P15" s="112">
        <f>B15-L15</f>
        <v>-0.25720785740851793</v>
      </c>
      <c r="Q15" s="112">
        <f>($G$2*SUM(C15:K15))*B15</f>
        <v>91.12521883161817</v>
      </c>
      <c r="R15" s="9">
        <f>($I$2*SUM(C15:K15))*L15*COUNT(D15:M15)</f>
        <v>4976.0538659593731</v>
      </c>
      <c r="S15" s="9">
        <f t="shared" si="3"/>
        <v>-4884.9286471277546</v>
      </c>
      <c r="T15" s="112">
        <f>(S15+U15*L15)/B15</f>
        <v>-13137.648965285714</v>
      </c>
      <c r="U15" s="9">
        <f t="shared" si="2"/>
        <v>9</v>
      </c>
    </row>
    <row r="16" spans="1:21" ht="17" thickBot="1" x14ac:dyDescent="0.25">
      <c r="A16" s="210">
        <v>10</v>
      </c>
      <c r="B16" s="195">
        <f>C16*B4</f>
        <v>0.3714158173767329</v>
      </c>
      <c r="C16" s="195">
        <f>1/(1-B5*B4/(1-B5*B4/(1-B5*B4/(1-B5*B4/(1-B5*B4/(1-B5*B4/(1-B5*B4/(1-B5*B4/(1-B5*B4)))))))))</f>
        <v>1.3713844047811201</v>
      </c>
      <c r="D16" s="213">
        <f>C16*B5*C15</f>
        <v>1.3712684195653009</v>
      </c>
      <c r="E16" s="131">
        <f>D16*B5*C14</f>
        <v>1.370956150763085</v>
      </c>
      <c r="F16" s="131">
        <f>E16*B5*C13</f>
        <v>1.3701154246054286</v>
      </c>
      <c r="G16" s="131">
        <f>F16*B5*C12</f>
        <v>1.3678519244825824</v>
      </c>
      <c r="H16" s="131">
        <f>G16*B5*C11</f>
        <v>1.3617578678632059</v>
      </c>
      <c r="I16" s="131">
        <f>H16*B5*C10</f>
        <v>1.3453507443532973</v>
      </c>
      <c r="J16" s="131">
        <f>I16*B5*C9</f>
        <v>1.3011775902979734</v>
      </c>
      <c r="K16" s="131">
        <f>J16*B5*C8</f>
        <v>1.1822495199377163</v>
      </c>
      <c r="L16" s="131">
        <f>K16*B5</f>
        <v>0.86205762460913693</v>
      </c>
      <c r="M16" s="10">
        <f>L16*B5</f>
        <v>0.62858418262322346</v>
      </c>
      <c r="N16">
        <f>B16+M16</f>
        <v>0.99999999999995637</v>
      </c>
      <c r="O16" s="195">
        <f>B16/(B16+M16)</f>
        <v>0.37141581737674911</v>
      </c>
      <c r="P16" s="113">
        <f>B16-M16</f>
        <v>-0.25716836524649056</v>
      </c>
      <c r="Q16" s="113">
        <f>($G$2*SUM(C16:L16))*B16</f>
        <v>101.96330176186844</v>
      </c>
      <c r="R16" s="10">
        <f>($I$2*SUM(C16:L16))*M16*COUNT(D16:M16)</f>
        <v>6186.0174024740218</v>
      </c>
      <c r="S16" s="10">
        <f t="shared" si="3"/>
        <v>-6084.0541007121537</v>
      </c>
      <c r="T16" s="113">
        <f>(S16+U16*M16)/B16</f>
        <v>-16363.784132330438</v>
      </c>
      <c r="U16" s="10">
        <f t="shared" si="2"/>
        <v>10</v>
      </c>
    </row>
    <row r="17" spans="1:8" ht="17" thickBot="1" x14ac:dyDescent="0.25"/>
    <row r="18" spans="1:8" ht="17" thickBot="1" x14ac:dyDescent="0.25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">
      <c r="A19" s="264">
        <v>1</v>
      </c>
      <c r="B19" s="146">
        <v>1</v>
      </c>
      <c r="C19" s="150">
        <f>B19*$M$3</f>
        <v>6</v>
      </c>
      <c r="D19" s="151">
        <f>SUM($C$19:C19)</f>
        <v>6</v>
      </c>
      <c r="E19" s="9">
        <f>B19/P7</f>
        <v>-2.1818126817272536</v>
      </c>
      <c r="F19" s="9">
        <f>D19/P7</f>
        <v>-13.090876090363523</v>
      </c>
      <c r="G19" s="28">
        <f>S7/E19</f>
        <v>22.846694376500992</v>
      </c>
      <c r="H19" s="8">
        <f>S7/F19</f>
        <v>3.807782396083498</v>
      </c>
    </row>
    <row r="20" spans="1:8" x14ac:dyDescent="0.2">
      <c r="A20" s="265">
        <v>2</v>
      </c>
      <c r="B20" s="141">
        <f>B19*($M$3+1)</f>
        <v>7</v>
      </c>
      <c r="C20" s="140">
        <f>B20*$M$3</f>
        <v>42</v>
      </c>
      <c r="D20" s="142">
        <f>SUM($C$19:C20)</f>
        <v>48</v>
      </c>
      <c r="E20" s="9">
        <f t="shared" ref="E20:E28" si="4">B20/P8</f>
        <v>-21.535663566440618</v>
      </c>
      <c r="F20" s="9">
        <f t="shared" ref="F20:F28" si="5">D20/P8</f>
        <v>-147.67312159844994</v>
      </c>
      <c r="G20" s="112">
        <f t="shared" ref="G20:G28" si="6">S8/E20</f>
        <v>9.3921433944227832</v>
      </c>
      <c r="H20" s="9">
        <f t="shared" ref="H20:H28" si="7">S8/F20</f>
        <v>1.3696875783533229</v>
      </c>
    </row>
    <row r="21" spans="1:8" x14ac:dyDescent="0.2">
      <c r="A21" s="265">
        <v>3</v>
      </c>
      <c r="B21" s="141">
        <f t="shared" ref="B21:B28" si="8">B20*($M$3+1)</f>
        <v>49</v>
      </c>
      <c r="C21" s="140">
        <f t="shared" ref="C21:C28" si="9">B21*$M$3</f>
        <v>294</v>
      </c>
      <c r="D21" s="142">
        <f>SUM($C$19:C21)</f>
        <v>342</v>
      </c>
      <c r="E21" s="9">
        <f t="shared" si="4"/>
        <v>-174.0453121308424</v>
      </c>
      <c r="F21" s="9">
        <f t="shared" si="5"/>
        <v>-1214.7652397703696</v>
      </c>
      <c r="G21" s="112">
        <f t="shared" si="6"/>
        <v>2.7228418449684759</v>
      </c>
      <c r="H21" s="9">
        <f t="shared" si="7"/>
        <v>0.39011476726156519</v>
      </c>
    </row>
    <row r="22" spans="1:8" x14ac:dyDescent="0.2">
      <c r="A22" s="265">
        <v>4</v>
      </c>
      <c r="B22" s="141">
        <f t="shared" si="8"/>
        <v>343</v>
      </c>
      <c r="C22" s="140">
        <f t="shared" si="9"/>
        <v>2058</v>
      </c>
      <c r="D22" s="142">
        <f>SUM($C$19:C22)</f>
        <v>2400</v>
      </c>
      <c r="E22" s="9">
        <f t="shared" si="4"/>
        <v>-1289.0118228869871</v>
      </c>
      <c r="F22" s="9">
        <f t="shared" si="5"/>
        <v>-9019.3247082471407</v>
      </c>
      <c r="G22" s="112">
        <f t="shared" si="6"/>
        <v>0.67913989122967766</v>
      </c>
      <c r="H22" s="9">
        <f t="shared" si="7"/>
        <v>9.7060409454908098E-2</v>
      </c>
    </row>
    <row r="23" spans="1:8" x14ac:dyDescent="0.2">
      <c r="A23" s="265">
        <v>5</v>
      </c>
      <c r="B23" s="141">
        <f t="shared" si="8"/>
        <v>2401</v>
      </c>
      <c r="C23" s="140">
        <f t="shared" si="9"/>
        <v>14406</v>
      </c>
      <c r="D23" s="142">
        <f>SUM($C$19:C23)</f>
        <v>16806</v>
      </c>
      <c r="E23" s="9">
        <f t="shared" si="4"/>
        <v>-9218.4972256657238</v>
      </c>
      <c r="F23" s="9">
        <f t="shared" si="5"/>
        <v>-64525.641138916355</v>
      </c>
      <c r="G23" s="112">
        <f t="shared" si="6"/>
        <v>0.15301913583506799</v>
      </c>
      <c r="H23" s="9">
        <f t="shared" si="7"/>
        <v>2.1861177266452352E-2</v>
      </c>
    </row>
    <row r="24" spans="1:8" x14ac:dyDescent="0.2">
      <c r="A24" s="265">
        <v>6</v>
      </c>
      <c r="B24" s="141">
        <f t="shared" si="8"/>
        <v>16807</v>
      </c>
      <c r="C24" s="140">
        <f t="shared" si="9"/>
        <v>100842</v>
      </c>
      <c r="D24" s="142">
        <f>SUM($C$19:C24)</f>
        <v>117648</v>
      </c>
      <c r="E24" s="9">
        <f t="shared" si="4"/>
        <v>-65049.551836714658</v>
      </c>
      <c r="F24" s="9">
        <f t="shared" si="5"/>
        <v>-455342.9924725297</v>
      </c>
      <c r="G24" s="112">
        <f t="shared" si="6"/>
        <v>3.1972995586651919E-2</v>
      </c>
      <c r="H24" s="9">
        <f t="shared" si="7"/>
        <v>4.5676096221343226E-3</v>
      </c>
    </row>
    <row r="25" spans="1:8" x14ac:dyDescent="0.2">
      <c r="A25" s="265">
        <v>7</v>
      </c>
      <c r="B25" s="141">
        <f t="shared" si="8"/>
        <v>117649</v>
      </c>
      <c r="C25" s="140">
        <f t="shared" si="9"/>
        <v>705894</v>
      </c>
      <c r="D25" s="142">
        <f>SUM($C$19:C25)</f>
        <v>823542</v>
      </c>
      <c r="E25" s="9">
        <f t="shared" si="4"/>
        <v>-456710.92968194664</v>
      </c>
      <c r="F25" s="9">
        <f t="shared" si="5"/>
        <v>-3196972.6257947767</v>
      </c>
      <c r="G25" s="112">
        <f t="shared" si="6"/>
        <v>6.3112285791740077E-3</v>
      </c>
      <c r="H25" s="9">
        <f t="shared" si="7"/>
        <v>9.0160517752736692E-4</v>
      </c>
    </row>
    <row r="26" spans="1:8" x14ac:dyDescent="0.2">
      <c r="A26" s="265">
        <v>8</v>
      </c>
      <c r="B26" s="141">
        <f t="shared" si="8"/>
        <v>823543</v>
      </c>
      <c r="C26" s="140">
        <f t="shared" si="9"/>
        <v>4941258</v>
      </c>
      <c r="D26" s="142">
        <f>SUM($C$19:C26)</f>
        <v>5764800</v>
      </c>
      <c r="E26" s="9">
        <f t="shared" si="4"/>
        <v>-3200534.660222359</v>
      </c>
      <c r="F26" s="9">
        <f t="shared" si="5"/>
        <v>-22403738.735257123</v>
      </c>
      <c r="G26" s="112">
        <f t="shared" si="6"/>
        <v>1.1928042541300551E-3</v>
      </c>
      <c r="H26" s="9">
        <f t="shared" si="7"/>
        <v>1.704006372916715E-4</v>
      </c>
    </row>
    <row r="27" spans="1:8" x14ac:dyDescent="0.2">
      <c r="A27" s="265">
        <v>9</v>
      </c>
      <c r="B27" s="141">
        <f t="shared" si="8"/>
        <v>5764801</v>
      </c>
      <c r="C27" s="140">
        <f t="shared" si="9"/>
        <v>34588806</v>
      </c>
      <c r="D27" s="142">
        <f>SUM($C$19:C27)</f>
        <v>40353606</v>
      </c>
      <c r="E27" s="9">
        <f t="shared" si="4"/>
        <v>-22413005.02279713</v>
      </c>
      <c r="F27" s="9">
        <f t="shared" si="5"/>
        <v>-156891031.2716738</v>
      </c>
      <c r="G27" s="112">
        <f t="shared" si="6"/>
        <v>2.1795063366822546E-4</v>
      </c>
      <c r="H27" s="9">
        <f t="shared" si="7"/>
        <v>3.1135805581320787E-5</v>
      </c>
    </row>
    <row r="28" spans="1:8" ht="17" thickBot="1" x14ac:dyDescent="0.25">
      <c r="A28" s="266">
        <v>10</v>
      </c>
      <c r="B28" s="143">
        <f t="shared" si="8"/>
        <v>40353607</v>
      </c>
      <c r="C28" s="144">
        <f t="shared" si="9"/>
        <v>242121642</v>
      </c>
      <c r="D28" s="145">
        <f>SUM($C$19:C28)</f>
        <v>282475248</v>
      </c>
      <c r="E28" s="9">
        <f t="shared" si="4"/>
        <v>-156915128.1936326</v>
      </c>
      <c r="F28" s="9">
        <f t="shared" si="5"/>
        <v>-1098405893.4669251</v>
      </c>
      <c r="G28" s="113">
        <f t="shared" si="6"/>
        <v>3.8772896984186614E-5</v>
      </c>
      <c r="H28" s="10">
        <f t="shared" si="7"/>
        <v>5.538985303063976E-6</v>
      </c>
    </row>
    <row r="29" spans="1:8" ht="17" thickBot="1" x14ac:dyDescent="0.25"/>
    <row r="30" spans="1:8" ht="17" thickBot="1" x14ac:dyDescent="0.25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">
      <c r="A31" s="264">
        <v>1</v>
      </c>
      <c r="B31" s="146">
        <v>1</v>
      </c>
      <c r="C31" s="150">
        <f>B31*$M$3</f>
        <v>6</v>
      </c>
      <c r="D31" s="151">
        <f>SUM($C$31:C31)</f>
        <v>6</v>
      </c>
      <c r="E31" s="129">
        <f>B31/P7</f>
        <v>-2.1818126817272536</v>
      </c>
      <c r="F31" s="58">
        <f>D31/P7</f>
        <v>-13.090876090363523</v>
      </c>
      <c r="G31" s="28">
        <f>S7/E31</f>
        <v>22.846694376500992</v>
      </c>
      <c r="H31" s="8">
        <f>S7/F31</f>
        <v>3.807782396083498</v>
      </c>
    </row>
    <row r="32" spans="1:8" x14ac:dyDescent="0.2">
      <c r="A32" s="265">
        <v>2</v>
      </c>
      <c r="B32" s="141">
        <f>C31</f>
        <v>6</v>
      </c>
      <c r="C32" s="140">
        <f>B32*$M$3</f>
        <v>36</v>
      </c>
      <c r="D32" s="142">
        <f>SUM($C$31:C32)</f>
        <v>42</v>
      </c>
      <c r="E32" s="112">
        <f t="shared" ref="E32:E40" si="10">B32/P8</f>
        <v>-18.459140199806242</v>
      </c>
      <c r="F32" s="9">
        <f t="shared" ref="F32:F40" si="11">D32/P8</f>
        <v>-129.21398139864371</v>
      </c>
      <c r="G32" s="112">
        <f t="shared" ref="G32:G40" si="12">S8/E32</f>
        <v>10.957500626826583</v>
      </c>
      <c r="H32" s="9">
        <f t="shared" ref="H32:H40" si="13">S8/F32</f>
        <v>1.5653572324037974</v>
      </c>
    </row>
    <row r="33" spans="1:8" x14ac:dyDescent="0.2">
      <c r="A33" s="265">
        <v>3</v>
      </c>
      <c r="B33" s="141">
        <f t="shared" ref="B33:B40" si="14">C32</f>
        <v>36</v>
      </c>
      <c r="C33" s="140">
        <f t="shared" ref="C33:C40" si="15">B33*$M$3</f>
        <v>216</v>
      </c>
      <c r="D33" s="142">
        <f>SUM($C$31:C33)</f>
        <v>258</v>
      </c>
      <c r="E33" s="112">
        <f t="shared" si="10"/>
        <v>-127.87002523898626</v>
      </c>
      <c r="F33" s="9">
        <f t="shared" si="11"/>
        <v>-916.40184754606821</v>
      </c>
      <c r="G33" s="112">
        <f t="shared" si="12"/>
        <v>3.7060902889848699</v>
      </c>
      <c r="H33" s="9">
        <f t="shared" si="13"/>
        <v>0.51712887753277248</v>
      </c>
    </row>
    <row r="34" spans="1:8" x14ac:dyDescent="0.2">
      <c r="A34" s="265">
        <v>4</v>
      </c>
      <c r="B34" s="141">
        <f t="shared" si="14"/>
        <v>216</v>
      </c>
      <c r="C34" s="140">
        <f t="shared" si="15"/>
        <v>1296</v>
      </c>
      <c r="D34" s="142">
        <f>SUM($C$31:C34)</f>
        <v>1554</v>
      </c>
      <c r="E34" s="112">
        <f t="shared" si="10"/>
        <v>-811.73922374224264</v>
      </c>
      <c r="F34" s="9">
        <f t="shared" si="11"/>
        <v>-5840.012748590023</v>
      </c>
      <c r="G34" s="112">
        <f t="shared" si="12"/>
        <v>1.0784489939434234</v>
      </c>
      <c r="H34" s="9">
        <f t="shared" si="13"/>
        <v>0.14990024626240633</v>
      </c>
    </row>
    <row r="35" spans="1:8" x14ac:dyDescent="0.2">
      <c r="A35" s="265">
        <v>5</v>
      </c>
      <c r="B35" s="141">
        <f t="shared" si="14"/>
        <v>1296</v>
      </c>
      <c r="C35" s="140">
        <f t="shared" si="15"/>
        <v>7776</v>
      </c>
      <c r="D35" s="142">
        <f>SUM($C$31:C35)</f>
        <v>9330</v>
      </c>
      <c r="E35" s="112">
        <f t="shared" si="10"/>
        <v>-4975.9152038578841</v>
      </c>
      <c r="F35" s="9">
        <f t="shared" si="11"/>
        <v>-35821.982138884305</v>
      </c>
      <c r="G35" s="112">
        <f t="shared" si="12"/>
        <v>0.28348684038580108</v>
      </c>
      <c r="H35" s="9">
        <f t="shared" si="13"/>
        <v>3.937823634941031E-2</v>
      </c>
    </row>
    <row r="36" spans="1:8" x14ac:dyDescent="0.2">
      <c r="A36" s="265">
        <v>6</v>
      </c>
      <c r="B36" s="141">
        <f t="shared" si="14"/>
        <v>7776</v>
      </c>
      <c r="C36" s="140">
        <f t="shared" si="15"/>
        <v>46656</v>
      </c>
      <c r="D36" s="142">
        <f>SUM($C$31:C36)</f>
        <v>55986</v>
      </c>
      <c r="E36" s="112">
        <f t="shared" si="10"/>
        <v>-30096.10966158703</v>
      </c>
      <c r="F36" s="9">
        <f t="shared" si="11"/>
        <v>-216687.34510205907</v>
      </c>
      <c r="G36" s="112">
        <f t="shared" si="12"/>
        <v>6.9106241875624835E-2</v>
      </c>
      <c r="H36" s="9">
        <f t="shared" si="13"/>
        <v>9.5982948741624476E-3</v>
      </c>
    </row>
    <row r="37" spans="1:8" x14ac:dyDescent="0.2">
      <c r="A37" s="265">
        <v>7</v>
      </c>
      <c r="B37" s="141">
        <f t="shared" si="14"/>
        <v>46656</v>
      </c>
      <c r="C37" s="140">
        <f t="shared" si="15"/>
        <v>279936</v>
      </c>
      <c r="D37" s="142">
        <f>SUM($C$31:C37)</f>
        <v>335922</v>
      </c>
      <c r="E37" s="112">
        <f t="shared" si="10"/>
        <v>-181117.60520906173</v>
      </c>
      <c r="F37" s="9">
        <f t="shared" si="11"/>
        <v>-1304042.0991306249</v>
      </c>
      <c r="G37" s="112">
        <f t="shared" si="12"/>
        <v>1.5914560423337679E-2</v>
      </c>
      <c r="H37" s="9">
        <f t="shared" si="13"/>
        <v>2.2103635103126401E-3</v>
      </c>
    </row>
    <row r="38" spans="1:8" x14ac:dyDescent="0.2">
      <c r="A38" s="265">
        <v>8</v>
      </c>
      <c r="B38" s="141">
        <f t="shared" si="14"/>
        <v>279936</v>
      </c>
      <c r="C38" s="140">
        <f t="shared" si="15"/>
        <v>1679616</v>
      </c>
      <c r="D38" s="142">
        <f>SUM($C$31:C38)</f>
        <v>2015538</v>
      </c>
      <c r="E38" s="112">
        <f t="shared" si="10"/>
        <v>-1087915.1066113201</v>
      </c>
      <c r="F38" s="9">
        <f t="shared" si="11"/>
        <v>-7832984.104042233</v>
      </c>
      <c r="G38" s="112">
        <f t="shared" si="12"/>
        <v>3.5091077741306151E-3</v>
      </c>
      <c r="H38" s="9">
        <f t="shared" si="13"/>
        <v>4.8737636991167023E-4</v>
      </c>
    </row>
    <row r="39" spans="1:8" x14ac:dyDescent="0.2">
      <c r="A39" s="265">
        <v>9</v>
      </c>
      <c r="B39" s="141">
        <f t="shared" si="14"/>
        <v>1679616</v>
      </c>
      <c r="C39" s="140">
        <f t="shared" si="15"/>
        <v>10077696</v>
      </c>
      <c r="D39" s="142">
        <f>SUM($C$31:C39)</f>
        <v>12093234</v>
      </c>
      <c r="E39" s="112">
        <f t="shared" si="10"/>
        <v>-6530189.3065121276</v>
      </c>
      <c r="F39" s="9">
        <f t="shared" si="11"/>
        <v>-47017358.34139999</v>
      </c>
      <c r="G39" s="112">
        <f t="shared" si="12"/>
        <v>7.4805314483859407E-4</v>
      </c>
      <c r="H39" s="9">
        <f t="shared" si="13"/>
        <v>1.0389628042599854E-4</v>
      </c>
    </row>
    <row r="40" spans="1:8" ht="17" thickBot="1" x14ac:dyDescent="0.25">
      <c r="A40" s="266">
        <v>10</v>
      </c>
      <c r="B40" s="143">
        <f t="shared" si="14"/>
        <v>10077696</v>
      </c>
      <c r="C40" s="144">
        <f t="shared" si="15"/>
        <v>60466176</v>
      </c>
      <c r="D40" s="145">
        <f>SUM($C$31:C40)</f>
        <v>72559410</v>
      </c>
      <c r="E40" s="113">
        <f t="shared" si="10"/>
        <v>-39187152.705740988</v>
      </c>
      <c r="F40" s="10">
        <f t="shared" si="11"/>
        <v>-282147494.81513137</v>
      </c>
      <c r="G40" s="113">
        <f t="shared" si="12"/>
        <v>1.5525634501689195E-4</v>
      </c>
      <c r="H40" s="10">
        <f t="shared" si="13"/>
        <v>2.1563381608965009E-5</v>
      </c>
    </row>
    <row r="41" spans="1:8" ht="17" thickBot="1" x14ac:dyDescent="0.25"/>
    <row r="42" spans="1:8" ht="17" thickBot="1" x14ac:dyDescent="0.25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">
      <c r="A43" s="264">
        <v>1</v>
      </c>
      <c r="B43" s="146">
        <v>1</v>
      </c>
      <c r="C43" s="150">
        <f>B43*$M$3</f>
        <v>6</v>
      </c>
      <c r="D43" s="151">
        <f>SUM(C43:C43)</f>
        <v>6</v>
      </c>
      <c r="E43" s="129">
        <f>B43/P7</f>
        <v>-2.1818126817272536</v>
      </c>
      <c r="F43" s="58">
        <f>D43/P7</f>
        <v>-13.090876090363523</v>
      </c>
      <c r="G43" s="28">
        <f>S7/E43</f>
        <v>22.846694376500992</v>
      </c>
      <c r="H43" s="8">
        <f>S7/F43</f>
        <v>3.807782396083498</v>
      </c>
    </row>
    <row r="44" spans="1:8" x14ac:dyDescent="0.2">
      <c r="A44" s="265">
        <v>2</v>
      </c>
      <c r="B44" s="141">
        <f>B43*$M$3*2</f>
        <v>12</v>
      </c>
      <c r="C44" s="140">
        <f>B44*$M$3</f>
        <v>72</v>
      </c>
      <c r="D44" s="142">
        <f>SUM($C$43:C44)</f>
        <v>78</v>
      </c>
      <c r="E44" s="112">
        <f t="shared" ref="E44:E52" si="16">B44/P8</f>
        <v>-36.918280399612485</v>
      </c>
      <c r="F44" s="9">
        <f t="shared" ref="F44:F52" si="17">D44/P8</f>
        <v>-239.96882259748116</v>
      </c>
      <c r="G44" s="112">
        <f t="shared" ref="G44:G52" si="18">S8/E44</f>
        <v>5.4787503134132916</v>
      </c>
      <c r="H44" s="9">
        <f t="shared" ref="H44:H52" si="19">S8/F44</f>
        <v>0.84288466360204473</v>
      </c>
    </row>
    <row r="45" spans="1:8" x14ac:dyDescent="0.2">
      <c r="A45" s="265">
        <v>3</v>
      </c>
      <c r="B45" s="141">
        <f t="shared" ref="B45:B52" si="20">B44*$M$3*2</f>
        <v>144</v>
      </c>
      <c r="C45" s="140">
        <f t="shared" ref="C45:C52" si="21">B45*$M$3</f>
        <v>864</v>
      </c>
      <c r="D45" s="142">
        <f>SUM($C$43:C45)</f>
        <v>942</v>
      </c>
      <c r="E45" s="112">
        <f t="shared" si="16"/>
        <v>-511.48010095594503</v>
      </c>
      <c r="F45" s="9">
        <f t="shared" si="17"/>
        <v>-3345.9323270868072</v>
      </c>
      <c r="G45" s="112">
        <f t="shared" si="18"/>
        <v>0.92652257224621748</v>
      </c>
      <c r="H45" s="9">
        <f t="shared" si="19"/>
        <v>0.14163402378286127</v>
      </c>
    </row>
    <row r="46" spans="1:8" x14ac:dyDescent="0.2">
      <c r="A46" s="265">
        <v>4</v>
      </c>
      <c r="B46" s="141">
        <f t="shared" si="20"/>
        <v>1728</v>
      </c>
      <c r="C46" s="140">
        <f t="shared" si="21"/>
        <v>10368</v>
      </c>
      <c r="D46" s="142">
        <f>SUM($C$43:C46)</f>
        <v>11310</v>
      </c>
      <c r="E46" s="112">
        <f t="shared" si="16"/>
        <v>-6493.9137899379411</v>
      </c>
      <c r="F46" s="9">
        <f t="shared" si="17"/>
        <v>-42503.567687614646</v>
      </c>
      <c r="G46" s="112">
        <f t="shared" si="18"/>
        <v>0.13480612424292793</v>
      </c>
      <c r="H46" s="9">
        <f t="shared" si="19"/>
        <v>2.0596373359131694E-2</v>
      </c>
    </row>
    <row r="47" spans="1:8" x14ac:dyDescent="0.2">
      <c r="A47" s="265">
        <v>5</v>
      </c>
      <c r="B47" s="141">
        <f t="shared" si="20"/>
        <v>20736</v>
      </c>
      <c r="C47" s="140">
        <f t="shared" si="21"/>
        <v>124416</v>
      </c>
      <c r="D47" s="142">
        <f>SUM($C$43:C47)</f>
        <v>135726</v>
      </c>
      <c r="E47" s="112">
        <f t="shared" si="16"/>
        <v>-79614.643261726145</v>
      </c>
      <c r="F47" s="9">
        <f t="shared" si="17"/>
        <v>-521111.93438180181</v>
      </c>
      <c r="G47" s="112">
        <f t="shared" si="18"/>
        <v>1.7717927524112567E-2</v>
      </c>
      <c r="H47" s="9">
        <f t="shared" si="19"/>
        <v>2.7069164724518387E-3</v>
      </c>
    </row>
    <row r="48" spans="1:8" x14ac:dyDescent="0.2">
      <c r="A48" s="265">
        <v>6</v>
      </c>
      <c r="B48" s="141">
        <f t="shared" si="20"/>
        <v>248832</v>
      </c>
      <c r="C48" s="140">
        <f t="shared" si="21"/>
        <v>1492992</v>
      </c>
      <c r="D48" s="142">
        <f>SUM($C$43:C48)</f>
        <v>1628718</v>
      </c>
      <c r="E48" s="112">
        <f t="shared" si="16"/>
        <v>-963075.50917078496</v>
      </c>
      <c r="F48" s="9">
        <f t="shared" si="17"/>
        <v>-6303764.8579990612</v>
      </c>
      <c r="G48" s="112">
        <f t="shared" si="18"/>
        <v>2.1595700586132761E-3</v>
      </c>
      <c r="H48" s="9">
        <f t="shared" si="19"/>
        <v>3.2993442500473306E-4</v>
      </c>
    </row>
    <row r="49" spans="1:8" x14ac:dyDescent="0.2">
      <c r="A49" s="265">
        <v>7</v>
      </c>
      <c r="B49" s="141">
        <f t="shared" si="20"/>
        <v>2985984</v>
      </c>
      <c r="C49" s="140">
        <f t="shared" si="21"/>
        <v>17915904</v>
      </c>
      <c r="D49" s="142">
        <f>SUM($C$43:C49)</f>
        <v>19544622</v>
      </c>
      <c r="E49" s="112">
        <f t="shared" si="16"/>
        <v>-11591526.733379951</v>
      </c>
      <c r="F49" s="9">
        <f t="shared" si="17"/>
        <v>-75871809.228316665</v>
      </c>
      <c r="G49" s="112">
        <f t="shared" si="18"/>
        <v>2.4866500661465123E-4</v>
      </c>
      <c r="H49" s="9">
        <f t="shared" si="19"/>
        <v>3.7990488181927636E-5</v>
      </c>
    </row>
    <row r="50" spans="1:8" x14ac:dyDescent="0.2">
      <c r="A50" s="265">
        <v>8</v>
      </c>
      <c r="B50" s="141">
        <f t="shared" si="20"/>
        <v>35831808</v>
      </c>
      <c r="C50" s="140">
        <f t="shared" si="21"/>
        <v>214990848</v>
      </c>
      <c r="D50" s="142">
        <f>SUM($C$43:C50)</f>
        <v>234535470</v>
      </c>
      <c r="E50" s="112">
        <f t="shared" si="16"/>
        <v>-139253133.64624897</v>
      </c>
      <c r="F50" s="9">
        <f t="shared" si="17"/>
        <v>-911475054.47382987</v>
      </c>
      <c r="G50" s="112">
        <f t="shared" si="18"/>
        <v>2.7414904485395431E-5</v>
      </c>
      <c r="H50" s="9">
        <f t="shared" si="19"/>
        <v>4.1883881950095986E-6</v>
      </c>
    </row>
    <row r="51" spans="1:8" x14ac:dyDescent="0.2">
      <c r="A51" s="265">
        <v>9</v>
      </c>
      <c r="B51" s="141">
        <f t="shared" si="20"/>
        <v>429981696</v>
      </c>
      <c r="C51" s="140">
        <f t="shared" si="21"/>
        <v>2579890176</v>
      </c>
      <c r="D51" s="142">
        <f>SUM($C$43:C51)</f>
        <v>2814425646</v>
      </c>
      <c r="E51" s="112">
        <f t="shared" si="16"/>
        <v>-1671728462.4671047</v>
      </c>
      <c r="F51" s="9">
        <f t="shared" si="17"/>
        <v>-10942222661.300373</v>
      </c>
      <c r="G51" s="112">
        <f t="shared" si="18"/>
        <v>2.9220825970257581E-6</v>
      </c>
      <c r="H51" s="9">
        <f t="shared" si="19"/>
        <v>4.4642928574323399E-7</v>
      </c>
    </row>
    <row r="52" spans="1:8" ht="17" thickBot="1" x14ac:dyDescent="0.25">
      <c r="A52" s="266">
        <v>10</v>
      </c>
      <c r="B52" s="143">
        <f t="shared" si="20"/>
        <v>5159780352</v>
      </c>
      <c r="C52" s="144">
        <f t="shared" si="21"/>
        <v>30958682112</v>
      </c>
      <c r="D52" s="145">
        <f>SUM($C$43:C52)</f>
        <v>33773107758</v>
      </c>
      <c r="E52" s="113">
        <f t="shared" si="16"/>
        <v>-20063822185.339386</v>
      </c>
      <c r="F52" s="10">
        <f t="shared" si="17"/>
        <v>-131326836120.10045</v>
      </c>
      <c r="G52" s="113">
        <f t="shared" si="18"/>
        <v>3.0323504886111708E-7</v>
      </c>
      <c r="H52" s="10">
        <f t="shared" si="19"/>
        <v>4.6327576910085544E-8</v>
      </c>
    </row>
  </sheetData>
  <conditionalFormatting sqref="O7:O16">
    <cfRule type="cellIs" dxfId="215" priority="27" operator="lessThanOrEqual">
      <formula>0</formula>
    </cfRule>
    <cfRule type="cellIs" dxfId="214" priority="28" operator="greaterThan">
      <formula>0</formula>
    </cfRule>
  </conditionalFormatting>
  <conditionalFormatting sqref="P7:P16 S7:S16">
    <cfRule type="cellIs" dxfId="213" priority="25" operator="lessThanOrEqual">
      <formula>0</formula>
    </cfRule>
    <cfRule type="cellIs" dxfId="212" priority="26" operator="greaterThan">
      <formula>0</formula>
    </cfRule>
  </conditionalFormatting>
  <conditionalFormatting sqref="G43:G52">
    <cfRule type="cellIs" dxfId="211" priority="24" operator="equal">
      <formula>MAX($G$43:$G$52)</formula>
    </cfRule>
  </conditionalFormatting>
  <conditionalFormatting sqref="H43:H52">
    <cfRule type="cellIs" dxfId="210" priority="23" operator="equal">
      <formula>MAX($H$43:$H$52)</formula>
    </cfRule>
  </conditionalFormatting>
  <conditionalFormatting sqref="G31:G40">
    <cfRule type="cellIs" dxfId="209" priority="22" operator="equal">
      <formula>MAX($G$31:$G$40)</formula>
    </cfRule>
  </conditionalFormatting>
  <conditionalFormatting sqref="H31:H40">
    <cfRule type="cellIs" dxfId="208" priority="21" operator="equal">
      <formula>MAX($H$31:$H$40)</formula>
    </cfRule>
  </conditionalFormatting>
  <conditionalFormatting sqref="F19:F28">
    <cfRule type="cellIs" dxfId="207" priority="19" stopIfTrue="1" operator="lessThan">
      <formula>0</formula>
    </cfRule>
    <cfRule type="cellIs" dxfId="206" priority="20" operator="equal">
      <formula>MIN($F$19:$F$28)</formula>
    </cfRule>
  </conditionalFormatting>
  <conditionalFormatting sqref="E19:E28">
    <cfRule type="cellIs" dxfId="205" priority="17" stopIfTrue="1" operator="lessThan">
      <formula>0</formula>
    </cfRule>
    <cfRule type="cellIs" dxfId="204" priority="18" operator="equal">
      <formula>MIN($E$19:$E$28)</formula>
    </cfRule>
  </conditionalFormatting>
  <conditionalFormatting sqref="F31:F40">
    <cfRule type="cellIs" dxfId="203" priority="15" stopIfTrue="1" operator="lessThan">
      <formula>0</formula>
    </cfRule>
    <cfRule type="cellIs" dxfId="202" priority="16" operator="equal">
      <formula>MIN($F$31:$F$40)</formula>
    </cfRule>
  </conditionalFormatting>
  <conditionalFormatting sqref="E31:E40">
    <cfRule type="cellIs" dxfId="201" priority="13" stopIfTrue="1" operator="lessThan">
      <formula>0</formula>
    </cfRule>
    <cfRule type="cellIs" dxfId="200" priority="14" operator="equal">
      <formula>MIN($E$31:$E$40)</formula>
    </cfRule>
  </conditionalFormatting>
  <conditionalFormatting sqref="F43:F52">
    <cfRule type="cellIs" dxfId="199" priority="11" stopIfTrue="1" operator="lessThan">
      <formula>0</formula>
    </cfRule>
    <cfRule type="cellIs" dxfId="198" priority="12" operator="equal">
      <formula>MIN($F$43:$F$52)</formula>
    </cfRule>
  </conditionalFormatting>
  <conditionalFormatting sqref="E43:E52">
    <cfRule type="cellIs" dxfId="197" priority="9" stopIfTrue="1" operator="lessThan">
      <formula>0</formula>
    </cfRule>
    <cfRule type="cellIs" dxfId="196" priority="10" operator="equal">
      <formula>MIN($E$43:$E$52)</formula>
    </cfRule>
  </conditionalFormatting>
  <conditionalFormatting sqref="Q7:Q16">
    <cfRule type="cellIs" dxfId="195" priority="7" operator="lessThanOrEqual">
      <formula>0</formula>
    </cfRule>
    <cfRule type="cellIs" dxfId="194" priority="8" operator="greaterThan">
      <formula>0</formula>
    </cfRule>
  </conditionalFormatting>
  <conditionalFormatting sqref="R7:R16">
    <cfRule type="cellIs" dxfId="193" priority="5" operator="lessThanOrEqual">
      <formula>0</formula>
    </cfRule>
    <cfRule type="cellIs" dxfId="192" priority="6" operator="greaterThan">
      <formula>0</formula>
    </cfRule>
  </conditionalFormatting>
  <conditionalFormatting sqref="G19:G28">
    <cfRule type="cellIs" dxfId="191" priority="3" operator="lessThanOrEqual">
      <formula>0</formula>
    </cfRule>
    <cfRule type="cellIs" dxfId="190" priority="4" operator="equal">
      <formula>MAX($G$19:$G$28)</formula>
    </cfRule>
  </conditionalFormatting>
  <conditionalFormatting sqref="H19:H28">
    <cfRule type="cellIs" dxfId="189" priority="1" operator="lessThanOrEqual">
      <formula>0</formula>
    </cfRule>
    <cfRule type="cellIs" dxfId="188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4"/>
  <sheetViews>
    <sheetView topLeftCell="A14"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 t="s">
        <v>55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(SUM(HS!B4:B11)+Rules!$B$5*HS!B12+HS!B36)/(9+Rules!$B$5)</f>
        <v>-0.20335368314889377</v>
      </c>
      <c r="C2">
        <f>(SUM(HS!C4:C11)+Rules!$B$5*HS!C12+HS!C36)/(9+Rules!$B$5)</f>
        <v>-7.5884358318949102E-2</v>
      </c>
      <c r="D2">
        <f>(SUM(HS!D4:D11)+Rules!$B$5*HS!D12+HS!D36)/(9+Rules!$B$5)</f>
        <v>-4.9750706146412048E-2</v>
      </c>
      <c r="E2">
        <f>(SUM(HS!E4:E11)+Rules!$B$5*HS!E12+HS!E36)/(9+Rules!$B$5)</f>
        <v>-2.2100412135834389E-2</v>
      </c>
      <c r="F2">
        <f>(SUM(HS!F4:F11)+Rules!$B$5*HS!F12+HS!F36)/(9+Rules!$B$5)</f>
        <v>1.3730032284783571E-2</v>
      </c>
      <c r="G2">
        <f>(SUM(HS!G4:G11)+Rules!$B$5*HS!G12+HS!G36)/(9+Rules!$B$5)</f>
        <v>3.8883411946301231E-2</v>
      </c>
      <c r="H2">
        <f>(SUM(HS!H4:H11)+Rules!$B$5*HS!H12+HS!H36)/(9+Rules!$B$5)</f>
        <v>-2.7257021375862247E-2</v>
      </c>
      <c r="I2">
        <f>(SUM(HS!I4:I11)+Rules!$B$5*HS!I12+HS!I36)/(9+Rules!$B$5)</f>
        <v>-0.10316172777512726</v>
      </c>
      <c r="J2">
        <f>(SUM(HS!J4:J11)+Rules!$B$5*HS!J12+HS!J36)/(9+Rules!$B$5)</f>
        <v>-0.19004714305350842</v>
      </c>
      <c r="K2">
        <f>(SUM(HS!K4:K11)+Rules!$B$5*HS!K12+HS!K36)/(9+Rules!$B$5)</f>
        <v>-0.24199803315764098</v>
      </c>
    </row>
    <row r="3" spans="1:11" x14ac:dyDescent="0.2">
      <c r="A3">
        <v>3</v>
      </c>
      <c r="B3">
        <f>(SUM(HS!B5:B12)+Rules!$B$5*HS!B13+HS!B37)/(9+Rules!$B$5)</f>
        <v>-0.22793749290805351</v>
      </c>
      <c r="C3">
        <f>(SUM(HS!C5:C12)+Rules!$B$5*HS!C13+HS!C37)/(9+Rules!$B$5)</f>
        <v>-0.10052250439785246</v>
      </c>
      <c r="D3">
        <f>(SUM(HS!D5:D12)+Rules!$B$5*HS!D13+HS!D37)/(9+Rules!$B$5)</f>
        <v>-6.8875858278897514E-2</v>
      </c>
      <c r="E3">
        <f>(SUM(HS!E5:E12)+Rules!$B$5*HS!E13+HS!E37)/(9+Rules!$B$5)</f>
        <v>-3.6261290708905339E-2</v>
      </c>
      <c r="F3">
        <f>(SUM(HS!F5:F12)+Rules!$B$5*HS!F13+HS!F37)/(9+Rules!$B$5)</f>
        <v>1.6995712139687808E-4</v>
      </c>
      <c r="G3">
        <f>(SUM(HS!G5:G12)+Rules!$B$5*HS!G13+HS!G37)/(9+Rules!$B$5)</f>
        <v>2.447130320655936E-2</v>
      </c>
      <c r="H3">
        <f>(SUM(HS!H5:H12)+Rules!$B$5*HS!H13+HS!H37)/(9+Rules!$B$5)</f>
        <v>-5.7437588540356667E-2</v>
      </c>
      <c r="I3">
        <f>(SUM(HS!I5:I12)+Rules!$B$5*HS!I13+HS!I37)/(9+Rules!$B$5)</f>
        <v>-0.13094188065020101</v>
      </c>
      <c r="J3">
        <f>(SUM(HS!J5:J12)+Rules!$B$5*HS!J13+HS!J37)/(9+Rules!$B$5)</f>
        <v>-0.21507662281362433</v>
      </c>
      <c r="K3">
        <f>(SUM(HS!K5:K12)+Rules!$B$5*HS!K13+HS!K37)/(9+Rules!$B$5)</f>
        <v>-0.26532921479747562</v>
      </c>
    </row>
    <row r="4" spans="1:11" x14ac:dyDescent="0.2">
      <c r="A4">
        <v>4</v>
      </c>
      <c r="B4">
        <f>(SUM(HS!B6:B13)+Rules!$B$5*HS!B14+HS!B38)/(9+Rules!$B$5)</f>
        <v>-0.25307699440390863</v>
      </c>
      <c r="C4">
        <f>(SUM(HS!C6:C13)+Rules!$B$5*HS!C14+HS!C38)/(9+Rules!$B$5)</f>
        <v>-0.11491332761892134</v>
      </c>
      <c r="D4">
        <f>(SUM(HS!D6:D13)+Rules!$B$5*HS!D14+HS!D38)/(9+Rules!$B$5)</f>
        <v>-8.2613314299744361E-2</v>
      </c>
      <c r="E4">
        <f>(SUM(HS!E6:E13)+Rules!$B$5*HS!E14+HS!E38)/(9+Rules!$B$5)</f>
        <v>-4.9367420106916922E-2</v>
      </c>
      <c r="F4">
        <f>(SUM(HS!F6:F13)+Rules!$B$5*HS!F14+HS!F38)/(9+Rules!$B$5)</f>
        <v>-1.2379926519926384E-2</v>
      </c>
      <c r="G4">
        <f>(SUM(HS!G6:G13)+Rules!$B$5*HS!G14+HS!G38)/(9+Rules!$B$5)</f>
        <v>1.1130417280979797E-2</v>
      </c>
      <c r="H4">
        <f>(SUM(HS!H6:H13)+Rules!$B$5*HS!H14+HS!H38)/(9+Rules!$B$5)</f>
        <v>-8.8279201058463722E-2</v>
      </c>
      <c r="I4">
        <f>(SUM(HS!I6:I13)+Rules!$B$5*HS!I14+HS!I38)/(9+Rules!$B$5)</f>
        <v>-0.15933415266020512</v>
      </c>
      <c r="J4">
        <f>(SUM(HS!J6:J13)+Rules!$B$5*HS!J14+HS!J38)/(9+Rules!$B$5)</f>
        <v>-0.24066617915336547</v>
      </c>
      <c r="K4">
        <f>(SUM(HS!K6:K13)+Rules!$B$5*HS!K14+HS!K38)/(9+Rules!$B$5)</f>
        <v>-0.28919791448567511</v>
      </c>
    </row>
    <row r="5" spans="1:11" x14ac:dyDescent="0.2">
      <c r="A5">
        <v>5</v>
      </c>
      <c r="B5">
        <f>(SUM(HS!B7:B14)+Rules!$B$5*HS!B15+HS!B39)/(9+Rules!$B$5)</f>
        <v>-0.27857459755181968</v>
      </c>
      <c r="C5">
        <f>(SUM(HS!C7:C14)+Rules!$B$5*HS!C15+HS!C39)/(9+Rules!$B$5)</f>
        <v>-0.12821556706374745</v>
      </c>
      <c r="D5">
        <f>(SUM(HS!D7:D14)+Rules!$B$5*HS!D15+HS!D39)/(9+Rules!$B$5)</f>
        <v>-9.5310227261489883E-2</v>
      </c>
      <c r="E5">
        <f>(SUM(HS!E7:E14)+Rules!$B$5*HS!E15+HS!E39)/(9+Rules!$B$5)</f>
        <v>-6.1479464199694238E-2</v>
      </c>
      <c r="F5">
        <f>(SUM(HS!F7:F14)+Rules!$B$5*HS!F15+HS!F39)/(9+Rules!$B$5)</f>
        <v>-2.397897039185962E-2</v>
      </c>
      <c r="G5">
        <f>(SUM(HS!G7:G14)+Rules!$B$5*HS!G15+HS!G39)/(9+Rules!$B$5)</f>
        <v>-1.1863378384401623E-3</v>
      </c>
      <c r="H5">
        <f>(SUM(HS!H7:H14)+Rules!$B$5*HS!H15+HS!H39)/(9+Rules!$B$5)</f>
        <v>-0.11944744188414852</v>
      </c>
      <c r="I5">
        <f>(SUM(HS!I7:I14)+Rules!$B$5*HS!I15+HS!I39)/(9+Rules!$B$5)</f>
        <v>-0.18809330390318524</v>
      </c>
      <c r="J5">
        <f>(SUM(HS!J7:J14)+Rules!$B$5*HS!J15+HS!J39)/(9+Rules!$B$5)</f>
        <v>-0.26661505335795899</v>
      </c>
      <c r="K5">
        <f>(SUM(HS!K7:K14)+Rules!$B$5*HS!K15+HS!K39)/(9+Rules!$B$5)</f>
        <v>-0.31341164336497107</v>
      </c>
    </row>
    <row r="6" spans="1:11" x14ac:dyDescent="0.2">
      <c r="A6">
        <v>6</v>
      </c>
      <c r="B6">
        <f>(SUM(HS!B8:B15)+Rules!$B$5*HS!B16+HS!B40)/(9+Rules!$B$5)</f>
        <v>-0.30414663097569933</v>
      </c>
      <c r="C6">
        <f>(SUM(HS!C8:C15)+Rules!$B$5*HS!C16+HS!C40)/(9+Rules!$B$5)</f>
        <v>-0.14075911746001987</v>
      </c>
      <c r="D6">
        <f>(SUM(HS!D8:D15)+Rules!$B$5*HS!D16+HS!D40)/(9+Rules!$B$5)</f>
        <v>-0.10729107800860836</v>
      </c>
      <c r="E6">
        <f>(SUM(HS!E8:E15)+Rules!$B$5*HS!E16+HS!E40)/(9+Rules!$B$5)</f>
        <v>-7.2917141926387305E-2</v>
      </c>
      <c r="F6">
        <f>(SUM(HS!F8:F15)+Rules!$B$5*HS!F16+HS!F40)/(9+Rules!$B$5)</f>
        <v>-3.4915973330102178E-2</v>
      </c>
      <c r="G6">
        <f>(SUM(HS!G8:G15)+Rules!$B$5*HS!G16+HS!G40)/(9+Rules!$B$5)</f>
        <v>-1.3005835529874294E-2</v>
      </c>
      <c r="H6">
        <f>(SUM(HS!H8:H15)+Rules!$B$5*HS!H16+HS!H40)/(9+Rules!$B$5)</f>
        <v>-0.15193270723669944</v>
      </c>
      <c r="I6">
        <f>(SUM(HS!I8:I15)+Rules!$B$5*HS!I16+HS!I40)/(9+Rules!$B$5)</f>
        <v>-0.21724188132078476</v>
      </c>
      <c r="J6">
        <f>(SUM(HS!J8:J15)+Rules!$B$5*HS!J16+HS!J40)/(9+Rules!$B$5)</f>
        <v>-0.29264070019772598</v>
      </c>
      <c r="K6">
        <f>(SUM(HS!K8:K15)+Rules!$B$5*HS!K16+HS!K40)/(9+Rules!$B$5)</f>
        <v>-0.33774944037840804</v>
      </c>
    </row>
    <row r="7" spans="1:11" x14ac:dyDescent="0.2">
      <c r="A7">
        <v>7</v>
      </c>
      <c r="B7">
        <f>(SUM(HS!B9:B16)+Rules!$B$5*HS!B17+HS!B41)/(9+Rules!$B$5)</f>
        <v>-0.31007165033163697</v>
      </c>
      <c r="C7">
        <f>(SUM(HS!C9:C16)+Rules!$B$5*HS!C17+HS!C41)/(9+Rules!$B$5)</f>
        <v>-0.10918342786661633</v>
      </c>
      <c r="D7">
        <f>(SUM(HS!D9:D16)+Rules!$B$5*HS!D17+HS!D41)/(9+Rules!$B$5)</f>
        <v>-7.658298190446361E-2</v>
      </c>
      <c r="E7">
        <f>(SUM(HS!E9:E16)+Rules!$B$5*HS!E17+HS!E41)/(9+Rules!$B$5)</f>
        <v>-4.3021794004341876E-2</v>
      </c>
      <c r="F7">
        <f>(SUM(HS!F9:F16)+Rules!$B$5*HS!F17+HS!F41)/(9+Rules!$B$5)</f>
        <v>-7.2713609029408845E-3</v>
      </c>
      <c r="G7">
        <f>(SUM(HS!G9:G16)+Rules!$B$5*HS!G17+HS!G41)/(9+Rules!$B$5)</f>
        <v>2.9185342353860864E-2</v>
      </c>
      <c r="H7">
        <f>(SUM(HS!H9:H16)+Rules!$B$5*HS!H17+HS!H41)/(9+Rules!$B$5)</f>
        <v>-6.8807799580427764E-2</v>
      </c>
      <c r="I7">
        <f>(SUM(HS!I9:I16)+Rules!$B$5*HS!I17+HS!I41)/(9+Rules!$B$5)</f>
        <v>-0.21060476872434969</v>
      </c>
      <c r="J7">
        <f>(SUM(HS!J9:J16)+Rules!$B$5*HS!J17+HS!J41)/(9+Rules!$B$5)</f>
        <v>-0.28536544048687656</v>
      </c>
      <c r="K7">
        <f>(SUM(HS!K9:K16)+Rules!$B$5*HS!K17+HS!K41)/(9+Rules!$B$5)</f>
        <v>-0.31905479139833842</v>
      </c>
    </row>
    <row r="8" spans="1:11" x14ac:dyDescent="0.2">
      <c r="A8">
        <v>8</v>
      </c>
      <c r="B8">
        <f>(SUM(HS!B10:B17)+Rules!$B$5*HS!B18+HS!B42)/(9+Rules!$B$5)</f>
        <v>-0.1970288105741636</v>
      </c>
      <c r="C8">
        <f>(SUM(HS!C10:C17)+Rules!$B$5*HS!C18+HS!C42)/(9+Rules!$B$5)</f>
        <v>-2.1798188008805668E-2</v>
      </c>
      <c r="D8">
        <f>(SUM(HS!D10:D17)+Rules!$B$5*HS!D18+HS!D42)/(9+Rules!$B$5)</f>
        <v>8.0052625306546825E-3</v>
      </c>
      <c r="E8">
        <f>(SUM(HS!E10:E17)+Rules!$B$5*HS!E18+HS!E42)/(9+Rules!$B$5)</f>
        <v>3.8784473277208811E-2</v>
      </c>
      <c r="F8">
        <f>(SUM(HS!F10:F17)+Rules!$B$5*HS!F18+HS!F42)/(9+Rules!$B$5)</f>
        <v>7.0804635983033826E-2</v>
      </c>
      <c r="G8">
        <f>(SUM(HS!G10:G17)+Rules!$B$5*HS!G18+HS!G42)/(9+Rules!$B$5)</f>
        <v>0.11496015009622321</v>
      </c>
      <c r="H8">
        <f>(SUM(HS!H10:H17)+Rules!$B$5*HS!H18+HS!H42)/(9+Rules!$B$5)</f>
        <v>8.2207439363742862E-2</v>
      </c>
      <c r="I8">
        <f>(SUM(HS!I10:I17)+Rules!$B$5*HS!I18+HS!I42)/(9+Rules!$B$5)</f>
        <v>-5.9898275658656304E-2</v>
      </c>
      <c r="J8">
        <f>(SUM(HS!J10:J17)+Rules!$B$5*HS!J18+HS!J42)/(9+Rules!$B$5)</f>
        <v>-0.21018633199821757</v>
      </c>
      <c r="K8">
        <f>(SUM(HS!K10:K17)+Rules!$B$5*HS!K18+HS!K42)/(9+Rules!$B$5)</f>
        <v>-0.24937508055334259</v>
      </c>
    </row>
    <row r="9" spans="1:11" x14ac:dyDescent="0.2">
      <c r="A9">
        <v>9</v>
      </c>
      <c r="B9">
        <f>(SUM(HS!B11:B18)+Rules!$B$5*HS!B19+HS!B43)/(9+Rules!$B$5)</f>
        <v>-6.5680778778066204E-2</v>
      </c>
      <c r="C9">
        <f>(SUM(HS!C11:C18)+Rules!$B$5*HS!C19+HS!C43)/(9+Rules!$B$5)</f>
        <v>7.4446037576340524E-2</v>
      </c>
      <c r="D9">
        <f>(SUM(HS!D11:D18)+Rules!$B$5*HS!D19+HS!D43)/(9+Rules!$B$5)</f>
        <v>0.10126470173887674</v>
      </c>
      <c r="E9">
        <f>(SUM(HS!E11:E18)+Rules!$B$5*HS!E19+HS!E43)/(9+Rules!$B$5)</f>
        <v>0.12898088119574178</v>
      </c>
      <c r="F9">
        <f>(SUM(HS!F11:F18)+Rules!$B$5*HS!F19+HS!F43)/(9+Rules!$B$5)</f>
        <v>0.15803185626651736</v>
      </c>
      <c r="G9">
        <f>(SUM(HS!G11:G18)+Rules!$B$5*HS!G19+HS!G43)/(9+Rules!$B$5)</f>
        <v>0.19601883925727878</v>
      </c>
      <c r="H9">
        <f>(SUM(HS!H11:H18)+Rules!$B$5*HS!H19+HS!H43)/(9+Rules!$B$5)</f>
        <v>0.17186785993695267</v>
      </c>
      <c r="I9">
        <f>(SUM(HS!I11:I18)+Rules!$B$5*HS!I19+HS!I43)/(9+Rules!$B$5)</f>
        <v>9.8376217435392516E-2</v>
      </c>
      <c r="J9">
        <f>(SUM(HS!J11:J18)+Rules!$B$5*HS!J19+HS!J43)/(9+Rules!$B$5)</f>
        <v>-5.2178053462651669E-2</v>
      </c>
      <c r="K9">
        <f>(SUM(HS!K11:K18)+Rules!$B$5*HS!K19+HS!K43)/(9+Rules!$B$5)</f>
        <v>-0.15295298487455075</v>
      </c>
    </row>
    <row r="10" spans="1:11" x14ac:dyDescent="0.2">
      <c r="A10">
        <v>10</v>
      </c>
      <c r="B10">
        <f>(SUM(HS!B12:B19)+Rules!$B$5*HS!B20+HS!B44)/(9+Rules!$B$5)</f>
        <v>8.1449707945275923E-2</v>
      </c>
      <c r="C10">
        <f>(SUM(HS!C12:C19)+Rules!$B$5*HS!C20+HS!C44)/(9+Rules!$B$5)</f>
        <v>0.18249999400904487</v>
      </c>
      <c r="D10">
        <f>(SUM(HS!D12:D19)+Rules!$B$5*HS!D20+HS!D44)/(9+Rules!$B$5)</f>
        <v>0.20608797581394089</v>
      </c>
      <c r="E10">
        <f>(SUM(HS!E12:E19)+Rules!$B$5*HS!E20+HS!E44)/(9+Rules!$B$5)</f>
        <v>0.230470121897177</v>
      </c>
      <c r="F10">
        <f>(SUM(HS!F12:F19)+Rules!$B$5*HS!F20+HS!F44)/(9+Rules!$B$5)</f>
        <v>0.25625855450163387</v>
      </c>
      <c r="G10">
        <f>(SUM(HS!G12:G19)+Rules!$B$5*HS!G20+HS!G44)/(9+Rules!$B$5)</f>
        <v>0.28779508429888429</v>
      </c>
      <c r="H10">
        <f>(SUM(HS!H12:H19)+Rules!$B$5*HS!H20+HS!H44)/(9+Rules!$B$5)</f>
        <v>0.25690874433608657</v>
      </c>
      <c r="I10">
        <f>(SUM(HS!I12:I19)+Rules!$B$5*HS!I20+HS!I44)/(9+Rules!$B$5)</f>
        <v>0.19795370833197609</v>
      </c>
      <c r="J10">
        <f>(SUM(HS!J12:J19)+Rules!$B$5*HS!J20+HS!J44)/(9+Rules!$B$5)</f>
        <v>0.1165295910692839</v>
      </c>
      <c r="K10">
        <f>(SUM(HS!K12:K19)+Rules!$B$5*HS!K20+HS!K44)/(9+Rules!$B$5)</f>
        <v>2.5308523040868145E-2</v>
      </c>
    </row>
    <row r="11" spans="1:11" x14ac:dyDescent="0.2">
      <c r="A11">
        <v>11</v>
      </c>
      <c r="B11">
        <f>(SUM(HS!B12:B20)+Rules!$B$5*HS!B21)/(9+Rules!$B$5)</f>
        <v>0.14300128216153027</v>
      </c>
      <c r="C11">
        <f>(SUM(HS!C12:C20)+Rules!$B$5*HS!C21)/(9+Rules!$B$5)</f>
        <v>0.2383507494576298</v>
      </c>
      <c r="D11">
        <f>(SUM(HS!D12:D20)+Rules!$B$5*HS!D21)/(9+Rules!$B$5)</f>
        <v>0.26032526728707961</v>
      </c>
      <c r="E11">
        <f>(SUM(HS!E12:E20)+Rules!$B$5*HS!E21)/(9+Rules!$B$5)</f>
        <v>0.28302027520898798</v>
      </c>
      <c r="F11">
        <f>(SUM(HS!F12:F20)+Rules!$B$5*HS!F21)/(9+Rules!$B$5)</f>
        <v>0.30734950895451402</v>
      </c>
      <c r="G11">
        <f>(SUM(HS!G12:G20)+Rules!$B$5*HS!G21)/(9+Rules!$B$5)</f>
        <v>0.33369004745378472</v>
      </c>
      <c r="H11">
        <f>(SUM(HS!H12:H20)+Rules!$B$5*HS!H21)/(9+Rules!$B$5)</f>
        <v>0.29214699112701309</v>
      </c>
      <c r="I11">
        <f>(SUM(HS!I12:I20)+Rules!$B$5*HS!I21)/(9+Rules!$B$5)</f>
        <v>0.22998214532399169</v>
      </c>
      <c r="J11">
        <f>(SUM(HS!J12:J20)+Rules!$B$5*HS!J21)/(9+Rules!$B$5)</f>
        <v>0.15825711845512572</v>
      </c>
      <c r="K11">
        <f>(SUM(HS!K12:K20)+Rules!$B$5*HS!K21)/(9+Rules!$B$5)</f>
        <v>0.11948223076371363</v>
      </c>
    </row>
    <row r="12" spans="1:11" x14ac:dyDescent="0.2">
      <c r="A12">
        <v>12</v>
      </c>
      <c r="B12">
        <f>(SUM(HS!B13:B21)+Rules!$B$5*HS!B22)/(9+Rules!$B$5)</f>
        <v>-0.35054034044008009</v>
      </c>
      <c r="C12">
        <f>(SUM(HS!C13:C21)+Rules!$B$5*HS!C22)/(9+Rules!$B$5)</f>
        <v>-0.25338998596663809</v>
      </c>
      <c r="D12">
        <f>(SUM(HS!D13:D21)+Rules!$B$5*HS!D22)/(9+Rules!$B$5)</f>
        <v>-0.2336908997980866</v>
      </c>
      <c r="E12">
        <f>(SUM(HS!E13:E21)+Rules!$B$5*HS!E22)/(9+Rules!$B$5)</f>
        <v>-0.21353655324507695</v>
      </c>
      <c r="F12">
        <f>(SUM(HS!F13:F21)+Rules!$B$5*HS!F22)/(9+Rules!$B$5)</f>
        <v>-0.19327116942628339</v>
      </c>
      <c r="G12">
        <f>(SUM(HS!G13:G21)+Rules!$B$5*HS!G22)/(9+Rules!$B$5)</f>
        <v>-0.17052619990757953</v>
      </c>
      <c r="H12">
        <f>(SUM(HS!H13:H21)+Rules!$B$5*HS!H22)/(9+Rules!$B$5)</f>
        <v>-0.21284771451731424</v>
      </c>
      <c r="I12">
        <f>(SUM(HS!I13:I21)+Rules!$B$5*HS!I22)/(9+Rules!$B$5)</f>
        <v>-0.27157480502428616</v>
      </c>
      <c r="J12">
        <f>(SUM(HS!J13:J21)+Rules!$B$5*HS!J22)/(9+Rules!$B$5)</f>
        <v>-0.3400132806089356</v>
      </c>
      <c r="K12">
        <f>(SUM(HS!K13:K21)+Rules!$B$5*HS!K22)/(9+Rules!$B$5)</f>
        <v>-0.38104299284808768</v>
      </c>
    </row>
    <row r="13" spans="1:11" x14ac:dyDescent="0.2">
      <c r="A13">
        <v>13</v>
      </c>
      <c r="B13">
        <f>(SUM(HS!B14:B22)+Rules!$B$5*HS!B23)/(9+Rules!$B$5)</f>
        <v>-0.3969303161229315</v>
      </c>
      <c r="C13">
        <f>(SUM(HS!C14:C22)+Rules!$B$5*HS!C23)/(9+Rules!$B$5)</f>
        <v>-0.30779123771977057</v>
      </c>
      <c r="D13">
        <f>(SUM(HS!D14:D22)+Rules!$B$5*HS!D23)/(9+Rules!$B$5)</f>
        <v>-0.29121011293380095</v>
      </c>
      <c r="E13">
        <f>(SUM(HS!E14:E22)+Rules!$B$5*HS!E23)/(9+Rules!$B$5)</f>
        <v>-0.27422400639931432</v>
      </c>
      <c r="F13">
        <f>(SUM(HS!F14:F22)+Rules!$B$5*HS!F23)/(9+Rules!$B$5)</f>
        <v>-0.25733327243893911</v>
      </c>
      <c r="G13">
        <f>(SUM(HS!G14:G22)+Rules!$B$5*HS!G23)/(9+Rules!$B$5)</f>
        <v>-0.23562627561296379</v>
      </c>
      <c r="H13">
        <f>(SUM(HS!H14:H22)+Rules!$B$5*HS!H23)/(9+Rules!$B$5)</f>
        <v>-0.26907287776607752</v>
      </c>
      <c r="I13">
        <f>(SUM(HS!I14:I22)+Rules!$B$5*HS!I23)/(9+Rules!$B$5)</f>
        <v>-0.32360517609397998</v>
      </c>
      <c r="J13">
        <f>(SUM(HS!J14:J22)+Rules!$B$5*HS!J23)/(9+Rules!$B$5)</f>
        <v>-0.38715518913686875</v>
      </c>
      <c r="K13">
        <f>(SUM(HS!K14:K22)+Rules!$B$5*HS!K23)/(9+Rules!$B$5)</f>
        <v>-0.42525420764465277</v>
      </c>
    </row>
    <row r="14" spans="1:11" x14ac:dyDescent="0.2">
      <c r="A14">
        <v>14</v>
      </c>
      <c r="B14">
        <f>(SUM(HS!B15:B23)+Rules!$B$5*HS!B24)/(9+Rules!$B$5)</f>
        <v>-0.44000672211415065</v>
      </c>
      <c r="C14">
        <f>(SUM(HS!C15:C23)+Rules!$B$5*HS!C24)/(9+Rules!$B$5)</f>
        <v>-0.36219248947290311</v>
      </c>
      <c r="D14">
        <f>(SUM(HS!D15:D23)+Rules!$B$5*HS!D24)/(9+Rules!$B$5)</f>
        <v>-0.34872932606951529</v>
      </c>
      <c r="E14">
        <f>(SUM(HS!E15:E23)+Rules!$B$5*HS!E24)/(9+Rules!$B$5)</f>
        <v>-0.33491145955355167</v>
      </c>
      <c r="F14">
        <f>(SUM(HS!F15:F23)+Rules!$B$5*HS!F24)/(9+Rules!$B$5)</f>
        <v>-0.32139537545159491</v>
      </c>
      <c r="G14">
        <f>(SUM(HS!G15:G23)+Rules!$B$5*HS!G24)/(9+Rules!$B$5)</f>
        <v>-0.30072635131834807</v>
      </c>
      <c r="H14">
        <f>(SUM(HS!H15:H23)+Rules!$B$5*HS!H24)/(9+Rules!$B$5)</f>
        <v>-0.3212819579256434</v>
      </c>
      <c r="I14">
        <f>(SUM(HS!I15:I23)+Rules!$B$5*HS!I24)/(9+Rules!$B$5)</f>
        <v>-0.37191909208726714</v>
      </c>
      <c r="J14">
        <f>(SUM(HS!J15:J23)+Rules!$B$5*HS!J24)/(9+Rules!$B$5)</f>
        <v>-0.43092981848423528</v>
      </c>
      <c r="K14">
        <f>(SUM(HS!K15:K23)+Rules!$B$5*HS!K24)/(9+Rules!$B$5)</f>
        <v>-0.46630747852717758</v>
      </c>
    </row>
    <row r="15" spans="1:11" x14ac:dyDescent="0.2">
      <c r="A15">
        <v>15</v>
      </c>
      <c r="B15">
        <f>(SUM(HS!B16:B24)+Rules!$B$5*HS!B25)/(9+Rules!$B$5)</f>
        <v>-0.4800062419631399</v>
      </c>
      <c r="C15">
        <f>(SUM(HS!C16:C24)+Rules!$B$5*HS!C25)/(9+Rules!$B$5)</f>
        <v>-0.4165937412260356</v>
      </c>
      <c r="D15">
        <f>(SUM(HS!D16:D24)+Rules!$B$5*HS!D25)/(9+Rules!$B$5)</f>
        <v>-0.40624853920522963</v>
      </c>
      <c r="E15">
        <f>(SUM(HS!E16:E24)+Rules!$B$5*HS!E25)/(9+Rules!$B$5)</f>
        <v>-0.39559891270778902</v>
      </c>
      <c r="F15">
        <f>(SUM(HS!F16:F24)+Rules!$B$5*HS!F25)/(9+Rules!$B$5)</f>
        <v>-0.38545747846425066</v>
      </c>
      <c r="G15">
        <f>(SUM(HS!G16:G24)+Rules!$B$5*HS!G25)/(9+Rules!$B$5)</f>
        <v>-0.36582642702373236</v>
      </c>
      <c r="H15">
        <f>(SUM(HS!H16:H24)+Rules!$B$5*HS!H25)/(9+Rules!$B$5)</f>
        <v>-0.36976181807381175</v>
      </c>
      <c r="I15">
        <f>(SUM(HS!I16:I24)+Rules!$B$5*HS!I25)/(9+Rules!$B$5)</f>
        <v>-0.41678201408103371</v>
      </c>
      <c r="J15">
        <f>(SUM(HS!J16:J24)+Rules!$B$5*HS!J25)/(9+Rules!$B$5)</f>
        <v>-0.47157768859250415</v>
      </c>
      <c r="K15">
        <f>(SUM(HS!K16:K24)+Rules!$B$5*HS!K25)/(9+Rules!$B$5)</f>
        <v>-0.5044283729180935</v>
      </c>
    </row>
    <row r="16" spans="1:11" x14ac:dyDescent="0.2">
      <c r="A16">
        <v>16</v>
      </c>
      <c r="B16">
        <f>(SUM(HS!B17:B25)+Rules!$B$5*HS!B26)/(9+Rules!$B$5)</f>
        <v>-0.51714865325148707</v>
      </c>
      <c r="C16">
        <f>(SUM(HS!C17:C25)+Rules!$B$5*HS!C26)/(9+Rules!$B$5)</f>
        <v>-0.47099499297916808</v>
      </c>
      <c r="D16">
        <f>(SUM(HS!D17:D25)+Rules!$B$5*HS!D26)/(9+Rules!$B$5)</f>
        <v>-0.46376775234094403</v>
      </c>
      <c r="E16">
        <f>(SUM(HS!E17:E25)+Rules!$B$5*HS!E26)/(9+Rules!$B$5)</f>
        <v>-0.45628636586202637</v>
      </c>
      <c r="F16">
        <f>(SUM(HS!F17:F25)+Rules!$B$5*HS!F26)/(9+Rules!$B$5)</f>
        <v>-0.4495195814769064</v>
      </c>
      <c r="G16">
        <f>(SUM(HS!G17:G25)+Rules!$B$5*HS!G26)/(9+Rules!$B$5)</f>
        <v>-0.43092650272911659</v>
      </c>
      <c r="H16">
        <f>(SUM(HS!H17:H25)+Rules!$B$5*HS!H26)/(9+Rules!$B$5)</f>
        <v>-0.41477883106853947</v>
      </c>
      <c r="I16">
        <f>(SUM(HS!I17:I25)+Rules!$B$5*HS!I26)/(9+Rules!$B$5)</f>
        <v>-0.45844044164667419</v>
      </c>
      <c r="J16">
        <f>(SUM(HS!J17:J25)+Rules!$B$5*HS!J26)/(9+Rules!$B$5)</f>
        <v>-0.50932213940732529</v>
      </c>
      <c r="K16">
        <f>(SUM(HS!K17:K25)+Rules!$B$5*HS!K26)/(9+Rules!$B$5)</f>
        <v>-0.53982634628108683</v>
      </c>
    </row>
    <row r="17" spans="1:11" x14ac:dyDescent="0.2">
      <c r="A17">
        <v>17</v>
      </c>
      <c r="B17">
        <f>(SUM(HS!B18:B26)+Rules!$B$5*HS!B27)/(9+Rules!$B$5)</f>
        <v>-0.55729992440573806</v>
      </c>
      <c r="C17">
        <f>(SUM(HS!C18:C26)+Rules!$B$5*HS!C27)/(9+Rules!$B$5)</f>
        <v>-0.53615079392674181</v>
      </c>
      <c r="D17">
        <f>(SUM(HS!D18:D26)+Rules!$B$5*HS!D27)/(9+Rules!$B$5)</f>
        <v>-0.53167419530828453</v>
      </c>
      <c r="E17">
        <f>(SUM(HS!E18:E26)+Rules!$B$5*HS!E27)/(9+Rules!$B$5)</f>
        <v>-0.52701149100469435</v>
      </c>
      <c r="F17">
        <f>(SUM(HS!F18:F26)+Rules!$B$5*HS!F27)/(9+Rules!$B$5)</f>
        <v>-0.52298562951037375</v>
      </c>
      <c r="G17">
        <f>(SUM(HS!G18:G26)+Rules!$B$5*HS!G27)/(9+Rules!$B$5)</f>
        <v>-0.50875259201168133</v>
      </c>
      <c r="H17">
        <f>(SUM(HS!H18:H26)+Rules!$B$5*HS!H27)/(9+Rules!$B$5)</f>
        <v>-0.48348583187756294</v>
      </c>
      <c r="I17">
        <f>(SUM(HS!I18:I26)+Rules!$B$5*HS!I27)/(9+Rules!$B$5)</f>
        <v>-0.50598267464294744</v>
      </c>
      <c r="J17">
        <f>(SUM(HS!J18:J26)+Rules!$B$5*HS!J27)/(9+Rules!$B$5)</f>
        <v>-0.55369489020384699</v>
      </c>
      <c r="K17">
        <f>(SUM(HS!K18:K26)+Rules!$B$5*HS!K27)/(9+Rules!$B$5)</f>
        <v>-0.5844632205942546</v>
      </c>
    </row>
    <row r="18" spans="1:11" x14ac:dyDescent="0.2">
      <c r="A18">
        <v>18</v>
      </c>
      <c r="B18">
        <f>(SUM(HS!B19:B27)+Rules!$B$5*HS!B28)/(9+Rules!$B$5)</f>
        <v>-0.62651539551241564</v>
      </c>
      <c r="C18">
        <f>(SUM(HS!C19:C27)+Rules!$B$5*HS!C28)/(9+Rules!$B$5)</f>
        <v>-0.62243863255911769</v>
      </c>
      <c r="D18">
        <f>(SUM(HS!D19:D27)+Rules!$B$5*HS!D28)/(9+Rules!$B$5)</f>
        <v>-0.62000497014223144</v>
      </c>
      <c r="E18">
        <f>(SUM(HS!E19:E27)+Rules!$B$5*HS!E28)/(9+Rules!$B$5)</f>
        <v>-0.6174618323275779</v>
      </c>
      <c r="F18">
        <f>(SUM(HS!F19:F27)+Rules!$B$5*HS!F28)/(9+Rules!$B$5)</f>
        <v>-0.6152595675854643</v>
      </c>
      <c r="G18">
        <f>(SUM(HS!G19:G27)+Rules!$B$5*HS!G28)/(9+Rules!$B$5)</f>
        <v>-0.60747904709221201</v>
      </c>
      <c r="H18">
        <f>(SUM(HS!H19:H27)+Rules!$B$5*HS!H28)/(9+Rules!$B$5)</f>
        <v>-0.59114384474960535</v>
      </c>
      <c r="I18">
        <f>(SUM(HS!I19:I27)+Rules!$B$5*HS!I28)/(9+Rules!$B$5)</f>
        <v>-0.59105585530595706</v>
      </c>
      <c r="J18">
        <f>(SUM(HS!J19:J27)+Rules!$B$5*HS!J28)/(9+Rules!$B$5)</f>
        <v>-0.61652847815204459</v>
      </c>
      <c r="K18">
        <f>(SUM(HS!K19:K27)+Rules!$B$5*HS!K28)/(9+Rules!$B$5)</f>
        <v>-0.64767081799452453</v>
      </c>
    </row>
    <row r="19" spans="1:11" x14ac:dyDescent="0.2">
      <c r="A19">
        <v>19</v>
      </c>
      <c r="B19">
        <f>(SUM(HS!B20:B28)+Rules!$B$5*HS!B29)/(9+Rules!$B$5)</f>
        <v>-0.72479506657152004</v>
      </c>
      <c r="C19">
        <f>(SUM(HS!C20:C28)+Rules!$B$5*HS!C29)/(9+Rules!$B$5)</f>
        <v>-0.72907745456070161</v>
      </c>
      <c r="D19">
        <f>(SUM(HS!D20:D28)+Rules!$B$5*HS!D29)/(9+Rules!$B$5)</f>
        <v>-0.72803288834205915</v>
      </c>
      <c r="E19">
        <f>(SUM(HS!E20:E28)+Rules!$B$5*HS!E29)/(9+Rules!$B$5)</f>
        <v>-0.72693713423738526</v>
      </c>
      <c r="F19">
        <f>(SUM(HS!F20:F28)+Rules!$B$5*HS!F29)/(9+Rules!$B$5)</f>
        <v>-0.72599126790553226</v>
      </c>
      <c r="G19">
        <f>(SUM(HS!G20:G28)+Rules!$B$5*HS!G29)/(9+Rules!$B$5)</f>
        <v>-0.72255420661431358</v>
      </c>
      <c r="H19">
        <f>(SUM(HS!H20:H28)+Rules!$B$5*HS!H29)/(9+Rules!$B$5)</f>
        <v>-0.71544972903833093</v>
      </c>
      <c r="I19">
        <f>(SUM(HS!I20:I28)+Rules!$B$5*HS!I29)/(9+Rules!$B$5)</f>
        <v>-0.71365998363570271</v>
      </c>
      <c r="J19">
        <f>(SUM(HS!J20:J28)+Rules!$B$5*HS!J29)/(9+Rules!$B$5)</f>
        <v>-0.71557438254185846</v>
      </c>
      <c r="K19">
        <f>(SUM(HS!K20:K28)+Rules!$B$5*HS!K29)/(9+Rules!$B$5)</f>
        <v>-0.72944913848189696</v>
      </c>
    </row>
    <row r="20" spans="1:11" x14ac:dyDescent="0.2">
      <c r="A20">
        <v>20</v>
      </c>
      <c r="B20">
        <f>(SUM(HS!B21:B29)+Rules!$B$5*HS!B30)/(9+Rules!$B$5)</f>
        <v>-0.85213893758305082</v>
      </c>
      <c r="C20">
        <f>(SUM(HS!C21:C29)+Rules!$B$5*HS!C30)/(9+Rules!$B$5)</f>
        <v>-0.85523026803891988</v>
      </c>
      <c r="D20">
        <f>(SUM(HS!D21:D29)+Rules!$B$5*HS!D30)/(9+Rules!$B$5)</f>
        <v>-0.85497689559217327</v>
      </c>
      <c r="E20">
        <f>(SUM(HS!E21:E29)+Rules!$B$5*HS!E30)/(9+Rules!$B$5)</f>
        <v>-0.85471020823339083</v>
      </c>
      <c r="F20">
        <f>(SUM(HS!F21:F29)+Rules!$B$5*HS!F30)/(9+Rules!$B$5)</f>
        <v>-0.85448047487728607</v>
      </c>
      <c r="G20">
        <f>(SUM(HS!G21:G29)+Rules!$B$5*HS!G30)/(9+Rules!$B$5)</f>
        <v>-0.85362794278133991</v>
      </c>
      <c r="H20">
        <f>(SUM(HS!H21:H29)+Rules!$B$5*HS!H30)/(9+Rules!$B$5)</f>
        <v>-0.85185182338734444</v>
      </c>
      <c r="I20">
        <f>(SUM(HS!I21:I29)+Rules!$B$5*HS!I30)/(9+Rules!$B$5)</f>
        <v>-0.85149191898584875</v>
      </c>
      <c r="J20">
        <f>(SUM(HS!J21:J29)+Rules!$B$5*HS!J30)/(9+Rules!$B$5)</f>
        <v>-0.85083260337328892</v>
      </c>
      <c r="K20">
        <f>(SUM(HS!K21:K29)+Rules!$B$5*HS!K30)/(9+Rules!$B$5)</f>
        <v>-0.84902895128714095</v>
      </c>
    </row>
    <row r="21" spans="1:11" x14ac:dyDescent="0.2">
      <c r="A21">
        <v>21</v>
      </c>
      <c r="B21">
        <f>(SUM(HS!B22:B30)+Rules!$B$5*HS!B31)/(9+Rules!$B$5)</f>
        <v>-1</v>
      </c>
      <c r="C21">
        <f>(SUM(HS!C22:C30)+Rules!$B$5*HS!C31)/(9+Rules!$B$5)</f>
        <v>-1</v>
      </c>
      <c r="D21">
        <f>(SUM(HS!D22:D30)+Rules!$B$5*HS!D31)/(9+Rules!$B$5)</f>
        <v>-1</v>
      </c>
      <c r="E21">
        <f>(SUM(HS!E22:E30)+Rules!$B$5*HS!E31)/(9+Rules!$B$5)</f>
        <v>-1</v>
      </c>
      <c r="F21">
        <f>(SUM(HS!F22:F30)+Rules!$B$5*HS!F31)/(9+Rules!$B$5)</f>
        <v>-1</v>
      </c>
      <c r="G21">
        <f>(SUM(HS!G22:G30)+Rules!$B$5*HS!G31)/(9+Rules!$B$5)</f>
        <v>-1</v>
      </c>
      <c r="H21">
        <f>(SUM(HS!H22:H30)+Rules!$B$5*HS!H31)/(9+Rules!$B$5)</f>
        <v>-1</v>
      </c>
      <c r="I21">
        <f>(SUM(HS!I22:I30)+Rules!$B$5*HS!I31)/(9+Rules!$B$5)</f>
        <v>-1</v>
      </c>
      <c r="J21">
        <f>(SUM(HS!J22:J30)+Rules!$B$5*HS!J31)/(9+Rules!$B$5)</f>
        <v>-1</v>
      </c>
      <c r="K21">
        <f>(SUM(HS!K22:K30)+Rules!$B$5*HS!K31)/(9+Rules!$B$5)</f>
        <v>-1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(SUM(HS!B35:B43)+Rules!$B$5*HS!B44)/(9+Rules!$B$5)</f>
        <v>0.29861942370404337</v>
      </c>
      <c r="C34">
        <f>(SUM(HS!C35:C43)+Rules!$B$5*HS!C44)/(9+Rules!$B$5)</f>
        <v>0.3696374242362967</v>
      </c>
      <c r="D34">
        <f>(SUM(HS!D35:D43)+Rules!$B$5*HS!D44)/(9+Rules!$B$5)</f>
        <v>0.38767410174512951</v>
      </c>
      <c r="E34">
        <f>(SUM(HS!E35:E43)+Rules!$B$5*HS!E44)/(9+Rules!$B$5)</f>
        <v>0.40637639293641487</v>
      </c>
      <c r="F34">
        <f>(SUM(HS!F35:F43)+Rules!$B$5*HS!F44)/(9+Rules!$B$5)</f>
        <v>0.42575273133176267</v>
      </c>
      <c r="G34">
        <f>(SUM(HS!G35:G43)+Rules!$B$5*HS!G44)/(9+Rules!$B$5)</f>
        <v>0.45589668319225651</v>
      </c>
      <c r="H34">
        <f>(SUM(HS!H35:H43)+Rules!$B$5*HS!H44)/(9+Rules!$B$5)</f>
        <v>0.45736852128859351</v>
      </c>
      <c r="I34">
        <f>(SUM(HS!I35:I43)+Rules!$B$5*HS!I44)/(9+Rules!$B$5)</f>
        <v>0.40074805174057648</v>
      </c>
      <c r="J34">
        <f>(SUM(HS!J35:J43)+Rules!$B$5*HS!J44)/(9+Rules!$B$5)</f>
        <v>0.32142328174266549</v>
      </c>
      <c r="K34">
        <f>(SUM(HS!K35:K43)+Rules!$B$5*HS!K44)/(9+Rules!$B$5)</f>
        <v>0.26400071601402691</v>
      </c>
    </row>
    <row r="35" spans="1:11" x14ac:dyDescent="0.2">
      <c r="A35">
        <v>12</v>
      </c>
      <c r="B35">
        <f>(SUM(HS!B36:B44)+Rules!$B$5*HS!B45)/(9+Rules!$B$5)</f>
        <v>-2.0477877704912145E-2</v>
      </c>
      <c r="C35">
        <f>(SUM(HS!C36:C44)+Rules!$B$5*HS!C45)/(9+Rules!$B$5)</f>
        <v>8.1836216051656044E-2</v>
      </c>
      <c r="D35">
        <f>(SUM(HS!D36:D44)+Rules!$B$5*HS!D45)/(9+Rules!$B$5)</f>
        <v>0.10350704654207775</v>
      </c>
      <c r="E35">
        <f>(SUM(HS!E36:E44)+Rules!$B$5*HS!E45)/(9+Rules!$B$5)</f>
        <v>0.12659562809256977</v>
      </c>
      <c r="F35">
        <f>(SUM(HS!F36:F44)+Rules!$B$5*HS!F45)/(9+Rules!$B$5)</f>
        <v>0.15648238458465519</v>
      </c>
      <c r="G35">
        <f>(SUM(HS!G36:G44)+Rules!$B$5*HS!G45)/(9+Rules!$B$5)</f>
        <v>0.18595361333225549</v>
      </c>
      <c r="H35">
        <f>(SUM(HS!H36:H44)+Rules!$B$5*HS!H45)/(9+Rules!$B$5)</f>
        <v>0.16547293077063496</v>
      </c>
      <c r="I35">
        <f>(SUM(HS!I36:I44)+Rules!$B$5*HS!I45)/(9+Rules!$B$5)</f>
        <v>9.5115020927032265E-2</v>
      </c>
      <c r="J35">
        <f>(SUM(HS!J36:J44)+Rules!$B$5*HS!J45)/(9+Rules!$B$5)</f>
        <v>6.5790841226914386E-5</v>
      </c>
      <c r="K35">
        <f>(SUM(HS!K36:K44)+Rules!$B$5*HS!K45)/(9+Rules!$B$5)</f>
        <v>-7.0002397357964694E-2</v>
      </c>
    </row>
    <row r="36" spans="1:11" x14ac:dyDescent="0.2">
      <c r="A36">
        <v>13</v>
      </c>
      <c r="B36">
        <f>(SUM(HS!B37:B45)+Rules!$B$5*HS!B46)/(9+Rules!$B$5)</f>
        <v>-5.7308046666810254E-2</v>
      </c>
      <c r="C36">
        <f>(SUM(HS!C37:C45)+Rules!$B$5*HS!C46)/(9+Rules!$B$5)</f>
        <v>4.6636132695309578E-2</v>
      </c>
      <c r="D36">
        <f>(SUM(HS!D37:D45)+Rules!$B$5*HS!D46)/(9+Rules!$B$5)</f>
        <v>7.4118813392744051E-2</v>
      </c>
      <c r="E36">
        <f>(SUM(HS!E37:E45)+Rules!$B$5*HS!E46)/(9+Rules!$B$5)</f>
        <v>0.10247714687203523</v>
      </c>
      <c r="F36">
        <f>(SUM(HS!F37:F45)+Rules!$B$5*HS!F46)/(9+Rules!$B$5)</f>
        <v>0.13336273848321728</v>
      </c>
      <c r="G36">
        <f>(SUM(HS!G37:G45)+Rules!$B$5*HS!G46)/(9+Rules!$B$5)</f>
        <v>0.16169271124923693</v>
      </c>
      <c r="H36">
        <f>(SUM(HS!H37:H45)+Rules!$B$5*HS!H46)/(9+Rules!$B$5)</f>
        <v>0.12238569517899196</v>
      </c>
      <c r="I36">
        <f>(SUM(HS!I37:I45)+Rules!$B$5*HS!I46)/(9+Rules!$B$5)</f>
        <v>5.4057070196311299E-2</v>
      </c>
      <c r="J36">
        <f>(SUM(HS!J37:J45)+Rules!$B$5*HS!J46)/(9+Rules!$B$5)</f>
        <v>-3.7694688127479885E-2</v>
      </c>
      <c r="K36">
        <f>(SUM(HS!K37:K45)+Rules!$B$5*HS!K46)/(9+Rules!$B$5)</f>
        <v>-0.10485135840627779</v>
      </c>
    </row>
    <row r="37" spans="1:11" x14ac:dyDescent="0.2">
      <c r="A37">
        <v>14</v>
      </c>
      <c r="B37">
        <f>(SUM(HS!B38:B46)+Rules!$B$5*HS!B47)/(9+Rules!$B$5)</f>
        <v>-9.3874324768310105E-2</v>
      </c>
      <c r="C37">
        <f>(SUM(HS!C38:C46)+Rules!$B$5*HS!C47)/(9+Rules!$B$5)</f>
        <v>2.2391856987839083E-2</v>
      </c>
      <c r="D37">
        <f>(SUM(HS!D38:D46)+Rules!$B$5*HS!D47)/(9+Rules!$B$5)</f>
        <v>5.0806738919282814E-2</v>
      </c>
      <c r="E37">
        <f>(SUM(HS!E38:E46)+Rules!$B$5*HS!E47)/(9+Rules!$B$5)</f>
        <v>8.0081414310110233E-2</v>
      </c>
      <c r="F37">
        <f>(SUM(HS!F38:F46)+Rules!$B$5*HS!F47)/(9+Rules!$B$5)</f>
        <v>0.11189449567473925</v>
      </c>
      <c r="G37">
        <f>(SUM(HS!G38:G46)+Rules!$B$5*HS!G47)/(9+Rules!$B$5)</f>
        <v>0.1391647307435768</v>
      </c>
      <c r="H37">
        <f>(SUM(HS!H38:H46)+Rules!$B$5*HS!H47)/(9+Rules!$B$5)</f>
        <v>7.9507488494468148E-2</v>
      </c>
      <c r="I37">
        <f>(SUM(HS!I38:I46)+Rules!$B$5*HS!I47)/(9+Rules!$B$5)</f>
        <v>1.3277219463208444E-2</v>
      </c>
      <c r="J37">
        <f>(SUM(HS!J38:J46)+Rules!$B$5*HS!J47)/(9+Rules!$B$5)</f>
        <v>-7.516318944168382E-2</v>
      </c>
      <c r="K37">
        <f>(SUM(HS!K38:K46)+Rules!$B$5*HS!K47)/(9+Rules!$B$5)</f>
        <v>-0.13946678217545452</v>
      </c>
    </row>
    <row r="38" spans="1:11" x14ac:dyDescent="0.2">
      <c r="A38">
        <v>15</v>
      </c>
      <c r="B38">
        <f>(SUM(HS!B39:B47)+Rules!$B$5*HS!B48)/(9+Rules!$B$5)</f>
        <v>-0.13002650167843849</v>
      </c>
      <c r="C38">
        <f>(SUM(HS!C39:C47)+Rules!$B$5*HS!C48)/(9+Rules!$B$5)</f>
        <v>-1.2068474052636583E-4</v>
      </c>
      <c r="D38">
        <f>(SUM(HS!D39:D47)+Rules!$B$5*HS!D48)/(9+Rules!$B$5)</f>
        <v>2.9159812622497363E-2</v>
      </c>
      <c r="E38">
        <f>(SUM(HS!E39:E47)+Rules!$B$5*HS!E48)/(9+Rules!$B$5)</f>
        <v>5.9285376931179926E-2</v>
      </c>
      <c r="F38">
        <f>(SUM(HS!F39:F47)+Rules!$B$5*HS!F48)/(9+Rules!$B$5)</f>
        <v>9.1959698781152482E-2</v>
      </c>
      <c r="G38">
        <f>(SUM(HS!G39:G47)+Rules!$B$5*HS!G48)/(9+Rules!$B$5)</f>
        <v>0.11824589170260671</v>
      </c>
      <c r="H38">
        <f>(SUM(HS!H39:H47)+Rules!$B$5*HS!H48)/(9+Rules!$B$5)</f>
        <v>3.7028282279269235E-2</v>
      </c>
      <c r="I38">
        <f>(SUM(HS!I39:I47)+Rules!$B$5*HS!I48)/(9+Rules!$B$5)</f>
        <v>-2.7054780502901672E-2</v>
      </c>
      <c r="J38">
        <f>(SUM(HS!J39:J47)+Rules!$B$5*HS!J48)/(9+Rules!$B$5)</f>
        <v>-0.11218876868994289</v>
      </c>
      <c r="K38">
        <f>(SUM(HS!K39:K47)+Rules!$B$5*HS!K48)/(9+Rules!$B$5)</f>
        <v>-0.17370423031226784</v>
      </c>
    </row>
    <row r="39" spans="1:11" x14ac:dyDescent="0.2">
      <c r="A39">
        <v>16</v>
      </c>
      <c r="B39">
        <f>(SUM(HS!B40:B48)+Rules!$B$5*HS!B49)/(9+Rules!$B$5)</f>
        <v>-0.16563717206687348</v>
      </c>
      <c r="C39">
        <f>(SUM(HS!C40:C48)+Rules!$B$5*HS!C49)/(9+Rules!$B$5)</f>
        <v>-2.1025187774008566E-2</v>
      </c>
      <c r="D39">
        <f>(SUM(HS!D40:D48)+Rules!$B$5*HS!D49)/(9+Rules!$B$5)</f>
        <v>9.0590953469108244E-3</v>
      </c>
      <c r="E39">
        <f>(SUM(HS!E40:E48)+Rules!$B$5*HS!E49)/(9+Rules!$B$5)</f>
        <v>3.9974770793601705E-2</v>
      </c>
      <c r="F39">
        <f>(SUM(HS!F40:F48)+Rules!$B$5*HS!F49)/(9+Rules!$B$5)</f>
        <v>7.3448815951393354E-2</v>
      </c>
      <c r="G39">
        <f>(SUM(HS!G40:G48)+Rules!$B$5*HS!G49)/(9+Rules!$B$5)</f>
        <v>9.8821255450277368E-2</v>
      </c>
      <c r="H39">
        <f>(SUM(HS!H40:H48)+Rules!$B$5*HS!H49)/(9+Rules!$B$5)</f>
        <v>-4.8901571730158942E-3</v>
      </c>
      <c r="I39">
        <f>(SUM(HS!I40:I48)+Rules!$B$5*HS!I49)/(9+Rules!$B$5)</f>
        <v>-6.6794847920094103E-2</v>
      </c>
      <c r="J39">
        <f>(SUM(HS!J40:J48)+Rules!$B$5*HS!J49)/(9+Rules!$B$5)</f>
        <v>-0.14864353463007471</v>
      </c>
      <c r="K39">
        <f>(SUM(HS!K40:K48)+Rules!$B$5*HS!K49)/(9+Rules!$B$5)</f>
        <v>-0.20744109003068206</v>
      </c>
    </row>
    <row r="40" spans="1:11" x14ac:dyDescent="0.2">
      <c r="A40">
        <v>17</v>
      </c>
      <c r="B40">
        <f>(SUM(HS!B41:B49)+Rules!$B$5*HS!B50)/(9+Rules!$B$5)</f>
        <v>-0.17956936979241733</v>
      </c>
      <c r="C40">
        <f>(SUM(HS!C41:C49)+Rules!$B$5*HS!C50)/(9+Rules!$B$5)</f>
        <v>-4.9104358288912882E-4</v>
      </c>
      <c r="D40">
        <f>(SUM(HS!D41:D49)+Rules!$B$5*HS!D50)/(9+Rules!$B$5)</f>
        <v>2.8975282965620488E-2</v>
      </c>
      <c r="E40">
        <f>(SUM(HS!E41:E49)+Rules!$B$5*HS!E50)/(9+Rules!$B$5)</f>
        <v>5.9326275337164343E-2</v>
      </c>
      <c r="F40">
        <f>(SUM(HS!F41:F49)+Rules!$B$5*HS!F50)/(9+Rules!$B$5)</f>
        <v>9.1189077686774395E-2</v>
      </c>
      <c r="G40">
        <f>(SUM(HS!G41:G49)+Rules!$B$5*HS!G50)/(9+Rules!$B$5)</f>
        <v>0.12805214364549905</v>
      </c>
      <c r="H40">
        <f>(SUM(HS!H41:H49)+Rules!$B$5*HS!H50)/(9+Rules!$B$5)</f>
        <v>5.3823463716116654E-2</v>
      </c>
      <c r="I40">
        <f>(SUM(HS!I41:I49)+Rules!$B$5*HS!I50)/(9+Rules!$B$5)</f>
        <v>-7.2915398729642075E-2</v>
      </c>
      <c r="J40">
        <f>(SUM(HS!J41:J49)+Rules!$B$5*HS!J50)/(9+Rules!$B$5)</f>
        <v>-0.1497868921821332</v>
      </c>
      <c r="K40">
        <f>(SUM(HS!K41:K49)+Rules!$B$5*HS!K50)/(9+Rules!$B$5)</f>
        <v>-0.19686697623363469</v>
      </c>
    </row>
    <row r="41" spans="1:11" x14ac:dyDescent="0.2">
      <c r="A41">
        <v>18</v>
      </c>
      <c r="B41">
        <f>(SUM(HS!B42:B50)+Rules!$B$5*HS!B51)/(9+Rules!$B$5)</f>
        <v>-9.2935491769284034E-2</v>
      </c>
      <c r="C41">
        <f>(SUM(HS!C42:C50)+Rules!$B$5*HS!C51)/(9+Rules!$B$5)</f>
        <v>6.2905069471517722E-2</v>
      </c>
      <c r="D41">
        <f>(SUM(HS!D42:D50)+Rules!$B$5*HS!D51)/(9+Rules!$B$5)</f>
        <v>9.0248278565440057E-2</v>
      </c>
      <c r="E41">
        <f>(SUM(HS!E42:E50)+Rules!$B$5*HS!E51)/(9+Rules!$B$5)</f>
        <v>0.11850192387781083</v>
      </c>
      <c r="F41">
        <f>(SUM(HS!F42:F50)+Rules!$B$5*HS!F51)/(9+Rules!$B$5)</f>
        <v>0.14761274781164402</v>
      </c>
      <c r="G41">
        <f>(SUM(HS!G42:G50)+Rules!$B$5*HS!G51)/(9+Rules!$B$5)</f>
        <v>0.19075324103939673</v>
      </c>
      <c r="H41">
        <f>(SUM(HS!H42:H50)+Rules!$B$5*HS!H51)/(9+Rules!$B$5)</f>
        <v>0.17067649990517353</v>
      </c>
      <c r="I41">
        <f>(SUM(HS!I42:I50)+Rules!$B$5*HS!I51)/(9+Rules!$B$5)</f>
        <v>3.967744427056652E-2</v>
      </c>
      <c r="J41">
        <f>(SUM(HS!J42:J50)+Rules!$B$5*HS!J51)/(9+Rules!$B$5)</f>
        <v>-0.10074430758041522</v>
      </c>
      <c r="K41">
        <f>(SUM(HS!K42:K50)+Rules!$B$5*HS!K51)/(9+Rules!$B$5)</f>
        <v>-0.14380812317405353</v>
      </c>
    </row>
    <row r="42" spans="1:11" x14ac:dyDescent="0.2">
      <c r="A42">
        <v>19</v>
      </c>
      <c r="B42">
        <f>(SUM(HS!B43:B51)+Rules!$B$5*HS!B52)/(9+Rules!$B$5)</f>
        <v>-5.7428919120040816E-3</v>
      </c>
      <c r="C42">
        <f>(SUM(HS!C43:C51)+Rules!$B$5*HS!C52)/(9+Rules!$B$5)</f>
        <v>0.12395801957914129</v>
      </c>
      <c r="D42">
        <f>(SUM(HS!D43:D51)+Rules!$B$5*HS!D52)/(9+Rules!$B$5)</f>
        <v>0.14933970866308208</v>
      </c>
      <c r="E42">
        <f>(SUM(HS!E43:E51)+Rules!$B$5*HS!E52)/(9+Rules!$B$5)</f>
        <v>0.17557680563858266</v>
      </c>
      <c r="F42">
        <f>(SUM(HS!F43:F51)+Rules!$B$5*HS!F52)/(9+Rules!$B$5)</f>
        <v>0.20298603454657632</v>
      </c>
      <c r="G42">
        <f>(SUM(HS!G43:G51)+Rules!$B$5*HS!G52)/(9+Rules!$B$5)</f>
        <v>0.23979935436410921</v>
      </c>
      <c r="H42">
        <f>(SUM(HS!H43:H51)+Rules!$B$5*HS!H52)/(9+Rules!$B$5)</f>
        <v>0.2206201141552227</v>
      </c>
      <c r="I42">
        <f>(SUM(HS!I43:I51)+Rules!$B$5*HS!I52)/(9+Rules!$B$5)</f>
        <v>0.15227028727077518</v>
      </c>
      <c r="J42">
        <f>(SUM(HS!J43:J51)+Rules!$B$5*HS!J52)/(9+Rules!$B$5)</f>
        <v>7.892641744434355E-3</v>
      </c>
      <c r="K42">
        <f>(SUM(HS!K43:K51)+Rules!$B$5*HS!K52)/(9+Rules!$B$5)</f>
        <v>-8.8095953912746522E-2</v>
      </c>
    </row>
    <row r="43" spans="1:11" x14ac:dyDescent="0.2">
      <c r="A43">
        <v>20</v>
      </c>
      <c r="B43">
        <f>(SUM(HS!B44:B52)+Rules!$B$5*HS!B53)/(9+Rules!$B$5)</f>
        <v>8.1449707945275895E-2</v>
      </c>
      <c r="C43">
        <f>(SUM(HS!C44:C52)+Rules!$B$5*HS!C53)/(9+Rules!$B$5)</f>
        <v>0.18249999400904487</v>
      </c>
      <c r="D43">
        <f>(SUM(HS!D44:D52)+Rules!$B$5*HS!D53)/(9+Rules!$B$5)</f>
        <v>0.20608797581394089</v>
      </c>
      <c r="E43">
        <f>(SUM(HS!E44:E52)+Rules!$B$5*HS!E53)/(9+Rules!$B$5)</f>
        <v>0.230470121897177</v>
      </c>
      <c r="F43">
        <f>(SUM(HS!F44:F52)+Rules!$B$5*HS!F53)/(9+Rules!$B$5)</f>
        <v>0.25625855450163387</v>
      </c>
      <c r="G43">
        <f>(SUM(HS!G44:G52)+Rules!$B$5*HS!G53)/(9+Rules!$B$5)</f>
        <v>0.28779508429888429</v>
      </c>
      <c r="H43">
        <f>(SUM(HS!H44:H52)+Rules!$B$5*HS!H53)/(9+Rules!$B$5)</f>
        <v>0.25690874433608657</v>
      </c>
      <c r="I43">
        <f>(SUM(HS!I44:I52)+Rules!$B$5*HS!I53)/(9+Rules!$B$5)</f>
        <v>0.19795370833197609</v>
      </c>
      <c r="J43">
        <f>(SUM(HS!J44:J52)+Rules!$B$5*HS!J53)/(9+Rules!$B$5)</f>
        <v>0.11652959106928391</v>
      </c>
      <c r="K43">
        <f>(SUM(HS!K44:K52)+Rules!$B$5*HS!K53)/(9+Rules!$B$5)</f>
        <v>2.5308523040868176E-2</v>
      </c>
    </row>
    <row r="44" spans="1:11" x14ac:dyDescent="0.2">
      <c r="A44">
        <v>21</v>
      </c>
      <c r="B44">
        <f>(SUM(HS!B45:B53)+Rules!$B$5*HS!B54)/(9+Rules!$B$5)</f>
        <v>0.14300128216153027</v>
      </c>
      <c r="C44">
        <f>(SUM(HS!C45:C53)+Rules!$B$5*HS!C54)/(9+Rules!$B$5)</f>
        <v>0.2383507494576298</v>
      </c>
      <c r="D44">
        <f>(SUM(HS!D45:D53)+Rules!$B$5*HS!D54)/(9+Rules!$B$5)</f>
        <v>0.26032526728707961</v>
      </c>
      <c r="E44">
        <f>(SUM(HS!E45:E53)+Rules!$B$5*HS!E54)/(9+Rules!$B$5)</f>
        <v>0.28302027520898798</v>
      </c>
      <c r="F44">
        <f>(SUM(HS!F45:F53)+Rules!$B$5*HS!F54)/(9+Rules!$B$5)</f>
        <v>0.30734950895451402</v>
      </c>
      <c r="G44">
        <f>(SUM(HS!G45:G53)+Rules!$B$5*HS!G54)/(9+Rules!$B$5)</f>
        <v>0.33369004745378472</v>
      </c>
      <c r="H44">
        <f>(SUM(HS!H45:H53)+Rules!$B$5*HS!H54)/(9+Rules!$B$5)</f>
        <v>0.29214699112701309</v>
      </c>
      <c r="I44">
        <f>(SUM(HS!I45:I53)+Rules!$B$5*HS!I54)/(9+Rules!$B$5)</f>
        <v>0.22998214532399169</v>
      </c>
      <c r="J44">
        <f>(SUM(HS!J45:J53)+Rules!$B$5*HS!J54)/(9+Rules!$B$5)</f>
        <v>0.15825711845512572</v>
      </c>
      <c r="K44">
        <f>(SUM(HS!K45:K53)+Rules!$B$5*HS!K54)/(9+Rules!$B$5)</f>
        <v>0.11948223076371363</v>
      </c>
    </row>
    <row r="45" spans="1:11" x14ac:dyDescent="0.2">
      <c r="A45">
        <v>22</v>
      </c>
      <c r="B45">
        <f>B12</f>
        <v>-0.35054034044008009</v>
      </c>
      <c r="C45">
        <f t="shared" ref="C45:K45" si="0">C12</f>
        <v>-0.25338998596663809</v>
      </c>
      <c r="D45">
        <f t="shared" si="0"/>
        <v>-0.2336908997980866</v>
      </c>
      <c r="E45">
        <f t="shared" si="0"/>
        <v>-0.21353655324507695</v>
      </c>
      <c r="F45">
        <f t="shared" si="0"/>
        <v>-0.19327116942628339</v>
      </c>
      <c r="G45">
        <f t="shared" si="0"/>
        <v>-0.17052619990757953</v>
      </c>
      <c r="H45">
        <f t="shared" si="0"/>
        <v>-0.21284771451731424</v>
      </c>
      <c r="I45">
        <f t="shared" si="0"/>
        <v>-0.27157480502428616</v>
      </c>
      <c r="J45">
        <f t="shared" si="0"/>
        <v>-0.3400132806089356</v>
      </c>
      <c r="K45">
        <f t="shared" si="0"/>
        <v>-0.38104299284808768</v>
      </c>
    </row>
    <row r="46" spans="1:11" x14ac:dyDescent="0.2">
      <c r="A46">
        <v>23</v>
      </c>
      <c r="B46">
        <f t="shared" ref="B46:K46" si="1">B13</f>
        <v>-0.3969303161229315</v>
      </c>
      <c r="C46">
        <f t="shared" si="1"/>
        <v>-0.30779123771977057</v>
      </c>
      <c r="D46">
        <f t="shared" si="1"/>
        <v>-0.29121011293380095</v>
      </c>
      <c r="E46">
        <f t="shared" si="1"/>
        <v>-0.27422400639931432</v>
      </c>
      <c r="F46">
        <f t="shared" si="1"/>
        <v>-0.25733327243893911</v>
      </c>
      <c r="G46">
        <f t="shared" si="1"/>
        <v>-0.23562627561296379</v>
      </c>
      <c r="H46">
        <f t="shared" si="1"/>
        <v>-0.26907287776607752</v>
      </c>
      <c r="I46">
        <f t="shared" si="1"/>
        <v>-0.32360517609397998</v>
      </c>
      <c r="J46">
        <f t="shared" si="1"/>
        <v>-0.38715518913686875</v>
      </c>
      <c r="K46">
        <f t="shared" si="1"/>
        <v>-0.42525420764465277</v>
      </c>
    </row>
    <row r="47" spans="1:11" x14ac:dyDescent="0.2">
      <c r="A47">
        <v>24</v>
      </c>
      <c r="B47">
        <f t="shared" ref="B47:K47" si="2">B14</f>
        <v>-0.44000672211415065</v>
      </c>
      <c r="C47">
        <f t="shared" si="2"/>
        <v>-0.36219248947290311</v>
      </c>
      <c r="D47">
        <f t="shared" si="2"/>
        <v>-0.34872932606951529</v>
      </c>
      <c r="E47">
        <f t="shared" si="2"/>
        <v>-0.33491145955355167</v>
      </c>
      <c r="F47">
        <f t="shared" si="2"/>
        <v>-0.32139537545159491</v>
      </c>
      <c r="G47">
        <f t="shared" si="2"/>
        <v>-0.30072635131834807</v>
      </c>
      <c r="H47">
        <f t="shared" si="2"/>
        <v>-0.3212819579256434</v>
      </c>
      <c r="I47">
        <f t="shared" si="2"/>
        <v>-0.37191909208726714</v>
      </c>
      <c r="J47">
        <f t="shared" si="2"/>
        <v>-0.43092981848423528</v>
      </c>
      <c r="K47">
        <f t="shared" si="2"/>
        <v>-0.46630747852717758</v>
      </c>
    </row>
    <row r="48" spans="1:11" x14ac:dyDescent="0.2">
      <c r="A48">
        <v>25</v>
      </c>
      <c r="B48">
        <f t="shared" ref="B48:K48" si="3">B15</f>
        <v>-0.4800062419631399</v>
      </c>
      <c r="C48">
        <f t="shared" si="3"/>
        <v>-0.4165937412260356</v>
      </c>
      <c r="D48">
        <f t="shared" si="3"/>
        <v>-0.40624853920522963</v>
      </c>
      <c r="E48">
        <f t="shared" si="3"/>
        <v>-0.39559891270778902</v>
      </c>
      <c r="F48">
        <f t="shared" si="3"/>
        <v>-0.38545747846425066</v>
      </c>
      <c r="G48">
        <f t="shared" si="3"/>
        <v>-0.36582642702373236</v>
      </c>
      <c r="H48">
        <f t="shared" si="3"/>
        <v>-0.36976181807381175</v>
      </c>
      <c r="I48">
        <f t="shared" si="3"/>
        <v>-0.41678201408103371</v>
      </c>
      <c r="J48">
        <f t="shared" si="3"/>
        <v>-0.47157768859250415</v>
      </c>
      <c r="K48">
        <f t="shared" si="3"/>
        <v>-0.5044283729180935</v>
      </c>
    </row>
    <row r="49" spans="1:11" x14ac:dyDescent="0.2">
      <c r="A49">
        <v>26</v>
      </c>
      <c r="B49">
        <f t="shared" ref="B49:K49" si="4">B16</f>
        <v>-0.51714865325148707</v>
      </c>
      <c r="C49">
        <f t="shared" si="4"/>
        <v>-0.47099499297916808</v>
      </c>
      <c r="D49">
        <f t="shared" si="4"/>
        <v>-0.46376775234094403</v>
      </c>
      <c r="E49">
        <f t="shared" si="4"/>
        <v>-0.45628636586202637</v>
      </c>
      <c r="F49">
        <f t="shared" si="4"/>
        <v>-0.4495195814769064</v>
      </c>
      <c r="G49">
        <f t="shared" si="4"/>
        <v>-0.43092650272911659</v>
      </c>
      <c r="H49">
        <f t="shared" si="4"/>
        <v>-0.41477883106853947</v>
      </c>
      <c r="I49">
        <f t="shared" si="4"/>
        <v>-0.45844044164667419</v>
      </c>
      <c r="J49">
        <f t="shared" si="4"/>
        <v>-0.50932213940732529</v>
      </c>
      <c r="K49">
        <f t="shared" si="4"/>
        <v>-0.53982634628108683</v>
      </c>
    </row>
    <row r="50" spans="1:11" x14ac:dyDescent="0.2">
      <c r="A50">
        <v>27</v>
      </c>
      <c r="B50">
        <f t="shared" ref="B50:K50" si="5">B17</f>
        <v>-0.55729992440573806</v>
      </c>
      <c r="C50">
        <f t="shared" si="5"/>
        <v>-0.53615079392674181</v>
      </c>
      <c r="D50">
        <f t="shared" si="5"/>
        <v>-0.53167419530828453</v>
      </c>
      <c r="E50">
        <f t="shared" si="5"/>
        <v>-0.52701149100469435</v>
      </c>
      <c r="F50">
        <f t="shared" si="5"/>
        <v>-0.52298562951037375</v>
      </c>
      <c r="G50">
        <f t="shared" si="5"/>
        <v>-0.50875259201168133</v>
      </c>
      <c r="H50">
        <f t="shared" si="5"/>
        <v>-0.48348583187756294</v>
      </c>
      <c r="I50">
        <f t="shared" si="5"/>
        <v>-0.50598267464294744</v>
      </c>
      <c r="J50">
        <f t="shared" si="5"/>
        <v>-0.55369489020384699</v>
      </c>
      <c r="K50">
        <f t="shared" si="5"/>
        <v>-0.5844632205942546</v>
      </c>
    </row>
    <row r="51" spans="1:11" x14ac:dyDescent="0.2">
      <c r="A51">
        <v>28</v>
      </c>
      <c r="B51">
        <f t="shared" ref="B51:K51" si="6">B18</f>
        <v>-0.62651539551241564</v>
      </c>
      <c r="C51">
        <f t="shared" si="6"/>
        <v>-0.62243863255911769</v>
      </c>
      <c r="D51">
        <f t="shared" si="6"/>
        <v>-0.62000497014223144</v>
      </c>
      <c r="E51">
        <f t="shared" si="6"/>
        <v>-0.6174618323275779</v>
      </c>
      <c r="F51">
        <f t="shared" si="6"/>
        <v>-0.6152595675854643</v>
      </c>
      <c r="G51">
        <f t="shared" si="6"/>
        <v>-0.60747904709221201</v>
      </c>
      <c r="H51">
        <f t="shared" si="6"/>
        <v>-0.59114384474960535</v>
      </c>
      <c r="I51">
        <f t="shared" si="6"/>
        <v>-0.59105585530595706</v>
      </c>
      <c r="J51">
        <f t="shared" si="6"/>
        <v>-0.61652847815204459</v>
      </c>
      <c r="K51">
        <f t="shared" si="6"/>
        <v>-0.64767081799452453</v>
      </c>
    </row>
    <row r="52" spans="1:11" x14ac:dyDescent="0.2">
      <c r="A52">
        <v>29</v>
      </c>
      <c r="B52">
        <f t="shared" ref="B52:K52" si="7">B19</f>
        <v>-0.72479506657152004</v>
      </c>
      <c r="C52">
        <f t="shared" si="7"/>
        <v>-0.72907745456070161</v>
      </c>
      <c r="D52">
        <f t="shared" si="7"/>
        <v>-0.72803288834205915</v>
      </c>
      <c r="E52">
        <f t="shared" si="7"/>
        <v>-0.72693713423738526</v>
      </c>
      <c r="F52">
        <f t="shared" si="7"/>
        <v>-0.72599126790553226</v>
      </c>
      <c r="G52">
        <f t="shared" si="7"/>
        <v>-0.72255420661431358</v>
      </c>
      <c r="H52">
        <f t="shared" si="7"/>
        <v>-0.71544972903833093</v>
      </c>
      <c r="I52">
        <f t="shared" si="7"/>
        <v>-0.71365998363570271</v>
      </c>
      <c r="J52">
        <f t="shared" si="7"/>
        <v>-0.71557438254185846</v>
      </c>
      <c r="K52">
        <f t="shared" si="7"/>
        <v>-0.72944913848189696</v>
      </c>
    </row>
    <row r="53" spans="1:11" x14ac:dyDescent="0.2">
      <c r="A53">
        <v>30</v>
      </c>
      <c r="B53">
        <f t="shared" ref="B53:K53" si="8">B20</f>
        <v>-0.85213893758305082</v>
      </c>
      <c r="C53">
        <f t="shared" si="8"/>
        <v>-0.85523026803891988</v>
      </c>
      <c r="D53">
        <f t="shared" si="8"/>
        <v>-0.85497689559217327</v>
      </c>
      <c r="E53">
        <f t="shared" si="8"/>
        <v>-0.85471020823339083</v>
      </c>
      <c r="F53">
        <f t="shared" si="8"/>
        <v>-0.85448047487728607</v>
      </c>
      <c r="G53">
        <f t="shared" si="8"/>
        <v>-0.85362794278133991</v>
      </c>
      <c r="H53">
        <f t="shared" si="8"/>
        <v>-0.85185182338734444</v>
      </c>
      <c r="I53">
        <f t="shared" si="8"/>
        <v>-0.85149191898584875</v>
      </c>
      <c r="J53">
        <f t="shared" si="8"/>
        <v>-0.85083260337328892</v>
      </c>
      <c r="K53">
        <f t="shared" si="8"/>
        <v>-0.84902895128714095</v>
      </c>
    </row>
    <row r="54" spans="1:11" x14ac:dyDescent="0.2">
      <c r="A54">
        <v>31</v>
      </c>
      <c r="B54">
        <f t="shared" ref="B54:K54" si="9">B21</f>
        <v>-1</v>
      </c>
      <c r="C54">
        <f t="shared" si="9"/>
        <v>-1</v>
      </c>
      <c r="D54">
        <f t="shared" si="9"/>
        <v>-1</v>
      </c>
      <c r="E54">
        <f t="shared" si="9"/>
        <v>-1</v>
      </c>
      <c r="F54">
        <f t="shared" si="9"/>
        <v>-1</v>
      </c>
      <c r="G54">
        <f t="shared" si="9"/>
        <v>-1</v>
      </c>
      <c r="H54">
        <f t="shared" si="9"/>
        <v>-1</v>
      </c>
      <c r="I54">
        <f t="shared" si="9"/>
        <v>-1</v>
      </c>
      <c r="J54">
        <f t="shared" si="9"/>
        <v>-1</v>
      </c>
      <c r="K54">
        <f t="shared" si="9"/>
        <v>-1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U52"/>
  <sheetViews>
    <sheetView topLeftCell="A28" workbookViewId="0">
      <selection activeCell="I3" sqref="I3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1" x14ac:dyDescent="0.2">
      <c r="B1" s="202"/>
      <c r="C1" t="s">
        <v>99</v>
      </c>
      <c r="D1">
        <f>C2+E2</f>
        <v>0.99999999999999578</v>
      </c>
    </row>
    <row r="2" spans="1:21" x14ac:dyDescent="0.2">
      <c r="A2" t="s">
        <v>40</v>
      </c>
      <c r="B2" s="201" t="s">
        <v>129</v>
      </c>
      <c r="C2" s="222">
        <f>Analysis!B48</f>
        <v>0.27685846781503481</v>
      </c>
      <c r="D2" s="199" t="s">
        <v>130</v>
      </c>
      <c r="E2" s="222">
        <f>Analysis!L48</f>
        <v>0.72314153218496102</v>
      </c>
      <c r="F2" s="199" t="s">
        <v>49</v>
      </c>
      <c r="G2" s="222">
        <f>Analysis!S48</f>
        <v>25.830939399411644</v>
      </c>
      <c r="H2" t="s">
        <v>163</v>
      </c>
      <c r="I2" s="238">
        <f>Analysis!T48</f>
        <v>104.80710266284669</v>
      </c>
      <c r="J2" t="s">
        <v>50</v>
      </c>
      <c r="K2" s="238">
        <f>C2*G2-E2*I2</f>
        <v>-68.638854499133345</v>
      </c>
      <c r="L2" t="s">
        <v>49</v>
      </c>
      <c r="M2" s="267">
        <v>3</v>
      </c>
    </row>
    <row r="3" spans="1:21" x14ac:dyDescent="0.2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6</v>
      </c>
    </row>
    <row r="4" spans="1:21" x14ac:dyDescent="0.2">
      <c r="A4" t="s">
        <v>127</v>
      </c>
      <c r="B4" s="202">
        <f>$C$2</f>
        <v>0.27685846781503481</v>
      </c>
      <c r="C4">
        <f>B4*$C$2</f>
        <v>7.6650611200888674E-2</v>
      </c>
      <c r="D4">
        <f t="shared" ref="D4:K4" si="0">C4*$C$2</f>
        <v>2.1221370774163983E-2</v>
      </c>
      <c r="E4">
        <f t="shared" si="0"/>
        <v>5.8753161974697994E-3</v>
      </c>
      <c r="F4">
        <f t="shared" si="0"/>
        <v>1.6266310403603452E-3</v>
      </c>
      <c r="G4">
        <f t="shared" si="0"/>
        <v>4.503465775345412E-4</v>
      </c>
      <c r="H4">
        <f t="shared" si="0"/>
        <v>1.2468226344195785E-4</v>
      </c>
      <c r="I4">
        <f t="shared" si="0"/>
        <v>3.4519340420250981E-5</v>
      </c>
      <c r="J4">
        <f t="shared" si="0"/>
        <v>9.5569716987362865E-6</v>
      </c>
      <c r="K4">
        <f t="shared" si="0"/>
        <v>2.6459285414637789E-6</v>
      </c>
    </row>
    <row r="5" spans="1:21" ht="17" thickBot="1" x14ac:dyDescent="0.25">
      <c r="A5" t="s">
        <v>128</v>
      </c>
      <c r="B5" s="202">
        <f>$E$2</f>
        <v>0.72314153218496102</v>
      </c>
      <c r="C5">
        <f>B5*$E$2</f>
        <v>0.52293367557081305</v>
      </c>
      <c r="D5">
        <f t="shared" ref="D5:K5" si="1">C5*$E$2</f>
        <v>0.37815505938339106</v>
      </c>
      <c r="E5">
        <f t="shared" si="1"/>
        <v>0.27345962904600035</v>
      </c>
      <c r="F5">
        <f t="shared" si="1"/>
        <v>0.19775001513905577</v>
      </c>
      <c r="G5">
        <f t="shared" si="1"/>
        <v>0.14300124893725602</v>
      </c>
      <c r="H5">
        <f t="shared" si="1"/>
        <v>0.10341014226085035</v>
      </c>
      <c r="I5">
        <f t="shared" si="1"/>
        <v>7.4780168717976117E-2</v>
      </c>
      <c r="J5">
        <f t="shared" si="1"/>
        <v>5.4076645783767141E-2</v>
      </c>
      <c r="K5">
        <f t="shared" si="1"/>
        <v>3.9105068487496786E-2</v>
      </c>
    </row>
    <row r="6" spans="1:21" ht="17" thickBot="1" x14ac:dyDescent="0.25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">
      <c r="A7" s="208">
        <v>1</v>
      </c>
      <c r="B7" s="114">
        <f>C7*B4</f>
        <v>0.27685846781503481</v>
      </c>
      <c r="C7" s="114">
        <v>1</v>
      </c>
      <c r="D7" s="212">
        <f>C7*B5</f>
        <v>0.72314153218496102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0.99999999999999578</v>
      </c>
      <c r="O7" s="114">
        <f>B7/(B7+D7)</f>
        <v>0.27685846781503598</v>
      </c>
      <c r="P7" s="129">
        <f>B7-D7</f>
        <v>-0.44628306436992621</v>
      </c>
      <c r="Q7" s="129">
        <f>($G$2*SUM(C7))*B7</f>
        <v>7.1515143043441229</v>
      </c>
      <c r="R7" s="58">
        <f>($I$2*SUM(C7))*D7*COUNT(D7:M7)</f>
        <v>75.790368803477463</v>
      </c>
      <c r="S7" s="58">
        <f>Q7-R7</f>
        <v>-68.638854499133345</v>
      </c>
      <c r="T7" s="129">
        <f>(S7+U7*D7)/B7</f>
        <v>-245.30841878501579</v>
      </c>
      <c r="U7" s="58">
        <f t="shared" ref="U7:U16" si="2">COUNT(D7:M7)</f>
        <v>1</v>
      </c>
    </row>
    <row r="8" spans="1:21" x14ac:dyDescent="0.2">
      <c r="A8" s="209">
        <v>2</v>
      </c>
      <c r="B8" s="116">
        <f>C8*B4</f>
        <v>0.34616302511172092</v>
      </c>
      <c r="C8" s="116">
        <f>1/(1-B4*B5)</f>
        <v>1.250324860365071</v>
      </c>
      <c r="D8" s="194">
        <f>C8*B5</f>
        <v>0.90416183525334481</v>
      </c>
      <c r="E8" s="1">
        <f>D8*B5</f>
        <v>0.65383697488827008</v>
      </c>
      <c r="F8" s="1"/>
      <c r="G8" s="1"/>
      <c r="H8" s="1"/>
      <c r="I8" s="1"/>
      <c r="J8" s="1"/>
      <c r="K8" s="1"/>
      <c r="L8" s="1"/>
      <c r="M8" s="9"/>
      <c r="N8">
        <f>B8+E8</f>
        <v>0.99999999999999101</v>
      </c>
      <c r="O8" s="116">
        <f>B8/(B8+E8)</f>
        <v>0.34616302511172403</v>
      </c>
      <c r="P8" s="112">
        <f>B8-E8</f>
        <v>-0.30767394977654916</v>
      </c>
      <c r="Q8" s="112">
        <f>($G$2*SUM(C8:D8))*B8</f>
        <v>19.264808425106999</v>
      </c>
      <c r="R8" s="9">
        <f>($I$2*SUM(C8:D8))*E8*COUNT(D8:M8)</f>
        <v>295.2799809113514</v>
      </c>
      <c r="S8" s="9">
        <f t="shared" ref="S8:S16" si="3">Q8-R8</f>
        <v>-276.01517248624441</v>
      </c>
      <c r="T8" s="112">
        <f>(S8+U8*E8)/B8</f>
        <v>-793.57839690651122</v>
      </c>
      <c r="U8" s="9">
        <f t="shared" si="2"/>
        <v>2</v>
      </c>
    </row>
    <row r="9" spans="1:21" x14ac:dyDescent="0.2">
      <c r="A9" s="209">
        <v>3</v>
      </c>
      <c r="B9" s="116">
        <f>C9*B4</f>
        <v>0.36930458698397972</v>
      </c>
      <c r="C9" s="216">
        <f>1/(1-B5*B4/(1-B5*B4))</f>
        <v>1.3339111131349135</v>
      </c>
      <c r="D9" s="217">
        <f>C9*B5*C8</f>
        <v>1.2060715201168954</v>
      </c>
      <c r="E9" s="218">
        <f>D9*(B5)</f>
        <v>0.87216040698197683</v>
      </c>
      <c r="F9" s="218">
        <f>E9*B5</f>
        <v>0.63069541301600596</v>
      </c>
      <c r="G9" s="218"/>
      <c r="H9" s="218"/>
      <c r="I9" s="218"/>
      <c r="J9" s="218"/>
      <c r="K9" s="218"/>
      <c r="L9" s="218"/>
      <c r="M9" s="219"/>
      <c r="N9">
        <f>B9+F9</f>
        <v>0.99999999999998568</v>
      </c>
      <c r="O9" s="116">
        <f>B9/(B9+F9)</f>
        <v>0.36930458698398499</v>
      </c>
      <c r="P9" s="112">
        <f>B9-F9</f>
        <v>-0.26139082603202624</v>
      </c>
      <c r="Q9" s="112">
        <f>($G$2*SUM(C9:E9))*B9</f>
        <v>32.550085324402318</v>
      </c>
      <c r="R9" s="9">
        <f>($I$2*SUM(C9:E9))*F9*COUNT(D9:M9)</f>
        <v>676.64187517166783</v>
      </c>
      <c r="S9" s="9">
        <f t="shared" si="3"/>
        <v>-644.09178984726555</v>
      </c>
      <c r="T9" s="112">
        <f>(S9+U9*F9)/B9</f>
        <v>-1738.9432090538207</v>
      </c>
      <c r="U9" s="9">
        <f t="shared" si="2"/>
        <v>3</v>
      </c>
    </row>
    <row r="10" spans="1:21" x14ac:dyDescent="0.2">
      <c r="A10" s="209">
        <v>4</v>
      </c>
      <c r="B10" s="116">
        <f>C10*B4</f>
        <v>0.37773661313788881</v>
      </c>
      <c r="C10" s="116">
        <f>1/(1-B5*B4/(1-B5*B4/(1-B5*B4)))</f>
        <v>1.3643672021989561</v>
      </c>
      <c r="D10" s="194">
        <f>C10*B5*C9</f>
        <v>1.316077507307396</v>
      </c>
      <c r="E10" s="1">
        <f>D10*B5*C8</f>
        <v>1.1899470543427024</v>
      </c>
      <c r="F10" s="1">
        <f>E10*B5</f>
        <v>0.86050013609636289</v>
      </c>
      <c r="G10" s="1">
        <f>F10*B5</f>
        <v>0.62226338686209137</v>
      </c>
      <c r="H10" s="1"/>
      <c r="I10" s="1"/>
      <c r="J10" s="1"/>
      <c r="K10" s="1"/>
      <c r="L10" s="1"/>
      <c r="M10" s="9"/>
      <c r="N10">
        <f>B10+G10</f>
        <v>0.99999999999998024</v>
      </c>
      <c r="O10" s="116">
        <f>B10/(B10+G10)</f>
        <v>0.37773661313789625</v>
      </c>
      <c r="P10" s="112">
        <f>B10-G10</f>
        <v>-0.24452677372420256</v>
      </c>
      <c r="Q10" s="112">
        <f>($G$2*SUM(C10:F10))*B10</f>
        <v>46.160691620347379</v>
      </c>
      <c r="R10" s="9">
        <f>($I$2*SUM(C10:F10))*G10*COUNT(D10:M10)</f>
        <v>1234.1500912963163</v>
      </c>
      <c r="S10" s="9">
        <f t="shared" si="3"/>
        <v>-1187.989399675969</v>
      </c>
      <c r="T10" s="112">
        <f>(S10+U10*G10)/B10</f>
        <v>-3138.4311313655112</v>
      </c>
      <c r="U10" s="9">
        <f t="shared" si="2"/>
        <v>4</v>
      </c>
    </row>
    <row r="11" spans="1:21" x14ac:dyDescent="0.2">
      <c r="A11" s="209">
        <v>5</v>
      </c>
      <c r="B11" s="116">
        <f>C11*B4</f>
        <v>0.38090547815154485</v>
      </c>
      <c r="C11" s="116">
        <f>1/(1-B5*B4/(1-B5*B4/(1-B5*B4/(1-B5*B4))))</f>
        <v>1.3758129962852441</v>
      </c>
      <c r="D11" s="194">
        <f>C11*B5*C10</f>
        <v>1.3574191869627745</v>
      </c>
      <c r="E11" s="1">
        <f>D11*B5*C9</f>
        <v>1.3093754064667793</v>
      </c>
      <c r="F11" s="1">
        <f>E11*B5*C8</f>
        <v>1.1838872705465977</v>
      </c>
      <c r="G11" s="1">
        <f>F11*B5</f>
        <v>0.85611805475733815</v>
      </c>
      <c r="H11" s="1">
        <f>G11*B5</f>
        <v>0.61909452184842984</v>
      </c>
      <c r="I11" s="1"/>
      <c r="J11" s="1"/>
      <c r="K11" s="1"/>
      <c r="L11" s="1"/>
      <c r="M11" s="9"/>
      <c r="N11">
        <f>B11+H11</f>
        <v>0.99999999999997469</v>
      </c>
      <c r="O11" s="116">
        <f>B11/(B11+H11)</f>
        <v>0.38090547815155451</v>
      </c>
      <c r="P11" s="112">
        <f>B11-H11</f>
        <v>-0.23818904369688498</v>
      </c>
      <c r="Q11" s="112">
        <f>($G$2*SUM(C11:G11))*B11</f>
        <v>59.847718497260722</v>
      </c>
      <c r="R11" s="9">
        <f>($I$2*SUM(C11:G11))*H11*COUNT(D11:M11)</f>
        <v>1973.3669960528437</v>
      </c>
      <c r="S11" s="9">
        <f t="shared" si="3"/>
        <v>-1913.5192775555829</v>
      </c>
      <c r="T11" s="112">
        <f>(S11+U11*H11)/B11</f>
        <v>-5015.4799931395855</v>
      </c>
      <c r="U11" s="9">
        <f t="shared" si="2"/>
        <v>5</v>
      </c>
    </row>
    <row r="12" spans="1:21" x14ac:dyDescent="0.2">
      <c r="A12" s="209">
        <v>6</v>
      </c>
      <c r="B12" s="116">
        <f>C12*B4</f>
        <v>0.38211016743259935</v>
      </c>
      <c r="C12" s="116">
        <f>1/(1-B5*B4/(1-B5*B4/(1-B5*B4/(1-B5*B4/(1-B5*B4)))))</f>
        <v>1.3801642783340176</v>
      </c>
      <c r="D12" s="194">
        <f>C12*B5*C11</f>
        <v>1.3731358167740777</v>
      </c>
      <c r="E12" s="1">
        <f>D12*B5*C10</f>
        <v>1.3547777997646504</v>
      </c>
      <c r="F12" s="1">
        <f>E12*B5*C9</f>
        <v>1.3068275071373774</v>
      </c>
      <c r="G12" s="1">
        <f>F12*B5*C8</f>
        <v>1.1815835572128848</v>
      </c>
      <c r="H12" s="1">
        <f>G12*B5</f>
        <v>0.85445214396748204</v>
      </c>
      <c r="I12" s="1">
        <f>H12*B5</f>
        <v>0.61788983256736985</v>
      </c>
      <c r="J12" s="1"/>
      <c r="K12" s="1"/>
      <c r="L12" s="1"/>
      <c r="M12" s="9"/>
      <c r="N12">
        <f>B12+I12</f>
        <v>0.99999999999996914</v>
      </c>
      <c r="O12" s="116">
        <f>B12/(B12+I12)</f>
        <v>0.38211016743261111</v>
      </c>
      <c r="P12" s="112">
        <f>B12-I12</f>
        <v>-0.2357796651347705</v>
      </c>
      <c r="Q12" s="112">
        <f>($G$2*SUM(C12:H12))*B12</f>
        <v>73.542760049922435</v>
      </c>
      <c r="R12" s="9">
        <f>($I$2*SUM(C12:H12))*I12*COUNT(D12:M12)</f>
        <v>2895.1038380767836</v>
      </c>
      <c r="S12" s="9">
        <f t="shared" si="3"/>
        <v>-2821.5610780268612</v>
      </c>
      <c r="T12" s="112">
        <f>(S12+U12*I12)/B12</f>
        <v>-7374.453702618368</v>
      </c>
      <c r="U12" s="9">
        <f t="shared" si="2"/>
        <v>6</v>
      </c>
    </row>
    <row r="13" spans="1:21" x14ac:dyDescent="0.2">
      <c r="A13" s="209">
        <v>7</v>
      </c>
      <c r="B13" s="116">
        <f>C13*B4</f>
        <v>0.38257014877229428</v>
      </c>
      <c r="C13" s="216">
        <f>1/(1-B5*B4/(1-B5*B4/(1-B5*B4/(1-B5*B4/(1-B5*B4/(1-B5*B4))))))</f>
        <v>1.3818257096903532</v>
      </c>
      <c r="D13" s="217">
        <f>C13*B5*C12</f>
        <v>1.3791368301057187</v>
      </c>
      <c r="E13" s="218">
        <f>D13*B5*C11</f>
        <v>1.3721136008072501</v>
      </c>
      <c r="F13" s="218">
        <f>E13*B5*C10</f>
        <v>1.3537692502231515</v>
      </c>
      <c r="G13" s="218">
        <f>F13*B5*C9</f>
        <v>1.3058546536677009</v>
      </c>
      <c r="H13" s="218">
        <f>G13*B5*C8</f>
        <v>1.1807039402343096</v>
      </c>
      <c r="I13" s="218">
        <f>H13*B5</f>
        <v>0.85381605639785929</v>
      </c>
      <c r="J13" s="218">
        <f>I13*B5</f>
        <v>0.61742985122766902</v>
      </c>
      <c r="K13" s="218"/>
      <c r="L13" s="218"/>
      <c r="M13" s="219"/>
      <c r="N13">
        <f>B13+J13</f>
        <v>0.99999999999996336</v>
      </c>
      <c r="O13" s="116">
        <f>B13/(B13+J13)</f>
        <v>0.38257014877230827</v>
      </c>
      <c r="P13" s="112">
        <f>B13-J13</f>
        <v>-0.23485970245537474</v>
      </c>
      <c r="Q13" s="112">
        <f>($G$2*SUM(C13:I13))*B13</f>
        <v>87.23188012434791</v>
      </c>
      <c r="R13" s="9">
        <f>($I$2*SUM(C13:I13))*J13*COUNT(D13:M13)</f>
        <v>3998.529741381476</v>
      </c>
      <c r="S13" s="9">
        <f t="shared" si="3"/>
        <v>-3911.2978612571283</v>
      </c>
      <c r="T13" s="112">
        <f>(S13+U13*J13)/B13</f>
        <v>-10212.443037796882</v>
      </c>
      <c r="U13" s="9">
        <f t="shared" si="2"/>
        <v>7</v>
      </c>
    </row>
    <row r="14" spans="1:21" x14ac:dyDescent="0.2">
      <c r="A14" s="209">
        <v>8</v>
      </c>
      <c r="B14" s="116">
        <f>C14*B4</f>
        <v>0.3827460737610604</v>
      </c>
      <c r="C14" s="116">
        <f>1/(1-B5*B4/(1-B5*B4/(1-B5*B4/(1-B5*B4/(1-B5*B4/(1-B5*B4/(1-B5*B4)))))))</f>
        <v>1.3824611426252911</v>
      </c>
      <c r="D14" s="194">
        <f>C14*B5*C13</f>
        <v>1.381431984521448</v>
      </c>
      <c r="E14" s="1">
        <f>D14*B5*C12</f>
        <v>1.3787438710823277</v>
      </c>
      <c r="F14" s="1">
        <f>E14*B5*C11</f>
        <v>1.3717226429205598</v>
      </c>
      <c r="G14" s="1">
        <f>F14*B5*C10</f>
        <v>1.3533835192131081</v>
      </c>
      <c r="H14" s="1">
        <f>G14*B5*C9</f>
        <v>1.3054825750180743</v>
      </c>
      <c r="I14" s="1">
        <f>H14*B5*C8</f>
        <v>1.1803675209196045</v>
      </c>
      <c r="J14" s="1">
        <f>I14*B5</f>
        <v>0.85357277761916683</v>
      </c>
      <c r="K14" s="1">
        <f>J14*B5</f>
        <v>0.6172539262388973</v>
      </c>
      <c r="L14" s="1"/>
      <c r="M14" s="9"/>
      <c r="N14">
        <f>B14+K14</f>
        <v>0.9999999999999577</v>
      </c>
      <c r="O14" s="116">
        <f>B14/(B14+K14)</f>
        <v>0.38274607376107661</v>
      </c>
      <c r="P14" s="112">
        <f>B14-K14</f>
        <v>-0.2345078524778369</v>
      </c>
      <c r="Q14" s="112">
        <f>($G$2*SUM(C14:J14))*B14</f>
        <v>100.91509285463871</v>
      </c>
      <c r="R14" s="9">
        <f>($I$2*SUM(C14:J14))*K14*COUNT(D14:M14)</f>
        <v>5282.6245169716703</v>
      </c>
      <c r="S14" s="9">
        <f t="shared" si="3"/>
        <v>-5181.7094241170316</v>
      </c>
      <c r="T14" s="112">
        <f>(S14+U14*K14)/B14</f>
        <v>-13525.341597465636</v>
      </c>
      <c r="U14" s="9">
        <f t="shared" si="2"/>
        <v>8</v>
      </c>
    </row>
    <row r="15" spans="1:21" x14ac:dyDescent="0.2">
      <c r="A15" s="209">
        <v>9</v>
      </c>
      <c r="B15" s="116">
        <f>C15*B4</f>
        <v>0.38281340101523492</v>
      </c>
      <c r="C15" s="116">
        <f>1/(1-B5*B4/(1-B5*B4/(1-B5*B4/(1-B5*B4/(1-B5*B4/(1-B5*B4/(1-B5*B4/(1-B5*B4))))))))</f>
        <v>1.3827043255580937</v>
      </c>
      <c r="D15" s="194">
        <f>C15*B5*C14</f>
        <v>1.3823103500441714</v>
      </c>
      <c r="E15" s="1">
        <f>D15*B5*C13</f>
        <v>1.3812813041962189</v>
      </c>
      <c r="F15" s="1">
        <f>E15*B5*C12</f>
        <v>1.3785934839643006</v>
      </c>
      <c r="G15" s="1">
        <f>F15*B5*C11</f>
        <v>1.3715730216462041</v>
      </c>
      <c r="H15" s="1">
        <f>G15*B5*C10</f>
        <v>1.3532358982870545</v>
      </c>
      <c r="I15" s="1">
        <f>H15*B5*C9</f>
        <v>1.3053401789094066</v>
      </c>
      <c r="J15" s="1">
        <f>I15*B5*C8</f>
        <v>1.1802387717926586</v>
      </c>
      <c r="K15" s="1">
        <f>J15*B5</f>
        <v>0.85347967377823963</v>
      </c>
      <c r="L15" s="1">
        <f>K15*B5</f>
        <v>0.61718659898471695</v>
      </c>
      <c r="M15" s="9"/>
      <c r="N15">
        <f>B15+L15</f>
        <v>0.99999999999995182</v>
      </c>
      <c r="O15" s="116">
        <f>B15/(B15+L15)</f>
        <v>0.38281340101525335</v>
      </c>
      <c r="P15" s="112">
        <f>B15-L15</f>
        <v>-0.23437319796948203</v>
      </c>
      <c r="Q15" s="112">
        <f>($G$2*SUM(C15:K15))*B15</f>
        <v>114.59460971475043</v>
      </c>
      <c r="R15" s="9">
        <f>($I$2*SUM(C15:K15))*L15*COUNT(D15:M15)</f>
        <v>6746.6249659576606</v>
      </c>
      <c r="S15" s="9">
        <f t="shared" si="3"/>
        <v>-6632.0303562429099</v>
      </c>
      <c r="T15" s="112">
        <f>(S15+U15*L15)/B15</f>
        <v>-17309.936536386645</v>
      </c>
      <c r="U15" s="9">
        <f t="shared" si="2"/>
        <v>9</v>
      </c>
    </row>
    <row r="16" spans="1:21" ht="17" thickBot="1" x14ac:dyDescent="0.25">
      <c r="A16" s="210">
        <v>10</v>
      </c>
      <c r="B16" s="195">
        <f>C16*B4</f>
        <v>0.38283917371411591</v>
      </c>
      <c r="C16" s="195">
        <f>1/(1-B5*B4/(1-B5*B4/(1-B5*B4/(1-B5*B4/(1-B5*B4/(1-B5*B4/(1-B5*B4/(1-B5*B4/(1-B5*B4)))))))))</f>
        <v>1.3827974153562292</v>
      </c>
      <c r="D16" s="213">
        <f>C16*B5*C15</f>
        <v>1.3826465860960078</v>
      </c>
      <c r="E16" s="131">
        <f>D16*B5*C14</f>
        <v>1.3822526270338558</v>
      </c>
      <c r="F16" s="131">
        <f>E16*B5*C13</f>
        <v>1.381223624157168</v>
      </c>
      <c r="G16" s="131">
        <f>F16*B5*C12</f>
        <v>1.378535916164209</v>
      </c>
      <c r="H16" s="131">
        <f>G16*B5*C11</f>
        <v>1.3715157470090906</v>
      </c>
      <c r="I16" s="131">
        <f>H16*B5*C10</f>
        <v>1.3531793893781012</v>
      </c>
      <c r="J16" s="131">
        <f>I16*B5*C9</f>
        <v>1.3052856700470445</v>
      </c>
      <c r="K16" s="131">
        <f>J16*B5*C8</f>
        <v>1.1801894869596279</v>
      </c>
      <c r="L16" s="131">
        <f>K16*B5</f>
        <v>0.85344403386856837</v>
      </c>
      <c r="M16" s="10">
        <f>L16*B5</f>
        <v>0.61716082628583036</v>
      </c>
      <c r="N16">
        <f>B16+M16</f>
        <v>0.99999999999994627</v>
      </c>
      <c r="O16" s="195">
        <f>B16/(B16+M16)</f>
        <v>0.3828391737141365</v>
      </c>
      <c r="P16" s="113">
        <f>B16-M16</f>
        <v>-0.23432165257171444</v>
      </c>
      <c r="Q16" s="113">
        <f>($G$2*SUM(C16:L16))*B16</f>
        <v>128.27215482007742</v>
      </c>
      <c r="R16" s="10">
        <f>($I$2*SUM(C16:L16))*M16*COUNT(D16:M16)</f>
        <v>8390.0565262189612</v>
      </c>
      <c r="S16" s="10">
        <f t="shared" si="3"/>
        <v>-8261.7843713988841</v>
      </c>
      <c r="T16" s="113">
        <f>(S16+U16*M16)/B16</f>
        <v>-21564.179765210967</v>
      </c>
      <c r="U16" s="10">
        <f t="shared" si="2"/>
        <v>10</v>
      </c>
    </row>
    <row r="17" spans="1:8" ht="17" thickBot="1" x14ac:dyDescent="0.25"/>
    <row r="18" spans="1:8" ht="17" thickBot="1" x14ac:dyDescent="0.25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">
      <c r="A19" s="264">
        <v>1</v>
      </c>
      <c r="B19" s="146">
        <v>1</v>
      </c>
      <c r="C19" s="150">
        <f>B19*$M$3</f>
        <v>6</v>
      </c>
      <c r="D19" s="151">
        <f>SUM($C$19:C19)</f>
        <v>6</v>
      </c>
      <c r="E19" s="9">
        <f>B19/P7</f>
        <v>-2.2407303342595477</v>
      </c>
      <c r="F19" s="9">
        <f>D19/P7</f>
        <v>-13.444382005557287</v>
      </c>
      <c r="G19" s="28">
        <f>S7/E19</f>
        <v>30.632358320714726</v>
      </c>
      <c r="H19" s="8">
        <f>S7/F19</f>
        <v>5.1053930534524543</v>
      </c>
    </row>
    <row r="20" spans="1:8" x14ac:dyDescent="0.2">
      <c r="A20" s="265">
        <v>2</v>
      </c>
      <c r="B20" s="141">
        <f>B19*($M$3+1)</f>
        <v>7</v>
      </c>
      <c r="C20" s="140">
        <f>B20*$M$3</f>
        <v>42</v>
      </c>
      <c r="D20" s="142">
        <f>SUM($C$19:C20)</f>
        <v>48</v>
      </c>
      <c r="E20" s="9">
        <f t="shared" ref="E20:E28" si="4">B20/P8</f>
        <v>-22.751357419384416</v>
      </c>
      <c r="F20" s="9">
        <f t="shared" ref="F20:F28" si="5">D20/P8</f>
        <v>-156.00930801863601</v>
      </c>
      <c r="G20" s="112">
        <f t="shared" ref="G20:G28" si="6">S8/E20</f>
        <v>12.131811188156902</v>
      </c>
      <c r="H20" s="9">
        <f t="shared" ref="H20:H28" si="7">S8/F20</f>
        <v>1.7692224649395483</v>
      </c>
    </row>
    <row r="21" spans="1:8" x14ac:dyDescent="0.2">
      <c r="A21" s="265">
        <v>3</v>
      </c>
      <c r="B21" s="141">
        <f t="shared" ref="B21:B28" si="8">B20*($M$3+1)</f>
        <v>49</v>
      </c>
      <c r="C21" s="140">
        <f t="shared" ref="C21:C28" si="9">B21*$M$3</f>
        <v>294</v>
      </c>
      <c r="D21" s="142">
        <f>SUM($C$19:C21)</f>
        <v>342</v>
      </c>
      <c r="E21" s="9">
        <f t="shared" si="4"/>
        <v>-187.45875952814197</v>
      </c>
      <c r="F21" s="9">
        <f t="shared" si="5"/>
        <v>-1308.3856277270318</v>
      </c>
      <c r="G21" s="112">
        <f t="shared" si="6"/>
        <v>3.4359119385433265</v>
      </c>
      <c r="H21" s="9">
        <f t="shared" si="7"/>
        <v>0.49227978066848826</v>
      </c>
    </row>
    <row r="22" spans="1:8" x14ac:dyDescent="0.2">
      <c r="A22" s="265">
        <v>4</v>
      </c>
      <c r="B22" s="141">
        <f t="shared" si="8"/>
        <v>343</v>
      </c>
      <c r="C22" s="140">
        <f t="shared" si="9"/>
        <v>2058</v>
      </c>
      <c r="D22" s="142">
        <f>SUM($C$19:C22)</f>
        <v>2400</v>
      </c>
      <c r="E22" s="9">
        <f t="shared" si="4"/>
        <v>-1402.7093834185357</v>
      </c>
      <c r="F22" s="9">
        <f t="shared" si="5"/>
        <v>-9814.8761521996676</v>
      </c>
      <c r="G22" s="112">
        <f t="shared" si="6"/>
        <v>0.84692482542657999</v>
      </c>
      <c r="H22" s="9">
        <f t="shared" si="7"/>
        <v>0.12103967296721538</v>
      </c>
    </row>
    <row r="23" spans="1:8" x14ac:dyDescent="0.2">
      <c r="A23" s="265">
        <v>5</v>
      </c>
      <c r="B23" s="141">
        <f t="shared" si="8"/>
        <v>2401</v>
      </c>
      <c r="C23" s="140">
        <f t="shared" si="9"/>
        <v>14406</v>
      </c>
      <c r="D23" s="142">
        <f>SUM($C$19:C23)</f>
        <v>16806</v>
      </c>
      <c r="E23" s="9">
        <f t="shared" si="4"/>
        <v>-10080.228556001377</v>
      </c>
      <c r="F23" s="9">
        <f t="shared" si="5"/>
        <v>-70557.401546088775</v>
      </c>
      <c r="G23" s="112">
        <f t="shared" si="6"/>
        <v>0.1898289574412822</v>
      </c>
      <c r="H23" s="9">
        <f t="shared" si="7"/>
        <v>2.712003610713546E-2</v>
      </c>
    </row>
    <row r="24" spans="1:8" x14ac:dyDescent="0.2">
      <c r="A24" s="265">
        <v>6</v>
      </c>
      <c r="B24" s="141">
        <f t="shared" si="8"/>
        <v>16807</v>
      </c>
      <c r="C24" s="140">
        <f t="shared" si="9"/>
        <v>100842</v>
      </c>
      <c r="D24" s="142">
        <f>SUM($C$19:C24)</f>
        <v>117648</v>
      </c>
      <c r="E24" s="9">
        <f t="shared" si="4"/>
        <v>-71282.652769878187</v>
      </c>
      <c r="F24" s="9">
        <f t="shared" si="5"/>
        <v>-498974.32814128808</v>
      </c>
      <c r="G24" s="112">
        <f t="shared" si="6"/>
        <v>3.9582717090169299E-2</v>
      </c>
      <c r="H24" s="9">
        <f t="shared" si="7"/>
        <v>5.6547219343675665E-3</v>
      </c>
    </row>
    <row r="25" spans="1:8" x14ac:dyDescent="0.2">
      <c r="A25" s="265">
        <v>7</v>
      </c>
      <c r="B25" s="141">
        <f t="shared" si="8"/>
        <v>117649</v>
      </c>
      <c r="C25" s="140">
        <f t="shared" si="9"/>
        <v>705894</v>
      </c>
      <c r="D25" s="142">
        <f>SUM($C$19:C25)</f>
        <v>823542</v>
      </c>
      <c r="E25" s="9">
        <f t="shared" si="4"/>
        <v>-500933.10504110117</v>
      </c>
      <c r="F25" s="9">
        <f t="shared" si="5"/>
        <v>-3506527.4774265699</v>
      </c>
      <c r="G25" s="112">
        <f t="shared" si="6"/>
        <v>7.8080243088270423E-3</v>
      </c>
      <c r="H25" s="9">
        <f t="shared" si="7"/>
        <v>1.115433398550642E-3</v>
      </c>
    </row>
    <row r="26" spans="1:8" x14ac:dyDescent="0.2">
      <c r="A26" s="265">
        <v>8</v>
      </c>
      <c r="B26" s="141">
        <f t="shared" si="8"/>
        <v>823543</v>
      </c>
      <c r="C26" s="140">
        <f t="shared" si="9"/>
        <v>4941258</v>
      </c>
      <c r="D26" s="142">
        <f>SUM($C$19:C26)</f>
        <v>5764800</v>
      </c>
      <c r="E26" s="9">
        <f t="shared" si="4"/>
        <v>-3511792.851703472</v>
      </c>
      <c r="F26" s="9">
        <f t="shared" si="5"/>
        <v>-24582545.697674774</v>
      </c>
      <c r="G26" s="112">
        <f t="shared" si="6"/>
        <v>1.4755168208749926E-3</v>
      </c>
      <c r="H26" s="9">
        <f t="shared" si="7"/>
        <v>2.1078815383254477E-4</v>
      </c>
    </row>
    <row r="27" spans="1:8" x14ac:dyDescent="0.2">
      <c r="A27" s="265">
        <v>9</v>
      </c>
      <c r="B27" s="141">
        <f t="shared" si="8"/>
        <v>5764801</v>
      </c>
      <c r="C27" s="140">
        <f t="shared" si="9"/>
        <v>34588806</v>
      </c>
      <c r="D27" s="142">
        <f>SUM($C$19:C27)</f>
        <v>40353606</v>
      </c>
      <c r="E27" s="9">
        <f t="shared" si="4"/>
        <v>-24596673.382212587</v>
      </c>
      <c r="F27" s="9">
        <f t="shared" si="5"/>
        <v>-172176709.40878865</v>
      </c>
      <c r="G27" s="112">
        <f t="shared" si="6"/>
        <v>2.6963119171387426E-4</v>
      </c>
      <c r="H27" s="9">
        <f t="shared" si="7"/>
        <v>3.8518742627940953E-5</v>
      </c>
    </row>
    <row r="28" spans="1:8" ht="17" thickBot="1" x14ac:dyDescent="0.25">
      <c r="A28" s="266">
        <v>10</v>
      </c>
      <c r="B28" s="143">
        <f t="shared" si="8"/>
        <v>40353607</v>
      </c>
      <c r="C28" s="144">
        <f t="shared" si="9"/>
        <v>242121642</v>
      </c>
      <c r="D28" s="145">
        <f>SUM($C$19:C28)</f>
        <v>282475248</v>
      </c>
      <c r="E28" s="9">
        <f t="shared" si="4"/>
        <v>-172214588.60977316</v>
      </c>
      <c r="F28" s="9">
        <f t="shared" si="5"/>
        <v>-1205502116.0007741</v>
      </c>
      <c r="G28" s="113">
        <f t="shared" si="6"/>
        <v>4.7973777588143475E-5</v>
      </c>
      <c r="H28" s="10">
        <f t="shared" si="7"/>
        <v>6.8533968225681474E-6</v>
      </c>
    </row>
    <row r="29" spans="1:8" ht="17" thickBot="1" x14ac:dyDescent="0.25"/>
    <row r="30" spans="1:8" ht="17" thickBot="1" x14ac:dyDescent="0.25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">
      <c r="A31" s="264">
        <v>1</v>
      </c>
      <c r="B31" s="146">
        <v>1</v>
      </c>
      <c r="C31" s="150">
        <f>B31*$M$3</f>
        <v>6</v>
      </c>
      <c r="D31" s="151">
        <f>SUM($C$31:C31)</f>
        <v>6</v>
      </c>
      <c r="E31" s="129">
        <f>B31/P7</f>
        <v>-2.2407303342595477</v>
      </c>
      <c r="F31" s="58">
        <f>D31/P7</f>
        <v>-13.444382005557287</v>
      </c>
      <c r="G31" s="28">
        <f>S7/E31</f>
        <v>30.632358320714726</v>
      </c>
      <c r="H31" s="8">
        <f>S7/F31</f>
        <v>5.1053930534524543</v>
      </c>
    </row>
    <row r="32" spans="1:8" x14ac:dyDescent="0.2">
      <c r="A32" s="265">
        <v>2</v>
      </c>
      <c r="B32" s="141">
        <f>C31</f>
        <v>6</v>
      </c>
      <c r="C32" s="140">
        <f>B32*$M$3</f>
        <v>36</v>
      </c>
      <c r="D32" s="142">
        <f>SUM($C$31:C32)</f>
        <v>42</v>
      </c>
      <c r="E32" s="112">
        <f t="shared" ref="E32:E40" si="10">B32/P8</f>
        <v>-19.501163502329501</v>
      </c>
      <c r="F32" s="9">
        <f t="shared" ref="F32:F40" si="11">D32/P8</f>
        <v>-136.50814451630649</v>
      </c>
      <c r="G32" s="112">
        <f t="shared" ref="G32:G40" si="12">S8/E32</f>
        <v>14.153779719516386</v>
      </c>
      <c r="H32" s="9">
        <f t="shared" ref="H32:H40" si="13">S8/F32</f>
        <v>2.0219685313594837</v>
      </c>
    </row>
    <row r="33" spans="1:8" x14ac:dyDescent="0.2">
      <c r="A33" s="265">
        <v>3</v>
      </c>
      <c r="B33" s="141">
        <f t="shared" ref="B33:B40" si="14">C32</f>
        <v>36</v>
      </c>
      <c r="C33" s="140">
        <f t="shared" ref="C33:C40" si="15">B33*$M$3</f>
        <v>216</v>
      </c>
      <c r="D33" s="142">
        <f>SUM($C$31:C33)</f>
        <v>258</v>
      </c>
      <c r="E33" s="112">
        <f t="shared" si="10"/>
        <v>-137.72480291863494</v>
      </c>
      <c r="F33" s="9">
        <f t="shared" si="11"/>
        <v>-987.02775425021696</v>
      </c>
      <c r="G33" s="112">
        <f t="shared" si="12"/>
        <v>4.6766579163506385</v>
      </c>
      <c r="H33" s="9">
        <f t="shared" si="13"/>
        <v>0.6525569185605542</v>
      </c>
    </row>
    <row r="34" spans="1:8" x14ac:dyDescent="0.2">
      <c r="A34" s="265">
        <v>4</v>
      </c>
      <c r="B34" s="141">
        <f t="shared" si="14"/>
        <v>216</v>
      </c>
      <c r="C34" s="140">
        <f t="shared" si="15"/>
        <v>1296</v>
      </c>
      <c r="D34" s="142">
        <f>SUM($C$31:C34)</f>
        <v>1554</v>
      </c>
      <c r="E34" s="112">
        <f t="shared" si="10"/>
        <v>-883.33885369797008</v>
      </c>
      <c r="F34" s="9">
        <f t="shared" si="11"/>
        <v>-6355.132308549285</v>
      </c>
      <c r="G34" s="112">
        <f t="shared" si="12"/>
        <v>1.344885255191282</v>
      </c>
      <c r="H34" s="9">
        <f t="shared" si="13"/>
        <v>0.18693385786442529</v>
      </c>
    </row>
    <row r="35" spans="1:8" x14ac:dyDescent="0.2">
      <c r="A35" s="265">
        <v>5</v>
      </c>
      <c r="B35" s="141">
        <f t="shared" si="14"/>
        <v>1296</v>
      </c>
      <c r="C35" s="140">
        <f t="shared" si="15"/>
        <v>7776</v>
      </c>
      <c r="D35" s="142">
        <f>SUM($C$31:C35)</f>
        <v>9330</v>
      </c>
      <c r="E35" s="112">
        <f t="shared" si="10"/>
        <v>-5441.056313443476</v>
      </c>
      <c r="F35" s="9">
        <f t="shared" si="11"/>
        <v>-39170.567441687985</v>
      </c>
      <c r="G35" s="112">
        <f t="shared" si="12"/>
        <v>0.3516815793337334</v>
      </c>
      <c r="H35" s="9">
        <f t="shared" si="13"/>
        <v>4.8850946068222781E-2</v>
      </c>
    </row>
    <row r="36" spans="1:8" x14ac:dyDescent="0.2">
      <c r="A36" s="265">
        <v>6</v>
      </c>
      <c r="B36" s="141">
        <f t="shared" si="14"/>
        <v>7776</v>
      </c>
      <c r="C36" s="140">
        <f t="shared" si="15"/>
        <v>46656</v>
      </c>
      <c r="D36" s="142">
        <f>SUM($C$31:C36)</f>
        <v>55986</v>
      </c>
      <c r="E36" s="112">
        <f t="shared" si="10"/>
        <v>-32979.943353279748</v>
      </c>
      <c r="F36" s="9">
        <f t="shared" si="11"/>
        <v>-237450.50264618316</v>
      </c>
      <c r="G36" s="112">
        <f t="shared" si="12"/>
        <v>8.5553848525524112E-2</v>
      </c>
      <c r="H36" s="9">
        <f t="shared" si="13"/>
        <v>1.1882733650099585E-2</v>
      </c>
    </row>
    <row r="37" spans="1:8" x14ac:dyDescent="0.2">
      <c r="A37" s="265">
        <v>7</v>
      </c>
      <c r="B37" s="141">
        <f t="shared" si="14"/>
        <v>46656</v>
      </c>
      <c r="C37" s="140">
        <f t="shared" si="15"/>
        <v>279936</v>
      </c>
      <c r="D37" s="142">
        <f>SUM($C$31:C37)</f>
        <v>335922</v>
      </c>
      <c r="E37" s="112">
        <f t="shared" si="10"/>
        <v>-198654.76926108691</v>
      </c>
      <c r="F37" s="9">
        <f t="shared" si="11"/>
        <v>-1430309.2292464601</v>
      </c>
      <c r="G37" s="112">
        <f t="shared" si="12"/>
        <v>1.9688920008341753E-2</v>
      </c>
      <c r="H37" s="9">
        <f t="shared" si="13"/>
        <v>2.7345819919778781E-3</v>
      </c>
    </row>
    <row r="38" spans="1:8" x14ac:dyDescent="0.2">
      <c r="A38" s="265">
        <v>8</v>
      </c>
      <c r="B38" s="141">
        <f t="shared" si="14"/>
        <v>279936</v>
      </c>
      <c r="C38" s="140">
        <f t="shared" si="15"/>
        <v>1679616</v>
      </c>
      <c r="D38" s="142">
        <f>SUM($C$31:C38)</f>
        <v>2015538</v>
      </c>
      <c r="E38" s="112">
        <f t="shared" si="10"/>
        <v>-1193716.956776347</v>
      </c>
      <c r="F38" s="9">
        <f t="shared" si="11"/>
        <v>-8594756.9716902617</v>
      </c>
      <c r="G38" s="112">
        <f t="shared" si="12"/>
        <v>4.3408191487120419E-3</v>
      </c>
      <c r="H38" s="9">
        <f t="shared" si="13"/>
        <v>6.0289190737850343E-4</v>
      </c>
    </row>
    <row r="39" spans="1:8" x14ac:dyDescent="0.2">
      <c r="A39" s="265">
        <v>9</v>
      </c>
      <c r="B39" s="141">
        <f t="shared" si="14"/>
        <v>1679616</v>
      </c>
      <c r="C39" s="140">
        <f t="shared" si="15"/>
        <v>10077696</v>
      </c>
      <c r="D39" s="142">
        <f>SUM($C$31:C39)</f>
        <v>12093234</v>
      </c>
      <c r="E39" s="112">
        <f t="shared" si="10"/>
        <v>-7166416.7001668187</v>
      </c>
      <c r="F39" s="9">
        <f t="shared" si="11"/>
        <v>-51598195.121161729</v>
      </c>
      <c r="G39" s="112">
        <f t="shared" si="12"/>
        <v>9.2543186277299931E-4</v>
      </c>
      <c r="H39" s="9">
        <f t="shared" si="13"/>
        <v>1.2853221591704371E-4</v>
      </c>
    </row>
    <row r="40" spans="1:8" ht="17" thickBot="1" x14ac:dyDescent="0.25">
      <c r="A40" s="266">
        <v>10</v>
      </c>
      <c r="B40" s="143">
        <f t="shared" si="14"/>
        <v>10077696</v>
      </c>
      <c r="C40" s="144">
        <f t="shared" si="15"/>
        <v>60466176</v>
      </c>
      <c r="D40" s="145">
        <f>SUM($C$31:C40)</f>
        <v>72559410</v>
      </c>
      <c r="E40" s="113">
        <f t="shared" si="10"/>
        <v>-43007958.886410244</v>
      </c>
      <c r="F40" s="10">
        <f t="shared" si="11"/>
        <v>-309657298.86098808</v>
      </c>
      <c r="G40" s="113">
        <f t="shared" si="12"/>
        <v>1.9209896459442214E-4</v>
      </c>
      <c r="H40" s="10">
        <f t="shared" si="13"/>
        <v>2.6680412190470536E-5</v>
      </c>
    </row>
    <row r="41" spans="1:8" ht="17" thickBot="1" x14ac:dyDescent="0.25"/>
    <row r="42" spans="1:8" ht="17" thickBot="1" x14ac:dyDescent="0.25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">
      <c r="A43" s="264">
        <v>1</v>
      </c>
      <c r="B43" s="146">
        <v>1</v>
      </c>
      <c r="C43" s="150">
        <f>B43*$M$3</f>
        <v>6</v>
      </c>
      <c r="D43" s="151">
        <f>SUM(C43:C43)</f>
        <v>6</v>
      </c>
      <c r="E43" s="129">
        <f>B43/P7</f>
        <v>-2.2407303342595477</v>
      </c>
      <c r="F43" s="58">
        <f>D43/P7</f>
        <v>-13.444382005557287</v>
      </c>
      <c r="G43" s="28">
        <f>S7/E43</f>
        <v>30.632358320714726</v>
      </c>
      <c r="H43" s="8">
        <f>S7/F43</f>
        <v>5.1053930534524543</v>
      </c>
    </row>
    <row r="44" spans="1:8" x14ac:dyDescent="0.2">
      <c r="A44" s="265">
        <v>2</v>
      </c>
      <c r="B44" s="141">
        <f>B43*$M$3*2</f>
        <v>12</v>
      </c>
      <c r="C44" s="140">
        <f>B44*$M$3</f>
        <v>72</v>
      </c>
      <c r="D44" s="142">
        <f>SUM($C$43:C44)</f>
        <v>78</v>
      </c>
      <c r="E44" s="112">
        <f t="shared" ref="E44:E52" si="16">B44/P8</f>
        <v>-39.002327004659001</v>
      </c>
      <c r="F44" s="9">
        <f t="shared" ref="F44:F52" si="17">D44/P8</f>
        <v>-253.51512553028348</v>
      </c>
      <c r="G44" s="112">
        <f t="shared" ref="G44:G52" si="18">S8/E44</f>
        <v>7.0768898597581931</v>
      </c>
      <c r="H44" s="9">
        <f t="shared" ref="H44:H52" si="19">S8/F44</f>
        <v>1.0887522861166452</v>
      </c>
    </row>
    <row r="45" spans="1:8" x14ac:dyDescent="0.2">
      <c r="A45" s="265">
        <v>3</v>
      </c>
      <c r="B45" s="141">
        <f t="shared" ref="B45:B52" si="20">B44*$M$3*2</f>
        <v>144</v>
      </c>
      <c r="C45" s="140">
        <f t="shared" ref="C45:C52" si="21">B45*$M$3</f>
        <v>864</v>
      </c>
      <c r="D45" s="142">
        <f>SUM($C$43:C45)</f>
        <v>942</v>
      </c>
      <c r="E45" s="112">
        <f t="shared" si="16"/>
        <v>-550.89921167453974</v>
      </c>
      <c r="F45" s="9">
        <f t="shared" si="17"/>
        <v>-3603.7990097042803</v>
      </c>
      <c r="G45" s="112">
        <f t="shared" si="18"/>
        <v>1.1691644790876596</v>
      </c>
      <c r="H45" s="9">
        <f t="shared" si="19"/>
        <v>0.17872578024269958</v>
      </c>
    </row>
    <row r="46" spans="1:8" x14ac:dyDescent="0.2">
      <c r="A46" s="265">
        <v>4</v>
      </c>
      <c r="B46" s="141">
        <f t="shared" si="20"/>
        <v>1728</v>
      </c>
      <c r="C46" s="140">
        <f t="shared" si="21"/>
        <v>10368</v>
      </c>
      <c r="D46" s="142">
        <f>SUM($C$43:C46)</f>
        <v>11310</v>
      </c>
      <c r="E46" s="112">
        <f t="shared" si="16"/>
        <v>-7066.7108295837606</v>
      </c>
      <c r="F46" s="9">
        <f t="shared" si="17"/>
        <v>-46252.603867240934</v>
      </c>
      <c r="G46" s="112">
        <f t="shared" si="18"/>
        <v>0.16811065689891025</v>
      </c>
      <c r="H46" s="9">
        <f t="shared" si="19"/>
        <v>2.5684811239727403E-2</v>
      </c>
    </row>
    <row r="47" spans="1:8" x14ac:dyDescent="0.2">
      <c r="A47" s="265">
        <v>5</v>
      </c>
      <c r="B47" s="141">
        <f t="shared" si="20"/>
        <v>20736</v>
      </c>
      <c r="C47" s="140">
        <f t="shared" si="21"/>
        <v>124416</v>
      </c>
      <c r="D47" s="142">
        <f>SUM($C$43:C47)</f>
        <v>135726</v>
      </c>
      <c r="E47" s="112">
        <f t="shared" si="16"/>
        <v>-87056.901015095616</v>
      </c>
      <c r="F47" s="9">
        <f t="shared" si="17"/>
        <v>-569824.69845557807</v>
      </c>
      <c r="G47" s="112">
        <f t="shared" si="18"/>
        <v>2.1980098708358337E-2</v>
      </c>
      <c r="H47" s="9">
        <f t="shared" si="19"/>
        <v>3.3580841313861644E-3</v>
      </c>
    </row>
    <row r="48" spans="1:8" x14ac:dyDescent="0.2">
      <c r="A48" s="265">
        <v>6</v>
      </c>
      <c r="B48" s="141">
        <f t="shared" si="20"/>
        <v>248832</v>
      </c>
      <c r="C48" s="140">
        <f t="shared" si="21"/>
        <v>1492992</v>
      </c>
      <c r="D48" s="142">
        <f>SUM($C$43:C48)</f>
        <v>1628718</v>
      </c>
      <c r="E48" s="112">
        <f t="shared" si="16"/>
        <v>-1055358.1873049519</v>
      </c>
      <c r="F48" s="9">
        <f t="shared" si="17"/>
        <v>-6907796.7307699444</v>
      </c>
      <c r="G48" s="112">
        <f t="shared" si="18"/>
        <v>2.6735577664226285E-3</v>
      </c>
      <c r="H48" s="9">
        <f t="shared" si="19"/>
        <v>4.0846035110711336E-4</v>
      </c>
    </row>
    <row r="49" spans="1:8" x14ac:dyDescent="0.2">
      <c r="A49" s="265">
        <v>7</v>
      </c>
      <c r="B49" s="141">
        <f t="shared" si="20"/>
        <v>2985984</v>
      </c>
      <c r="C49" s="140">
        <f t="shared" si="21"/>
        <v>17915904</v>
      </c>
      <c r="D49" s="142">
        <f>SUM($C$43:C49)</f>
        <v>19544622</v>
      </c>
      <c r="E49" s="112">
        <f t="shared" si="16"/>
        <v>-12713905.232709562</v>
      </c>
      <c r="F49" s="9">
        <f t="shared" si="17"/>
        <v>-83218286.473447427</v>
      </c>
      <c r="G49" s="112">
        <f t="shared" si="18"/>
        <v>3.0763937513033989E-4</v>
      </c>
      <c r="H49" s="9">
        <f t="shared" si="19"/>
        <v>4.70004614010541E-5</v>
      </c>
    </row>
    <row r="50" spans="1:8" x14ac:dyDescent="0.2">
      <c r="A50" s="265">
        <v>8</v>
      </c>
      <c r="B50" s="141">
        <f t="shared" si="20"/>
        <v>35831808</v>
      </c>
      <c r="C50" s="140">
        <f t="shared" si="21"/>
        <v>214990848</v>
      </c>
      <c r="D50" s="142">
        <f>SUM($C$43:C50)</f>
        <v>234535470</v>
      </c>
      <c r="E50" s="112">
        <f t="shared" si="16"/>
        <v>-152795770.46737242</v>
      </c>
      <c r="F50" s="9">
        <f t="shared" si="17"/>
        <v>-1000117768.0059379</v>
      </c>
      <c r="G50" s="112">
        <f t="shared" si="18"/>
        <v>3.3912649599312827E-5</v>
      </c>
      <c r="H50" s="9">
        <f t="shared" si="19"/>
        <v>5.1810992563890398E-6</v>
      </c>
    </row>
    <row r="51" spans="1:8" x14ac:dyDescent="0.2">
      <c r="A51" s="265">
        <v>9</v>
      </c>
      <c r="B51" s="141">
        <f t="shared" si="20"/>
        <v>429981696</v>
      </c>
      <c r="C51" s="140">
        <f t="shared" si="21"/>
        <v>2579890176</v>
      </c>
      <c r="D51" s="142">
        <f>SUM($C$43:C51)</f>
        <v>2814425646</v>
      </c>
      <c r="E51" s="112">
        <f t="shared" si="16"/>
        <v>-1834602675.2427056</v>
      </c>
      <c r="F51" s="9">
        <f t="shared" si="17"/>
        <v>-12008308417.443146</v>
      </c>
      <c r="G51" s="112">
        <f t="shared" si="18"/>
        <v>3.6149682139570285E-6</v>
      </c>
      <c r="H51" s="9">
        <f t="shared" si="19"/>
        <v>5.5228681057269401E-7</v>
      </c>
    </row>
    <row r="52" spans="1:8" ht="17" thickBot="1" x14ac:dyDescent="0.25">
      <c r="A52" s="266">
        <v>10</v>
      </c>
      <c r="B52" s="143">
        <f t="shared" si="20"/>
        <v>5159780352</v>
      </c>
      <c r="C52" s="144">
        <f t="shared" si="21"/>
        <v>30958682112</v>
      </c>
      <c r="D52" s="145">
        <f>SUM($C$43:C52)</f>
        <v>33773107758</v>
      </c>
      <c r="E52" s="113">
        <f t="shared" si="16"/>
        <v>-22020074949.842045</v>
      </c>
      <c r="F52" s="10">
        <f t="shared" si="17"/>
        <v>-144131399669.36557</v>
      </c>
      <c r="G52" s="113">
        <f t="shared" si="18"/>
        <v>3.7519329022348073E-7</v>
      </c>
      <c r="H52" s="10">
        <f t="shared" si="19"/>
        <v>5.7321197118401998E-8</v>
      </c>
    </row>
  </sheetData>
  <conditionalFormatting sqref="O7:O16">
    <cfRule type="cellIs" dxfId="187" priority="27" operator="lessThanOrEqual">
      <formula>0</formula>
    </cfRule>
    <cfRule type="cellIs" dxfId="186" priority="28" operator="greaterThan">
      <formula>0</formula>
    </cfRule>
  </conditionalFormatting>
  <conditionalFormatting sqref="P7:P16 S7:S16">
    <cfRule type="cellIs" dxfId="185" priority="25" operator="lessThanOrEqual">
      <formula>0</formula>
    </cfRule>
    <cfRule type="cellIs" dxfId="184" priority="26" operator="greaterThan">
      <formula>0</formula>
    </cfRule>
  </conditionalFormatting>
  <conditionalFormatting sqref="G43:G52">
    <cfRule type="cellIs" dxfId="183" priority="24" operator="equal">
      <formula>MAX($G$43:$G$52)</formula>
    </cfRule>
  </conditionalFormatting>
  <conditionalFormatting sqref="H43:H52">
    <cfRule type="cellIs" dxfId="182" priority="23" operator="equal">
      <formula>MAX($H$43:$H$52)</formula>
    </cfRule>
  </conditionalFormatting>
  <conditionalFormatting sqref="G31:G40">
    <cfRule type="cellIs" dxfId="181" priority="22" operator="equal">
      <formula>MAX($G$31:$G$40)</formula>
    </cfRule>
  </conditionalFormatting>
  <conditionalFormatting sqref="H31:H40">
    <cfRule type="cellIs" dxfId="180" priority="21" operator="equal">
      <formula>MAX($H$31:$H$40)</formula>
    </cfRule>
  </conditionalFormatting>
  <conditionalFormatting sqref="F19:F28">
    <cfRule type="cellIs" dxfId="179" priority="19" stopIfTrue="1" operator="lessThan">
      <formula>0</formula>
    </cfRule>
    <cfRule type="cellIs" dxfId="178" priority="20" operator="equal">
      <formula>MIN($F$19:$F$28)</formula>
    </cfRule>
  </conditionalFormatting>
  <conditionalFormatting sqref="E19:E28">
    <cfRule type="cellIs" dxfId="177" priority="17" stopIfTrue="1" operator="lessThan">
      <formula>0</formula>
    </cfRule>
    <cfRule type="cellIs" dxfId="176" priority="18" operator="equal">
      <formula>MIN($E$19:$E$28)</formula>
    </cfRule>
  </conditionalFormatting>
  <conditionalFormatting sqref="F31:F40">
    <cfRule type="cellIs" dxfId="175" priority="15" stopIfTrue="1" operator="lessThan">
      <formula>0</formula>
    </cfRule>
    <cfRule type="cellIs" dxfId="174" priority="16" operator="equal">
      <formula>MIN($F$31:$F$40)</formula>
    </cfRule>
  </conditionalFormatting>
  <conditionalFormatting sqref="E31:E40">
    <cfRule type="cellIs" dxfId="173" priority="13" stopIfTrue="1" operator="lessThan">
      <formula>0</formula>
    </cfRule>
    <cfRule type="cellIs" dxfId="172" priority="14" operator="equal">
      <formula>MIN($E$31:$E$40)</formula>
    </cfRule>
  </conditionalFormatting>
  <conditionalFormatting sqref="F43:F52">
    <cfRule type="cellIs" dxfId="171" priority="11" stopIfTrue="1" operator="lessThan">
      <formula>0</formula>
    </cfRule>
    <cfRule type="cellIs" dxfId="170" priority="12" operator="equal">
      <formula>MIN($F$43:$F$52)</formula>
    </cfRule>
  </conditionalFormatting>
  <conditionalFormatting sqref="E43:E52">
    <cfRule type="cellIs" dxfId="169" priority="9" stopIfTrue="1" operator="lessThan">
      <formula>0</formula>
    </cfRule>
    <cfRule type="cellIs" dxfId="168" priority="10" operator="equal">
      <formula>MIN($E$43:$E$52)</formula>
    </cfRule>
  </conditionalFormatting>
  <conditionalFormatting sqref="Q7:Q16">
    <cfRule type="cellIs" dxfId="167" priority="7" operator="lessThanOrEqual">
      <formula>0</formula>
    </cfRule>
    <cfRule type="cellIs" dxfId="166" priority="8" operator="greaterThan">
      <formula>0</formula>
    </cfRule>
  </conditionalFormatting>
  <conditionalFormatting sqref="R7:R16">
    <cfRule type="cellIs" dxfId="165" priority="5" operator="lessThanOrEqual">
      <formula>0</formula>
    </cfRule>
    <cfRule type="cellIs" dxfId="164" priority="6" operator="greaterThan">
      <formula>0</formula>
    </cfRule>
  </conditionalFormatting>
  <conditionalFormatting sqref="G19:G28">
    <cfRule type="cellIs" dxfId="163" priority="3" operator="lessThanOrEqual">
      <formula>0</formula>
    </cfRule>
    <cfRule type="cellIs" dxfId="162" priority="4" operator="equal">
      <formula>MAX($G$19:$G$28)</formula>
    </cfRule>
  </conditionalFormatting>
  <conditionalFormatting sqref="H19:H28">
    <cfRule type="cellIs" dxfId="161" priority="1" operator="lessThanOrEqual">
      <formula>0</formula>
    </cfRule>
    <cfRule type="cellIs" dxfId="160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U52"/>
  <sheetViews>
    <sheetView topLeftCell="A28" workbookViewId="0">
      <selection activeCell="I3" sqref="I3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1" x14ac:dyDescent="0.2">
      <c r="B1" s="202"/>
      <c r="C1" t="s">
        <v>99</v>
      </c>
      <c r="D1">
        <f>C2+E2</f>
        <v>0.99999999999999556</v>
      </c>
    </row>
    <row r="2" spans="1:21" x14ac:dyDescent="0.2">
      <c r="A2" t="s">
        <v>40</v>
      </c>
      <c r="B2" s="201" t="s">
        <v>129</v>
      </c>
      <c r="C2" s="222">
        <f>Analysis!B49</f>
        <v>0.28078484170791718</v>
      </c>
      <c r="D2" s="199" t="s">
        <v>130</v>
      </c>
      <c r="E2" s="222">
        <f>Analysis!M49</f>
        <v>0.71921515829207838</v>
      </c>
      <c r="F2" s="199" t="s">
        <v>49</v>
      </c>
      <c r="G2" s="222">
        <f>Analysis!S49</f>
        <v>30.406942902558633</v>
      </c>
      <c r="H2" t="s">
        <v>163</v>
      </c>
      <c r="I2" s="238">
        <f>Analysis!T49</f>
        <v>138.27220863860157</v>
      </c>
      <c r="J2" t="s">
        <v>50</v>
      </c>
      <c r="K2" s="238">
        <f>C2*G2-E2*I2</f>
        <v>-90.909659773690521</v>
      </c>
      <c r="L2" t="s">
        <v>49</v>
      </c>
      <c r="M2" s="267">
        <v>3</v>
      </c>
    </row>
    <row r="3" spans="1:21" x14ac:dyDescent="0.2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6</v>
      </c>
    </row>
    <row r="4" spans="1:21" x14ac:dyDescent="0.2">
      <c r="A4" t="s">
        <v>127</v>
      </c>
      <c r="B4" s="202">
        <f>$C$2</f>
        <v>0.28078484170791718</v>
      </c>
      <c r="C4">
        <f>B4*$C$2</f>
        <v>7.8840127332940102E-2</v>
      </c>
      <c r="D4">
        <f t="shared" ref="D4:K4" si="0">C4*$C$2</f>
        <v>2.2137112673411622E-2</v>
      </c>
      <c r="E4">
        <f t="shared" si="0"/>
        <v>6.2157656778742097E-3</v>
      </c>
      <c r="F4">
        <f t="shared" si="0"/>
        <v>1.7452927819554145E-3</v>
      </c>
      <c r="G4">
        <f t="shared" si="0"/>
        <v>4.9005175751532144E-4</v>
      </c>
      <c r="H4">
        <f t="shared" si="0"/>
        <v>1.3759910516262613E-4</v>
      </c>
      <c r="I4">
        <f t="shared" si="0"/>
        <v>3.8635742962239025E-5</v>
      </c>
      <c r="J4">
        <f t="shared" si="0"/>
        <v>1.0848330971920061E-5</v>
      </c>
      <c r="K4">
        <f t="shared" si="0"/>
        <v>3.0460468947456696E-6</v>
      </c>
    </row>
    <row r="5" spans="1:21" ht="17" thickBot="1" x14ac:dyDescent="0.25">
      <c r="A5" t="s">
        <v>128</v>
      </c>
      <c r="B5" s="202">
        <f>$E$2</f>
        <v>0.71921515829207838</v>
      </c>
      <c r="C5">
        <f>B5*$E$2</f>
        <v>0.51727044391709931</v>
      </c>
      <c r="D5">
        <f t="shared" ref="D5:K5" si="1">C5*$E$2</f>
        <v>0.37202874420165022</v>
      </c>
      <c r="E5">
        <f t="shared" si="1"/>
        <v>0.26756871215019301</v>
      </c>
      <c r="F5">
        <f t="shared" si="1"/>
        <v>0.19243947366310862</v>
      </c>
      <c r="G5">
        <f t="shared" si="1"/>
        <v>0.13840538651225692</v>
      </c>
      <c r="H5">
        <f t="shared" si="1"/>
        <v>9.9543251968889149E-2</v>
      </c>
      <c r="I5">
        <f t="shared" si="1"/>
        <v>7.1593015721712852E-2</v>
      </c>
      <c r="J5">
        <f t="shared" si="1"/>
        <v>5.1490782134898966E-2</v>
      </c>
      <c r="K5">
        <f t="shared" si="1"/>
        <v>3.703295102373428E-2</v>
      </c>
    </row>
    <row r="6" spans="1:21" ht="17" thickBot="1" x14ac:dyDescent="0.25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">
      <c r="A7" s="208">
        <v>1</v>
      </c>
      <c r="B7" s="114">
        <f>C7*B4</f>
        <v>0.28078484170791718</v>
      </c>
      <c r="C7" s="114">
        <v>1</v>
      </c>
      <c r="D7" s="212">
        <f>C7*B5</f>
        <v>0.71921515829207838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0.99999999999999556</v>
      </c>
      <c r="O7" s="114">
        <f>B7/(B7+D7)</f>
        <v>0.2807848417079184</v>
      </c>
      <c r="P7" s="129">
        <f>B7-D7</f>
        <v>-0.43843031658416121</v>
      </c>
      <c r="Q7" s="129">
        <f>($G$2*SUM(C7))*B7</f>
        <v>8.5378086497166006</v>
      </c>
      <c r="R7" s="58">
        <f>($I$2*SUM(C7))*D7*COUNT(D7:M7)</f>
        <v>99.447468423407116</v>
      </c>
      <c r="S7" s="58">
        <f>Q7-R7</f>
        <v>-90.909659773690521</v>
      </c>
      <c r="T7" s="129">
        <f>(S7+U7*D7)/B7</f>
        <v>-321.20838171605396</v>
      </c>
      <c r="U7" s="58">
        <f t="shared" ref="U7:U16" si="2">COUNT(D7:M7)</f>
        <v>1</v>
      </c>
    </row>
    <row r="8" spans="1:21" x14ac:dyDescent="0.2">
      <c r="A8" s="209">
        <v>2</v>
      </c>
      <c r="B8" s="116">
        <f>C8*B4</f>
        <v>0.35183632859221148</v>
      </c>
      <c r="C8" s="116">
        <f>1/(1-B4*B5)</f>
        <v>1.2530460207613512</v>
      </c>
      <c r="D8" s="194">
        <f>C8*B5</f>
        <v>0.90120969216913416</v>
      </c>
      <c r="E8" s="1">
        <f>D8*B5</f>
        <v>0.64816367140777909</v>
      </c>
      <c r="F8" s="1"/>
      <c r="G8" s="1"/>
      <c r="H8" s="1"/>
      <c r="I8" s="1"/>
      <c r="J8" s="1"/>
      <c r="K8" s="1"/>
      <c r="L8" s="1"/>
      <c r="M8" s="9"/>
      <c r="N8">
        <f>B8+E8</f>
        <v>0.99999999999999056</v>
      </c>
      <c r="O8" s="116">
        <f>B8/(B8+E8)</f>
        <v>0.35183632859221481</v>
      </c>
      <c r="P8" s="112">
        <f>B8-E8</f>
        <v>-0.29632734281556761</v>
      </c>
      <c r="Q8" s="112">
        <f>($G$2*SUM(C8:D8))*B8</f>
        <v>23.046803136144248</v>
      </c>
      <c r="R8" s="9">
        <f>($I$2*SUM(C8:D8))*E8*COUNT(D8:M8)</f>
        <v>386.14181605152629</v>
      </c>
      <c r="S8" s="9">
        <f t="shared" ref="S8:S16" si="3">Q8-R8</f>
        <v>-363.09501291538203</v>
      </c>
      <c r="T8" s="112">
        <f>(S8+U8*E8)/B8</f>
        <v>-1028.3153164433502</v>
      </c>
      <c r="U8" s="9">
        <f t="shared" si="2"/>
        <v>2</v>
      </c>
    </row>
    <row r="9" spans="1:21" x14ac:dyDescent="0.2">
      <c r="A9" s="209">
        <v>3</v>
      </c>
      <c r="B9" s="116">
        <f>C9*B4</f>
        <v>0.37590648087063405</v>
      </c>
      <c r="C9" s="216">
        <f>1/(1-B5*B4/(1-B5*B4))</f>
        <v>1.3387705639098066</v>
      </c>
      <c r="D9" s="217">
        <f>C9*B5*C8</f>
        <v>1.2065130077862549</v>
      </c>
      <c r="E9" s="218">
        <f>D9*(B5)</f>
        <v>0.86774244387644295</v>
      </c>
      <c r="F9" s="218">
        <f>E9*B5</f>
        <v>0.62409351912935085</v>
      </c>
      <c r="G9" s="218"/>
      <c r="H9" s="218"/>
      <c r="I9" s="218"/>
      <c r="J9" s="218"/>
      <c r="K9" s="218"/>
      <c r="L9" s="218"/>
      <c r="M9" s="219"/>
      <c r="N9">
        <f>B9+F9</f>
        <v>0.9999999999999849</v>
      </c>
      <c r="O9" s="116">
        <f>B9/(B9+F9)</f>
        <v>0.37590648087063971</v>
      </c>
      <c r="P9" s="112">
        <f>B9-F9</f>
        <v>-0.2481870382587168</v>
      </c>
      <c r="Q9" s="112">
        <f>($G$2*SUM(C9:E9))*B9</f>
        <v>39.011456993862105</v>
      </c>
      <c r="R9" s="9">
        <f>($I$2*SUM(C9:E9))*F9*COUNT(D9:M9)</f>
        <v>883.57908253517485</v>
      </c>
      <c r="S9" s="9">
        <f t="shared" si="3"/>
        <v>-844.56762554131274</v>
      </c>
      <c r="T9" s="112">
        <f>(S9+U9*F9)/B9</f>
        <v>-2241.7685990200662</v>
      </c>
      <c r="U9" s="9">
        <f t="shared" si="2"/>
        <v>3</v>
      </c>
    </row>
    <row r="10" spans="1:21" x14ac:dyDescent="0.2">
      <c r="A10" s="209">
        <v>4</v>
      </c>
      <c r="B10" s="116">
        <f>C10*B4</f>
        <v>0.38482530177919988</v>
      </c>
      <c r="C10" s="116">
        <f>1/(1-B5*B4/(1-B5*B4/(1-B5*B4)))</f>
        <v>1.3705344613278998</v>
      </c>
      <c r="D10" s="194">
        <f>C10*B5*C9</f>
        <v>1.3196384073800664</v>
      </c>
      <c r="E10" s="1">
        <f>D10*B5*C8</f>
        <v>1.1892709228895562</v>
      </c>
      <c r="F10" s="1">
        <f>E10*B5</f>
        <v>0.85534167505817826</v>
      </c>
      <c r="G10" s="1">
        <f>F10*B5</f>
        <v>0.61517469822077919</v>
      </c>
      <c r="H10" s="1"/>
      <c r="I10" s="1"/>
      <c r="J10" s="1"/>
      <c r="K10" s="1"/>
      <c r="L10" s="1"/>
      <c r="M10" s="9"/>
      <c r="N10">
        <f>B10+G10</f>
        <v>0.99999999999997913</v>
      </c>
      <c r="O10" s="116">
        <f>B10/(B10+G10)</f>
        <v>0.38482530177920793</v>
      </c>
      <c r="P10" s="112">
        <f>B10-G10</f>
        <v>-0.23034939644157931</v>
      </c>
      <c r="Q10" s="112">
        <f>($G$2*SUM(C10:F10))*B10</f>
        <v>55.403433901851621</v>
      </c>
      <c r="R10" s="9">
        <f>($I$2*SUM(C10:F10))*G10*COUNT(D10:M10)</f>
        <v>1610.993032189205</v>
      </c>
      <c r="S10" s="9">
        <f t="shared" si="3"/>
        <v>-1555.5895982873533</v>
      </c>
      <c r="T10" s="112">
        <f>(S10+U10*G10)/B10</f>
        <v>-4035.9323888365443</v>
      </c>
      <c r="U10" s="9">
        <f t="shared" si="2"/>
        <v>4</v>
      </c>
    </row>
    <row r="11" spans="1:21" x14ac:dyDescent="0.2">
      <c r="A11" s="209">
        <v>5</v>
      </c>
      <c r="B11" s="116">
        <f>C11*B4</f>
        <v>0.38823844707735911</v>
      </c>
      <c r="C11" s="116">
        <f>1/(1-B5*B4/(1-B5*B4/(1-B5*B4/(1-B5*B4))))</f>
        <v>1.3826901933731137</v>
      </c>
      <c r="D11" s="194">
        <f>C11*B5*C10</f>
        <v>1.3629303884260329</v>
      </c>
      <c r="E11" s="1">
        <f>D11*B5*C9</f>
        <v>1.3123167186980473</v>
      </c>
      <c r="F11" s="1">
        <f>E11*B5*C8</f>
        <v>1.1826725460862755</v>
      </c>
      <c r="G11" s="1">
        <f>F11*B5</f>
        <v>0.85059602244113597</v>
      </c>
      <c r="H11" s="1">
        <f>G11*B5</f>
        <v>0.61176155292261392</v>
      </c>
      <c r="I11" s="1"/>
      <c r="J11" s="1"/>
      <c r="K11" s="1"/>
      <c r="L11" s="1"/>
      <c r="M11" s="9"/>
      <c r="N11">
        <f>B11+H11</f>
        <v>0.99999999999997302</v>
      </c>
      <c r="O11" s="116">
        <f>B11/(B11+H11)</f>
        <v>0.3882384470773696</v>
      </c>
      <c r="P11" s="112">
        <f>B11-H11</f>
        <v>-0.22352310584525481</v>
      </c>
      <c r="Q11" s="112">
        <f>($G$2*SUM(C11:G11))*B11</f>
        <v>71.907564201346844</v>
      </c>
      <c r="R11" s="9">
        <f>($I$2*SUM(C11:G11))*H11*COUNT(D11:M11)</f>
        <v>2576.263981990307</v>
      </c>
      <c r="S11" s="9">
        <f t="shared" si="3"/>
        <v>-2504.3564177889602</v>
      </c>
      <c r="T11" s="112">
        <f>(S11+U11*H11)/B11</f>
        <v>-6442.683945533985</v>
      </c>
      <c r="U11" s="9">
        <f t="shared" si="2"/>
        <v>5</v>
      </c>
    </row>
    <row r="12" spans="1:21" x14ac:dyDescent="0.2">
      <c r="A12" s="209">
        <v>6</v>
      </c>
      <c r="B12" s="116">
        <f>C12*B4</f>
        <v>0.38956069723007541</v>
      </c>
      <c r="C12" s="116">
        <f>1/(1-B5*B4/(1-B5*B4/(1-B5*B4/(1-B5*B4/(1-B5*B4)))))</f>
        <v>1.3873993156486379</v>
      </c>
      <c r="D12" s="194">
        <f>C12*B5*C11</f>
        <v>1.3797016722563142</v>
      </c>
      <c r="E12" s="1">
        <f>D12*B5*C10</f>
        <v>1.3599845757876989</v>
      </c>
      <c r="F12" s="1">
        <f>E12*B5*C9</f>
        <v>1.3094803015132328</v>
      </c>
      <c r="G12" s="1">
        <f>F12*B5*C8</f>
        <v>1.1801163394282854</v>
      </c>
      <c r="H12" s="1">
        <f>G12*B5</f>
        <v>0.84875755986498236</v>
      </c>
      <c r="I12" s="1">
        <f>H12*B5</f>
        <v>0.61043930276989145</v>
      </c>
      <c r="J12" s="1"/>
      <c r="K12" s="1"/>
      <c r="L12" s="1"/>
      <c r="M12" s="9"/>
      <c r="N12">
        <f>B12+I12</f>
        <v>0.99999999999996692</v>
      </c>
      <c r="O12" s="116">
        <f>B12/(B12+I12)</f>
        <v>0.38956069723008829</v>
      </c>
      <c r="P12" s="112">
        <f>B12-I12</f>
        <v>-0.22087860553981603</v>
      </c>
      <c r="Q12" s="112">
        <f>($G$2*SUM(C12:H12))*B12</f>
        <v>88.43074600180357</v>
      </c>
      <c r="R12" s="9">
        <f>($I$2*SUM(C12:H12))*I12*COUNT(D12:M12)</f>
        <v>3780.8028671479906</v>
      </c>
      <c r="S12" s="9">
        <f t="shared" si="3"/>
        <v>-3692.3721211461871</v>
      </c>
      <c r="T12" s="112">
        <f>(S12+U12*I12)/B12</f>
        <v>-9468.8953776848994</v>
      </c>
      <c r="U12" s="9">
        <f t="shared" si="2"/>
        <v>6</v>
      </c>
    </row>
    <row r="13" spans="1:21" x14ac:dyDescent="0.2">
      <c r="A13" s="209">
        <v>7</v>
      </c>
      <c r="B13" s="116">
        <f>C13*B4</f>
        <v>0.39007535964258511</v>
      </c>
      <c r="C13" s="216">
        <f>1/(1-B5*B4/(1-B5*B4/(1-B5*B4/(1-B5*B4/(1-B5*B4/(1-B5*B4))))))</f>
        <v>1.3892322579448786</v>
      </c>
      <c r="D13" s="217">
        <f>C13*B5*C12</f>
        <v>1.3862295969302092</v>
      </c>
      <c r="E13" s="218">
        <f>D13*B5*C11</f>
        <v>1.3785384434340979</v>
      </c>
      <c r="F13" s="218">
        <f>E13*B5*C10</f>
        <v>1.3588379704829894</v>
      </c>
      <c r="G13" s="218">
        <f>F13*B5*C9</f>
        <v>1.3083762764479057</v>
      </c>
      <c r="H13" s="218">
        <f>G13*B5*C8</f>
        <v>1.1791213813390151</v>
      </c>
      <c r="I13" s="218">
        <f>H13*B5</f>
        <v>0.84804197092531386</v>
      </c>
      <c r="J13" s="218">
        <f>I13*B5</f>
        <v>0.6099246403573757</v>
      </c>
      <c r="K13" s="218"/>
      <c r="L13" s="218"/>
      <c r="M13" s="219"/>
      <c r="N13">
        <f>B13+J13</f>
        <v>0.99999999999996081</v>
      </c>
      <c r="O13" s="116">
        <f>B13/(B13+J13)</f>
        <v>0.39007535964260037</v>
      </c>
      <c r="P13" s="112">
        <f>B13-J13</f>
        <v>-0.2198492807147906</v>
      </c>
      <c r="Q13" s="112">
        <f>($G$2*SUM(C13:I13))*B13</f>
        <v>104.95060306048831</v>
      </c>
      <c r="R13" s="9">
        <f>($I$2*SUM(C13:I13))*J13*COUNT(D13:M13)</f>
        <v>5223.634493194927</v>
      </c>
      <c r="S13" s="9">
        <f t="shared" si="3"/>
        <v>-5118.683890134439</v>
      </c>
      <c r="T13" s="112">
        <f>(S13+U13*J13)/B13</f>
        <v>-13111.349618027985</v>
      </c>
      <c r="U13" s="9">
        <f t="shared" si="2"/>
        <v>7</v>
      </c>
    </row>
    <row r="14" spans="1:21" x14ac:dyDescent="0.2">
      <c r="A14" s="209">
        <v>8</v>
      </c>
      <c r="B14" s="116">
        <f>C14*B4</f>
        <v>0.39027605071063265</v>
      </c>
      <c r="C14" s="116">
        <f>1/(1-B5*B4/(1-B5*B4/(1-B5*B4/(1-B5*B4/(1-B5*B4/(1-B5*B4/(1-B5*B4)))))))</f>
        <v>1.3899470083097019</v>
      </c>
      <c r="D14" s="194">
        <f>C14*B5*C13</f>
        <v>1.3887751416272653</v>
      </c>
      <c r="E14" s="1">
        <f>D14*B5*C12</f>
        <v>1.3857734686153855</v>
      </c>
      <c r="F14" s="1">
        <f>E14*B5*C11</f>
        <v>1.3780848458348867</v>
      </c>
      <c r="G14" s="1">
        <f>F14*B5*C10</f>
        <v>1.3583908551746975</v>
      </c>
      <c r="H14" s="1">
        <f>G14*B5*C9</f>
        <v>1.3079457651765745</v>
      </c>
      <c r="I14" s="1">
        <f>H14*B5*C8</f>
        <v>1.1787334004087033</v>
      </c>
      <c r="J14" s="1">
        <f>I14*B5</f>
        <v>0.84776292915910534</v>
      </c>
      <c r="K14" s="1">
        <f>J14*B5</f>
        <v>0.60972394928932194</v>
      </c>
      <c r="L14" s="1"/>
      <c r="M14" s="9"/>
      <c r="N14">
        <f>B14+K14</f>
        <v>0.99999999999995459</v>
      </c>
      <c r="O14" s="116">
        <f>B14/(B14+K14)</f>
        <v>0.39027605071065036</v>
      </c>
      <c r="P14" s="112">
        <f>B14-K14</f>
        <v>-0.21944789857868929</v>
      </c>
      <c r="Q14" s="112">
        <f>($G$2*SUM(C14:J14))*B14</f>
        <v>121.46469080521042</v>
      </c>
      <c r="R14" s="9">
        <f>($I$2*SUM(C14:J14))*K14*COUNT(D14:M14)</f>
        <v>6903.4078119079404</v>
      </c>
      <c r="S14" s="9">
        <f t="shared" si="3"/>
        <v>-6781.9431211027304</v>
      </c>
      <c r="T14" s="112">
        <f>(S14+U14*K14)/B14</f>
        <v>-17364.79939562887</v>
      </c>
      <c r="U14" s="9">
        <f t="shared" si="2"/>
        <v>8</v>
      </c>
    </row>
    <row r="15" spans="1:21" x14ac:dyDescent="0.2">
      <c r="A15" s="209">
        <v>9</v>
      </c>
      <c r="B15" s="116">
        <f>C15*B4</f>
        <v>0.39035436556778502</v>
      </c>
      <c r="C15" s="116">
        <f>1/(1-B5*B4/(1-B5*B4/(1-B5*B4/(1-B5*B4/(1-B5*B4/(1-B5*B4/(1-B5*B4/(1-B5*B4))))))))</f>
        <v>1.3902259224301223</v>
      </c>
      <c r="D15" s="194">
        <f>C15*B5*C14</f>
        <v>1.3897684791547611</v>
      </c>
      <c r="E15" s="1">
        <f>D15*B5*C13</f>
        <v>1.3885967629905582</v>
      </c>
      <c r="F15" s="1">
        <f>E15*B5*C12</f>
        <v>1.3855954755229782</v>
      </c>
      <c r="G15" s="1">
        <f>F15*B5*C11</f>
        <v>1.3779078402933138</v>
      </c>
      <c r="H15" s="1">
        <f>G15*B5*C10</f>
        <v>1.3582163791910782</v>
      </c>
      <c r="I15" s="1">
        <f>H15*B5*C9</f>
        <v>1.3077777685185945</v>
      </c>
      <c r="J15" s="1">
        <f>I15*B5*C8</f>
        <v>1.1785820001922798</v>
      </c>
      <c r="K15" s="1">
        <f>J15*B5</f>
        <v>0.84765403982848486</v>
      </c>
      <c r="L15" s="1">
        <f>K15*B5</f>
        <v>0.60964563443216346</v>
      </c>
      <c r="M15" s="9"/>
      <c r="N15">
        <f>B15+L15</f>
        <v>0.99999999999994849</v>
      </c>
      <c r="O15" s="116">
        <f>B15/(B15+L15)</f>
        <v>0.39035436556780512</v>
      </c>
      <c r="P15" s="112">
        <f>B15-L15</f>
        <v>-0.21929126886437844</v>
      </c>
      <c r="Q15" s="112">
        <f>($G$2*SUM(C15:K15))*B15</f>
        <v>137.97472293723612</v>
      </c>
      <c r="R15" s="9">
        <f>($I$2*SUM(C15:K15))*L15*COUNT(D15:M15)</f>
        <v>8819.066328290146</v>
      </c>
      <c r="S15" s="9">
        <f t="shared" si="3"/>
        <v>-8681.091605352909</v>
      </c>
      <c r="T15" s="112">
        <f>(S15+U15*L15)/B15</f>
        <v>-22224.9462537047</v>
      </c>
      <c r="U15" s="9">
        <f t="shared" si="2"/>
        <v>9</v>
      </c>
    </row>
    <row r="16" spans="1:21" ht="17" thickBot="1" x14ac:dyDescent="0.25">
      <c r="A16" s="210">
        <v>10</v>
      </c>
      <c r="B16" s="195">
        <f>C16*B4</f>
        <v>0.39038493458128687</v>
      </c>
      <c r="C16" s="195">
        <f>1/(1-B5*B4/(1-B5*B4/(1-B5*B4/(1-B5*B4/(1-B5*B4/(1-B5*B4/(1-B5*B4/(1-B5*B4/(1-B5*B4)))))))))</f>
        <v>1.3903347923153906</v>
      </c>
      <c r="D16" s="213">
        <f>C16*B5*C15</f>
        <v>1.3901562133522554</v>
      </c>
      <c r="E16" s="131">
        <f>D16*B5*C14</f>
        <v>1.3896987930141365</v>
      </c>
      <c r="F16" s="131">
        <f>E16*B5*C13</f>
        <v>1.3885271356024369</v>
      </c>
      <c r="G16" s="131">
        <f>F16*B5*C12</f>
        <v>1.385525998626211</v>
      </c>
      <c r="H16" s="131">
        <f>G16*B5*C11</f>
        <v>1.3778387488719963</v>
      </c>
      <c r="I16" s="131">
        <f>H16*B5*C10</f>
        <v>1.3581482751442393</v>
      </c>
      <c r="J16" s="131">
        <f>I16*B5*C9</f>
        <v>1.3077121935779839</v>
      </c>
      <c r="K16" s="131">
        <f>J16*B5*C8</f>
        <v>1.178522903420238</v>
      </c>
      <c r="L16" s="131">
        <f>K16*B5</f>
        <v>0.84761153653422627</v>
      </c>
      <c r="M16" s="10">
        <f>L16*B5</f>
        <v>0.60961506541865529</v>
      </c>
      <c r="N16">
        <f>B16+M16</f>
        <v>0.99999999999994216</v>
      </c>
      <c r="O16" s="195">
        <f>B16/(B16+M16)</f>
        <v>0.39038493458130946</v>
      </c>
      <c r="P16" s="113">
        <f>B16-M16</f>
        <v>-0.21923013083736842</v>
      </c>
      <c r="Q16" s="113">
        <f>($G$2*SUM(C16:L16))*B16</f>
        <v>154.48245633997806</v>
      </c>
      <c r="R16" s="10">
        <f>($I$2*SUM(C16:L16))*M16*COUNT(D16:M16)</f>
        <v>10969.932352195467</v>
      </c>
      <c r="S16" s="10">
        <f t="shared" si="3"/>
        <v>-10815.449895855489</v>
      </c>
      <c r="T16" s="113">
        <f>(S16+U16*M16)/B16</f>
        <v>-27688.962323290049</v>
      </c>
      <c r="U16" s="10">
        <f t="shared" si="2"/>
        <v>10</v>
      </c>
    </row>
    <row r="17" spans="1:8" ht="17" thickBot="1" x14ac:dyDescent="0.25"/>
    <row r="18" spans="1:8" ht="17" thickBot="1" x14ac:dyDescent="0.25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">
      <c r="A19" s="264">
        <v>1</v>
      </c>
      <c r="B19" s="146">
        <v>1</v>
      </c>
      <c r="C19" s="150">
        <f>B19*$M$3</f>
        <v>6</v>
      </c>
      <c r="D19" s="151">
        <f>SUM($C$19:C19)</f>
        <v>6</v>
      </c>
      <c r="E19" s="9">
        <f>B19/P7</f>
        <v>-2.2808641696839405</v>
      </c>
      <c r="F19" s="9">
        <f>D19/P7</f>
        <v>-13.685185018103644</v>
      </c>
      <c r="G19" s="28">
        <f>S7/E19</f>
        <v>39.857550915137523</v>
      </c>
      <c r="H19" s="8">
        <f>S7/F19</f>
        <v>6.6429251525229196</v>
      </c>
    </row>
    <row r="20" spans="1:8" x14ac:dyDescent="0.2">
      <c r="A20" s="265">
        <v>2</v>
      </c>
      <c r="B20" s="141">
        <f>B19*($M$3+1)</f>
        <v>7</v>
      </c>
      <c r="C20" s="140">
        <f>B20*$M$3</f>
        <v>42</v>
      </c>
      <c r="D20" s="142">
        <f>SUM($C$19:C20)</f>
        <v>48</v>
      </c>
      <c r="E20" s="9">
        <f t="shared" ref="E20:E28" si="4">B20/P8</f>
        <v>-23.622524784548009</v>
      </c>
      <c r="F20" s="9">
        <f t="shared" ref="F20:F28" si="5">D20/P8</f>
        <v>-161.98302709404348</v>
      </c>
      <c r="G20" s="112">
        <f t="shared" ref="G20:G28" si="6">S8/E20</f>
        <v>15.370711480971336</v>
      </c>
      <c r="H20" s="9">
        <f t="shared" ref="H20:H28" si="7">S8/F20</f>
        <v>2.2415620909749867</v>
      </c>
    </row>
    <row r="21" spans="1:8" x14ac:dyDescent="0.2">
      <c r="A21" s="265">
        <v>3</v>
      </c>
      <c r="B21" s="141">
        <f t="shared" ref="B21:B28" si="8">B20*($M$3+1)</f>
        <v>49</v>
      </c>
      <c r="C21" s="140">
        <f t="shared" ref="C21:C28" si="9">B21*$M$3</f>
        <v>294</v>
      </c>
      <c r="D21" s="142">
        <f>SUM($C$19:C21)</f>
        <v>342</v>
      </c>
      <c r="E21" s="9">
        <f t="shared" si="4"/>
        <v>-197.43174479934399</v>
      </c>
      <c r="F21" s="9">
        <f t="shared" si="5"/>
        <v>-1377.9929943137888</v>
      </c>
      <c r="G21" s="112">
        <f t="shared" si="6"/>
        <v>4.2777701549448039</v>
      </c>
      <c r="H21" s="9">
        <f t="shared" si="7"/>
        <v>0.61289689354472332</v>
      </c>
    </row>
    <row r="22" spans="1:8" x14ac:dyDescent="0.2">
      <c r="A22" s="265">
        <v>4</v>
      </c>
      <c r="B22" s="141">
        <f t="shared" si="8"/>
        <v>343</v>
      </c>
      <c r="C22" s="140">
        <f t="shared" si="9"/>
        <v>2058</v>
      </c>
      <c r="D22" s="142">
        <f>SUM($C$19:C22)</f>
        <v>2400</v>
      </c>
      <c r="E22" s="9">
        <f t="shared" si="4"/>
        <v>-1489.0423213545987</v>
      </c>
      <c r="F22" s="9">
        <f t="shared" si="5"/>
        <v>-10418.955018224597</v>
      </c>
      <c r="G22" s="112">
        <f t="shared" si="6"/>
        <v>1.044691326753034</v>
      </c>
      <c r="H22" s="9">
        <f t="shared" si="7"/>
        <v>0.14930380211512112</v>
      </c>
    </row>
    <row r="23" spans="1:8" x14ac:dyDescent="0.2">
      <c r="A23" s="265">
        <v>5</v>
      </c>
      <c r="B23" s="141">
        <f t="shared" si="8"/>
        <v>2401</v>
      </c>
      <c r="C23" s="140">
        <f t="shared" si="9"/>
        <v>14406</v>
      </c>
      <c r="D23" s="142">
        <f>SUM($C$19:C23)</f>
        <v>16806</v>
      </c>
      <c r="E23" s="9">
        <f t="shared" si="4"/>
        <v>-10741.61881797676</v>
      </c>
      <c r="F23" s="9">
        <f t="shared" si="5"/>
        <v>-75186.857915417495</v>
      </c>
      <c r="G23" s="112">
        <f t="shared" si="6"/>
        <v>0.23314515812065179</v>
      </c>
      <c r="H23" s="9">
        <f t="shared" si="7"/>
        <v>3.330843297915536E-2</v>
      </c>
    </row>
    <row r="24" spans="1:8" x14ac:dyDescent="0.2">
      <c r="A24" s="265">
        <v>6</v>
      </c>
      <c r="B24" s="141">
        <f t="shared" si="8"/>
        <v>16807</v>
      </c>
      <c r="C24" s="140">
        <f t="shared" si="9"/>
        <v>100842</v>
      </c>
      <c r="D24" s="142">
        <f>SUM($C$19:C24)</f>
        <v>117648</v>
      </c>
      <c r="E24" s="9">
        <f t="shared" si="4"/>
        <v>-76091.570566214636</v>
      </c>
      <c r="F24" s="9">
        <f t="shared" si="5"/>
        <v>-532636.4665897555</v>
      </c>
      <c r="G24" s="112">
        <f t="shared" si="6"/>
        <v>4.8525376643830699E-2</v>
      </c>
      <c r="H24" s="9">
        <f t="shared" si="7"/>
        <v>6.9322555866046381E-3</v>
      </c>
    </row>
    <row r="25" spans="1:8" x14ac:dyDescent="0.2">
      <c r="A25" s="265">
        <v>7</v>
      </c>
      <c r="B25" s="141">
        <f t="shared" si="8"/>
        <v>117649</v>
      </c>
      <c r="C25" s="140">
        <f t="shared" si="9"/>
        <v>705894</v>
      </c>
      <c r="D25" s="142">
        <f>SUM($C$19:C25)</f>
        <v>823542</v>
      </c>
      <c r="E25" s="9">
        <f t="shared" si="4"/>
        <v>-535134.79606342432</v>
      </c>
      <c r="F25" s="9">
        <f t="shared" si="5"/>
        <v>-3745939.0238732556</v>
      </c>
      <c r="G25" s="112">
        <f t="shared" si="6"/>
        <v>9.5652234311591495E-3</v>
      </c>
      <c r="H25" s="9">
        <f t="shared" si="7"/>
        <v>1.3664621494136821E-3</v>
      </c>
    </row>
    <row r="26" spans="1:8" x14ac:dyDescent="0.2">
      <c r="A26" s="265">
        <v>8</v>
      </c>
      <c r="B26" s="141">
        <f t="shared" si="8"/>
        <v>823543</v>
      </c>
      <c r="C26" s="140">
        <f t="shared" si="9"/>
        <v>4941258</v>
      </c>
      <c r="D26" s="142">
        <f>SUM($C$19:C26)</f>
        <v>5764800</v>
      </c>
      <c r="E26" s="9">
        <f t="shared" si="4"/>
        <v>-3752795.1068745148</v>
      </c>
      <c r="F26" s="9">
        <f t="shared" si="5"/>
        <v>-26269561.191231307</v>
      </c>
      <c r="G26" s="112">
        <f t="shared" si="6"/>
        <v>1.8071711692117978E-3</v>
      </c>
      <c r="H26" s="9">
        <f t="shared" si="7"/>
        <v>2.5816735467079367E-4</v>
      </c>
    </row>
    <row r="27" spans="1:8" x14ac:dyDescent="0.2">
      <c r="A27" s="265">
        <v>9</v>
      </c>
      <c r="B27" s="141">
        <f t="shared" si="8"/>
        <v>5764801</v>
      </c>
      <c r="C27" s="140">
        <f t="shared" si="9"/>
        <v>34588806</v>
      </c>
      <c r="D27" s="142">
        <f>SUM($C$19:C27)</f>
        <v>40353606</v>
      </c>
      <c r="E27" s="9">
        <f t="shared" si="4"/>
        <v>-26288328.896328583</v>
      </c>
      <c r="F27" s="9">
        <f t="shared" si="5"/>
        <v>-184018297.71415499</v>
      </c>
      <c r="G27" s="112">
        <f t="shared" si="6"/>
        <v>3.3022607255059512E-4</v>
      </c>
      <c r="H27" s="9">
        <f t="shared" si="7"/>
        <v>4.7175154390557896E-5</v>
      </c>
    </row>
    <row r="28" spans="1:8" ht="17" thickBot="1" x14ac:dyDescent="0.25">
      <c r="A28" s="266">
        <v>10</v>
      </c>
      <c r="B28" s="143">
        <f t="shared" si="8"/>
        <v>40353607</v>
      </c>
      <c r="C28" s="144">
        <f t="shared" si="9"/>
        <v>242121642</v>
      </c>
      <c r="D28" s="145">
        <f>SUM($C$19:C28)</f>
        <v>282475248</v>
      </c>
      <c r="E28" s="9">
        <f t="shared" si="4"/>
        <v>-184069620.56659782</v>
      </c>
      <c r="F28" s="9">
        <f t="shared" si="5"/>
        <v>-1288487339.404768</v>
      </c>
      <c r="G28" s="113">
        <f t="shared" si="6"/>
        <v>5.8757386811379748E-5</v>
      </c>
      <c r="H28" s="10">
        <f t="shared" si="7"/>
        <v>8.393912431341246E-6</v>
      </c>
    </row>
    <row r="29" spans="1:8" ht="17" thickBot="1" x14ac:dyDescent="0.25"/>
    <row r="30" spans="1:8" ht="17" thickBot="1" x14ac:dyDescent="0.25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">
      <c r="A31" s="264">
        <v>1</v>
      </c>
      <c r="B31" s="146">
        <v>1</v>
      </c>
      <c r="C31" s="150">
        <f>B31*$M$3</f>
        <v>6</v>
      </c>
      <c r="D31" s="151">
        <f>SUM($C$31:C31)</f>
        <v>6</v>
      </c>
      <c r="E31" s="129">
        <f>B31/P7</f>
        <v>-2.2808641696839405</v>
      </c>
      <c r="F31" s="58">
        <f>D31/P7</f>
        <v>-13.685185018103644</v>
      </c>
      <c r="G31" s="28">
        <f>S7/E31</f>
        <v>39.857550915137523</v>
      </c>
      <c r="H31" s="8">
        <f>S7/F31</f>
        <v>6.6429251525229196</v>
      </c>
    </row>
    <row r="32" spans="1:8" x14ac:dyDescent="0.2">
      <c r="A32" s="265">
        <v>2</v>
      </c>
      <c r="B32" s="141">
        <f>C31</f>
        <v>6</v>
      </c>
      <c r="C32" s="140">
        <f>B32*$M$3</f>
        <v>36</v>
      </c>
      <c r="D32" s="142">
        <f>SUM($C$31:C32)</f>
        <v>42</v>
      </c>
      <c r="E32" s="112">
        <f t="shared" ref="E32:E40" si="10">B32/P8</f>
        <v>-20.247878386755435</v>
      </c>
      <c r="F32" s="9">
        <f t="shared" ref="F32:F40" si="11">D32/P8</f>
        <v>-141.73514870728806</v>
      </c>
      <c r="G32" s="112">
        <f t="shared" ref="G32:G40" si="12">S8/E32</f>
        <v>17.932496727799894</v>
      </c>
      <c r="H32" s="9">
        <f t="shared" ref="H32:H40" si="13">S8/F32</f>
        <v>2.5617852468285558</v>
      </c>
    </row>
    <row r="33" spans="1:8" x14ac:dyDescent="0.2">
      <c r="A33" s="265">
        <v>3</v>
      </c>
      <c r="B33" s="141">
        <f t="shared" ref="B33:B40" si="14">C32</f>
        <v>36</v>
      </c>
      <c r="C33" s="140">
        <f t="shared" ref="C33:C40" si="15">B33*$M$3</f>
        <v>216</v>
      </c>
      <c r="D33" s="142">
        <f>SUM($C$31:C33)</f>
        <v>258</v>
      </c>
      <c r="E33" s="112">
        <f t="shared" si="10"/>
        <v>-145.05189413829356</v>
      </c>
      <c r="F33" s="9">
        <f t="shared" si="11"/>
        <v>-1039.5385746577704</v>
      </c>
      <c r="G33" s="112">
        <f t="shared" si="12"/>
        <v>5.8225204886748712</v>
      </c>
      <c r="H33" s="9">
        <f t="shared" si="13"/>
        <v>0.81244471934998219</v>
      </c>
    </row>
    <row r="34" spans="1:8" x14ac:dyDescent="0.2">
      <c r="A34" s="265">
        <v>4</v>
      </c>
      <c r="B34" s="141">
        <f t="shared" si="14"/>
        <v>216</v>
      </c>
      <c r="C34" s="140">
        <f t="shared" si="15"/>
        <v>1296</v>
      </c>
      <c r="D34" s="142">
        <f>SUM($C$31:C34)</f>
        <v>1554</v>
      </c>
      <c r="E34" s="112">
        <f t="shared" si="10"/>
        <v>-937.70595164021381</v>
      </c>
      <c r="F34" s="9">
        <f t="shared" si="11"/>
        <v>-6746.2733743004264</v>
      </c>
      <c r="G34" s="112">
        <f t="shared" si="12"/>
        <v>1.6589311346124567</v>
      </c>
      <c r="H34" s="9">
        <f t="shared" si="13"/>
        <v>0.23058502257161562</v>
      </c>
    </row>
    <row r="35" spans="1:8" x14ac:dyDescent="0.2">
      <c r="A35" s="265">
        <v>5</v>
      </c>
      <c r="B35" s="141">
        <f t="shared" si="14"/>
        <v>1296</v>
      </c>
      <c r="C35" s="140">
        <f t="shared" si="15"/>
        <v>7776</v>
      </c>
      <c r="D35" s="142">
        <f>SUM($C$31:C35)</f>
        <v>9330</v>
      </c>
      <c r="E35" s="112">
        <f t="shared" si="10"/>
        <v>-5798.0583040807496</v>
      </c>
      <c r="F35" s="9">
        <f t="shared" si="11"/>
        <v>-41740.651216877617</v>
      </c>
      <c r="G35" s="112">
        <f t="shared" si="12"/>
        <v>0.43193018877136186</v>
      </c>
      <c r="H35" s="9">
        <f t="shared" si="13"/>
        <v>5.9998019790748654E-2</v>
      </c>
    </row>
    <row r="36" spans="1:8" x14ac:dyDescent="0.2">
      <c r="A36" s="265">
        <v>6</v>
      </c>
      <c r="B36" s="141">
        <f t="shared" si="14"/>
        <v>7776</v>
      </c>
      <c r="C36" s="140">
        <f t="shared" si="15"/>
        <v>46656</v>
      </c>
      <c r="D36" s="142">
        <f>SUM($C$31:C36)</f>
        <v>55986</v>
      </c>
      <c r="E36" s="112">
        <f t="shared" si="10"/>
        <v>-35204.858256850421</v>
      </c>
      <c r="F36" s="9">
        <f t="shared" si="11"/>
        <v>-253469.54660082661</v>
      </c>
      <c r="G36" s="112">
        <f t="shared" si="12"/>
        <v>0.10488245952325907</v>
      </c>
      <c r="H36" s="9">
        <f t="shared" si="13"/>
        <v>1.4567320495353525E-2</v>
      </c>
    </row>
    <row r="37" spans="1:8" x14ac:dyDescent="0.2">
      <c r="A37" s="265">
        <v>7</v>
      </c>
      <c r="B37" s="141">
        <f t="shared" si="14"/>
        <v>46656</v>
      </c>
      <c r="C37" s="140">
        <f t="shared" si="15"/>
        <v>279936</v>
      </c>
      <c r="D37" s="142">
        <f>SUM($C$31:C37)</f>
        <v>335922</v>
      </c>
      <c r="E37" s="112">
        <f t="shared" si="10"/>
        <v>-212218.11528474637</v>
      </c>
      <c r="F37" s="9">
        <f t="shared" si="11"/>
        <v>-1527964.9717653159</v>
      </c>
      <c r="G37" s="112">
        <f t="shared" si="12"/>
        <v>2.4119919655616485E-2</v>
      </c>
      <c r="H37" s="9">
        <f t="shared" si="13"/>
        <v>3.3500008080817648E-3</v>
      </c>
    </row>
    <row r="38" spans="1:8" x14ac:dyDescent="0.2">
      <c r="A38" s="265">
        <v>8</v>
      </c>
      <c r="B38" s="141">
        <f t="shared" si="14"/>
        <v>279936</v>
      </c>
      <c r="C38" s="140">
        <f t="shared" si="15"/>
        <v>1679616</v>
      </c>
      <c r="D38" s="142">
        <f>SUM($C$31:C38)</f>
        <v>2015538</v>
      </c>
      <c r="E38" s="112">
        <f t="shared" si="10"/>
        <v>-1275637.6425250706</v>
      </c>
      <c r="F38" s="9">
        <f t="shared" si="11"/>
        <v>-9184585.5579121504</v>
      </c>
      <c r="G38" s="112">
        <f t="shared" si="12"/>
        <v>5.3165122249592463E-3</v>
      </c>
      <c r="H38" s="9">
        <f t="shared" si="13"/>
        <v>7.3840491531600573E-4</v>
      </c>
    </row>
    <row r="39" spans="1:8" x14ac:dyDescent="0.2">
      <c r="A39" s="265">
        <v>9</v>
      </c>
      <c r="B39" s="141">
        <f t="shared" si="14"/>
        <v>1679616</v>
      </c>
      <c r="C39" s="140">
        <f t="shared" si="15"/>
        <v>10077696</v>
      </c>
      <c r="D39" s="142">
        <f>SUM($C$31:C39)</f>
        <v>12093234</v>
      </c>
      <c r="E39" s="112">
        <f t="shared" si="10"/>
        <v>-7659292.6325706346</v>
      </c>
      <c r="F39" s="9">
        <f t="shared" si="11"/>
        <v>-55146901.48233448</v>
      </c>
      <c r="G39" s="112">
        <f t="shared" si="12"/>
        <v>1.1334064412733289E-3</v>
      </c>
      <c r="H39" s="9">
        <f t="shared" si="13"/>
        <v>1.574175769083558E-4</v>
      </c>
    </row>
    <row r="40" spans="1:8" ht="17" thickBot="1" x14ac:dyDescent="0.25">
      <c r="A40" s="266">
        <v>10</v>
      </c>
      <c r="B40" s="143">
        <f t="shared" si="14"/>
        <v>10077696</v>
      </c>
      <c r="C40" s="144">
        <f t="shared" si="15"/>
        <v>60466176</v>
      </c>
      <c r="D40" s="145">
        <f>SUM($C$31:C40)</f>
        <v>72559410</v>
      </c>
      <c r="E40" s="113">
        <f t="shared" si="10"/>
        <v>-45968571.753834061</v>
      </c>
      <c r="F40" s="10">
        <f t="shared" si="11"/>
        <v>-330973711.15390509</v>
      </c>
      <c r="G40" s="113">
        <f t="shared" si="12"/>
        <v>2.3527922411366661E-4</v>
      </c>
      <c r="H40" s="10">
        <f t="shared" si="13"/>
        <v>3.2677670556215954E-5</v>
      </c>
    </row>
    <row r="41" spans="1:8" ht="17" thickBot="1" x14ac:dyDescent="0.25"/>
    <row r="42" spans="1:8" ht="17" thickBot="1" x14ac:dyDescent="0.25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">
      <c r="A43" s="264">
        <v>1</v>
      </c>
      <c r="B43" s="146">
        <v>1</v>
      </c>
      <c r="C43" s="150">
        <f>B43*$M$3</f>
        <v>6</v>
      </c>
      <c r="D43" s="151">
        <f>SUM(C43:C43)</f>
        <v>6</v>
      </c>
      <c r="E43" s="129">
        <f>B43/P7</f>
        <v>-2.2808641696839405</v>
      </c>
      <c r="F43" s="58">
        <f>D43/P7</f>
        <v>-13.685185018103644</v>
      </c>
      <c r="G43" s="28">
        <f>S7/E43</f>
        <v>39.857550915137523</v>
      </c>
      <c r="H43" s="8">
        <f>S7/F43</f>
        <v>6.6429251525229196</v>
      </c>
    </row>
    <row r="44" spans="1:8" x14ac:dyDescent="0.2">
      <c r="A44" s="265">
        <v>2</v>
      </c>
      <c r="B44" s="141">
        <f>B43*$M$3*2</f>
        <v>12</v>
      </c>
      <c r="C44" s="140">
        <f>B44*$M$3</f>
        <v>72</v>
      </c>
      <c r="D44" s="142">
        <f>SUM($C$43:C44)</f>
        <v>78</v>
      </c>
      <c r="E44" s="112">
        <f t="shared" ref="E44:E52" si="16">B44/P8</f>
        <v>-40.49575677351087</v>
      </c>
      <c r="F44" s="9">
        <f t="shared" ref="F44:F52" si="17">D44/P8</f>
        <v>-263.22241902782065</v>
      </c>
      <c r="G44" s="112">
        <f t="shared" ref="G44:G52" si="18">S8/E44</f>
        <v>8.9662483638999468</v>
      </c>
      <c r="H44" s="9">
        <f t="shared" ref="H44:H52" si="19">S8/F44</f>
        <v>1.3794228252153764</v>
      </c>
    </row>
    <row r="45" spans="1:8" x14ac:dyDescent="0.2">
      <c r="A45" s="265">
        <v>3</v>
      </c>
      <c r="B45" s="141">
        <f t="shared" ref="B45:B52" si="20">B44*$M$3*2</f>
        <v>144</v>
      </c>
      <c r="C45" s="140">
        <f t="shared" ref="C45:C52" si="21">B45*$M$3</f>
        <v>864</v>
      </c>
      <c r="D45" s="142">
        <f>SUM($C$43:C45)</f>
        <v>942</v>
      </c>
      <c r="E45" s="112">
        <f t="shared" si="16"/>
        <v>-580.20757655317425</v>
      </c>
      <c r="F45" s="9">
        <f t="shared" si="17"/>
        <v>-3795.524563285348</v>
      </c>
      <c r="G45" s="112">
        <f t="shared" si="18"/>
        <v>1.4556301221687178</v>
      </c>
      <c r="H45" s="9">
        <f t="shared" si="19"/>
        <v>0.22251670657356198</v>
      </c>
    </row>
    <row r="46" spans="1:8" x14ac:dyDescent="0.2">
      <c r="A46" s="265">
        <v>4</v>
      </c>
      <c r="B46" s="141">
        <f t="shared" si="20"/>
        <v>1728</v>
      </c>
      <c r="C46" s="140">
        <f t="shared" si="21"/>
        <v>10368</v>
      </c>
      <c r="D46" s="142">
        <f>SUM($C$43:C46)</f>
        <v>11310</v>
      </c>
      <c r="E46" s="112">
        <f t="shared" si="16"/>
        <v>-7501.6476131217105</v>
      </c>
      <c r="F46" s="9">
        <f t="shared" si="17"/>
        <v>-49099.325523383413</v>
      </c>
      <c r="G46" s="112">
        <f t="shared" si="18"/>
        <v>0.20736639182655708</v>
      </c>
      <c r="H46" s="9">
        <f t="shared" si="19"/>
        <v>3.1682504427611904E-2</v>
      </c>
    </row>
    <row r="47" spans="1:8" x14ac:dyDescent="0.2">
      <c r="A47" s="265">
        <v>5</v>
      </c>
      <c r="B47" s="141">
        <f t="shared" si="20"/>
        <v>20736</v>
      </c>
      <c r="C47" s="140">
        <f t="shared" si="21"/>
        <v>124416</v>
      </c>
      <c r="D47" s="142">
        <f>SUM($C$43:C47)</f>
        <v>135726</v>
      </c>
      <c r="E47" s="112">
        <f t="shared" si="16"/>
        <v>-92768.932865291994</v>
      </c>
      <c r="F47" s="9">
        <f t="shared" si="17"/>
        <v>-607212.39303986402</v>
      </c>
      <c r="G47" s="112">
        <f t="shared" si="18"/>
        <v>2.6995636798210116E-2</v>
      </c>
      <c r="H47" s="9">
        <f t="shared" si="19"/>
        <v>4.1243499745640851E-3</v>
      </c>
    </row>
    <row r="48" spans="1:8" x14ac:dyDescent="0.2">
      <c r="A48" s="265">
        <v>6</v>
      </c>
      <c r="B48" s="141">
        <f t="shared" si="20"/>
        <v>248832</v>
      </c>
      <c r="C48" s="140">
        <f t="shared" si="21"/>
        <v>1492992</v>
      </c>
      <c r="D48" s="142">
        <f>SUM($C$43:C48)</f>
        <v>1628718</v>
      </c>
      <c r="E48" s="112">
        <f t="shared" si="16"/>
        <v>-1126555.4642192135</v>
      </c>
      <c r="F48" s="9">
        <f t="shared" si="17"/>
        <v>-7373815.114503718</v>
      </c>
      <c r="G48" s="112">
        <f t="shared" si="18"/>
        <v>3.277576860101846E-3</v>
      </c>
      <c r="H48" s="9">
        <f t="shared" si="19"/>
        <v>5.0074107687939984E-4</v>
      </c>
    </row>
    <row r="49" spans="1:8" x14ac:dyDescent="0.2">
      <c r="A49" s="265">
        <v>7</v>
      </c>
      <c r="B49" s="141">
        <f t="shared" si="20"/>
        <v>2985984</v>
      </c>
      <c r="C49" s="140">
        <f t="shared" si="21"/>
        <v>17915904</v>
      </c>
      <c r="D49" s="142">
        <f>SUM($C$43:C49)</f>
        <v>19544622</v>
      </c>
      <c r="E49" s="112">
        <f t="shared" si="16"/>
        <v>-13581959.378223768</v>
      </c>
      <c r="F49" s="9">
        <f t="shared" si="17"/>
        <v>-88900095.267335191</v>
      </c>
      <c r="G49" s="112">
        <f t="shared" si="18"/>
        <v>3.7687374461900757E-4</v>
      </c>
      <c r="H49" s="9">
        <f t="shared" si="19"/>
        <v>5.7577934812576192E-5</v>
      </c>
    </row>
    <row r="50" spans="1:8" x14ac:dyDescent="0.2">
      <c r="A50" s="265">
        <v>8</v>
      </c>
      <c r="B50" s="141">
        <f t="shared" si="20"/>
        <v>35831808</v>
      </c>
      <c r="C50" s="140">
        <f t="shared" si="21"/>
        <v>214990848</v>
      </c>
      <c r="D50" s="142">
        <f>SUM($C$43:C50)</f>
        <v>234535470</v>
      </c>
      <c r="E50" s="112">
        <f t="shared" si="16"/>
        <v>-163281618.24320903</v>
      </c>
      <c r="F50" s="9">
        <f t="shared" si="17"/>
        <v>-1068752407.8336099</v>
      </c>
      <c r="G50" s="112">
        <f t="shared" si="18"/>
        <v>4.1535251757494112E-5</v>
      </c>
      <c r="H50" s="9">
        <f t="shared" si="19"/>
        <v>6.3456634777084741E-6</v>
      </c>
    </row>
    <row r="51" spans="1:8" x14ac:dyDescent="0.2">
      <c r="A51" s="265">
        <v>9</v>
      </c>
      <c r="B51" s="141">
        <f t="shared" si="20"/>
        <v>429981696</v>
      </c>
      <c r="C51" s="140">
        <f t="shared" si="21"/>
        <v>2579890176</v>
      </c>
      <c r="D51" s="142">
        <f>SUM($C$43:C51)</f>
        <v>2814425646</v>
      </c>
      <c r="E51" s="112">
        <f t="shared" si="16"/>
        <v>-1960778913.9380825</v>
      </c>
      <c r="F51" s="9">
        <f t="shared" si="17"/>
        <v>-12834189252.380096</v>
      </c>
      <c r="G51" s="112">
        <f t="shared" si="18"/>
        <v>4.4273689112239408E-6</v>
      </c>
      <c r="H51" s="9">
        <f t="shared" si="19"/>
        <v>6.7640358379030468E-7</v>
      </c>
    </row>
    <row r="52" spans="1:8" ht="17" thickBot="1" x14ac:dyDescent="0.25">
      <c r="A52" s="266">
        <v>10</v>
      </c>
      <c r="B52" s="143">
        <f t="shared" si="20"/>
        <v>5159780352</v>
      </c>
      <c r="C52" s="144">
        <f t="shared" si="21"/>
        <v>30958682112</v>
      </c>
      <c r="D52" s="145">
        <f>SUM($C$43:C52)</f>
        <v>33773107758</v>
      </c>
      <c r="E52" s="113">
        <f t="shared" si="16"/>
        <v>-23535908737.963039</v>
      </c>
      <c r="F52" s="10">
        <f t="shared" si="17"/>
        <v>-154053220827.81549</v>
      </c>
      <c r="G52" s="113">
        <f t="shared" si="18"/>
        <v>4.595297345970051E-7</v>
      </c>
      <c r="H52" s="10">
        <f t="shared" si="19"/>
        <v>7.0205931675676304E-8</v>
      </c>
    </row>
  </sheetData>
  <conditionalFormatting sqref="O7:O16">
    <cfRule type="cellIs" dxfId="159" priority="27" operator="lessThanOrEqual">
      <formula>0</formula>
    </cfRule>
    <cfRule type="cellIs" dxfId="158" priority="28" operator="greaterThan">
      <formula>0</formula>
    </cfRule>
  </conditionalFormatting>
  <conditionalFormatting sqref="P7:P16 S7:S16">
    <cfRule type="cellIs" dxfId="157" priority="25" operator="lessThanOrEqual">
      <formula>0</formula>
    </cfRule>
    <cfRule type="cellIs" dxfId="156" priority="26" operator="greaterThan">
      <formula>0</formula>
    </cfRule>
  </conditionalFormatting>
  <conditionalFormatting sqref="G43:G52">
    <cfRule type="cellIs" dxfId="155" priority="24" operator="equal">
      <formula>MAX($G$43:$G$52)</formula>
    </cfRule>
  </conditionalFormatting>
  <conditionalFormatting sqref="H43:H52">
    <cfRule type="cellIs" dxfId="154" priority="23" operator="equal">
      <formula>MAX($H$43:$H$52)</formula>
    </cfRule>
  </conditionalFormatting>
  <conditionalFormatting sqref="G31:G40">
    <cfRule type="cellIs" dxfId="153" priority="22" operator="equal">
      <formula>MAX($G$31:$G$40)</formula>
    </cfRule>
  </conditionalFormatting>
  <conditionalFormatting sqref="H31:H40">
    <cfRule type="cellIs" dxfId="152" priority="21" operator="equal">
      <formula>MAX($H$31:$H$40)</formula>
    </cfRule>
  </conditionalFormatting>
  <conditionalFormatting sqref="F19:F28">
    <cfRule type="cellIs" dxfId="151" priority="19" stopIfTrue="1" operator="lessThan">
      <formula>0</formula>
    </cfRule>
    <cfRule type="cellIs" dxfId="150" priority="20" operator="equal">
      <formula>MIN($F$19:$F$28)</formula>
    </cfRule>
  </conditionalFormatting>
  <conditionalFormatting sqref="E19:E28">
    <cfRule type="cellIs" dxfId="149" priority="17" stopIfTrue="1" operator="lessThan">
      <formula>0</formula>
    </cfRule>
    <cfRule type="cellIs" dxfId="148" priority="18" operator="equal">
      <formula>MIN($E$19:$E$28)</formula>
    </cfRule>
  </conditionalFormatting>
  <conditionalFormatting sqref="F31:F40">
    <cfRule type="cellIs" dxfId="147" priority="15" stopIfTrue="1" operator="lessThan">
      <formula>0</formula>
    </cfRule>
    <cfRule type="cellIs" dxfId="146" priority="16" operator="equal">
      <formula>MIN($F$31:$F$40)</formula>
    </cfRule>
  </conditionalFormatting>
  <conditionalFormatting sqref="E31:E40">
    <cfRule type="cellIs" dxfId="145" priority="13" stopIfTrue="1" operator="lessThan">
      <formula>0</formula>
    </cfRule>
    <cfRule type="cellIs" dxfId="144" priority="14" operator="equal">
      <formula>MIN($E$31:$E$40)</formula>
    </cfRule>
  </conditionalFormatting>
  <conditionalFormatting sqref="F43:F52">
    <cfRule type="cellIs" dxfId="143" priority="11" stopIfTrue="1" operator="lessThan">
      <formula>0</formula>
    </cfRule>
    <cfRule type="cellIs" dxfId="142" priority="12" operator="equal">
      <formula>MIN($F$43:$F$52)</formula>
    </cfRule>
  </conditionalFormatting>
  <conditionalFormatting sqref="E43:E52">
    <cfRule type="cellIs" dxfId="141" priority="9" stopIfTrue="1" operator="lessThan">
      <formula>0</formula>
    </cfRule>
    <cfRule type="cellIs" dxfId="140" priority="10" operator="equal">
      <formula>MIN($E$43:$E$52)</formula>
    </cfRule>
  </conditionalFormatting>
  <conditionalFormatting sqref="Q7:Q16">
    <cfRule type="cellIs" dxfId="139" priority="7" operator="lessThanOrEqual">
      <formula>0</formula>
    </cfRule>
    <cfRule type="cellIs" dxfId="138" priority="8" operator="greaterThan">
      <formula>0</formula>
    </cfRule>
  </conditionalFormatting>
  <conditionalFormatting sqref="R7:R16">
    <cfRule type="cellIs" dxfId="137" priority="5" operator="lessThanOrEqual">
      <formula>0</formula>
    </cfRule>
    <cfRule type="cellIs" dxfId="136" priority="6" operator="greaterThan">
      <formula>0</formula>
    </cfRule>
  </conditionalFormatting>
  <conditionalFormatting sqref="G19:G28">
    <cfRule type="cellIs" dxfId="135" priority="3" operator="lessThanOrEqual">
      <formula>0</formula>
    </cfRule>
    <cfRule type="cellIs" dxfId="134" priority="4" operator="equal">
      <formula>MAX($G$19:$G$28)</formula>
    </cfRule>
  </conditionalFormatting>
  <conditionalFormatting sqref="H19:H28">
    <cfRule type="cellIs" dxfId="133" priority="1" operator="lessThanOrEqual">
      <formula>0</formula>
    </cfRule>
    <cfRule type="cellIs" dxfId="132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U52"/>
  <sheetViews>
    <sheetView topLeftCell="A22" workbookViewId="0">
      <selection activeCell="I3" sqref="I3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1" x14ac:dyDescent="0.2">
      <c r="B1" s="202"/>
      <c r="C1" t="s">
        <v>99</v>
      </c>
      <c r="D1">
        <f>C2+E2</f>
        <v>0.99999999999999445</v>
      </c>
    </row>
    <row r="2" spans="1:21" x14ac:dyDescent="0.2">
      <c r="A2" t="s">
        <v>40</v>
      </c>
      <c r="B2" s="201" t="s">
        <v>129</v>
      </c>
      <c r="C2" s="222">
        <f>Analysis!B50</f>
        <v>0.28335537825353158</v>
      </c>
      <c r="D2" s="199" t="s">
        <v>130</v>
      </c>
      <c r="E2" s="222">
        <f>Analysis!N50</f>
        <v>0.71664462174646282</v>
      </c>
      <c r="F2" s="199" t="s">
        <v>49</v>
      </c>
      <c r="G2" s="222">
        <f>Analysis!S50</f>
        <v>34.986113941812697</v>
      </c>
      <c r="H2" t="s">
        <v>163</v>
      </c>
      <c r="I2" s="238">
        <f>Analysis!T50</f>
        <v>176.72483389213735</v>
      </c>
      <c r="J2" t="s">
        <v>50</v>
      </c>
      <c r="K2" s="238">
        <f>C2*G2-E2*I2</f>
        <v>-116.73539818823376</v>
      </c>
      <c r="L2" t="s">
        <v>49</v>
      </c>
      <c r="M2" s="267">
        <v>3</v>
      </c>
    </row>
    <row r="3" spans="1:21" x14ac:dyDescent="0.2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6</v>
      </c>
    </row>
    <row r="4" spans="1:21" x14ac:dyDescent="0.2">
      <c r="A4" t="s">
        <v>127</v>
      </c>
      <c r="B4" s="202">
        <f>$C$2</f>
        <v>0.28335537825353158</v>
      </c>
      <c r="C4">
        <f>B4*$C$2</f>
        <v>8.0290270385201951E-2</v>
      </c>
      <c r="D4">
        <f t="shared" ref="D4:K4" si="0">C4*$C$2</f>
        <v>2.2750679935077223E-2</v>
      </c>
      <c r="E4">
        <f t="shared" si="0"/>
        <v>6.4465275185288376E-3</v>
      </c>
      <c r="F4">
        <f t="shared" si="0"/>
        <v>1.8266582434345391E-3</v>
      </c>
      <c r="G4">
        <f t="shared" si="0"/>
        <v>5.1759343750832536E-4</v>
      </c>
      <c r="H4">
        <f t="shared" si="0"/>
        <v>1.4666288426671718E-4</v>
      </c>
      <c r="I4">
        <f t="shared" si="0"/>
        <v>4.1557717047149571E-5</v>
      </c>
      <c r="J4">
        <f t="shared" si="0"/>
        <v>1.1775602633248304E-5</v>
      </c>
      <c r="K4">
        <f t="shared" si="0"/>
        <v>3.3366803383073559E-6</v>
      </c>
    </row>
    <row r="5" spans="1:21" ht="17" thickBot="1" x14ac:dyDescent="0.25">
      <c r="A5" t="s">
        <v>128</v>
      </c>
      <c r="B5" s="202">
        <f>$E$2</f>
        <v>0.71664462174646282</v>
      </c>
      <c r="C5">
        <f>B5*$E$2</f>
        <v>0.51357951387813072</v>
      </c>
      <c r="D5">
        <f t="shared" ref="D5:K5" si="1">C5*$E$2</f>
        <v>0.36805399645992526</v>
      </c>
      <c r="E5">
        <f t="shared" si="1"/>
        <v>0.26376391707529712</v>
      </c>
      <c r="F5">
        <f t="shared" si="1"/>
        <v>0.18902499258279168</v>
      </c>
      <c r="G5">
        <f t="shared" si="1"/>
        <v>0.13546374431012267</v>
      </c>
      <c r="H5">
        <f t="shared" si="1"/>
        <v>9.707936380148742E-2</v>
      </c>
      <c r="I5">
        <f t="shared" si="1"/>
        <v>6.9571403950904206E-2</v>
      </c>
      <c r="J5">
        <f t="shared" si="1"/>
        <v>4.9857972468766117E-2</v>
      </c>
      <c r="K5">
        <f t="shared" si="1"/>
        <v>3.5730447820924452E-2</v>
      </c>
    </row>
    <row r="6" spans="1:21" ht="17" thickBot="1" x14ac:dyDescent="0.25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">
      <c r="A7" s="208">
        <v>1</v>
      </c>
      <c r="B7" s="114">
        <f>C7*B4</f>
        <v>0.28335537825353158</v>
      </c>
      <c r="C7" s="114">
        <v>1</v>
      </c>
      <c r="D7" s="212">
        <f>C7*B5</f>
        <v>0.71664462174646282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0.99999999999999445</v>
      </c>
      <c r="O7" s="114">
        <f>B7/(B7+D7)</f>
        <v>0.28335537825353313</v>
      </c>
      <c r="P7" s="129">
        <f>B7-D7</f>
        <v>-0.43328924349293124</v>
      </c>
      <c r="Q7" s="129">
        <f>($G$2*SUM(C7))*B7</f>
        <v>9.913503549603492</v>
      </c>
      <c r="R7" s="58">
        <f>($I$2*SUM(C7))*D7*COUNT(D7:M7)</f>
        <v>126.64890173783725</v>
      </c>
      <c r="S7" s="58">
        <f>Q7-R7</f>
        <v>-116.73539818823376</v>
      </c>
      <c r="T7" s="129">
        <f>(S7+U7*D7)/B7</f>
        <v>-409.44609656457544</v>
      </c>
      <c r="U7" s="58">
        <f t="shared" ref="U7:U16" si="2">COUNT(D7:M7)</f>
        <v>1</v>
      </c>
    </row>
    <row r="8" spans="1:21" x14ac:dyDescent="0.2">
      <c r="A8" s="209">
        <v>2</v>
      </c>
      <c r="B8" s="116">
        <f>C8*B4</f>
        <v>0.35555649658606586</v>
      </c>
      <c r="C8" s="116">
        <f>1/(1-B4*B5)</f>
        <v>1.2548076510054187</v>
      </c>
      <c r="D8" s="194">
        <f>C8*B5</f>
        <v>0.89925115441934578</v>
      </c>
      <c r="E8" s="1">
        <f>D8*B5</f>
        <v>0.64444350341392209</v>
      </c>
      <c r="F8" s="1"/>
      <c r="G8" s="1"/>
      <c r="H8" s="1"/>
      <c r="I8" s="1"/>
      <c r="J8" s="1"/>
      <c r="K8" s="1"/>
      <c r="L8" s="1"/>
      <c r="M8" s="9"/>
      <c r="N8">
        <f>B8+E8</f>
        <v>0.99999999999998801</v>
      </c>
      <c r="O8" s="116">
        <f>B8/(B8+E8)</f>
        <v>0.35555649658607014</v>
      </c>
      <c r="P8" s="112">
        <f>B8-E8</f>
        <v>-0.28888700682785623</v>
      </c>
      <c r="Q8" s="112">
        <f>($G$2*SUM(C8:D8))*B8</f>
        <v>26.795500892819287</v>
      </c>
      <c r="R8" s="9">
        <f>($I$2*SUM(C8:D8))*E8*COUNT(D8:M8)</f>
        <v>490.64794367379142</v>
      </c>
      <c r="S8" s="9">
        <f t="shared" ref="S8:S16" si="3">Q8-R8</f>
        <v>-463.85244278097213</v>
      </c>
      <c r="T8" s="112">
        <f>(S8+U8*E8)/B8</f>
        <v>-1300.9565574403064</v>
      </c>
      <c r="U8" s="9">
        <f t="shared" si="2"/>
        <v>2</v>
      </c>
    </row>
    <row r="9" spans="1:21" x14ac:dyDescent="0.2">
      <c r="A9" s="209">
        <v>3</v>
      </c>
      <c r="B9" s="116">
        <f>C9*B4</f>
        <v>0.38024461554904126</v>
      </c>
      <c r="C9" s="216">
        <f>1/(1-B5*B4/(1-B5*B4))</f>
        <v>1.3419354094942157</v>
      </c>
      <c r="D9" s="217">
        <f>C9*B5*C8</f>
        <v>1.2067369661438709</v>
      </c>
      <c r="E9" s="218">
        <f>D9*(B5)</f>
        <v>0.86480155664964853</v>
      </c>
      <c r="F9" s="218">
        <f>E9*B5</f>
        <v>0.61975538445093958</v>
      </c>
      <c r="G9" s="218"/>
      <c r="H9" s="218"/>
      <c r="I9" s="218"/>
      <c r="J9" s="218"/>
      <c r="K9" s="218"/>
      <c r="L9" s="218"/>
      <c r="M9" s="219"/>
      <c r="N9">
        <f>B9+F9</f>
        <v>0.9999999999999809</v>
      </c>
      <c r="O9" s="116">
        <f>B9/(B9+F9)</f>
        <v>0.38024461554904854</v>
      </c>
      <c r="P9" s="112">
        <f>B9-F9</f>
        <v>-0.23951076890189832</v>
      </c>
      <c r="Q9" s="112">
        <f>($G$2*SUM(C9:E9))*B9</f>
        <v>45.410404427621827</v>
      </c>
      <c r="R9" s="9">
        <f>($I$2*SUM(C9:E9))*F9*COUNT(D9:M9)</f>
        <v>1121.5941516713401</v>
      </c>
      <c r="S9" s="9">
        <f t="shared" si="3"/>
        <v>-1076.1837472437182</v>
      </c>
      <c r="T9" s="112">
        <f>(S9+U9*F9)/B9</f>
        <v>-2825.3509376829206</v>
      </c>
      <c r="U9" s="9">
        <f t="shared" si="2"/>
        <v>3</v>
      </c>
    </row>
    <row r="10" spans="1:21" x14ac:dyDescent="0.2">
      <c r="A10" s="209">
        <v>4</v>
      </c>
      <c r="B10" s="116">
        <f>C10*B4</f>
        <v>0.38949206736472158</v>
      </c>
      <c r="C10" s="116">
        <f>1/(1-B5*B4/(1-B5*B4/(1-B5*B4)))</f>
        <v>1.3745709354993236</v>
      </c>
      <c r="D10" s="194">
        <f>C10*B5*C9</f>
        <v>1.3219122142942954</v>
      </c>
      <c r="E10" s="1">
        <f>D10*B5*C8</f>
        <v>1.1887310847451789</v>
      </c>
      <c r="F10" s="1">
        <f>E10*B5</f>
        <v>0.85189773858547113</v>
      </c>
      <c r="G10" s="1">
        <f>F10*B5</f>
        <v>0.61050793263525205</v>
      </c>
      <c r="H10" s="1"/>
      <c r="I10" s="1"/>
      <c r="J10" s="1"/>
      <c r="K10" s="1"/>
      <c r="L10" s="1"/>
      <c r="M10" s="9"/>
      <c r="N10">
        <f>B10+G10</f>
        <v>0.99999999999997358</v>
      </c>
      <c r="O10" s="116">
        <f>B10/(B10+G10)</f>
        <v>0.38949206736473185</v>
      </c>
      <c r="P10" s="112">
        <f>B10-G10</f>
        <v>-0.22101586527053046</v>
      </c>
      <c r="Q10" s="112">
        <f>($G$2*SUM(C10:F10))*B10</f>
        <v>64.551743036101215</v>
      </c>
      <c r="R10" s="9">
        <f>($I$2*SUM(C10:F10))*G10*COUNT(D10:M10)</f>
        <v>2044.3842912142566</v>
      </c>
      <c r="S10" s="9">
        <f t="shared" si="3"/>
        <v>-1979.8325481781553</v>
      </c>
      <c r="T10" s="112">
        <f>(S10+U10*G10)/B10</f>
        <v>-5076.8441314517959</v>
      </c>
      <c r="U10" s="9">
        <f t="shared" si="2"/>
        <v>4</v>
      </c>
    </row>
    <row r="11" spans="1:21" x14ac:dyDescent="0.2">
      <c r="A11" s="209">
        <v>5</v>
      </c>
      <c r="B11" s="116">
        <f>C11*B4</f>
        <v>0.39307275155429061</v>
      </c>
      <c r="C11" s="116">
        <f>1/(1-B5*B4/(1-B5*B4/(1-B5*B4/(1-B5*B4))))</f>
        <v>1.3872076611956512</v>
      </c>
      <c r="D11" s="194">
        <f>C11*B5*C10</f>
        <v>1.3665089527582499</v>
      </c>
      <c r="E11" s="1">
        <f>D11*B5*C9</f>
        <v>1.3141590797112599</v>
      </c>
      <c r="F11" s="1">
        <f>E11*B5*C8</f>
        <v>1.1817590695210156</v>
      </c>
      <c r="G11" s="1">
        <f>F11*B5</f>
        <v>0.84690128137234011</v>
      </c>
      <c r="H11" s="1">
        <f>G11*B5</f>
        <v>0.60692724844567536</v>
      </c>
      <c r="I11" s="1"/>
      <c r="J11" s="1"/>
      <c r="K11" s="1"/>
      <c r="L11" s="1"/>
      <c r="M11" s="9"/>
      <c r="N11">
        <f>B11+H11</f>
        <v>0.99999999999996603</v>
      </c>
      <c r="O11" s="116">
        <f>B11/(B11+H11)</f>
        <v>0.39307275155430399</v>
      </c>
      <c r="P11" s="112">
        <f>B11-H11</f>
        <v>-0.21385449689138475</v>
      </c>
      <c r="Q11" s="112">
        <f>($G$2*SUM(C11:G11))*B11</f>
        <v>83.840100626818227</v>
      </c>
      <c r="R11" s="9">
        <f>($I$2*SUM(C11:G11))*H11*COUNT(D11:M11)</f>
        <v>3269.5453695555234</v>
      </c>
      <c r="S11" s="9">
        <f t="shared" si="3"/>
        <v>-3185.7052689287052</v>
      </c>
      <c r="T11" s="112">
        <f>(S11+U11*H11)/B11</f>
        <v>-8096.8996708663772</v>
      </c>
      <c r="U11" s="9">
        <f t="shared" si="2"/>
        <v>5</v>
      </c>
    </row>
    <row r="12" spans="1:21" x14ac:dyDescent="0.2">
      <c r="A12" s="209">
        <v>6</v>
      </c>
      <c r="B12" s="116">
        <f>C12*B4</f>
        <v>0.39447696455937842</v>
      </c>
      <c r="C12" s="116">
        <f>1/(1-B5*B4/(1-B5*B4/(1-B5*B4/(1-B5*B4/(1-B5*B4)))))</f>
        <v>1.3921633215178328</v>
      </c>
      <c r="D12" s="194">
        <f>C12*B5*C11</f>
        <v>1.3839981578431364</v>
      </c>
      <c r="E12" s="1">
        <f>D12*B5*C10</f>
        <v>1.3633473388284805</v>
      </c>
      <c r="F12" s="1">
        <f>E12*B5*C9</f>
        <v>1.3111185847009919</v>
      </c>
      <c r="G12" s="1">
        <f>F12*B5*C8</f>
        <v>1.1790249008730258</v>
      </c>
      <c r="H12" s="1">
        <f>G12*B5</f>
        <v>0.84494185411581035</v>
      </c>
      <c r="I12" s="1">
        <f>H12*B5</f>
        <v>0.60552303544057984</v>
      </c>
      <c r="J12" s="1"/>
      <c r="K12" s="1"/>
      <c r="L12" s="1"/>
      <c r="M12" s="9"/>
      <c r="N12">
        <f>B12+I12</f>
        <v>0.99999999999995826</v>
      </c>
      <c r="O12" s="116">
        <f>B12/(B12+I12)</f>
        <v>0.3944769645593949</v>
      </c>
      <c r="P12" s="112">
        <f>B12-I12</f>
        <v>-0.21104607088120142</v>
      </c>
      <c r="Q12" s="112">
        <f>($G$2*SUM(C12:H12))*B12</f>
        <v>103.15848870569184</v>
      </c>
      <c r="R12" s="9">
        <f>($I$2*SUM(C12:H12))*I12*COUNT(D12:M12)</f>
        <v>4799.1808825215912</v>
      </c>
      <c r="S12" s="9">
        <f t="shared" si="3"/>
        <v>-4696.0223938158997</v>
      </c>
      <c r="T12" s="112">
        <f>(S12+U12*I12)/B12</f>
        <v>-11895.2174072941</v>
      </c>
      <c r="U12" s="9">
        <f t="shared" si="2"/>
        <v>6</v>
      </c>
    </row>
    <row r="13" spans="1:21" x14ac:dyDescent="0.2">
      <c r="A13" s="209">
        <v>7</v>
      </c>
      <c r="B13" s="116">
        <f>C13*B4</f>
        <v>0.39503038797402951</v>
      </c>
      <c r="C13" s="216">
        <f>1/(1-B5*B4/(1-B5*B4/(1-B5*B4/(1-B5*B4/(1-B5*B4/(1-B5*B4))))))</f>
        <v>1.3941164286656913</v>
      </c>
      <c r="D13" s="217">
        <f>C13*B5*C12</f>
        <v>1.3908909408913936</v>
      </c>
      <c r="E13" s="218">
        <f>D13*B5*C11</f>
        <v>1.3827332398440417</v>
      </c>
      <c r="F13" s="218">
        <f>E13*B5*C10</f>
        <v>1.3621012948376492</v>
      </c>
      <c r="G13" s="218">
        <f>F13*B5*C9</f>
        <v>1.3099202756661588</v>
      </c>
      <c r="H13" s="218">
        <f>G13*B5*C8</f>
        <v>1.1779473200901009</v>
      </c>
      <c r="I13" s="218">
        <f>H13*B5</f>
        <v>0.8441696116432299</v>
      </c>
      <c r="J13" s="218">
        <f>I13*B5</f>
        <v>0.60496961202592092</v>
      </c>
      <c r="K13" s="218"/>
      <c r="L13" s="218"/>
      <c r="M13" s="219"/>
      <c r="N13">
        <f>B13+J13</f>
        <v>0.99999999999995048</v>
      </c>
      <c r="O13" s="116">
        <f>B13/(B13+J13)</f>
        <v>0.39503038797404905</v>
      </c>
      <c r="P13" s="112">
        <f>B13-J13</f>
        <v>-0.20993922405189142</v>
      </c>
      <c r="Q13" s="112">
        <f>($G$2*SUM(C13:I13))*B13</f>
        <v>122.47629294353735</v>
      </c>
      <c r="R13" s="9">
        <f>($I$2*SUM(C13:I13))*J13*COUNT(D13:M13)</f>
        <v>6632.1601354446648</v>
      </c>
      <c r="S13" s="9">
        <f t="shared" si="3"/>
        <v>-6509.6838425011274</v>
      </c>
      <c r="T13" s="112">
        <f>(S13+U13*J13)/B13</f>
        <v>-16468.224352513949</v>
      </c>
      <c r="U13" s="9">
        <f t="shared" si="2"/>
        <v>7</v>
      </c>
    </row>
    <row r="14" spans="1:21" x14ac:dyDescent="0.2">
      <c r="A14" s="209">
        <v>8</v>
      </c>
      <c r="B14" s="116">
        <f>C14*B4</f>
        <v>0.39524892806596745</v>
      </c>
      <c r="C14" s="116">
        <f>1/(1-B5*B4/(1-B5*B4/(1-B5*B4/(1-B5*B4/(1-B5*B4/(1-B5*B4/(1-B5*B4)))))))</f>
        <v>1.3948876866290478</v>
      </c>
      <c r="D14" s="194">
        <f>C14*B5*C13</f>
        <v>1.3936128160437558</v>
      </c>
      <c r="E14" s="1">
        <f>D14*B5*C12</f>
        <v>1.3903884934492965</v>
      </c>
      <c r="F14" s="1">
        <f>E14*B5*C11</f>
        <v>1.3822337393015929</v>
      </c>
      <c r="G14" s="1">
        <f>F14*B5*C10</f>
        <v>1.361609247408661</v>
      </c>
      <c r="H14" s="1">
        <f>G14*B5*C9</f>
        <v>1.3094470781835164</v>
      </c>
      <c r="I14" s="1">
        <f>H14*B5*C8</f>
        <v>1.1775217967075664</v>
      </c>
      <c r="J14" s="1">
        <f>I14*B5</f>
        <v>0.84386466259970916</v>
      </c>
      <c r="K14" s="1">
        <f>J14*B5</f>
        <v>0.60475107193397504</v>
      </c>
      <c r="L14" s="1"/>
      <c r="M14" s="9"/>
      <c r="N14">
        <f>B14+K14</f>
        <v>0.99999999999994249</v>
      </c>
      <c r="O14" s="116">
        <f>B14/(B14+K14)</f>
        <v>0.39524892806599016</v>
      </c>
      <c r="P14" s="112">
        <f>B14-K14</f>
        <v>-0.20950214386800758</v>
      </c>
      <c r="Q14" s="112">
        <f>($G$2*SUM(C14:J14))*B14</f>
        <v>141.78860114894806</v>
      </c>
      <c r="R14" s="9">
        <f>($I$2*SUM(C14:J14))*K14*COUNT(D14:M14)</f>
        <v>8766.7601907050539</v>
      </c>
      <c r="S14" s="9">
        <f t="shared" si="3"/>
        <v>-8624.9715895561058</v>
      </c>
      <c r="T14" s="112">
        <f>(S14+U14*K14)/B14</f>
        <v>-21809.378770894287</v>
      </c>
      <c r="U14" s="9">
        <f t="shared" si="2"/>
        <v>8</v>
      </c>
    </row>
    <row r="15" spans="1:21" x14ac:dyDescent="0.2">
      <c r="A15" s="209">
        <v>9</v>
      </c>
      <c r="B15" s="116">
        <f>C15*B4</f>
        <v>0.395335293467312</v>
      </c>
      <c r="C15" s="116">
        <f>1/(1-B5*B4/(1-B5*B4/(1-B5*B4/(1-B5*B4/(1-B5*B4/(1-B5*B4/(1-B5*B4/(1-B5*B4))))))))</f>
        <v>1.3951924819778316</v>
      </c>
      <c r="D15" s="194">
        <f>C15*B5*C14</f>
        <v>1.3946884806408515</v>
      </c>
      <c r="E15" s="1">
        <f>D15*B5*C13</f>
        <v>1.3934137921217269</v>
      </c>
      <c r="F15" s="1">
        <f>E15*B5*C12</f>
        <v>1.39018992999758</v>
      </c>
      <c r="G15" s="1">
        <f>F15*B5*C11</f>
        <v>1.3820363404424627</v>
      </c>
      <c r="H15" s="1">
        <f>G15*B5*C10</f>
        <v>1.3614147939639381</v>
      </c>
      <c r="I15" s="1">
        <f>H15*B5*C9</f>
        <v>1.3092600740958753</v>
      </c>
      <c r="J15" s="1">
        <f>I15*B5*C8</f>
        <v>1.177353633065874</v>
      </c>
      <c r="K15" s="1">
        <f>J15*B5</f>
        <v>0.84374414903031703</v>
      </c>
      <c r="L15" s="1">
        <f>K15*B5</f>
        <v>0.60466470653262272</v>
      </c>
      <c r="M15" s="9"/>
      <c r="N15">
        <f>B15+L15</f>
        <v>0.99999999999993472</v>
      </c>
      <c r="O15" s="116">
        <f>B15/(B15+L15)</f>
        <v>0.39533529346733781</v>
      </c>
      <c r="P15" s="112">
        <f>B15-L15</f>
        <v>-0.20932941306531072</v>
      </c>
      <c r="Q15" s="112">
        <f>($G$2*SUM(C15:K15))*B15</f>
        <v>161.09657966058887</v>
      </c>
      <c r="R15" s="9">
        <f>($I$2*SUM(C15:K15))*L15*COUNT(D15:M15)</f>
        <v>11201.591677983251</v>
      </c>
      <c r="S15" s="9">
        <f t="shared" si="3"/>
        <v>-11040.495098322663</v>
      </c>
      <c r="T15" s="112">
        <f>(S15+U15*L15)/B15</f>
        <v>-27913.149415981232</v>
      </c>
      <c r="U15" s="9">
        <f t="shared" si="2"/>
        <v>9</v>
      </c>
    </row>
    <row r="16" spans="1:21" ht="17" thickBot="1" x14ac:dyDescent="0.25">
      <c r="A16" s="210">
        <v>10</v>
      </c>
      <c r="B16" s="195">
        <f>C16*B4</f>
        <v>0.39536943483075521</v>
      </c>
      <c r="C16" s="195">
        <f>1/(1-B5*B4/(1-B5*B4/(1-B5*B4/(1-B5*B4/(1-B5*B4/(1-B5*B4/(1-B5*B4/(1-B5*B4/(1-B5*B4)))))))))</f>
        <v>1.3953129715328689</v>
      </c>
      <c r="D16" s="213">
        <f>C16*B5*C15</f>
        <v>1.395113704809102</v>
      </c>
      <c r="E16" s="131">
        <f>D16*B5*C14</f>
        <v>1.3946097319296995</v>
      </c>
      <c r="F16" s="131">
        <f>E16*B5*C13</f>
        <v>1.3933351153836924</v>
      </c>
      <c r="G16" s="131">
        <f>F16*B5*C12</f>
        <v>1.3901114352894328</v>
      </c>
      <c r="H16" s="131">
        <f>G16*B5*C11</f>
        <v>1.3819583061128715</v>
      </c>
      <c r="I16" s="131">
        <f>H16*B5*C10</f>
        <v>1.3613379239948686</v>
      </c>
      <c r="J16" s="131">
        <f>I16*B5*C9</f>
        <v>1.3091861489542906</v>
      </c>
      <c r="K16" s="131">
        <f>J16*B5*C8</f>
        <v>1.1772871557969633</v>
      </c>
      <c r="L16" s="131">
        <f>K16*B5</f>
        <v>0.84369650845308386</v>
      </c>
      <c r="M16" s="10">
        <f>L16*B5</f>
        <v>0.60463056516917169</v>
      </c>
      <c r="N16">
        <f>B16+M16</f>
        <v>0.99999999999992695</v>
      </c>
      <c r="O16" s="195">
        <f>B16/(B16+M16)</f>
        <v>0.39536943483078407</v>
      </c>
      <c r="P16" s="113">
        <f>B16-M16</f>
        <v>-0.20926113033841648</v>
      </c>
      <c r="Q16" s="113">
        <f>($G$2*SUM(C16:L16))*B16</f>
        <v>180.4019783100949</v>
      </c>
      <c r="R16" s="10">
        <f>($I$2*SUM(C16:L16))*M16*COUNT(D16:M16)</f>
        <v>13935.744571895277</v>
      </c>
      <c r="S16" s="10">
        <f t="shared" si="3"/>
        <v>-13755.342593585181</v>
      </c>
      <c r="T16" s="113">
        <f>(S16+U16*M16)/B16</f>
        <v>-34775.819971564357</v>
      </c>
      <c r="U16" s="10">
        <f t="shared" si="2"/>
        <v>10</v>
      </c>
    </row>
    <row r="17" spans="1:8" ht="17" thickBot="1" x14ac:dyDescent="0.25"/>
    <row r="18" spans="1:8" ht="17" thickBot="1" x14ac:dyDescent="0.25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">
      <c r="A19" s="264">
        <v>1</v>
      </c>
      <c r="B19" s="146">
        <v>1</v>
      </c>
      <c r="C19" s="150">
        <f>B19*$M$3</f>
        <v>6</v>
      </c>
      <c r="D19" s="151">
        <f>SUM($C$19:C19)</f>
        <v>6</v>
      </c>
      <c r="E19" s="9">
        <f>B19/P7</f>
        <v>-2.3079271295510804</v>
      </c>
      <c r="F19" s="9">
        <f>D19/P7</f>
        <v>-13.847562777306484</v>
      </c>
      <c r="G19" s="28">
        <f>S7/E19</f>
        <v>50.580192369825909</v>
      </c>
      <c r="H19" s="8">
        <f>S7/F19</f>
        <v>8.4300320616376503</v>
      </c>
    </row>
    <row r="20" spans="1:8" x14ac:dyDescent="0.2">
      <c r="A20" s="265">
        <v>2</v>
      </c>
      <c r="B20" s="141">
        <f>B19*($M$3+1)</f>
        <v>7</v>
      </c>
      <c r="C20" s="140">
        <f>B20*$M$3</f>
        <v>42</v>
      </c>
      <c r="D20" s="142">
        <f>SUM($C$19:C20)</f>
        <v>48</v>
      </c>
      <c r="E20" s="9">
        <f t="shared" ref="E20:E28" si="4">B20/P8</f>
        <v>-24.230927091058835</v>
      </c>
      <c r="F20" s="9">
        <f t="shared" ref="F20:F28" si="5">D20/P8</f>
        <v>-166.15492862440342</v>
      </c>
      <c r="G20" s="112">
        <f t="shared" ref="G20:G28" si="6">S8/E20</f>
        <v>19.142991972112068</v>
      </c>
      <c r="H20" s="9">
        <f t="shared" ref="H20:H28" si="7">S8/F20</f>
        <v>2.7916863292663439</v>
      </c>
    </row>
    <row r="21" spans="1:8" x14ac:dyDescent="0.2">
      <c r="A21" s="265">
        <v>3</v>
      </c>
      <c r="B21" s="141">
        <f t="shared" ref="B21:B28" si="8">B20*($M$3+1)</f>
        <v>49</v>
      </c>
      <c r="C21" s="140">
        <f t="shared" ref="C21:C28" si="9">B21*$M$3</f>
        <v>294</v>
      </c>
      <c r="D21" s="142">
        <f>SUM($C$19:C21)</f>
        <v>342</v>
      </c>
      <c r="E21" s="9">
        <f t="shared" si="4"/>
        <v>-204.58370295688042</v>
      </c>
      <c r="F21" s="9">
        <f t="shared" si="5"/>
        <v>-1427.910743086798</v>
      </c>
      <c r="G21" s="112">
        <f t="shared" si="6"/>
        <v>5.2603591180014115</v>
      </c>
      <c r="H21" s="9">
        <f t="shared" si="7"/>
        <v>0.75367718357330171</v>
      </c>
    </row>
    <row r="22" spans="1:8" x14ac:dyDescent="0.2">
      <c r="A22" s="265">
        <v>4</v>
      </c>
      <c r="B22" s="141">
        <f t="shared" si="8"/>
        <v>343</v>
      </c>
      <c r="C22" s="140">
        <f t="shared" si="9"/>
        <v>2058</v>
      </c>
      <c r="D22" s="142">
        <f>SUM($C$19:C22)</f>
        <v>2400</v>
      </c>
      <c r="E22" s="9">
        <f t="shared" si="4"/>
        <v>-1551.9247886578507</v>
      </c>
      <c r="F22" s="9">
        <f t="shared" si="5"/>
        <v>-10858.948958538896</v>
      </c>
      <c r="G22" s="112">
        <f t="shared" si="6"/>
        <v>1.2757271245666302</v>
      </c>
      <c r="H22" s="9">
        <f t="shared" si="7"/>
        <v>0.18232266821931425</v>
      </c>
    </row>
    <row r="23" spans="1:8" x14ac:dyDescent="0.2">
      <c r="A23" s="265">
        <v>5</v>
      </c>
      <c r="B23" s="141">
        <f t="shared" si="8"/>
        <v>2401</v>
      </c>
      <c r="C23" s="140">
        <f t="shared" si="9"/>
        <v>14406</v>
      </c>
      <c r="D23" s="142">
        <f>SUM($C$19:C23)</f>
        <v>16806</v>
      </c>
      <c r="E23" s="9">
        <f t="shared" si="4"/>
        <v>-11227.25981871427</v>
      </c>
      <c r="F23" s="9">
        <f t="shared" si="5"/>
        <v>-78586.142654440671</v>
      </c>
      <c r="G23" s="112">
        <f t="shared" si="6"/>
        <v>0.283747354240309</v>
      </c>
      <c r="H23" s="9">
        <f t="shared" si="7"/>
        <v>4.0537748276269298E-2</v>
      </c>
    </row>
    <row r="24" spans="1:8" x14ac:dyDescent="0.2">
      <c r="A24" s="265">
        <v>6</v>
      </c>
      <c r="B24" s="141">
        <f t="shared" si="8"/>
        <v>16807</v>
      </c>
      <c r="C24" s="140">
        <f t="shared" si="9"/>
        <v>100842</v>
      </c>
      <c r="D24" s="142">
        <f>SUM($C$19:C24)</f>
        <v>117648</v>
      </c>
      <c r="E24" s="9">
        <f t="shared" si="4"/>
        <v>-79636.640141292752</v>
      </c>
      <c r="F24" s="9">
        <f t="shared" si="5"/>
        <v>-557451.7426871428</v>
      </c>
      <c r="G24" s="112">
        <f t="shared" si="6"/>
        <v>5.8968112987741982E-2</v>
      </c>
      <c r="H24" s="9">
        <f t="shared" si="7"/>
        <v>8.424087744670369E-3</v>
      </c>
    </row>
    <row r="25" spans="1:8" x14ac:dyDescent="0.2">
      <c r="A25" s="265">
        <v>7</v>
      </c>
      <c r="B25" s="141">
        <f t="shared" si="8"/>
        <v>117649</v>
      </c>
      <c r="C25" s="140">
        <f t="shared" si="9"/>
        <v>705894</v>
      </c>
      <c r="D25" s="142">
        <f>SUM($C$19:C25)</f>
        <v>823542</v>
      </c>
      <c r="E25" s="9">
        <f t="shared" si="4"/>
        <v>-560395.5169945769</v>
      </c>
      <c r="F25" s="9">
        <f t="shared" si="5"/>
        <v>-3922763.8556787381</v>
      </c>
      <c r="G25" s="112">
        <f t="shared" si="6"/>
        <v>1.1616231117288048E-2</v>
      </c>
      <c r="H25" s="9">
        <f t="shared" si="7"/>
        <v>1.6594636032137057E-3</v>
      </c>
    </row>
    <row r="26" spans="1:8" x14ac:dyDescent="0.2">
      <c r="A26" s="265">
        <v>8</v>
      </c>
      <c r="B26" s="141">
        <f t="shared" si="8"/>
        <v>823543</v>
      </c>
      <c r="C26" s="140">
        <f t="shared" si="9"/>
        <v>4941258</v>
      </c>
      <c r="D26" s="142">
        <f>SUM($C$19:C26)</f>
        <v>5764800</v>
      </c>
      <c r="E26" s="9">
        <f t="shared" si="4"/>
        <v>-3930952.6136346171</v>
      </c>
      <c r="F26" s="9">
        <f t="shared" si="5"/>
        <v>-27516663.522221476</v>
      </c>
      <c r="G26" s="112">
        <f t="shared" si="6"/>
        <v>2.1941174156208739E-3</v>
      </c>
      <c r="H26" s="9">
        <f t="shared" si="7"/>
        <v>3.1344539946098066E-4</v>
      </c>
    </row>
    <row r="27" spans="1:8" x14ac:dyDescent="0.2">
      <c r="A27" s="265">
        <v>9</v>
      </c>
      <c r="B27" s="141">
        <f t="shared" si="8"/>
        <v>5764801</v>
      </c>
      <c r="C27" s="140">
        <f t="shared" si="9"/>
        <v>34588806</v>
      </c>
      <c r="D27" s="142">
        <f>SUM($C$19:C27)</f>
        <v>40353606</v>
      </c>
      <c r="E27" s="9">
        <f t="shared" si="4"/>
        <v>-27539374.020990465</v>
      </c>
      <c r="F27" s="9">
        <f t="shared" si="5"/>
        <v>-192775613.36977372</v>
      </c>
      <c r="G27" s="112">
        <f t="shared" si="6"/>
        <v>4.0089854946984691E-4</v>
      </c>
      <c r="H27" s="9">
        <f t="shared" si="7"/>
        <v>5.7271222772069564E-5</v>
      </c>
    </row>
    <row r="28" spans="1:8" ht="17" thickBot="1" x14ac:dyDescent="0.25">
      <c r="A28" s="266">
        <v>10</v>
      </c>
      <c r="B28" s="143">
        <f t="shared" si="8"/>
        <v>40353607</v>
      </c>
      <c r="C28" s="144">
        <f t="shared" si="9"/>
        <v>242121642</v>
      </c>
      <c r="D28" s="145">
        <f>SUM($C$19:C28)</f>
        <v>282475248</v>
      </c>
      <c r="E28" s="9">
        <f t="shared" si="4"/>
        <v>-192838521.58659503</v>
      </c>
      <c r="F28" s="9">
        <f t="shared" si="5"/>
        <v>-1349869646.3274467</v>
      </c>
      <c r="G28" s="113">
        <f t="shared" si="6"/>
        <v>7.1330885968280358E-5</v>
      </c>
      <c r="H28" s="10">
        <f t="shared" si="7"/>
        <v>1.0190126602971602E-5</v>
      </c>
    </row>
    <row r="29" spans="1:8" ht="17" thickBot="1" x14ac:dyDescent="0.25"/>
    <row r="30" spans="1:8" ht="17" thickBot="1" x14ac:dyDescent="0.25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">
      <c r="A31" s="264">
        <v>1</v>
      </c>
      <c r="B31" s="146">
        <v>1</v>
      </c>
      <c r="C31" s="150">
        <f>B31*$M$3</f>
        <v>6</v>
      </c>
      <c r="D31" s="151">
        <f>SUM($C$31:C31)</f>
        <v>6</v>
      </c>
      <c r="E31" s="129">
        <f>B31/P7</f>
        <v>-2.3079271295510804</v>
      </c>
      <c r="F31" s="58">
        <f>D31/P7</f>
        <v>-13.847562777306484</v>
      </c>
      <c r="G31" s="28">
        <f>S7/E31</f>
        <v>50.580192369825909</v>
      </c>
      <c r="H31" s="8">
        <f>S7/F31</f>
        <v>8.4300320616376503</v>
      </c>
    </row>
    <row r="32" spans="1:8" x14ac:dyDescent="0.2">
      <c r="A32" s="265">
        <v>2</v>
      </c>
      <c r="B32" s="141">
        <f>C31</f>
        <v>6</v>
      </c>
      <c r="C32" s="140">
        <f>B32*$M$3</f>
        <v>36</v>
      </c>
      <c r="D32" s="142">
        <f>SUM($C$31:C32)</f>
        <v>42</v>
      </c>
      <c r="E32" s="112">
        <f t="shared" ref="E32:E40" si="10">B32/P8</f>
        <v>-20.769366078050428</v>
      </c>
      <c r="F32" s="9">
        <f t="shared" ref="F32:F40" si="11">D32/P8</f>
        <v>-145.38556254635301</v>
      </c>
      <c r="G32" s="112">
        <f t="shared" ref="G32:G40" si="12">S8/E32</f>
        <v>22.333490634130751</v>
      </c>
      <c r="H32" s="9">
        <f t="shared" ref="H32:H40" si="13">S8/F32</f>
        <v>3.1904986620186779</v>
      </c>
    </row>
    <row r="33" spans="1:8" x14ac:dyDescent="0.2">
      <c r="A33" s="265">
        <v>3</v>
      </c>
      <c r="B33" s="141">
        <f t="shared" ref="B33:B40" si="14">C32</f>
        <v>36</v>
      </c>
      <c r="C33" s="140">
        <f t="shared" ref="C33:C40" si="15">B33*$M$3</f>
        <v>216</v>
      </c>
      <c r="D33" s="142">
        <f>SUM($C$31:C33)</f>
        <v>258</v>
      </c>
      <c r="E33" s="112">
        <f t="shared" si="10"/>
        <v>-150.30639400913665</v>
      </c>
      <c r="F33" s="9">
        <f t="shared" si="11"/>
        <v>-1077.195823732146</v>
      </c>
      <c r="G33" s="112">
        <f t="shared" si="12"/>
        <v>7.159933243946365</v>
      </c>
      <c r="H33" s="9">
        <f t="shared" si="13"/>
        <v>0.99906045264367882</v>
      </c>
    </row>
    <row r="34" spans="1:8" x14ac:dyDescent="0.2">
      <c r="A34" s="265">
        <v>4</v>
      </c>
      <c r="B34" s="141">
        <f t="shared" si="14"/>
        <v>216</v>
      </c>
      <c r="C34" s="140">
        <f t="shared" si="15"/>
        <v>1296</v>
      </c>
      <c r="D34" s="142">
        <f>SUM($C$31:C34)</f>
        <v>1554</v>
      </c>
      <c r="E34" s="112">
        <f t="shared" si="10"/>
        <v>-977.30540626850075</v>
      </c>
      <c r="F34" s="9">
        <f t="shared" si="11"/>
        <v>-7031.1694506539361</v>
      </c>
      <c r="G34" s="112">
        <f t="shared" si="12"/>
        <v>2.0258074246590474</v>
      </c>
      <c r="H34" s="9">
        <f t="shared" si="13"/>
        <v>0.28157941037731932</v>
      </c>
    </row>
    <row r="35" spans="1:8" x14ac:dyDescent="0.2">
      <c r="A35" s="265">
        <v>5</v>
      </c>
      <c r="B35" s="141">
        <f t="shared" si="14"/>
        <v>1296</v>
      </c>
      <c r="C35" s="140">
        <f t="shared" si="15"/>
        <v>7776</v>
      </c>
      <c r="D35" s="142">
        <f>SUM($C$31:C35)</f>
        <v>9330</v>
      </c>
      <c r="E35" s="112">
        <f t="shared" si="10"/>
        <v>-6060.1952207637214</v>
      </c>
      <c r="F35" s="9">
        <f t="shared" si="11"/>
        <v>-43627.794297627719</v>
      </c>
      <c r="G35" s="112">
        <f t="shared" si="12"/>
        <v>0.52567700426773289</v>
      </c>
      <c r="H35" s="9">
        <f t="shared" si="13"/>
        <v>7.302008548027672E-2</v>
      </c>
    </row>
    <row r="36" spans="1:8" x14ac:dyDescent="0.2">
      <c r="A36" s="265">
        <v>6</v>
      </c>
      <c r="B36" s="141">
        <f t="shared" si="14"/>
        <v>7776</v>
      </c>
      <c r="C36" s="140">
        <f t="shared" si="15"/>
        <v>46656</v>
      </c>
      <c r="D36" s="142">
        <f>SUM($C$31:C36)</f>
        <v>55986</v>
      </c>
      <c r="E36" s="112">
        <f t="shared" si="10"/>
        <v>-36845.035624364398</v>
      </c>
      <c r="F36" s="9">
        <f t="shared" si="11"/>
        <v>-265278.57053313596</v>
      </c>
      <c r="G36" s="112">
        <f t="shared" si="12"/>
        <v>0.12745332754436464</v>
      </c>
      <c r="H36" s="9">
        <f t="shared" si="13"/>
        <v>1.7702230468063077E-2</v>
      </c>
    </row>
    <row r="37" spans="1:8" x14ac:dyDescent="0.2">
      <c r="A37" s="265">
        <v>7</v>
      </c>
      <c r="B37" s="141">
        <f t="shared" si="14"/>
        <v>46656</v>
      </c>
      <c r="C37" s="140">
        <f t="shared" si="15"/>
        <v>279936</v>
      </c>
      <c r="D37" s="142">
        <f>SUM($C$31:C37)</f>
        <v>335922</v>
      </c>
      <c r="E37" s="112">
        <f t="shared" si="10"/>
        <v>-222235.74565783798</v>
      </c>
      <c r="F37" s="9">
        <f t="shared" si="11"/>
        <v>-1600091.6527964731</v>
      </c>
      <c r="G37" s="112">
        <f t="shared" si="12"/>
        <v>2.9291794725604885E-2</v>
      </c>
      <c r="H37" s="9">
        <f t="shared" si="13"/>
        <v>4.0683193560345004E-3</v>
      </c>
    </row>
    <row r="38" spans="1:8" x14ac:dyDescent="0.2">
      <c r="A38" s="265">
        <v>8</v>
      </c>
      <c r="B38" s="141">
        <f t="shared" si="14"/>
        <v>279936</v>
      </c>
      <c r="C38" s="140">
        <f t="shared" si="15"/>
        <v>1679616</v>
      </c>
      <c r="D38" s="142">
        <f>SUM($C$31:C38)</f>
        <v>2015538</v>
      </c>
      <c r="E38" s="112">
        <f t="shared" si="10"/>
        <v>-1336196.3502214458</v>
      </c>
      <c r="F38" s="9">
        <f t="shared" si="11"/>
        <v>-9620607.9937293977</v>
      </c>
      <c r="G38" s="112">
        <f t="shared" si="12"/>
        <v>6.454868394249619E-3</v>
      </c>
      <c r="H38" s="9">
        <f t="shared" si="13"/>
        <v>8.9651003296026233E-4</v>
      </c>
    </row>
    <row r="39" spans="1:8" x14ac:dyDescent="0.2">
      <c r="A39" s="265">
        <v>9</v>
      </c>
      <c r="B39" s="141">
        <f t="shared" si="14"/>
        <v>1679616</v>
      </c>
      <c r="C39" s="140">
        <f t="shared" si="15"/>
        <v>10077696</v>
      </c>
      <c r="D39" s="142">
        <f>SUM($C$31:C39)</f>
        <v>12093234</v>
      </c>
      <c r="E39" s="112">
        <f t="shared" si="10"/>
        <v>-8023793.5768537233</v>
      </c>
      <c r="F39" s="9">
        <f t="shared" si="11"/>
        <v>-57771308.020755373</v>
      </c>
      <c r="G39" s="112">
        <f t="shared" si="12"/>
        <v>1.3759694828355546E-3</v>
      </c>
      <c r="H39" s="9">
        <f t="shared" si="13"/>
        <v>1.9110689157940077E-4</v>
      </c>
    </row>
    <row r="40" spans="1:8" ht="17" thickBot="1" x14ac:dyDescent="0.25">
      <c r="A40" s="266">
        <v>10</v>
      </c>
      <c r="B40" s="143">
        <f t="shared" si="14"/>
        <v>10077696</v>
      </c>
      <c r="C40" s="144">
        <f t="shared" si="15"/>
        <v>60466176</v>
      </c>
      <c r="D40" s="145">
        <f>SUM($C$31:C40)</f>
        <v>72559410</v>
      </c>
      <c r="E40" s="113">
        <f t="shared" si="10"/>
        <v>-48158470.632851787</v>
      </c>
      <c r="F40" s="10">
        <f t="shared" si="11"/>
        <v>-346740982.82207084</v>
      </c>
      <c r="G40" s="113">
        <f t="shared" si="12"/>
        <v>2.8562664911958055E-4</v>
      </c>
      <c r="H40" s="10">
        <f t="shared" si="13"/>
        <v>3.9670368589350445E-5</v>
      </c>
    </row>
    <row r="41" spans="1:8" ht="17" thickBot="1" x14ac:dyDescent="0.25"/>
    <row r="42" spans="1:8" ht="17" thickBot="1" x14ac:dyDescent="0.25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">
      <c r="A43" s="264">
        <v>1</v>
      </c>
      <c r="B43" s="146">
        <v>1</v>
      </c>
      <c r="C43" s="150">
        <f>B43*$M$3</f>
        <v>6</v>
      </c>
      <c r="D43" s="151">
        <f>SUM(C43:C43)</f>
        <v>6</v>
      </c>
      <c r="E43" s="129">
        <f>B43/P7</f>
        <v>-2.3079271295510804</v>
      </c>
      <c r="F43" s="58">
        <f>D43/P7</f>
        <v>-13.847562777306484</v>
      </c>
      <c r="G43" s="28">
        <f>S7/E43</f>
        <v>50.580192369825909</v>
      </c>
      <c r="H43" s="8">
        <f>S7/F43</f>
        <v>8.4300320616376503</v>
      </c>
    </row>
    <row r="44" spans="1:8" x14ac:dyDescent="0.2">
      <c r="A44" s="265">
        <v>2</v>
      </c>
      <c r="B44" s="141">
        <f>B43*$M$3*2</f>
        <v>12</v>
      </c>
      <c r="C44" s="140">
        <f>B44*$M$3</f>
        <v>72</v>
      </c>
      <c r="D44" s="142">
        <f>SUM($C$43:C44)</f>
        <v>78</v>
      </c>
      <c r="E44" s="112">
        <f t="shared" ref="E44:E52" si="16">B44/P8</f>
        <v>-41.538732156100856</v>
      </c>
      <c r="F44" s="9">
        <f t="shared" ref="F44:F52" si="17">D44/P8</f>
        <v>-270.00175901465559</v>
      </c>
      <c r="G44" s="112">
        <f t="shared" ref="G44:G52" si="18">S8/E44</f>
        <v>11.166745317065375</v>
      </c>
      <c r="H44" s="9">
        <f t="shared" ref="H44:H52" si="19">S8/F44</f>
        <v>1.7179608180100574</v>
      </c>
    </row>
    <row r="45" spans="1:8" x14ac:dyDescent="0.2">
      <c r="A45" s="265">
        <v>3</v>
      </c>
      <c r="B45" s="141">
        <f t="shared" ref="B45:B52" si="20">B44*$M$3*2</f>
        <v>144</v>
      </c>
      <c r="C45" s="140">
        <f t="shared" ref="C45:C52" si="21">B45*$M$3</f>
        <v>864</v>
      </c>
      <c r="D45" s="142">
        <f>SUM($C$43:C45)</f>
        <v>942</v>
      </c>
      <c r="E45" s="112">
        <f t="shared" si="16"/>
        <v>-601.22557603654661</v>
      </c>
      <c r="F45" s="9">
        <f t="shared" si="17"/>
        <v>-3933.017309905742</v>
      </c>
      <c r="G45" s="112">
        <f t="shared" si="18"/>
        <v>1.7899833109865912</v>
      </c>
      <c r="H45" s="9">
        <f t="shared" si="19"/>
        <v>0.27362802206164455</v>
      </c>
    </row>
    <row r="46" spans="1:8" x14ac:dyDescent="0.2">
      <c r="A46" s="265">
        <v>4</v>
      </c>
      <c r="B46" s="141">
        <f t="shared" si="20"/>
        <v>1728</v>
      </c>
      <c r="C46" s="140">
        <f t="shared" si="21"/>
        <v>10368</v>
      </c>
      <c r="D46" s="142">
        <f>SUM($C$43:C46)</f>
        <v>11310</v>
      </c>
      <c r="E46" s="112">
        <f t="shared" si="16"/>
        <v>-7818.443250148006</v>
      </c>
      <c r="F46" s="9">
        <f t="shared" si="17"/>
        <v>-51172.796967114555</v>
      </c>
      <c r="G46" s="112">
        <f t="shared" si="18"/>
        <v>0.25322592808238092</v>
      </c>
      <c r="H46" s="9">
        <f t="shared" si="19"/>
        <v>3.868916036484122E-2</v>
      </c>
    </row>
    <row r="47" spans="1:8" x14ac:dyDescent="0.2">
      <c r="A47" s="265">
        <v>5</v>
      </c>
      <c r="B47" s="141">
        <f t="shared" si="20"/>
        <v>20736</v>
      </c>
      <c r="C47" s="140">
        <f t="shared" si="21"/>
        <v>124416</v>
      </c>
      <c r="D47" s="142">
        <f>SUM($C$43:C47)</f>
        <v>135726</v>
      </c>
      <c r="E47" s="112">
        <f t="shared" si="16"/>
        <v>-96963.123532219543</v>
      </c>
      <c r="F47" s="9">
        <f t="shared" si="17"/>
        <v>-634665.16707822285</v>
      </c>
      <c r="G47" s="112">
        <f t="shared" si="18"/>
        <v>3.2854812766733306E-2</v>
      </c>
      <c r="H47" s="9">
        <f t="shared" si="19"/>
        <v>5.0195054560731311E-3</v>
      </c>
    </row>
    <row r="48" spans="1:8" x14ac:dyDescent="0.2">
      <c r="A48" s="265">
        <v>6</v>
      </c>
      <c r="B48" s="141">
        <f t="shared" si="20"/>
        <v>248832</v>
      </c>
      <c r="C48" s="140">
        <f t="shared" si="21"/>
        <v>1492992</v>
      </c>
      <c r="D48" s="142">
        <f>SUM($C$43:C48)</f>
        <v>1628718</v>
      </c>
      <c r="E48" s="112">
        <f t="shared" si="16"/>
        <v>-1179041.1399796607</v>
      </c>
      <c r="F48" s="9">
        <f t="shared" si="17"/>
        <v>-7717357.6044294666</v>
      </c>
      <c r="G48" s="112">
        <f t="shared" si="18"/>
        <v>3.9829164857613951E-3</v>
      </c>
      <c r="H48" s="9">
        <f t="shared" si="19"/>
        <v>6.0850133355496751E-4</v>
      </c>
    </row>
    <row r="49" spans="1:8" x14ac:dyDescent="0.2">
      <c r="A49" s="265">
        <v>7</v>
      </c>
      <c r="B49" s="141">
        <f t="shared" si="20"/>
        <v>2985984</v>
      </c>
      <c r="C49" s="140">
        <f t="shared" si="21"/>
        <v>17915904</v>
      </c>
      <c r="D49" s="142">
        <f>SUM($C$43:C49)</f>
        <v>19544622</v>
      </c>
      <c r="E49" s="112">
        <f t="shared" si="16"/>
        <v>-14223087.722101631</v>
      </c>
      <c r="F49" s="9">
        <f t="shared" si="17"/>
        <v>-93096571.582874328</v>
      </c>
      <c r="G49" s="112">
        <f t="shared" si="18"/>
        <v>4.5768429258757632E-4</v>
      </c>
      <c r="H49" s="9">
        <f t="shared" si="19"/>
        <v>6.9923991096774421E-5</v>
      </c>
    </row>
    <row r="50" spans="1:8" x14ac:dyDescent="0.2">
      <c r="A50" s="265">
        <v>8</v>
      </c>
      <c r="B50" s="141">
        <f t="shared" si="20"/>
        <v>35831808</v>
      </c>
      <c r="C50" s="140">
        <f t="shared" si="21"/>
        <v>214990848</v>
      </c>
      <c r="D50" s="142">
        <f>SUM($C$43:C50)</f>
        <v>234535470</v>
      </c>
      <c r="E50" s="112">
        <f t="shared" si="16"/>
        <v>-171033132.82834506</v>
      </c>
      <c r="F50" s="9">
        <f t="shared" si="17"/>
        <v>-1119489594.0910473</v>
      </c>
      <c r="G50" s="112">
        <f t="shared" si="18"/>
        <v>5.0428659330075148E-5</v>
      </c>
      <c r="H50" s="9">
        <f t="shared" si="19"/>
        <v>7.7043785266794031E-6</v>
      </c>
    </row>
    <row r="51" spans="1:8" x14ac:dyDescent="0.2">
      <c r="A51" s="265">
        <v>9</v>
      </c>
      <c r="B51" s="141">
        <f t="shared" si="20"/>
        <v>429981696</v>
      </c>
      <c r="C51" s="140">
        <f t="shared" si="21"/>
        <v>2579890176</v>
      </c>
      <c r="D51" s="142">
        <f>SUM($C$43:C51)</f>
        <v>2814425646</v>
      </c>
      <c r="E51" s="112">
        <f t="shared" si="16"/>
        <v>-2054091155.6745532</v>
      </c>
      <c r="F51" s="9">
        <f t="shared" si="17"/>
        <v>-13444960289.08226</v>
      </c>
      <c r="G51" s="112">
        <f t="shared" si="18"/>
        <v>5.3748807923263853E-6</v>
      </c>
      <c r="H51" s="9">
        <f t="shared" si="19"/>
        <v>8.2116234343123343E-7</v>
      </c>
    </row>
    <row r="52" spans="1:8" ht="17" thickBot="1" x14ac:dyDescent="0.25">
      <c r="A52" s="266">
        <v>10</v>
      </c>
      <c r="B52" s="143">
        <f t="shared" si="20"/>
        <v>5159780352</v>
      </c>
      <c r="C52" s="144">
        <f t="shared" si="21"/>
        <v>30958682112</v>
      </c>
      <c r="D52" s="145">
        <f>SUM($C$43:C52)</f>
        <v>33773107758</v>
      </c>
      <c r="E52" s="113">
        <f t="shared" si="16"/>
        <v>-24657136964.020115</v>
      </c>
      <c r="F52" s="10">
        <f t="shared" si="17"/>
        <v>-161392169216.43417</v>
      </c>
      <c r="G52" s="113">
        <f t="shared" si="18"/>
        <v>5.5786454906168076E-7</v>
      </c>
      <c r="H52" s="10">
        <f t="shared" si="19"/>
        <v>8.5229306108022178E-8</v>
      </c>
    </row>
  </sheetData>
  <conditionalFormatting sqref="O7:O16">
    <cfRule type="cellIs" dxfId="131" priority="27" operator="lessThanOrEqual">
      <formula>0</formula>
    </cfRule>
    <cfRule type="cellIs" dxfId="130" priority="28" operator="greaterThan">
      <formula>0</formula>
    </cfRule>
  </conditionalFormatting>
  <conditionalFormatting sqref="P7:P16 S7:S16">
    <cfRule type="cellIs" dxfId="129" priority="25" operator="lessThanOrEqual">
      <formula>0</formula>
    </cfRule>
    <cfRule type="cellIs" dxfId="128" priority="26" operator="greaterThan">
      <formula>0</formula>
    </cfRule>
  </conditionalFormatting>
  <conditionalFormatting sqref="G43:G52">
    <cfRule type="cellIs" dxfId="127" priority="24" operator="equal">
      <formula>MAX($G$43:$G$52)</formula>
    </cfRule>
  </conditionalFormatting>
  <conditionalFormatting sqref="H43:H52">
    <cfRule type="cellIs" dxfId="126" priority="23" operator="equal">
      <formula>MAX($H$43:$H$52)</formula>
    </cfRule>
  </conditionalFormatting>
  <conditionalFormatting sqref="G31:G40">
    <cfRule type="cellIs" dxfId="125" priority="22" operator="equal">
      <formula>MAX($G$31:$G$40)</formula>
    </cfRule>
  </conditionalFormatting>
  <conditionalFormatting sqref="H31:H40">
    <cfRule type="cellIs" dxfId="124" priority="21" operator="equal">
      <formula>MAX($H$31:$H$40)</formula>
    </cfRule>
  </conditionalFormatting>
  <conditionalFormatting sqref="F19:F28">
    <cfRule type="cellIs" dxfId="123" priority="19" stopIfTrue="1" operator="lessThan">
      <formula>0</formula>
    </cfRule>
    <cfRule type="cellIs" dxfId="122" priority="20" operator="equal">
      <formula>MIN($F$19:$F$28)</formula>
    </cfRule>
  </conditionalFormatting>
  <conditionalFormatting sqref="E19:E28">
    <cfRule type="cellIs" dxfId="121" priority="17" stopIfTrue="1" operator="lessThan">
      <formula>0</formula>
    </cfRule>
    <cfRule type="cellIs" dxfId="120" priority="18" operator="equal">
      <formula>MIN($E$19:$E$28)</formula>
    </cfRule>
  </conditionalFormatting>
  <conditionalFormatting sqref="F31:F40">
    <cfRule type="cellIs" dxfId="119" priority="15" stopIfTrue="1" operator="lessThan">
      <formula>0</formula>
    </cfRule>
    <cfRule type="cellIs" dxfId="118" priority="16" operator="equal">
      <formula>MIN($F$31:$F$40)</formula>
    </cfRule>
  </conditionalFormatting>
  <conditionalFormatting sqref="E31:E40">
    <cfRule type="cellIs" dxfId="117" priority="13" stopIfTrue="1" operator="lessThan">
      <formula>0</formula>
    </cfRule>
    <cfRule type="cellIs" dxfId="116" priority="14" operator="equal">
      <formula>MIN($E$31:$E$40)</formula>
    </cfRule>
  </conditionalFormatting>
  <conditionalFormatting sqref="F43:F52">
    <cfRule type="cellIs" dxfId="115" priority="11" stopIfTrue="1" operator="lessThan">
      <formula>0</formula>
    </cfRule>
    <cfRule type="cellIs" dxfId="114" priority="12" operator="equal">
      <formula>MIN($F$43:$F$52)</formula>
    </cfRule>
  </conditionalFormatting>
  <conditionalFormatting sqref="E43:E52">
    <cfRule type="cellIs" dxfId="113" priority="9" stopIfTrue="1" operator="lessThan">
      <formula>0</formula>
    </cfRule>
    <cfRule type="cellIs" dxfId="112" priority="10" operator="equal">
      <formula>MIN($E$43:$E$52)</formula>
    </cfRule>
  </conditionalFormatting>
  <conditionalFormatting sqref="Q7:Q16">
    <cfRule type="cellIs" dxfId="111" priority="7" operator="lessThanOrEqual">
      <formula>0</formula>
    </cfRule>
    <cfRule type="cellIs" dxfId="110" priority="8" operator="greaterThan">
      <formula>0</formula>
    </cfRule>
  </conditionalFormatting>
  <conditionalFormatting sqref="R7:R16">
    <cfRule type="cellIs" dxfId="109" priority="5" operator="lessThanOrEqual">
      <formula>0</formula>
    </cfRule>
    <cfRule type="cellIs" dxfId="108" priority="6" operator="greaterThan">
      <formula>0</formula>
    </cfRule>
  </conditionalFormatting>
  <conditionalFormatting sqref="G19:G28">
    <cfRule type="cellIs" dxfId="107" priority="3" operator="lessThanOrEqual">
      <formula>0</formula>
    </cfRule>
    <cfRule type="cellIs" dxfId="106" priority="4" operator="equal">
      <formula>MAX($G$19:$G$28)</formula>
    </cfRule>
  </conditionalFormatting>
  <conditionalFormatting sqref="H19:H28">
    <cfRule type="cellIs" dxfId="105" priority="1" operator="lessThanOrEqual">
      <formula>0</formula>
    </cfRule>
    <cfRule type="cellIs" dxfId="104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U52"/>
  <sheetViews>
    <sheetView topLeftCell="A7" workbookViewId="0">
      <selection activeCell="I3" sqref="I3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1" x14ac:dyDescent="0.2">
      <c r="B1" s="202"/>
      <c r="C1" t="s">
        <v>99</v>
      </c>
      <c r="D1">
        <f>C2+E2</f>
        <v>0.99999999999999423</v>
      </c>
    </row>
    <row r="2" spans="1:21" x14ac:dyDescent="0.2">
      <c r="A2" t="s">
        <v>40</v>
      </c>
      <c r="B2" s="201" t="s">
        <v>129</v>
      </c>
      <c r="C2" s="222">
        <f>Analysis!B51</f>
        <v>0.285043470502719</v>
      </c>
      <c r="D2" s="199" t="s">
        <v>130</v>
      </c>
      <c r="E2" s="222">
        <f>Analysis!O51</f>
        <v>0.71495652949727528</v>
      </c>
      <c r="F2" s="199" t="s">
        <v>49</v>
      </c>
      <c r="G2" s="222">
        <f>Analysis!S51</f>
        <v>39.560755543438411</v>
      </c>
      <c r="H2" t="s">
        <v>163</v>
      </c>
      <c r="I2" s="238">
        <f>Analysis!T51</f>
        <v>220.20141115332586</v>
      </c>
      <c r="J2" t="s">
        <v>50</v>
      </c>
      <c r="K2" s="238">
        <f>C2*G2-E2*I2</f>
        <v>-146.15790165277309</v>
      </c>
      <c r="L2" t="s">
        <v>49</v>
      </c>
      <c r="M2" s="267">
        <v>3</v>
      </c>
    </row>
    <row r="3" spans="1:21" x14ac:dyDescent="0.2">
      <c r="A3" t="s">
        <v>133</v>
      </c>
      <c r="B3" s="202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t="s">
        <v>163</v>
      </c>
      <c r="M3" s="267">
        <v>6</v>
      </c>
    </row>
    <row r="4" spans="1:21" x14ac:dyDescent="0.2">
      <c r="A4" t="s">
        <v>127</v>
      </c>
      <c r="B4" s="202">
        <f>$C$2</f>
        <v>0.285043470502719</v>
      </c>
      <c r="C4">
        <f>B4*$C$2</f>
        <v>8.1249780076234429E-2</v>
      </c>
      <c r="D4">
        <f t="shared" ref="D4:K4" si="0">C4*$C$2</f>
        <v>2.3159719290512533E-2</v>
      </c>
      <c r="E4">
        <f t="shared" si="0"/>
        <v>6.6015267624364611E-3</v>
      </c>
      <c r="F4">
        <f t="shared" si="0"/>
        <v>1.8817220989814675E-3</v>
      </c>
      <c r="G4">
        <f t="shared" si="0"/>
        <v>5.3637259761533842E-4</v>
      </c>
      <c r="H4">
        <f t="shared" si="0"/>
        <v>1.528895067068345E-4</v>
      </c>
      <c r="I4">
        <f t="shared" si="0"/>
        <v>4.3580155595164838E-5</v>
      </c>
      <c r="J4">
        <f t="shared" si="0"/>
        <v>1.2422238795894273E-5</v>
      </c>
      <c r="K4">
        <f t="shared" si="0"/>
        <v>3.540878057795221E-6</v>
      </c>
    </row>
    <row r="5" spans="1:21" ht="17" thickBot="1" x14ac:dyDescent="0.25">
      <c r="A5" t="s">
        <v>128</v>
      </c>
      <c r="B5" s="202">
        <f>$E$2</f>
        <v>0.71495652949727528</v>
      </c>
      <c r="C5">
        <f>B5*$E$2</f>
        <v>0.5111628390707883</v>
      </c>
      <c r="D5">
        <f t="shared" ref="D5:K5" si="1">C5*$E$2</f>
        <v>0.36545920943002502</v>
      </c>
      <c r="E5">
        <f t="shared" si="1"/>
        <v>0.26128744804690857</v>
      </c>
      <c r="F5">
        <f t="shared" si="1"/>
        <v>0.18680916705681735</v>
      </c>
      <c r="G5">
        <f t="shared" si="1"/>
        <v>0.13356043375721885</v>
      </c>
      <c r="H5">
        <f t="shared" si="1"/>
        <v>9.5489904197211914E-2</v>
      </c>
      <c r="I5">
        <f t="shared" si="1"/>
        <v>6.8271130506865937E-2</v>
      </c>
      <c r="J5">
        <f t="shared" si="1"/>
        <v>4.8810890532044425E-2</v>
      </c>
      <c r="K5">
        <f t="shared" si="1"/>
        <v>3.4897664896461893E-2</v>
      </c>
    </row>
    <row r="6" spans="1:21" ht="17" thickBot="1" x14ac:dyDescent="0.25">
      <c r="A6" s="207"/>
      <c r="B6" s="122">
        <v>1</v>
      </c>
      <c r="C6" s="214">
        <v>0</v>
      </c>
      <c r="D6" s="211">
        <v>-1</v>
      </c>
      <c r="E6" s="139">
        <v>-2</v>
      </c>
      <c r="F6" s="139">
        <v>-3</v>
      </c>
      <c r="G6" s="139">
        <v>-4</v>
      </c>
      <c r="H6" s="139">
        <v>-5</v>
      </c>
      <c r="I6" s="139">
        <v>-6</v>
      </c>
      <c r="J6" s="139">
        <v>-7</v>
      </c>
      <c r="K6" s="139">
        <v>-8</v>
      </c>
      <c r="L6" s="139">
        <v>-9</v>
      </c>
      <c r="M6" s="124">
        <v>-10</v>
      </c>
      <c r="N6" t="s">
        <v>141</v>
      </c>
      <c r="O6" s="240" t="s">
        <v>37</v>
      </c>
      <c r="P6" s="239" t="s">
        <v>51</v>
      </c>
      <c r="Q6" s="235" t="s">
        <v>135</v>
      </c>
      <c r="R6" s="236" t="s">
        <v>142</v>
      </c>
      <c r="S6" s="237" t="s">
        <v>50</v>
      </c>
      <c r="T6" s="259" t="s">
        <v>49</v>
      </c>
      <c r="U6" s="256" t="s">
        <v>163</v>
      </c>
    </row>
    <row r="7" spans="1:21" x14ac:dyDescent="0.2">
      <c r="A7" s="208">
        <v>1</v>
      </c>
      <c r="B7" s="114">
        <f>C7*B4</f>
        <v>0.285043470502719</v>
      </c>
      <c r="C7" s="114">
        <v>1</v>
      </c>
      <c r="D7" s="212">
        <f>C7*B5</f>
        <v>0.71495652949727528</v>
      </c>
      <c r="E7" s="130"/>
      <c r="F7" s="130"/>
      <c r="G7" s="130"/>
      <c r="H7" s="130"/>
      <c r="I7" s="130"/>
      <c r="J7" s="130"/>
      <c r="K7" s="130"/>
      <c r="L7" s="130"/>
      <c r="M7" s="58"/>
      <c r="N7">
        <f>B7+D7</f>
        <v>0.99999999999999423</v>
      </c>
      <c r="O7" s="114">
        <f>B7/(B7+D7)</f>
        <v>0.28504347050272066</v>
      </c>
      <c r="P7" s="129">
        <f>B7-D7</f>
        <v>-0.42991305899455629</v>
      </c>
      <c r="Q7" s="129">
        <f>($G$2*SUM(C7))*B7</f>
        <v>11.276535055811364</v>
      </c>
      <c r="R7" s="58">
        <f>($I$2*SUM(C7))*D7*COUNT(D7:M7)</f>
        <v>157.43443670858446</v>
      </c>
      <c r="S7" s="58">
        <f>Q7-R7</f>
        <v>-146.15790165277309</v>
      </c>
      <c r="T7" s="129">
        <f>(S7+U7*D7)/B7</f>
        <v>-510.24829604679002</v>
      </c>
      <c r="U7" s="58">
        <f t="shared" ref="U7:U16" si="2">COUNT(D7:M7)</f>
        <v>1</v>
      </c>
    </row>
    <row r="8" spans="1:21" x14ac:dyDescent="0.2">
      <c r="A8" s="209">
        <v>2</v>
      </c>
      <c r="B8" s="116">
        <f>C8*B4</f>
        <v>0.35800202419320287</v>
      </c>
      <c r="C8" s="116">
        <f>1/(1-B4*B5)</f>
        <v>1.2559558847701719</v>
      </c>
      <c r="D8" s="194">
        <f>C8*B5</f>
        <v>0.89795386057696192</v>
      </c>
      <c r="E8" s="1">
        <f>D8*B5</f>
        <v>0.64199797580678486</v>
      </c>
      <c r="F8" s="1"/>
      <c r="G8" s="1"/>
      <c r="H8" s="1"/>
      <c r="I8" s="1"/>
      <c r="J8" s="1"/>
      <c r="K8" s="1"/>
      <c r="L8" s="1"/>
      <c r="M8" s="9"/>
      <c r="N8">
        <f>B8+E8</f>
        <v>0.99999999999998779</v>
      </c>
      <c r="O8" s="116">
        <f>B8/(B8+E8)</f>
        <v>0.35800202419320726</v>
      </c>
      <c r="P8" s="112">
        <f>B8-E8</f>
        <v>-0.28399595161358199</v>
      </c>
      <c r="Q8" s="112">
        <f>($G$2*SUM(C8:D8))*B8</f>
        <v>30.505458771697935</v>
      </c>
      <c r="R8" s="9">
        <f>($I$2*SUM(C8:D8))*E8*COUNT(D8:M8)</f>
        <v>608.99153147703055</v>
      </c>
      <c r="S8" s="9">
        <f t="shared" ref="S8:S16" si="3">Q8-R8</f>
        <v>-578.48607270533262</v>
      </c>
      <c r="T8" s="112">
        <f>(S8+U8*E8)/B8</f>
        <v>-1612.2871876339464</v>
      </c>
      <c r="U8" s="9">
        <f t="shared" si="2"/>
        <v>2</v>
      </c>
    </row>
    <row r="9" spans="1:21" x14ac:dyDescent="0.2">
      <c r="A9" s="209">
        <v>3</v>
      </c>
      <c r="B9" s="116">
        <f>C9*B4</f>
        <v>0.38310022842485869</v>
      </c>
      <c r="C9" s="216">
        <f>1/(1-B5*B4/(1-B5*B4))</f>
        <v>1.3440063291020179</v>
      </c>
      <c r="D9" s="217">
        <f>C9*B5*C8</f>
        <v>1.2068556718570278</v>
      </c>
      <c r="E9" s="218">
        <f>D9*(B5)</f>
        <v>0.86284934275500302</v>
      </c>
      <c r="F9" s="218">
        <f>E9*B5</f>
        <v>0.61689977157512188</v>
      </c>
      <c r="G9" s="218"/>
      <c r="H9" s="218"/>
      <c r="I9" s="218"/>
      <c r="J9" s="218"/>
      <c r="K9" s="218"/>
      <c r="L9" s="218"/>
      <c r="M9" s="219"/>
      <c r="N9">
        <f>B9+F9</f>
        <v>0.99999999999998057</v>
      </c>
      <c r="O9" s="116">
        <f>B9/(B9+F9)</f>
        <v>0.38310022842486613</v>
      </c>
      <c r="P9" s="112">
        <f>B9-F9</f>
        <v>-0.23379954315026319</v>
      </c>
      <c r="Q9" s="112">
        <f>($G$2*SUM(C9:E9))*B9</f>
        <v>51.737302734961752</v>
      </c>
      <c r="R9" s="9">
        <f>($I$2*SUM(C9:E9))*F9*COUNT(D9:M9)</f>
        <v>1391.1781797533945</v>
      </c>
      <c r="S9" s="9">
        <f t="shared" si="3"/>
        <v>-1339.4408770184327</v>
      </c>
      <c r="T9" s="112">
        <f>(S9+U9*F9)/B9</f>
        <v>-3491.4888545049839</v>
      </c>
      <c r="U9" s="9">
        <f t="shared" si="2"/>
        <v>3</v>
      </c>
    </row>
    <row r="10" spans="1:21" x14ac:dyDescent="0.2">
      <c r="A10" s="209">
        <v>4</v>
      </c>
      <c r="B10" s="116">
        <f>C10*B4</f>
        <v>0.39256779277764664</v>
      </c>
      <c r="C10" s="116">
        <f>1/(1-B5*B4/(1-B5*B4/(1-B5*B4)))</f>
        <v>1.3772207870094044</v>
      </c>
      <c r="D10" s="194">
        <f>C10*B5*C9</f>
        <v>1.3233798562167245</v>
      </c>
      <c r="E10" s="1">
        <f>D10*B5*C8</f>
        <v>1.1883340508995925</v>
      </c>
      <c r="F10" s="1">
        <f>E10*B5</f>
        <v>0.84960718891461118</v>
      </c>
      <c r="G10" s="1">
        <f>F10*B5</f>
        <v>0.60743220722232638</v>
      </c>
      <c r="H10" s="1"/>
      <c r="I10" s="1"/>
      <c r="J10" s="1"/>
      <c r="K10" s="1"/>
      <c r="L10" s="1"/>
      <c r="M10" s="9"/>
      <c r="N10">
        <f>B10+G10</f>
        <v>0.99999999999997302</v>
      </c>
      <c r="O10" s="116">
        <f>B10/(B10+G10)</f>
        <v>0.39256779277765724</v>
      </c>
      <c r="P10" s="112">
        <f>B10-G10</f>
        <v>-0.21486441444467974</v>
      </c>
      <c r="Q10" s="112">
        <f>($G$2*SUM(C10:F10))*B10</f>
        <v>73.590875053153056</v>
      </c>
      <c r="R10" s="9">
        <f>($I$2*SUM(C10:F10))*G10*COUNT(D10:M10)</f>
        <v>2535.2607219239126</v>
      </c>
      <c r="S10" s="9">
        <f t="shared" si="3"/>
        <v>-2461.6698468707596</v>
      </c>
      <c r="T10" s="112">
        <f>(S10+U10*G10)/B10</f>
        <v>-6264.4979116633804</v>
      </c>
      <c r="U10" s="9">
        <f t="shared" si="2"/>
        <v>4</v>
      </c>
    </row>
    <row r="11" spans="1:21" x14ac:dyDescent="0.2">
      <c r="A11" s="209">
        <v>5</v>
      </c>
      <c r="B11" s="116">
        <f>C11*B4</f>
        <v>0.39626185099503636</v>
      </c>
      <c r="C11" s="116">
        <f>1/(1-B5*B4/(1-B5*B4/(1-B5*B4/(1-B5*B4))))</f>
        <v>1.390180418082078</v>
      </c>
      <c r="D11" s="194">
        <f>C11*B5*C10</f>
        <v>1.3688453111868641</v>
      </c>
      <c r="E11" s="1">
        <f>D11*B5*C9</f>
        <v>1.3153318104027718</v>
      </c>
      <c r="F11" s="1">
        <f>E11*B5*C8</f>
        <v>1.1811072770908535</v>
      </c>
      <c r="G11" s="1">
        <f>F11*B5</f>
        <v>0.84444035979285326</v>
      </c>
      <c r="H11" s="1">
        <f>G11*B5</f>
        <v>0.60373814900492884</v>
      </c>
      <c r="I11" s="1"/>
      <c r="J11" s="1"/>
      <c r="K11" s="1"/>
      <c r="L11" s="1"/>
      <c r="M11" s="9"/>
      <c r="N11">
        <f>B11+H11</f>
        <v>0.99999999999996514</v>
      </c>
      <c r="O11" s="116">
        <f>B11/(B11+H11)</f>
        <v>0.39626185099505018</v>
      </c>
      <c r="P11" s="112">
        <f>B11-H11</f>
        <v>-0.20747629800989248</v>
      </c>
      <c r="Q11" s="112">
        <f>($G$2*SUM(C11:G11))*B11</f>
        <v>95.624664640296672</v>
      </c>
      <c r="R11" s="9">
        <f>($I$2*SUM(C11:G11))*H11*COUNT(D11:M11)</f>
        <v>4054.7287364919921</v>
      </c>
      <c r="S11" s="9">
        <f t="shared" si="3"/>
        <v>-3959.1040718516956</v>
      </c>
      <c r="T11" s="112">
        <f>(S11+U11*H11)/B11</f>
        <v>-9983.5131016844352</v>
      </c>
      <c r="U11" s="9">
        <f t="shared" si="2"/>
        <v>5</v>
      </c>
    </row>
    <row r="12" spans="1:21" x14ac:dyDescent="0.2">
      <c r="A12" s="209">
        <v>6</v>
      </c>
      <c r="B12" s="116">
        <f>C12*B4</f>
        <v>0.39772212478429092</v>
      </c>
      <c r="C12" s="116">
        <f>1/(1-B5*B4/(1-B5*B4/(1-B5*B4/(1-B5*B4/(1-B5*B4)))))</f>
        <v>1.3953034043644128</v>
      </c>
      <c r="D12" s="194">
        <f>C12*B5*C11</f>
        <v>1.386817960317537</v>
      </c>
      <c r="E12" s="1">
        <f>D12*B5*C10</f>
        <v>1.3655344570810311</v>
      </c>
      <c r="F12" s="1">
        <f>E12*B5*C9</f>
        <v>1.3121503904940246</v>
      </c>
      <c r="G12" s="1">
        <f>F12*B5*C8</f>
        <v>1.1782505088016775</v>
      </c>
      <c r="H12" s="1">
        <f>G12*B5</f>
        <v>0.84239789465124615</v>
      </c>
      <c r="I12" s="1">
        <f>H12*B5</f>
        <v>0.60227787521566623</v>
      </c>
      <c r="J12" s="1"/>
      <c r="K12" s="1"/>
      <c r="L12" s="1"/>
      <c r="M12" s="9"/>
      <c r="N12">
        <f>B12+I12</f>
        <v>0.99999999999995715</v>
      </c>
      <c r="O12" s="116">
        <f>B12/(B12+I12)</f>
        <v>0.39772212478430796</v>
      </c>
      <c r="P12" s="112">
        <f>B12-I12</f>
        <v>-0.2045557504313753</v>
      </c>
      <c r="Q12" s="112">
        <f>($G$2*SUM(C12:H12))*B12</f>
        <v>117.69887739994105</v>
      </c>
      <c r="R12" s="9">
        <f>($I$2*SUM(C12:H12))*I12*COUNT(D12:M12)</f>
        <v>5952.4567722006705</v>
      </c>
      <c r="S12" s="9">
        <f t="shared" si="3"/>
        <v>-5834.7578948007294</v>
      </c>
      <c r="T12" s="112">
        <f>(S12+U12*I12)/B12</f>
        <v>-14661.352397008395</v>
      </c>
      <c r="U12" s="9">
        <f t="shared" si="2"/>
        <v>6</v>
      </c>
    </row>
    <row r="13" spans="1:21" x14ac:dyDescent="0.2">
      <c r="A13" s="209">
        <v>7</v>
      </c>
      <c r="B13" s="116">
        <f>C13*B4</f>
        <v>0.39830234846243112</v>
      </c>
      <c r="C13" s="216">
        <f>1/(1-B5*B4/(1-B5*B4/(1-B5*B4/(1-B5*B4/(1-B5*B4/(1-B5*B4))))))</f>
        <v>1.3973389664389164</v>
      </c>
      <c r="D13" s="217">
        <f>C13*B5*C12</f>
        <v>1.3939591941472882</v>
      </c>
      <c r="E13" s="218">
        <f>D13*B5*C11</f>
        <v>1.385481924824669</v>
      </c>
      <c r="F13" s="218">
        <f>E13*B5*C10</f>
        <v>1.3642189257325785</v>
      </c>
      <c r="G13" s="218">
        <f>F13*B5*C9</f>
        <v>1.3108862883956647</v>
      </c>
      <c r="H13" s="218">
        <f>G13*B5*C8</f>
        <v>1.1771154034422917</v>
      </c>
      <c r="I13" s="218">
        <f>H13*B5</f>
        <v>0.84158634366288598</v>
      </c>
      <c r="J13" s="218">
        <f>I13*B5</f>
        <v>0.6016976515375182</v>
      </c>
      <c r="K13" s="218"/>
      <c r="L13" s="218"/>
      <c r="M13" s="219"/>
      <c r="N13">
        <f>B13+J13</f>
        <v>0.99999999999994937</v>
      </c>
      <c r="O13" s="116">
        <f>B13/(B13+J13)</f>
        <v>0.39830234846245127</v>
      </c>
      <c r="P13" s="112">
        <f>B13-J13</f>
        <v>-0.20339530307508707</v>
      </c>
      <c r="Q13" s="112">
        <f>($G$2*SUM(C13:I13))*B13</f>
        <v>139.77509829715081</v>
      </c>
      <c r="R13" s="9">
        <f>($I$2*SUM(C13:I13))*J13*COUNT(D13:M13)</f>
        <v>8227.1386456285964</v>
      </c>
      <c r="S13" s="9">
        <f t="shared" si="3"/>
        <v>-8087.3635473314453</v>
      </c>
      <c r="T13" s="112">
        <f>(S13+U13*J13)/B13</f>
        <v>-20294.009550719747</v>
      </c>
      <c r="U13" s="9">
        <f t="shared" si="2"/>
        <v>7</v>
      </c>
    </row>
    <row r="14" spans="1:21" x14ac:dyDescent="0.2">
      <c r="A14" s="209">
        <v>8</v>
      </c>
      <c r="B14" s="116">
        <f>C14*B4</f>
        <v>0.39853336418585195</v>
      </c>
      <c r="C14" s="116">
        <f>1/(1-B5*B4/(1-B5*B4/(1-B5*B4/(1-B5*B4/(1-B5*B4/(1-B5*B4/(1-B5*B4)))))))</f>
        <v>1.3981494243070212</v>
      </c>
      <c r="D14" s="194">
        <f>C14*B5*C13</f>
        <v>1.3968024722854451</v>
      </c>
      <c r="E14" s="1">
        <f>D14*B5*C12</f>
        <v>1.3934239976231808</v>
      </c>
      <c r="F14" s="1">
        <f>E14*B5*C11</f>
        <v>1.3849499830623182</v>
      </c>
      <c r="G14" s="1">
        <f>F14*B5*C10</f>
        <v>1.3636951476835231</v>
      </c>
      <c r="H14" s="1">
        <f>G14*B5*C9</f>
        <v>1.3103829868729264</v>
      </c>
      <c r="I14" s="1">
        <f>H14*B5*C8</f>
        <v>1.1766634618969147</v>
      </c>
      <c r="J14" s="1">
        <f>I14*B5</f>
        <v>0.84126322510406759</v>
      </c>
      <c r="K14" s="1">
        <f>J14*B5</f>
        <v>0.60146663581408921</v>
      </c>
      <c r="L14" s="1"/>
      <c r="M14" s="9"/>
      <c r="N14">
        <f>B14+K14</f>
        <v>0.99999999999994116</v>
      </c>
      <c r="O14" s="116">
        <f>B14/(B14+K14)</f>
        <v>0.39853336418587537</v>
      </c>
      <c r="P14" s="112">
        <f>B14-K14</f>
        <v>-0.20293327162823727</v>
      </c>
      <c r="Q14" s="112">
        <f>($G$2*SUM(C14:J14))*B14</f>
        <v>161.84608831943217</v>
      </c>
      <c r="R14" s="9">
        <f>($I$2*SUM(C14:J14))*K14*COUNT(D14:M14)</f>
        <v>10876.635409692972</v>
      </c>
      <c r="S14" s="9">
        <f t="shared" si="3"/>
        <v>-10714.789321373539</v>
      </c>
      <c r="T14" s="112">
        <f>(S14+U14*K14)/B14</f>
        <v>-26873.477983872228</v>
      </c>
      <c r="U14" s="9">
        <f t="shared" si="2"/>
        <v>8</v>
      </c>
    </row>
    <row r="15" spans="1:21" x14ac:dyDescent="0.2">
      <c r="A15" s="209">
        <v>9</v>
      </c>
      <c r="B15" s="116">
        <f>C15*B4</f>
        <v>0.39862541756852615</v>
      </c>
      <c r="C15" s="116">
        <f>1/(1-B5*B4/(1-B5*B4/(1-B5*B4/(1-B5*B4/(1-B5*B4/(1-B5*B4/(1-B5*B4/(1-B5*B4))))))))</f>
        <v>1.3984723693740029</v>
      </c>
      <c r="D15" s="194">
        <f>C15*B5*C14</f>
        <v>1.3979354400619461</v>
      </c>
      <c r="E15" s="1">
        <f>D15*B5*C13</f>
        <v>1.3965886941889452</v>
      </c>
      <c r="F15" s="1">
        <f>E15*B5*C12</f>
        <v>1.3932107365961284</v>
      </c>
      <c r="G15" s="1">
        <f>F15*B5*C11</f>
        <v>1.3847380189678946</v>
      </c>
      <c r="H15" s="1">
        <f>G15*B5*C10</f>
        <v>1.3634864366032791</v>
      </c>
      <c r="I15" s="1">
        <f>H15*B5*C9</f>
        <v>1.310182435122641</v>
      </c>
      <c r="J15" s="1">
        <f>I15*B5*C8</f>
        <v>1.1764833756785005</v>
      </c>
      <c r="K15" s="1">
        <f>J15*B5</f>
        <v>0.84113447128633978</v>
      </c>
      <c r="L15" s="1">
        <f>K15*B5</f>
        <v>0.60137458243140707</v>
      </c>
      <c r="M15" s="9"/>
      <c r="N15">
        <f>B15+L15</f>
        <v>0.99999999999993316</v>
      </c>
      <c r="O15" s="116">
        <f>B15/(B15+L15)</f>
        <v>0.3986254175685528</v>
      </c>
      <c r="P15" s="112">
        <f>B15-L15</f>
        <v>-0.20274916486288092</v>
      </c>
      <c r="Q15" s="112">
        <f>($G$2*SUM(C15:K15))*B15</f>
        <v>183.91249677531803</v>
      </c>
      <c r="R15" s="9">
        <f>($I$2*SUM(C15:K15))*L15*COUNT(D15:M15)</f>
        <v>13899.185512369682</v>
      </c>
      <c r="S15" s="9">
        <f t="shared" si="3"/>
        <v>-13715.273015594365</v>
      </c>
      <c r="T15" s="112">
        <f>(S15+U15*L15)/B15</f>
        <v>-34392.841098738201</v>
      </c>
      <c r="U15" s="9">
        <f t="shared" si="2"/>
        <v>9</v>
      </c>
    </row>
    <row r="16" spans="1:21" ht="17" thickBot="1" x14ac:dyDescent="0.25">
      <c r="A16" s="210">
        <v>10</v>
      </c>
      <c r="B16" s="195">
        <f>C16*B4</f>
        <v>0.39866211014771663</v>
      </c>
      <c r="C16" s="195">
        <f>1/(1-B5*B4/(1-B5*B4/(1-B5*B4/(1-B5*B4/(1-B5*B4/(1-B5*B4/(1-B5*B4/(1-B5*B4/(1-B5*B4)))))))))</f>
        <v>1.3986010956315305</v>
      </c>
      <c r="D16" s="213">
        <f>C16*B5*C15</f>
        <v>1.3983870422589746</v>
      </c>
      <c r="E16" s="131">
        <f>D16*B5*C14</f>
        <v>1.3978501457074</v>
      </c>
      <c r="F16" s="131">
        <f>E16*B5*C13</f>
        <v>1.3965034820054469</v>
      </c>
      <c r="G16" s="131">
        <f>F16*B5*C12</f>
        <v>1.3931257305170783</v>
      </c>
      <c r="H16" s="131">
        <f>G16*B5*C11</f>
        <v>1.3846535298476115</v>
      </c>
      <c r="I16" s="131">
        <f>H16*B5*C10</f>
        <v>1.3634032441380124</v>
      </c>
      <c r="J16" s="131">
        <f>I16*B5*C9</f>
        <v>1.310102494975236</v>
      </c>
      <c r="K16" s="131">
        <f>J16*B5*C8</f>
        <v>1.1764115931145229</v>
      </c>
      <c r="L16" s="131">
        <f>K16*B5</f>
        <v>0.84108314987352006</v>
      </c>
      <c r="M16" s="10">
        <f>L16*B5</f>
        <v>0.6013378898522086</v>
      </c>
      <c r="N16">
        <f>B16+M16</f>
        <v>0.99999999999992517</v>
      </c>
      <c r="O16" s="195">
        <f>B16/(B16+M16)</f>
        <v>0.39866211014774644</v>
      </c>
      <c r="P16" s="113">
        <f>B16-M16</f>
        <v>-0.20267577970449197</v>
      </c>
      <c r="Q16" s="113">
        <f>($G$2*SUM(C16:L16))*B16</f>
        <v>205.97606449808583</v>
      </c>
      <c r="R16" s="10">
        <f>($I$2*SUM(C16:L16))*M16*COUNT(D16:M16)</f>
        <v>17293.618916918927</v>
      </c>
      <c r="S16" s="10">
        <f t="shared" si="3"/>
        <v>-17087.642852420842</v>
      </c>
      <c r="T16" s="113">
        <f>(S16+U16*M16)/B16</f>
        <v>-42847.386392434055</v>
      </c>
      <c r="U16" s="10">
        <f t="shared" si="2"/>
        <v>10</v>
      </c>
    </row>
    <row r="17" spans="1:8" ht="17" thickBot="1" x14ac:dyDescent="0.25"/>
    <row r="18" spans="1:8" ht="17" thickBot="1" x14ac:dyDescent="0.25">
      <c r="A18" s="138" t="s">
        <v>140</v>
      </c>
      <c r="B18" s="139" t="s">
        <v>145</v>
      </c>
      <c r="C18" s="139" t="s">
        <v>144</v>
      </c>
      <c r="D18" s="241" t="s">
        <v>143</v>
      </c>
      <c r="E18" s="254" t="s">
        <v>157</v>
      </c>
      <c r="F18" s="236" t="s">
        <v>156</v>
      </c>
      <c r="G18" s="255" t="s">
        <v>158</v>
      </c>
      <c r="H18" s="256" t="s">
        <v>159</v>
      </c>
    </row>
    <row r="19" spans="1:8" x14ac:dyDescent="0.2">
      <c r="A19" s="264">
        <v>1</v>
      </c>
      <c r="B19" s="146">
        <v>1</v>
      </c>
      <c r="C19" s="150">
        <f>B19*$M$3</f>
        <v>6</v>
      </c>
      <c r="D19" s="151">
        <f>SUM($C$19:C19)</f>
        <v>6</v>
      </c>
      <c r="E19" s="9">
        <f>B19/P7</f>
        <v>-2.3260516959840998</v>
      </c>
      <c r="F19" s="9">
        <f>D19/P7</f>
        <v>-13.9563101759046</v>
      </c>
      <c r="G19" s="28">
        <f>S7/E19</f>
        <v>62.835190595769191</v>
      </c>
      <c r="H19" s="8">
        <f>S7/F19</f>
        <v>10.472531765961532</v>
      </c>
    </row>
    <row r="20" spans="1:8" x14ac:dyDescent="0.2">
      <c r="A20" s="265">
        <v>2</v>
      </c>
      <c r="B20" s="141">
        <f>B19*($M$3+1)</f>
        <v>7</v>
      </c>
      <c r="C20" s="140">
        <f>B20*$M$3</f>
        <v>42</v>
      </c>
      <c r="D20" s="142">
        <f>SUM($C$19:C20)</f>
        <v>48</v>
      </c>
      <c r="E20" s="9">
        <f t="shared" ref="E20:E28" si="4">B20/P8</f>
        <v>-24.648238681671504</v>
      </c>
      <c r="F20" s="9">
        <f t="shared" ref="F20:F28" si="5">D20/P8</f>
        <v>-169.01649381717601</v>
      </c>
      <c r="G20" s="112">
        <f t="shared" ref="G20:G28" si="6">S8/E20</f>
        <v>23.469671816164958</v>
      </c>
      <c r="H20" s="9">
        <f t="shared" ref="H20:H28" si="7">S8/F20</f>
        <v>3.4226604731907235</v>
      </c>
    </row>
    <row r="21" spans="1:8" x14ac:dyDescent="0.2">
      <c r="A21" s="265">
        <v>3</v>
      </c>
      <c r="B21" s="141">
        <f t="shared" ref="B21:B28" si="8">B20*($M$3+1)</f>
        <v>49</v>
      </c>
      <c r="C21" s="140">
        <f t="shared" ref="C21:C28" si="9">B21*$M$3</f>
        <v>294</v>
      </c>
      <c r="D21" s="142">
        <f>SUM($C$19:C21)</f>
        <v>342</v>
      </c>
      <c r="E21" s="9">
        <f t="shared" si="4"/>
        <v>-209.58124784917845</v>
      </c>
      <c r="F21" s="9">
        <f t="shared" si="5"/>
        <v>-1462.7915666207964</v>
      </c>
      <c r="G21" s="112">
        <f t="shared" si="6"/>
        <v>6.3910339821162738</v>
      </c>
      <c r="H21" s="9">
        <f t="shared" si="7"/>
        <v>0.915674459426016</v>
      </c>
    </row>
    <row r="22" spans="1:8" x14ac:dyDescent="0.2">
      <c r="A22" s="265">
        <v>4</v>
      </c>
      <c r="B22" s="141">
        <f t="shared" si="8"/>
        <v>343</v>
      </c>
      <c r="C22" s="140">
        <f t="shared" si="9"/>
        <v>2058</v>
      </c>
      <c r="D22" s="142">
        <f>SUM($C$19:C22)</f>
        <v>2400</v>
      </c>
      <c r="E22" s="9">
        <f t="shared" si="4"/>
        <v>-1596.3555476903357</v>
      </c>
      <c r="F22" s="9">
        <f t="shared" si="5"/>
        <v>-11169.834736025672</v>
      </c>
      <c r="G22" s="112">
        <f t="shared" si="6"/>
        <v>1.5420561230437615</v>
      </c>
      <c r="H22" s="9">
        <f t="shared" si="7"/>
        <v>0.22038552091833757</v>
      </c>
    </row>
    <row r="23" spans="1:8" x14ac:dyDescent="0.2">
      <c r="A23" s="265">
        <v>5</v>
      </c>
      <c r="B23" s="141">
        <f t="shared" si="8"/>
        <v>2401</v>
      </c>
      <c r="C23" s="140">
        <f t="shared" si="9"/>
        <v>14406</v>
      </c>
      <c r="D23" s="142">
        <f>SUM($C$19:C23)</f>
        <v>16806</v>
      </c>
      <c r="E23" s="9">
        <f t="shared" si="4"/>
        <v>-11572.406212325614</v>
      </c>
      <c r="F23" s="9">
        <f t="shared" si="5"/>
        <v>-81002.023658619015</v>
      </c>
      <c r="G23" s="112">
        <f t="shared" si="6"/>
        <v>0.34211589182160812</v>
      </c>
      <c r="H23" s="9">
        <f t="shared" si="7"/>
        <v>4.8876606941787526E-2</v>
      </c>
    </row>
    <row r="24" spans="1:8" x14ac:dyDescent="0.2">
      <c r="A24" s="265">
        <v>6</v>
      </c>
      <c r="B24" s="141">
        <f t="shared" si="8"/>
        <v>16807</v>
      </c>
      <c r="C24" s="140">
        <f t="shared" si="9"/>
        <v>100842</v>
      </c>
      <c r="D24" s="142">
        <f>SUM($C$19:C24)</f>
        <v>117648</v>
      </c>
      <c r="E24" s="9">
        <f t="shared" si="4"/>
        <v>-82163.419823479562</v>
      </c>
      <c r="F24" s="9">
        <f t="shared" si="5"/>
        <v>-575139.05012154009</v>
      </c>
      <c r="G24" s="112">
        <f t="shared" si="6"/>
        <v>7.1014058413539291E-2</v>
      </c>
      <c r="H24" s="9">
        <f t="shared" si="7"/>
        <v>1.0144951718315268E-2</v>
      </c>
    </row>
    <row r="25" spans="1:8" x14ac:dyDescent="0.2">
      <c r="A25" s="265">
        <v>7</v>
      </c>
      <c r="B25" s="141">
        <f t="shared" si="8"/>
        <v>117649</v>
      </c>
      <c r="C25" s="140">
        <f t="shared" si="9"/>
        <v>705894</v>
      </c>
      <c r="D25" s="142">
        <f>SUM($C$19:C25)</f>
        <v>823542</v>
      </c>
      <c r="E25" s="9">
        <f t="shared" si="4"/>
        <v>-578425.35309956362</v>
      </c>
      <c r="F25" s="9">
        <f t="shared" si="5"/>
        <v>-4048972.5551625667</v>
      </c>
      <c r="G25" s="112">
        <f t="shared" si="6"/>
        <v>1.3981689260324275E-2</v>
      </c>
      <c r="H25" s="9">
        <f t="shared" si="7"/>
        <v>1.9973866054043277E-3</v>
      </c>
    </row>
    <row r="26" spans="1:8" x14ac:dyDescent="0.2">
      <c r="A26" s="265">
        <v>8</v>
      </c>
      <c r="B26" s="141">
        <f t="shared" si="8"/>
        <v>823543</v>
      </c>
      <c r="C26" s="140">
        <f t="shared" si="9"/>
        <v>4941258</v>
      </c>
      <c r="D26" s="142">
        <f>SUM($C$19:C26)</f>
        <v>5764800</v>
      </c>
      <c r="E26" s="9">
        <f t="shared" si="4"/>
        <v>-4058196.0434200559</v>
      </c>
      <c r="F26" s="9">
        <f t="shared" si="5"/>
        <v>-28407367.376212221</v>
      </c>
      <c r="G26" s="112">
        <f t="shared" si="6"/>
        <v>2.6402838124950762E-3</v>
      </c>
      <c r="H26" s="9">
        <f t="shared" si="7"/>
        <v>3.771834672137164E-4</v>
      </c>
    </row>
    <row r="27" spans="1:8" x14ac:dyDescent="0.2">
      <c r="A27" s="265">
        <v>9</v>
      </c>
      <c r="B27" s="141">
        <f t="shared" si="8"/>
        <v>5764801</v>
      </c>
      <c r="C27" s="140">
        <f t="shared" si="9"/>
        <v>34588806</v>
      </c>
      <c r="D27" s="142">
        <f>SUM($C$19:C27)</f>
        <v>40353606</v>
      </c>
      <c r="E27" s="9">
        <f t="shared" si="4"/>
        <v>-28433167.67247219</v>
      </c>
      <c r="F27" s="9">
        <f t="shared" si="5"/>
        <v>-199032168.77510253</v>
      </c>
      <c r="G27" s="112">
        <f t="shared" si="6"/>
        <v>4.8236880159057766E-4</v>
      </c>
      <c r="H27" s="9">
        <f t="shared" si="7"/>
        <v>6.8909830506303784E-5</v>
      </c>
    </row>
    <row r="28" spans="1:8" ht="17" thickBot="1" x14ac:dyDescent="0.25">
      <c r="A28" s="266">
        <v>10</v>
      </c>
      <c r="B28" s="143">
        <f t="shared" si="8"/>
        <v>40353607</v>
      </c>
      <c r="C28" s="144">
        <f t="shared" si="9"/>
        <v>242121642</v>
      </c>
      <c r="D28" s="145">
        <f>SUM($C$19:C28)</f>
        <v>282475248</v>
      </c>
      <c r="E28" s="9">
        <f t="shared" si="4"/>
        <v>-199104239.58322451</v>
      </c>
      <c r="F28" s="9">
        <f t="shared" si="5"/>
        <v>-1393729672.1485829</v>
      </c>
      <c r="G28" s="113">
        <f t="shared" si="6"/>
        <v>8.5822596686989673E-5</v>
      </c>
      <c r="H28" s="10">
        <f t="shared" si="7"/>
        <v>1.2260370998687585E-5</v>
      </c>
    </row>
    <row r="29" spans="1:8" ht="17" thickBot="1" x14ac:dyDescent="0.25"/>
    <row r="30" spans="1:8" ht="17" thickBot="1" x14ac:dyDescent="0.25">
      <c r="A30" s="29" t="s">
        <v>140</v>
      </c>
      <c r="B30" s="19" t="s">
        <v>145</v>
      </c>
      <c r="C30" s="19" t="s">
        <v>144</v>
      </c>
      <c r="D30" s="19" t="s">
        <v>143</v>
      </c>
      <c r="E30" s="254" t="s">
        <v>157</v>
      </c>
      <c r="F30" s="236" t="s">
        <v>156</v>
      </c>
      <c r="G30" s="257" t="s">
        <v>158</v>
      </c>
      <c r="H30" s="258" t="s">
        <v>159</v>
      </c>
    </row>
    <row r="31" spans="1:8" x14ac:dyDescent="0.2">
      <c r="A31" s="264">
        <v>1</v>
      </c>
      <c r="B31" s="146">
        <v>1</v>
      </c>
      <c r="C31" s="150">
        <f>B31*$M$3</f>
        <v>6</v>
      </c>
      <c r="D31" s="151">
        <f>SUM($C$31:C31)</f>
        <v>6</v>
      </c>
      <c r="E31" s="129">
        <f>B31/P7</f>
        <v>-2.3260516959840998</v>
      </c>
      <c r="F31" s="58">
        <f>D31/P7</f>
        <v>-13.9563101759046</v>
      </c>
      <c r="G31" s="28">
        <f>S7/E31</f>
        <v>62.835190595769191</v>
      </c>
      <c r="H31" s="8">
        <f>S7/F31</f>
        <v>10.472531765961532</v>
      </c>
    </row>
    <row r="32" spans="1:8" x14ac:dyDescent="0.2">
      <c r="A32" s="265">
        <v>2</v>
      </c>
      <c r="B32" s="141">
        <f>C31</f>
        <v>6</v>
      </c>
      <c r="C32" s="140">
        <f>B32*$M$3</f>
        <v>36</v>
      </c>
      <c r="D32" s="142">
        <f>SUM($C$31:C32)</f>
        <v>42</v>
      </c>
      <c r="E32" s="112">
        <f t="shared" ref="E32:E40" si="10">B32/P8</f>
        <v>-21.127061727147002</v>
      </c>
      <c r="F32" s="9">
        <f t="shared" ref="F32:F40" si="11">D32/P8</f>
        <v>-147.889432090029</v>
      </c>
      <c r="G32" s="112">
        <f t="shared" ref="G32:G40" si="12">S8/E32</f>
        <v>27.381283785525788</v>
      </c>
      <c r="H32" s="9">
        <f t="shared" ref="H32:H40" si="13">S8/F32</f>
        <v>3.9116119693608269</v>
      </c>
    </row>
    <row r="33" spans="1:8" x14ac:dyDescent="0.2">
      <c r="A33" s="265">
        <v>3</v>
      </c>
      <c r="B33" s="141">
        <f t="shared" ref="B33:B40" si="14">C32</f>
        <v>36</v>
      </c>
      <c r="C33" s="140">
        <f t="shared" ref="C33:C40" si="15">B33*$M$3</f>
        <v>216</v>
      </c>
      <c r="D33" s="142">
        <f>SUM($C$31:C33)</f>
        <v>258</v>
      </c>
      <c r="E33" s="112">
        <f t="shared" si="10"/>
        <v>-153.97805964429438</v>
      </c>
      <c r="F33" s="9">
        <f t="shared" si="11"/>
        <v>-1103.5094274507762</v>
      </c>
      <c r="G33" s="112">
        <f t="shared" si="12"/>
        <v>8.69890736454715</v>
      </c>
      <c r="H33" s="9">
        <f t="shared" si="13"/>
        <v>1.2138010276112305</v>
      </c>
    </row>
    <row r="34" spans="1:8" x14ac:dyDescent="0.2">
      <c r="A34" s="265">
        <v>4</v>
      </c>
      <c r="B34" s="141">
        <f t="shared" si="14"/>
        <v>216</v>
      </c>
      <c r="C34" s="140">
        <f t="shared" si="15"/>
        <v>1296</v>
      </c>
      <c r="D34" s="142">
        <f>SUM($C$31:C34)</f>
        <v>1554</v>
      </c>
      <c r="E34" s="112">
        <f t="shared" si="10"/>
        <v>-1005.2851262423105</v>
      </c>
      <c r="F34" s="9">
        <f t="shared" si="11"/>
        <v>-7232.4679915766228</v>
      </c>
      <c r="G34" s="112">
        <f t="shared" si="12"/>
        <v>2.4487280102037507</v>
      </c>
      <c r="H34" s="9">
        <f t="shared" si="13"/>
        <v>0.34036373887001942</v>
      </c>
    </row>
    <row r="35" spans="1:8" x14ac:dyDescent="0.2">
      <c r="A35" s="265">
        <v>5</v>
      </c>
      <c r="B35" s="141">
        <f t="shared" si="14"/>
        <v>1296</v>
      </c>
      <c r="C35" s="140">
        <f t="shared" si="15"/>
        <v>7776</v>
      </c>
      <c r="D35" s="142">
        <f>SUM($C$31:C35)</f>
        <v>9330</v>
      </c>
      <c r="E35" s="112">
        <f t="shared" si="10"/>
        <v>-6246.4966477192811</v>
      </c>
      <c r="F35" s="9">
        <f t="shared" si="11"/>
        <v>-44968.992070386492</v>
      </c>
      <c r="G35" s="112">
        <f t="shared" si="12"/>
        <v>0.63381192612938364</v>
      </c>
      <c r="H35" s="9">
        <f t="shared" si="13"/>
        <v>8.8040756298358114E-2</v>
      </c>
    </row>
    <row r="36" spans="1:8" x14ac:dyDescent="0.2">
      <c r="A36" s="265">
        <v>6</v>
      </c>
      <c r="B36" s="141">
        <f t="shared" si="14"/>
        <v>7776</v>
      </c>
      <c r="C36" s="140">
        <f t="shared" si="15"/>
        <v>46656</v>
      </c>
      <c r="D36" s="142">
        <f>SUM($C$31:C36)</f>
        <v>55986</v>
      </c>
      <c r="E36" s="112">
        <f t="shared" si="10"/>
        <v>-38014.086544140955</v>
      </c>
      <c r="F36" s="9">
        <f t="shared" si="11"/>
        <v>-273695.55674643465</v>
      </c>
      <c r="G36" s="112">
        <f t="shared" si="12"/>
        <v>0.15348936210858474</v>
      </c>
      <c r="H36" s="9">
        <f t="shared" si="13"/>
        <v>2.1318423887335309E-2</v>
      </c>
    </row>
    <row r="37" spans="1:8" x14ac:dyDescent="0.2">
      <c r="A37" s="265">
        <v>7</v>
      </c>
      <c r="B37" s="141">
        <f t="shared" si="14"/>
        <v>46656</v>
      </c>
      <c r="C37" s="140">
        <f t="shared" si="15"/>
        <v>279936</v>
      </c>
      <c r="D37" s="142">
        <f>SUM($C$31:C37)</f>
        <v>335922</v>
      </c>
      <c r="E37" s="112">
        <f t="shared" si="10"/>
        <v>-229385.82796465114</v>
      </c>
      <c r="F37" s="9">
        <f t="shared" si="11"/>
        <v>-1651572.0615042339</v>
      </c>
      <c r="G37" s="112">
        <f t="shared" si="12"/>
        <v>3.5256596360337157E-2</v>
      </c>
      <c r="H37" s="9">
        <f t="shared" si="13"/>
        <v>4.8967669869430719E-3</v>
      </c>
    </row>
    <row r="38" spans="1:8" x14ac:dyDescent="0.2">
      <c r="A38" s="265">
        <v>8</v>
      </c>
      <c r="B38" s="141">
        <f t="shared" si="14"/>
        <v>279936</v>
      </c>
      <c r="C38" s="140">
        <f t="shared" si="15"/>
        <v>1679616</v>
      </c>
      <c r="D38" s="142">
        <f>SUM($C$31:C38)</f>
        <v>2015538</v>
      </c>
      <c r="E38" s="112">
        <f t="shared" si="10"/>
        <v>-1379448.5140555343</v>
      </c>
      <c r="F38" s="9">
        <f t="shared" si="11"/>
        <v>-9932023.3879260384</v>
      </c>
      <c r="G38" s="112">
        <f t="shared" si="12"/>
        <v>7.7674441722166221E-3</v>
      </c>
      <c r="H38" s="9">
        <f t="shared" si="13"/>
        <v>1.0788123328826509E-3</v>
      </c>
    </row>
    <row r="39" spans="1:8" x14ac:dyDescent="0.2">
      <c r="A39" s="265">
        <v>9</v>
      </c>
      <c r="B39" s="141">
        <f t="shared" si="14"/>
        <v>1679616</v>
      </c>
      <c r="C39" s="140">
        <f t="shared" si="15"/>
        <v>10077696</v>
      </c>
      <c r="D39" s="142">
        <f>SUM($C$31:C39)</f>
        <v>12093234</v>
      </c>
      <c r="E39" s="112">
        <f t="shared" si="10"/>
        <v>-8284206.7494380204</v>
      </c>
      <c r="F39" s="9">
        <f t="shared" si="11"/>
        <v>-59646282.677310377</v>
      </c>
      <c r="G39" s="112">
        <f t="shared" si="12"/>
        <v>1.6555927960784868E-3</v>
      </c>
      <c r="H39" s="9">
        <f t="shared" si="13"/>
        <v>2.2994346671685703E-4</v>
      </c>
    </row>
    <row r="40" spans="1:8" ht="17" thickBot="1" x14ac:dyDescent="0.25">
      <c r="A40" s="266">
        <v>10</v>
      </c>
      <c r="B40" s="143">
        <f t="shared" si="14"/>
        <v>10077696</v>
      </c>
      <c r="C40" s="144">
        <f t="shared" si="15"/>
        <v>60466176</v>
      </c>
      <c r="D40" s="145">
        <f>SUM($C$31:C40)</f>
        <v>72559410</v>
      </c>
      <c r="E40" s="113">
        <f t="shared" si="10"/>
        <v>-49723237.846641645</v>
      </c>
      <c r="F40" s="10">
        <f t="shared" si="11"/>
        <v>-358007306.57503349</v>
      </c>
      <c r="G40" s="113">
        <f t="shared" si="12"/>
        <v>3.4365507139987983E-4</v>
      </c>
      <c r="H40" s="10">
        <f t="shared" si="13"/>
        <v>4.77298718171259E-5</v>
      </c>
    </row>
    <row r="41" spans="1:8" ht="17" thickBot="1" x14ac:dyDescent="0.25"/>
    <row r="42" spans="1:8" ht="17" thickBot="1" x14ac:dyDescent="0.25">
      <c r="A42" s="138" t="s">
        <v>140</v>
      </c>
      <c r="B42" s="139" t="s">
        <v>145</v>
      </c>
      <c r="C42" s="139" t="s">
        <v>144</v>
      </c>
      <c r="D42" s="241" t="s">
        <v>143</v>
      </c>
      <c r="E42" s="235" t="s">
        <v>157</v>
      </c>
      <c r="F42" s="236" t="s">
        <v>156</v>
      </c>
      <c r="G42" s="259" t="s">
        <v>158</v>
      </c>
      <c r="H42" s="256" t="s">
        <v>159</v>
      </c>
    </row>
    <row r="43" spans="1:8" x14ac:dyDescent="0.2">
      <c r="A43" s="264">
        <v>1</v>
      </c>
      <c r="B43" s="146">
        <v>1</v>
      </c>
      <c r="C43" s="150">
        <f>B43*$M$3</f>
        <v>6</v>
      </c>
      <c r="D43" s="151">
        <f>SUM(C43:C43)</f>
        <v>6</v>
      </c>
      <c r="E43" s="129">
        <f>B43/P7</f>
        <v>-2.3260516959840998</v>
      </c>
      <c r="F43" s="58">
        <f>D43/P7</f>
        <v>-13.9563101759046</v>
      </c>
      <c r="G43" s="28">
        <f>S7/E43</f>
        <v>62.835190595769191</v>
      </c>
      <c r="H43" s="8">
        <f>S7/F43</f>
        <v>10.472531765961532</v>
      </c>
    </row>
    <row r="44" spans="1:8" x14ac:dyDescent="0.2">
      <c r="A44" s="265">
        <v>2</v>
      </c>
      <c r="B44" s="141">
        <f>B43*$M$3*2</f>
        <v>12</v>
      </c>
      <c r="C44" s="140">
        <f>B44*$M$3</f>
        <v>72</v>
      </c>
      <c r="D44" s="142">
        <f>SUM($C$43:C44)</f>
        <v>78</v>
      </c>
      <c r="E44" s="112">
        <f t="shared" ref="E44:E52" si="16">B44/P8</f>
        <v>-42.254123454294003</v>
      </c>
      <c r="F44" s="9">
        <f t="shared" ref="F44:F52" si="17">D44/P8</f>
        <v>-274.65180245291106</v>
      </c>
      <c r="G44" s="112">
        <f t="shared" ref="G44:G52" si="18">S8/E44</f>
        <v>13.690641892762894</v>
      </c>
      <c r="H44" s="9">
        <f t="shared" ref="H44:H52" si="19">S8/F44</f>
        <v>2.1062525988865985</v>
      </c>
    </row>
    <row r="45" spans="1:8" x14ac:dyDescent="0.2">
      <c r="A45" s="265">
        <v>3</v>
      </c>
      <c r="B45" s="141">
        <f t="shared" ref="B45:B52" si="20">B44*$M$3*2</f>
        <v>144</v>
      </c>
      <c r="C45" s="140">
        <f t="shared" ref="C45:C52" si="21">B45*$M$3</f>
        <v>864</v>
      </c>
      <c r="D45" s="142">
        <f>SUM($C$43:C45)</f>
        <v>942</v>
      </c>
      <c r="E45" s="112">
        <f t="shared" si="16"/>
        <v>-615.9122385771775</v>
      </c>
      <c r="F45" s="9">
        <f t="shared" si="17"/>
        <v>-4029.0925606923693</v>
      </c>
      <c r="G45" s="112">
        <f t="shared" si="18"/>
        <v>2.1747268411367875</v>
      </c>
      <c r="H45" s="9">
        <f t="shared" si="19"/>
        <v>0.33244231966422233</v>
      </c>
    </row>
    <row r="46" spans="1:8" x14ac:dyDescent="0.2">
      <c r="A46" s="265">
        <v>4</v>
      </c>
      <c r="B46" s="141">
        <f t="shared" si="20"/>
        <v>1728</v>
      </c>
      <c r="C46" s="140">
        <f t="shared" si="21"/>
        <v>10368</v>
      </c>
      <c r="D46" s="142">
        <f>SUM($C$43:C46)</f>
        <v>11310</v>
      </c>
      <c r="E46" s="112">
        <f t="shared" si="16"/>
        <v>-8042.2810099384842</v>
      </c>
      <c r="F46" s="9">
        <f t="shared" si="17"/>
        <v>-52637.846193520978</v>
      </c>
      <c r="G46" s="112">
        <f t="shared" si="18"/>
        <v>0.30609100127546884</v>
      </c>
      <c r="H46" s="9">
        <f t="shared" si="19"/>
        <v>4.6766158285058375E-2</v>
      </c>
    </row>
    <row r="47" spans="1:8" x14ac:dyDescent="0.2">
      <c r="A47" s="265">
        <v>5</v>
      </c>
      <c r="B47" s="141">
        <f t="shared" si="20"/>
        <v>20736</v>
      </c>
      <c r="C47" s="140">
        <f t="shared" si="21"/>
        <v>124416</v>
      </c>
      <c r="D47" s="142">
        <f>SUM($C$43:C47)</f>
        <v>135726</v>
      </c>
      <c r="E47" s="112">
        <f t="shared" si="16"/>
        <v>-99943.946363508498</v>
      </c>
      <c r="F47" s="9">
        <f t="shared" si="17"/>
        <v>-654175.92901878641</v>
      </c>
      <c r="G47" s="112">
        <f t="shared" si="18"/>
        <v>3.9613245383086478E-2</v>
      </c>
      <c r="H47" s="9">
        <f t="shared" si="19"/>
        <v>6.0520479220170136E-3</v>
      </c>
    </row>
    <row r="48" spans="1:8" x14ac:dyDescent="0.2">
      <c r="A48" s="265">
        <v>6</v>
      </c>
      <c r="B48" s="141">
        <f t="shared" si="20"/>
        <v>248832</v>
      </c>
      <c r="C48" s="140">
        <f t="shared" si="21"/>
        <v>1492992</v>
      </c>
      <c r="D48" s="142">
        <f>SUM($C$43:C48)</f>
        <v>1628718</v>
      </c>
      <c r="E48" s="112">
        <f t="shared" si="16"/>
        <v>-1216450.7694125106</v>
      </c>
      <c r="F48" s="9">
        <f t="shared" si="17"/>
        <v>-7962220.5514403516</v>
      </c>
      <c r="G48" s="112">
        <f t="shared" si="18"/>
        <v>4.7965425658932732E-3</v>
      </c>
      <c r="H48" s="9">
        <f t="shared" si="19"/>
        <v>7.328053596487266E-4</v>
      </c>
    </row>
    <row r="49" spans="1:8" x14ac:dyDescent="0.2">
      <c r="A49" s="265">
        <v>7</v>
      </c>
      <c r="B49" s="141">
        <f t="shared" si="20"/>
        <v>2985984</v>
      </c>
      <c r="C49" s="140">
        <f t="shared" si="21"/>
        <v>17915904</v>
      </c>
      <c r="D49" s="142">
        <f>SUM($C$43:C49)</f>
        <v>19544622</v>
      </c>
      <c r="E49" s="112">
        <f t="shared" si="16"/>
        <v>-14680692.989737673</v>
      </c>
      <c r="F49" s="9">
        <f t="shared" si="17"/>
        <v>-96091805.978355095</v>
      </c>
      <c r="G49" s="112">
        <f t="shared" si="18"/>
        <v>5.5088431813026808E-4</v>
      </c>
      <c r="H49" s="9">
        <f t="shared" si="19"/>
        <v>8.4162884285400396E-5</v>
      </c>
    </row>
    <row r="50" spans="1:8" x14ac:dyDescent="0.2">
      <c r="A50" s="265">
        <v>8</v>
      </c>
      <c r="B50" s="141">
        <f t="shared" si="20"/>
        <v>35831808</v>
      </c>
      <c r="C50" s="140">
        <f t="shared" si="21"/>
        <v>214990848</v>
      </c>
      <c r="D50" s="142">
        <f>SUM($C$43:C50)</f>
        <v>234535470</v>
      </c>
      <c r="E50" s="112">
        <f t="shared" si="16"/>
        <v>-176569409.79910839</v>
      </c>
      <c r="F50" s="9">
        <f t="shared" si="17"/>
        <v>-1155727043.2699485</v>
      </c>
      <c r="G50" s="112">
        <f t="shared" si="18"/>
        <v>6.068315759544236E-5</v>
      </c>
      <c r="H50" s="9">
        <f t="shared" si="19"/>
        <v>9.271037987531833E-6</v>
      </c>
    </row>
    <row r="51" spans="1:8" x14ac:dyDescent="0.2">
      <c r="A51" s="265">
        <v>9</v>
      </c>
      <c r="B51" s="141">
        <f t="shared" si="20"/>
        <v>429981696</v>
      </c>
      <c r="C51" s="140">
        <f t="shared" si="21"/>
        <v>2579890176</v>
      </c>
      <c r="D51" s="142">
        <f>SUM($C$43:C51)</f>
        <v>2814425646</v>
      </c>
      <c r="E51" s="112">
        <f t="shared" si="16"/>
        <v>-2120756927.8561332</v>
      </c>
      <c r="F51" s="9">
        <f t="shared" si="17"/>
        <v>-13881318070.549852</v>
      </c>
      <c r="G51" s="112">
        <f t="shared" si="18"/>
        <v>6.4671593596815889E-6</v>
      </c>
      <c r="H51" s="9">
        <f t="shared" si="19"/>
        <v>9.8803823569839794E-7</v>
      </c>
    </row>
    <row r="52" spans="1:8" ht="17" thickBot="1" x14ac:dyDescent="0.25">
      <c r="A52" s="266">
        <v>10</v>
      </c>
      <c r="B52" s="143">
        <f t="shared" si="20"/>
        <v>5159780352</v>
      </c>
      <c r="C52" s="144">
        <f t="shared" si="21"/>
        <v>30958682112</v>
      </c>
      <c r="D52" s="145">
        <f>SUM($C$43:C52)</f>
        <v>33773107758</v>
      </c>
      <c r="E52" s="113">
        <f t="shared" si="16"/>
        <v>-25458297777.480522</v>
      </c>
      <c r="F52" s="10">
        <f t="shared" si="17"/>
        <v>-166636130904.45398</v>
      </c>
      <c r="G52" s="113">
        <f t="shared" si="18"/>
        <v>6.7120131132789028E-7</v>
      </c>
      <c r="H52" s="10">
        <f t="shared" si="19"/>
        <v>1.0254464478786161E-7</v>
      </c>
    </row>
  </sheetData>
  <conditionalFormatting sqref="O7:O16">
    <cfRule type="cellIs" dxfId="103" priority="27" operator="lessThanOrEqual">
      <formula>0</formula>
    </cfRule>
    <cfRule type="cellIs" dxfId="102" priority="28" operator="greaterThan">
      <formula>0</formula>
    </cfRule>
  </conditionalFormatting>
  <conditionalFormatting sqref="P7:P16 S7:S16">
    <cfRule type="cellIs" dxfId="101" priority="25" operator="lessThanOrEqual">
      <formula>0</formula>
    </cfRule>
    <cfRule type="cellIs" dxfId="100" priority="26" operator="greaterThan">
      <formula>0</formula>
    </cfRule>
  </conditionalFormatting>
  <conditionalFormatting sqref="G43:G52">
    <cfRule type="cellIs" dxfId="99" priority="24" operator="equal">
      <formula>MAX($G$43:$G$52)</formula>
    </cfRule>
  </conditionalFormatting>
  <conditionalFormatting sqref="H43:H52">
    <cfRule type="cellIs" dxfId="98" priority="23" operator="equal">
      <formula>MAX($H$43:$H$52)</formula>
    </cfRule>
  </conditionalFormatting>
  <conditionalFormatting sqref="G31:G40">
    <cfRule type="cellIs" dxfId="97" priority="22" operator="equal">
      <formula>MAX($G$31:$G$40)</formula>
    </cfRule>
  </conditionalFormatting>
  <conditionalFormatting sqref="H31:H40">
    <cfRule type="cellIs" dxfId="96" priority="21" operator="equal">
      <formula>MAX($H$31:$H$40)</formula>
    </cfRule>
  </conditionalFormatting>
  <conditionalFormatting sqref="F19:F28">
    <cfRule type="cellIs" dxfId="95" priority="19" stopIfTrue="1" operator="lessThan">
      <formula>0</formula>
    </cfRule>
    <cfRule type="cellIs" dxfId="94" priority="20" operator="equal">
      <formula>MIN($F$19:$F$28)</formula>
    </cfRule>
  </conditionalFormatting>
  <conditionalFormatting sqref="E19:E28">
    <cfRule type="cellIs" dxfId="93" priority="17" stopIfTrue="1" operator="lessThan">
      <formula>0</formula>
    </cfRule>
    <cfRule type="cellIs" dxfId="92" priority="18" operator="equal">
      <formula>MIN($E$19:$E$28)</formula>
    </cfRule>
  </conditionalFormatting>
  <conditionalFormatting sqref="F31:F40">
    <cfRule type="cellIs" dxfId="91" priority="15" stopIfTrue="1" operator="lessThan">
      <formula>0</formula>
    </cfRule>
    <cfRule type="cellIs" dxfId="90" priority="16" operator="equal">
      <formula>MIN($F$31:$F$40)</formula>
    </cfRule>
  </conditionalFormatting>
  <conditionalFormatting sqref="E31:E40">
    <cfRule type="cellIs" dxfId="89" priority="13" stopIfTrue="1" operator="lessThan">
      <formula>0</formula>
    </cfRule>
    <cfRule type="cellIs" dxfId="88" priority="14" operator="equal">
      <formula>MIN($E$31:$E$40)</formula>
    </cfRule>
  </conditionalFormatting>
  <conditionalFormatting sqref="F43:F52">
    <cfRule type="cellIs" dxfId="87" priority="11" stopIfTrue="1" operator="lessThan">
      <formula>0</formula>
    </cfRule>
    <cfRule type="cellIs" dxfId="86" priority="12" operator="equal">
      <formula>MIN($F$43:$F$52)</formula>
    </cfRule>
  </conditionalFormatting>
  <conditionalFormatting sqref="E43:E52">
    <cfRule type="cellIs" dxfId="85" priority="9" stopIfTrue="1" operator="lessThan">
      <formula>0</formula>
    </cfRule>
    <cfRule type="cellIs" dxfId="84" priority="10" operator="equal">
      <formula>MIN($E$43:$E$52)</formula>
    </cfRule>
  </conditionalFormatting>
  <conditionalFormatting sqref="Q7:Q16">
    <cfRule type="cellIs" dxfId="83" priority="7" operator="lessThanOrEqual">
      <formula>0</formula>
    </cfRule>
    <cfRule type="cellIs" dxfId="82" priority="8" operator="greaterThan">
      <formula>0</formula>
    </cfRule>
  </conditionalFormatting>
  <conditionalFormatting sqref="R7:R16">
    <cfRule type="cellIs" dxfId="81" priority="5" operator="lessThanOrEqual">
      <formula>0</formula>
    </cfRule>
    <cfRule type="cellIs" dxfId="80" priority="6" operator="greaterThan">
      <formula>0</formula>
    </cfRule>
  </conditionalFormatting>
  <conditionalFormatting sqref="G19:G28">
    <cfRule type="cellIs" dxfId="79" priority="3" operator="lessThanOrEqual">
      <formula>0</formula>
    </cfRule>
    <cfRule type="cellIs" dxfId="78" priority="4" operator="equal">
      <formula>MAX($G$19:$G$28)</formula>
    </cfRule>
  </conditionalFormatting>
  <conditionalFormatting sqref="H19:H28">
    <cfRule type="cellIs" dxfId="77" priority="1" operator="lessThanOrEqual">
      <formula>0</formula>
    </cfRule>
    <cfRule type="cellIs" dxfId="76" priority="2" operator="equal">
      <formula>MAX($H$19:$H$28)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A66"/>
  <sheetViews>
    <sheetView workbookViewId="0">
      <selection activeCell="C58" sqref="C58:D60"/>
    </sheetView>
  </sheetViews>
  <sheetFormatPr baseColWidth="10" defaultColWidth="8.83203125" defaultRowHeight="16" x14ac:dyDescent="0.2"/>
  <cols>
    <col min="1" max="27" width="6.6640625" customWidth="1"/>
  </cols>
  <sheetData>
    <row r="1" spans="1:27" x14ac:dyDescent="0.2">
      <c r="B1" s="331" t="s">
        <v>50</v>
      </c>
      <c r="C1" s="331"/>
      <c r="D1" s="331"/>
      <c r="E1" s="331"/>
      <c r="F1" s="331"/>
      <c r="G1" s="331"/>
      <c r="H1" s="331"/>
      <c r="I1" s="331"/>
      <c r="J1" s="331"/>
      <c r="L1" s="331" t="s">
        <v>50</v>
      </c>
      <c r="M1" s="331"/>
      <c r="N1" s="331"/>
      <c r="O1" s="331"/>
      <c r="P1" s="331"/>
      <c r="Q1" s="331"/>
      <c r="R1" s="331"/>
      <c r="S1" s="331"/>
      <c r="U1" s="331" t="s">
        <v>50</v>
      </c>
      <c r="V1" s="331"/>
      <c r="W1" s="331"/>
      <c r="X1" s="331"/>
      <c r="Y1" s="331"/>
      <c r="Z1" s="331"/>
      <c r="AA1" s="331"/>
    </row>
    <row r="2" spans="1:27" x14ac:dyDescent="0.2">
      <c r="A2" s="251" t="s">
        <v>59</v>
      </c>
      <c r="B2" s="270" t="s">
        <v>147</v>
      </c>
      <c r="C2" s="270" t="s">
        <v>148</v>
      </c>
      <c r="D2" s="270" t="s">
        <v>149</v>
      </c>
      <c r="E2" s="270" t="s">
        <v>150</v>
      </c>
      <c r="F2" s="270" t="s">
        <v>151</v>
      </c>
      <c r="G2" s="270" t="s">
        <v>152</v>
      </c>
      <c r="H2" s="270" t="s">
        <v>153</v>
      </c>
      <c r="I2" s="270" t="s">
        <v>154</v>
      </c>
      <c r="J2" s="270" t="s">
        <v>155</v>
      </c>
      <c r="K2" s="251" t="s">
        <v>59</v>
      </c>
      <c r="L2" s="270" t="s">
        <v>172</v>
      </c>
      <c r="M2" s="270" t="s">
        <v>173</v>
      </c>
      <c r="N2" s="270" t="s">
        <v>174</v>
      </c>
      <c r="O2" s="270" t="s">
        <v>175</v>
      </c>
      <c r="P2" s="270" t="s">
        <v>176</v>
      </c>
      <c r="Q2" s="270" t="s">
        <v>177</v>
      </c>
      <c r="R2" s="270" t="s">
        <v>178</v>
      </c>
      <c r="S2" s="270" t="s">
        <v>179</v>
      </c>
      <c r="T2" s="251" t="s">
        <v>59</v>
      </c>
      <c r="U2" s="270" t="s">
        <v>183</v>
      </c>
      <c r="V2" s="270" t="s">
        <v>184</v>
      </c>
      <c r="W2" s="270" t="s">
        <v>185</v>
      </c>
      <c r="X2" s="270" t="s">
        <v>186</v>
      </c>
      <c r="Y2" s="270" t="s">
        <v>187</v>
      </c>
      <c r="Z2" s="270" t="s">
        <v>188</v>
      </c>
      <c r="AA2" s="270" t="s">
        <v>189</v>
      </c>
    </row>
    <row r="3" spans="1:27" x14ac:dyDescent="0.2">
      <c r="A3">
        <v>2</v>
      </c>
      <c r="B3" s="1">
        <f>'1x2'!S8</f>
        <v>-0.12525362033682841</v>
      </c>
      <c r="C3" s="1">
        <f>'1x3'!S8</f>
        <v>0.5303337656535394</v>
      </c>
      <c r="D3" s="1">
        <f>'1x4'!S8</f>
        <v>1.03428276657535</v>
      </c>
      <c r="E3" s="1">
        <f>'1x5'!S8</f>
        <v>1.2354145617490833</v>
      </c>
      <c r="F3" s="1">
        <f>'1x6'!S8</f>
        <v>1.0412686967269114</v>
      </c>
      <c r="G3" s="1">
        <f>'1x7'!S8</f>
        <v>0.38387871050247746</v>
      </c>
      <c r="H3" s="1">
        <f>'1x8'!S8</f>
        <v>-0.78779463940218619</v>
      </c>
      <c r="I3" s="1">
        <f>'1x9'!S8</f>
        <v>-2.5105937868179602</v>
      </c>
      <c r="J3" s="1">
        <f>'1x10'!S8</f>
        <v>-4.809404839133478</v>
      </c>
      <c r="K3">
        <v>2</v>
      </c>
      <c r="L3" s="1">
        <f>'2x3'!S8</f>
        <v>-1.1336925535008144</v>
      </c>
      <c r="M3" s="1">
        <f>'2x4'!S8</f>
        <v>-32.331324016628308</v>
      </c>
      <c r="N3" s="1">
        <f>'2x5'!S8</f>
        <v>-48.04882721280098</v>
      </c>
      <c r="O3" s="1">
        <f>'2x6'!S8</f>
        <v>-68.17651398548324</v>
      </c>
      <c r="P3" s="1">
        <f>'2x7'!S8</f>
        <v>-93.20035089703093</v>
      </c>
      <c r="Q3" s="1">
        <f>'2x8'!S8</f>
        <v>-123.45620168060967</v>
      </c>
      <c r="R3" s="1">
        <f>'2x9'!S8</f>
        <v>-159.16199167520355</v>
      </c>
      <c r="S3" s="1">
        <f>'2x10'!S8</f>
        <v>-200.44648263962318</v>
      </c>
      <c r="T3">
        <v>2</v>
      </c>
      <c r="U3" s="1">
        <f>'3x4'!S8</f>
        <v>-92.363087256908017</v>
      </c>
      <c r="V3" s="1">
        <f>'3x5'!S8</f>
        <v>-141.30623216164224</v>
      </c>
      <c r="W3" s="1">
        <f>'3x6'!S8</f>
        <v>-202.26604031005667</v>
      </c>
      <c r="X3" s="1">
        <f>'3x7'!S8</f>
        <v>-276.01517248624441</v>
      </c>
      <c r="Y3" s="1">
        <f>'3x8'!S8</f>
        <v>-363.09501291538203</v>
      </c>
      <c r="Z3" s="1">
        <f>'3x9'!S8</f>
        <v>-463.85244278097213</v>
      </c>
      <c r="AA3" s="1">
        <f>'3x10'!S8</f>
        <v>-578.48607270533262</v>
      </c>
    </row>
    <row r="4" spans="1:27" x14ac:dyDescent="0.2">
      <c r="A4">
        <v>3</v>
      </c>
      <c r="B4" s="1">
        <f>'1x2'!S9</f>
        <v>-2.1151576969923092E-2</v>
      </c>
      <c r="C4" s="1">
        <f>'1x3'!S9</f>
        <v>1.7906887529627094</v>
      </c>
      <c r="D4" s="1">
        <f>'1x4'!S9</f>
        <v>3.3934185290209378</v>
      </c>
      <c r="E4" s="1">
        <f>'1x5'!S9</f>
        <v>4.686242441434322</v>
      </c>
      <c r="F4" s="1">
        <f>'1x6'!S9</f>
        <v>5.6189758525097471</v>
      </c>
      <c r="G4" s="1">
        <f>'1x7'!S9</f>
        <v>6.1426160304734498</v>
      </c>
      <c r="H4" s="1">
        <f>'1x8'!S9</f>
        <v>6.211679841287717</v>
      </c>
      <c r="I4" s="1">
        <f>'1x9'!S9</f>
        <v>5.7884961242692938</v>
      </c>
      <c r="J4" s="1">
        <f>'1x10'!S9</f>
        <v>4.8448645350245521</v>
      </c>
      <c r="K4">
        <v>3</v>
      </c>
      <c r="L4" s="1">
        <f>'2x3'!S9</f>
        <v>-2.6252701439162331</v>
      </c>
      <c r="M4" s="1">
        <f>'2x4'!S9</f>
        <v>-71.859483595007134</v>
      </c>
      <c r="N4" s="1">
        <f>'2x5'!S9</f>
        <v>-103.25661789466561</v>
      </c>
      <c r="O4" s="1">
        <f>'2x6'!S9</f>
        <v>-142.88338138536966</v>
      </c>
      <c r="P4" s="1">
        <f>'2x7'!S9</f>
        <v>-191.85429240486044</v>
      </c>
      <c r="Q4" s="1">
        <f>'2x8'!S9</f>
        <v>-250.9375832695834</v>
      </c>
      <c r="R4" s="1">
        <f>'2x9'!S9</f>
        <v>-320.63416104940052</v>
      </c>
      <c r="S4" s="1">
        <f>'2x10'!S9</f>
        <v>-401.24304384494161</v>
      </c>
      <c r="T4">
        <v>3</v>
      </c>
      <c r="U4" s="1">
        <f>'3x4'!S9</f>
        <v>-218.57687673881927</v>
      </c>
      <c r="V4" s="1">
        <f>'3x5'!S9</f>
        <v>-332.67017572079743</v>
      </c>
      <c r="W4" s="1">
        <f>'3x6'!S9</f>
        <v>-473.89785879045718</v>
      </c>
      <c r="X4" s="1">
        <f>'3x7'!S9</f>
        <v>-644.09178984726555</v>
      </c>
      <c r="Y4" s="1">
        <f>'3x8'!S9</f>
        <v>-844.56762554131274</v>
      </c>
      <c r="Z4" s="1">
        <f>'3x9'!S9</f>
        <v>-1076.1837472437182</v>
      </c>
      <c r="AA4" s="1">
        <f>'3x10'!S9</f>
        <v>-1339.4408770184327</v>
      </c>
    </row>
    <row r="5" spans="1:27" x14ac:dyDescent="0.2">
      <c r="A5">
        <v>4</v>
      </c>
      <c r="B5" s="1">
        <f>'1x2'!S10</f>
        <v>0.22260475101416777</v>
      </c>
      <c r="C5" s="1">
        <f>'1x3'!S10</f>
        <v>3.4568609126301304</v>
      </c>
      <c r="D5" s="1">
        <f>'1x4'!S10</f>
        <v>6.179203880245848</v>
      </c>
      <c r="E5" s="1">
        <f>'1x5'!S10</f>
        <v>8.536727881164996</v>
      </c>
      <c r="F5" s="1">
        <f>'1x6'!S10</f>
        <v>10.597804468402634</v>
      </c>
      <c r="G5" s="1">
        <f>'1x7'!S10</f>
        <v>12.36414730502463</v>
      </c>
      <c r="H5" s="1">
        <f>'1x8'!S10</f>
        <v>13.811974207856474</v>
      </c>
      <c r="I5" s="1">
        <f>'1x9'!S10</f>
        <v>14.912103692966207</v>
      </c>
      <c r="J5" s="1">
        <f>'1x10'!S10</f>
        <v>15.638461321131572</v>
      </c>
      <c r="K5">
        <v>4</v>
      </c>
      <c r="L5" s="1">
        <f>'2x3'!S10</f>
        <v>-4.8679534824663309</v>
      </c>
      <c r="M5" s="1">
        <f>'2x4'!S10</f>
        <v>-129.84454784840435</v>
      </c>
      <c r="N5" s="1">
        <f>'2x5'!S10</f>
        <v>-182.14986021297639</v>
      </c>
      <c r="O5" s="1">
        <f>'2x6'!S10</f>
        <v>-247.29081333209746</v>
      </c>
      <c r="P5" s="1">
        <f>'2x7'!S10</f>
        <v>-327.36675548814179</v>
      </c>
      <c r="Q5" s="1">
        <f>'2x8'!S10</f>
        <v>-423.81041918919215</v>
      </c>
      <c r="R5" s="1">
        <f>'2x9'!S10</f>
        <v>-537.5530494136118</v>
      </c>
      <c r="S5" s="1">
        <f>'2x10'!S10</f>
        <v>-669.15179267587257</v>
      </c>
      <c r="T5">
        <v>4</v>
      </c>
      <c r="U5" s="1">
        <f>'3x4'!S10</f>
        <v>-404.71565823270134</v>
      </c>
      <c r="V5" s="1">
        <f>'3x5'!S10</f>
        <v>-615.43909513661924</v>
      </c>
      <c r="W5" s="1">
        <f>'3x6'!S10</f>
        <v>-875.41934918923698</v>
      </c>
      <c r="X5" s="1">
        <f>'3x7'!S10</f>
        <v>-1187.989399675969</v>
      </c>
      <c r="Y5" s="1">
        <f>'3x8'!S10</f>
        <v>-1555.5895982873533</v>
      </c>
      <c r="Z5" s="1">
        <f>'3x9'!S10</f>
        <v>-1979.8325481781553</v>
      </c>
      <c r="AA5" s="1">
        <f>'3x10'!S10</f>
        <v>-2461.6698468707596</v>
      </c>
    </row>
    <row r="6" spans="1:27" x14ac:dyDescent="0.2">
      <c r="A6">
        <v>5</v>
      </c>
      <c r="B6" s="1">
        <f>'1x2'!S11</f>
        <v>0.59639718470474712</v>
      </c>
      <c r="C6" s="1">
        <f>'1x3'!S11</f>
        <v>5.3011952678104084</v>
      </c>
      <c r="D6" s="1">
        <f>'1x4'!S11</f>
        <v>8.900675232640582</v>
      </c>
      <c r="E6" s="1">
        <f>'1x5'!S11</f>
        <v>12.033380999017501</v>
      </c>
      <c r="F6" s="1">
        <f>'1x6'!S11</f>
        <v>14.93166277440165</v>
      </c>
      <c r="G6" s="1">
        <f>'1x7'!S11</f>
        <v>17.653668200284091</v>
      </c>
      <c r="H6" s="1">
        <f>'1x8'!S11</f>
        <v>20.197349486742784</v>
      </c>
      <c r="I6" s="1">
        <f>'1x9'!S11</f>
        <v>22.541957512760739</v>
      </c>
      <c r="J6" s="1">
        <f>'1x10'!S11</f>
        <v>24.663818613046999</v>
      </c>
      <c r="K6">
        <v>5</v>
      </c>
      <c r="L6" s="1">
        <f>'2x3'!S11</f>
        <v>-7.9399643328159781</v>
      </c>
      <c r="M6" s="1">
        <f>'2x4'!S11</f>
        <v>-208.52698266183273</v>
      </c>
      <c r="N6" s="1">
        <f>'2x5'!S11</f>
        <v>-287.63783561188103</v>
      </c>
      <c r="O6" s="1">
        <f>'2x6'!S11</f>
        <v>-384.91267819029719</v>
      </c>
      <c r="P6" s="1">
        <f>'2x7'!S11</f>
        <v>-503.88418690311244</v>
      </c>
      <c r="Q6" s="1">
        <f>'2x8'!S11</f>
        <v>-646.93950436007037</v>
      </c>
      <c r="R6" s="1">
        <f>'2x9'!S11</f>
        <v>-815.6206947140787</v>
      </c>
      <c r="S6" s="1">
        <f>'2x10'!S11</f>
        <v>-1010.8489867304835</v>
      </c>
      <c r="T6">
        <v>5</v>
      </c>
      <c r="U6" s="1">
        <f>'3x4'!S11</f>
        <v>-651.6878307500275</v>
      </c>
      <c r="V6" s="1">
        <f>'3x5'!S11</f>
        <v>-991.73779324900443</v>
      </c>
      <c r="W6" s="1">
        <f>'3x6'!S11</f>
        <v>-1410.6064791693409</v>
      </c>
      <c r="X6" s="1">
        <f>'3x7'!S11</f>
        <v>-1913.5192775555829</v>
      </c>
      <c r="Y6" s="1">
        <f>'3x8'!S11</f>
        <v>-2504.3564177889602</v>
      </c>
      <c r="Z6" s="1">
        <f>'3x9'!S11</f>
        <v>-3185.7052689287052</v>
      </c>
      <c r="AA6" s="1">
        <f>'3x10'!S11</f>
        <v>-3959.1040718516956</v>
      </c>
    </row>
    <row r="7" spans="1:27" x14ac:dyDescent="0.2">
      <c r="A7">
        <v>6</v>
      </c>
      <c r="B7" s="1">
        <f>'1x2'!S12</f>
        <v>1.0877174700211896</v>
      </c>
      <c r="C7" s="1">
        <f>'1x3'!S12</f>
        <v>7.155208239942338</v>
      </c>
      <c r="D7" s="1">
        <f>'1x4'!S12</f>
        <v>11.296072830624338</v>
      </c>
      <c r="E7" s="1">
        <f>'1x5'!S12</f>
        <v>14.873925328283423</v>
      </c>
      <c r="F7" s="1">
        <f>'1x6'!S12</f>
        <v>18.28554052456316</v>
      </c>
      <c r="G7" s="1">
        <f>'1x7'!S12</f>
        <v>21.629255536096434</v>
      </c>
      <c r="H7" s="1">
        <f>'1x8'!S12</f>
        <v>24.91458740643435</v>
      </c>
      <c r="I7" s="1">
        <f>'1x9'!S12</f>
        <v>28.124060716771062</v>
      </c>
      <c r="J7" s="1">
        <f>'1x10'!S12</f>
        <v>31.234058561077401</v>
      </c>
      <c r="K7">
        <v>6</v>
      </c>
      <c r="L7" s="1">
        <f>'2x3'!S12</f>
        <v>-11.891366919873184</v>
      </c>
      <c r="M7" s="1">
        <f>'2x4'!S12</f>
        <v>-309.67668055129064</v>
      </c>
      <c r="N7" s="1">
        <f>'2x5'!S12</f>
        <v>-422.27688850173814</v>
      </c>
      <c r="O7" s="1">
        <f>'2x6'!S12</f>
        <v>-559.03926881560631</v>
      </c>
      <c r="P7" s="1">
        <f>'2x7'!S12</f>
        <v>-725.45714965824618</v>
      </c>
      <c r="Q7" s="1">
        <f>'2x8'!S12</f>
        <v>-925.22185727428575</v>
      </c>
      <c r="R7" s="1">
        <f>'2x9'!S12</f>
        <v>-1160.7037473712014</v>
      </c>
      <c r="S7" s="1">
        <f>'2x10'!S12</f>
        <v>-1433.3150812019537</v>
      </c>
      <c r="T7">
        <v>6</v>
      </c>
      <c r="U7" s="1">
        <f>'3x4'!S12</f>
        <v>-959.30694556068147</v>
      </c>
      <c r="V7" s="1">
        <f>'3x5'!S12</f>
        <v>-1461.5705944090432</v>
      </c>
      <c r="W7" s="1">
        <f>'3x6'!S12</f>
        <v>-2079.829033788963</v>
      </c>
      <c r="X7" s="1">
        <f>'3x7'!S12</f>
        <v>-2821.5610780268612</v>
      </c>
      <c r="Y7" s="1">
        <f>'3x8'!S12</f>
        <v>-3692.3721211461871</v>
      </c>
      <c r="Z7" s="1">
        <f>'3x9'!S12</f>
        <v>-4696.0223938158997</v>
      </c>
      <c r="AA7" s="1">
        <f>'3x10'!S12</f>
        <v>-5834.7578948007294</v>
      </c>
    </row>
    <row r="8" spans="1:27" x14ac:dyDescent="0.2">
      <c r="A8">
        <v>7</v>
      </c>
      <c r="B8" s="1">
        <f>'1x2'!S13</f>
        <v>1.6834683406324809</v>
      </c>
      <c r="C8" s="1">
        <f>'1x3'!S13</f>
        <v>8.9070823964293773</v>
      </c>
      <c r="D8" s="1">
        <f>'1x4'!S13</f>
        <v>13.267400664080146</v>
      </c>
      <c r="E8" s="1">
        <f>'1x5'!S13</f>
        <v>17.024115731471728</v>
      </c>
      <c r="F8" s="1">
        <f>'1x6'!S13</f>
        <v>20.697906992512497</v>
      </c>
      <c r="G8" s="1">
        <f>'1x7'!S13</f>
        <v>24.400311364812811</v>
      </c>
      <c r="H8" s="1">
        <f>'1x8'!S13</f>
        <v>28.139684153406304</v>
      </c>
      <c r="I8" s="1">
        <f>'1x9'!S13</f>
        <v>31.896016299637498</v>
      </c>
      <c r="J8" s="1">
        <f>'1x10'!S13</f>
        <v>35.643219033113787</v>
      </c>
      <c r="K8">
        <v>7</v>
      </c>
      <c r="L8" s="1">
        <f>'2x3'!S13</f>
        <v>-16.749411187435761</v>
      </c>
      <c r="M8" s="1">
        <f>'2x4'!S13</f>
        <v>-434.56345175335184</v>
      </c>
      <c r="N8" s="1">
        <f>'2x5'!S13</f>
        <v>-588.14120166750263</v>
      </c>
      <c r="O8" s="1">
        <f>'2x6'!S13</f>
        <v>-772.52272208965576</v>
      </c>
      <c r="P8" s="1">
        <f>'2x7'!S13</f>
        <v>-995.73692344386427</v>
      </c>
      <c r="Q8" s="1">
        <f>'2x8'!S13</f>
        <v>-1263.1818479519811</v>
      </c>
      <c r="R8" s="1">
        <f>'2x9'!S13</f>
        <v>-1578.3104910188106</v>
      </c>
      <c r="S8" s="1">
        <f>'2x10'!S13</f>
        <v>-1943.1753479179858</v>
      </c>
      <c r="T8">
        <v>7</v>
      </c>
      <c r="U8" s="1">
        <f>'3x4'!S13</f>
        <v>-1327.2174312843906</v>
      </c>
      <c r="V8" s="1">
        <f>'3x5'!S13</f>
        <v>-2024.4091868564997</v>
      </c>
      <c r="W8" s="1">
        <f>'3x6'!S13</f>
        <v>-2882.4070718298321</v>
      </c>
      <c r="X8" s="1">
        <f>'3x7'!S13</f>
        <v>-3911.2978612571283</v>
      </c>
      <c r="Y8" s="1">
        <f>'3x8'!S13</f>
        <v>-5118.683890134439</v>
      </c>
      <c r="Z8" s="1">
        <f>'3x9'!S13</f>
        <v>-6509.6838425011274</v>
      </c>
      <c r="AA8" s="1">
        <f>'3x10'!S13</f>
        <v>-8087.3635473314453</v>
      </c>
    </row>
    <row r="9" spans="1:27" x14ac:dyDescent="0.2">
      <c r="A9">
        <v>8</v>
      </c>
      <c r="B9" s="1">
        <f>'1x2'!S14</f>
        <v>2.3707397879195202</v>
      </c>
      <c r="C9" s="1">
        <f>'1x3'!S14</f>
        <v>10.491473645165403</v>
      </c>
      <c r="D9" s="1">
        <f>'1x4'!S14</f>
        <v>14.815009826623623</v>
      </c>
      <c r="E9" s="1">
        <f>'1x5'!S14</f>
        <v>18.574652744138213</v>
      </c>
      <c r="F9" s="1">
        <f>'1x6'!S14</f>
        <v>22.349522948044552</v>
      </c>
      <c r="G9" s="1">
        <f>'1x7'!S14</f>
        <v>26.237395342807694</v>
      </c>
      <c r="H9" s="1">
        <f>'1x8'!S14</f>
        <v>30.23521894089636</v>
      </c>
      <c r="I9" s="1">
        <f>'1x9'!S14</f>
        <v>34.316362587000107</v>
      </c>
      <c r="J9" s="1">
        <f>'1x10'!S14</f>
        <v>38.450687068758995</v>
      </c>
      <c r="K9">
        <v>8</v>
      </c>
      <c r="L9" s="1">
        <f>'2x3'!S14</f>
        <v>-22.525746912532906</v>
      </c>
      <c r="M9" s="1">
        <f>'2x4'!S14</f>
        <v>-584.01531837290122</v>
      </c>
      <c r="N9" s="1">
        <f>'2x5'!S14</f>
        <v>-786.80710061123477</v>
      </c>
      <c r="O9" s="1">
        <f>'2x6'!S14</f>
        <v>-1027.7042004869213</v>
      </c>
      <c r="P9" s="1">
        <f>'2x7'!S14</f>
        <v>-1317.8539124600306</v>
      </c>
      <c r="Q9" s="1">
        <f>'2x8'!S14</f>
        <v>-1664.8012842865373</v>
      </c>
      <c r="R9" s="1">
        <f>'2x9'!S14</f>
        <v>-2073.3687484456796</v>
      </c>
      <c r="S9" s="1">
        <f>'2x10'!S14</f>
        <v>-2546.4196322629004</v>
      </c>
      <c r="T9">
        <v>8</v>
      </c>
      <c r="U9" s="1">
        <f>'3x4'!S14</f>
        <v>-1755.1600191195685</v>
      </c>
      <c r="V9" s="1">
        <f>'3x5'!S14</f>
        <v>-2679.7795814703763</v>
      </c>
      <c r="W9" s="1">
        <f>'3x6'!S14</f>
        <v>-3817.6113582039202</v>
      </c>
      <c r="X9" s="1">
        <f>'3x7'!S14</f>
        <v>-5181.7094241170316</v>
      </c>
      <c r="Y9" s="1">
        <f>'3x8'!S14</f>
        <v>-6781.9431211027304</v>
      </c>
      <c r="Z9" s="1">
        <f>'3x9'!S14</f>
        <v>-8624.9715895561058</v>
      </c>
      <c r="AA9" s="1">
        <f>'3x10'!S14</f>
        <v>-10714.789321373539</v>
      </c>
    </row>
    <row r="10" spans="1:27" x14ac:dyDescent="0.2">
      <c r="A10">
        <v>9</v>
      </c>
      <c r="B10" s="1">
        <f>'1x2'!S15</f>
        <v>3.1371237170763191</v>
      </c>
      <c r="C10" s="1">
        <f>'1x3'!S15</f>
        <v>11.877953888563436</v>
      </c>
      <c r="D10" s="1">
        <f>'1x4'!S15</f>
        <v>15.988505851318923</v>
      </c>
      <c r="E10" s="1">
        <f>'1x5'!S15</f>
        <v>19.654445623943168</v>
      </c>
      <c r="F10" s="1">
        <f>'1x6'!S15</f>
        <v>23.441575129583029</v>
      </c>
      <c r="G10" s="1">
        <f>'1x7'!S15</f>
        <v>27.413499333334297</v>
      </c>
      <c r="H10" s="1">
        <f>'1x8'!S15</f>
        <v>31.54980197462271</v>
      </c>
      <c r="I10" s="1">
        <f>'1x9'!S15</f>
        <v>35.815350645705671</v>
      </c>
      <c r="J10" s="1">
        <f>'1x10'!S15</f>
        <v>40.175450578212804</v>
      </c>
      <c r="K10">
        <v>9</v>
      </c>
      <c r="L10" s="1">
        <f>'2x3'!S15</f>
        <v>-29.222811739398747</v>
      </c>
      <c r="M10" s="1">
        <f>'2x4'!S15</f>
        <v>-758.51235862274791</v>
      </c>
      <c r="N10" s="1">
        <f>'2x5'!S15</f>
        <v>-1019.3960225741039</v>
      </c>
      <c r="O10" s="1">
        <f>'2x6'!S15</f>
        <v>-1326.4124057189208</v>
      </c>
      <c r="P10" s="1">
        <f>'2x7'!S15</f>
        <v>-1694.3806360027122</v>
      </c>
      <c r="Q10" s="1">
        <f>'2x8'!S15</f>
        <v>-2133.4513335245265</v>
      </c>
      <c r="R10" s="1">
        <f>'2x9'!S15</f>
        <v>-2650.127609972214</v>
      </c>
      <c r="S10" s="1">
        <f>'2x10'!S15</f>
        <v>-3248.2726865802761</v>
      </c>
      <c r="T10">
        <v>9</v>
      </c>
      <c r="U10" s="1">
        <f>'3x4'!S15</f>
        <v>-2242.9877775899513</v>
      </c>
      <c r="V10" s="1">
        <f>'3x5'!S15</f>
        <v>-3427.3768764089118</v>
      </c>
      <c r="W10" s="1">
        <f>'3x6'!S15</f>
        <v>-4884.9286471277546</v>
      </c>
      <c r="X10" s="1">
        <f>'3x7'!S15</f>
        <v>-6632.0303562429099</v>
      </c>
      <c r="Y10" s="1">
        <f>'3x8'!S15</f>
        <v>-8681.091605352909</v>
      </c>
      <c r="Z10" s="1">
        <f>'3x9'!S15</f>
        <v>-11040.495098322663</v>
      </c>
      <c r="AA10" s="1">
        <f>'3x10'!S15</f>
        <v>-13715.273015594365</v>
      </c>
    </row>
    <row r="11" spans="1:27" x14ac:dyDescent="0.2">
      <c r="A11">
        <v>10</v>
      </c>
      <c r="B11" s="1">
        <f>'1x2'!S16</f>
        <v>3.9708570856518897</v>
      </c>
      <c r="C11" s="1">
        <f>'1x3'!S16</f>
        <v>13.060395910059645</v>
      </c>
      <c r="D11" s="1">
        <f>'1x4'!S16</f>
        <v>16.855178111295952</v>
      </c>
      <c r="E11" s="1">
        <f>'1x5'!S16</f>
        <v>20.387247940940302</v>
      </c>
      <c r="F11" s="1">
        <f>'1x6'!S16</f>
        <v>24.145552403530502</v>
      </c>
      <c r="G11" s="1">
        <f>'1x7'!S16</f>
        <v>28.147736472688717</v>
      </c>
      <c r="H11" s="1">
        <f>'1x8'!S16</f>
        <v>32.354016529680734</v>
      </c>
      <c r="I11" s="1">
        <f>'1x9'!S16</f>
        <v>36.720619399002835</v>
      </c>
      <c r="J11" s="1">
        <f>'1x10'!S16</f>
        <v>41.208549470349041</v>
      </c>
      <c r="K11">
        <v>10</v>
      </c>
      <c r="L11" s="1">
        <f>'2x3'!S16</f>
        <v>-36.838446425941292</v>
      </c>
      <c r="M11" s="1">
        <f>'2x4'!S16</f>
        <v>-958.28531462262163</v>
      </c>
      <c r="N11" s="1">
        <f>'2x5'!S16</f>
        <v>-1286.6471339690349</v>
      </c>
      <c r="O11" s="1">
        <f>'2x6'!S16</f>
        <v>-1670.0044328831614</v>
      </c>
      <c r="P11" s="1">
        <f>'2x7'!S16</f>
        <v>-2127.3458909003139</v>
      </c>
      <c r="Q11" s="1">
        <f>'2x8'!S16</f>
        <v>-2671.8847537284473</v>
      </c>
      <c r="R11" s="1">
        <f>'2x9'!S16</f>
        <v>-3312.1304042800143</v>
      </c>
      <c r="S11" s="1">
        <f>'2x10'!S16</f>
        <v>-4053.1489359570646</v>
      </c>
      <c r="T11">
        <v>10</v>
      </c>
      <c r="U11" s="1">
        <f>'3x4'!S16</f>
        <v>-2790.6272989855597</v>
      </c>
      <c r="V11" s="1">
        <f>'3x5'!S16</f>
        <v>-4267.0320867185992</v>
      </c>
      <c r="W11" s="1">
        <f>'3x6'!S16</f>
        <v>-6084.0541007121537</v>
      </c>
      <c r="X11" s="1">
        <f>'3x7'!S16</f>
        <v>-8261.7843713988841</v>
      </c>
      <c r="Y11" s="1">
        <f>'3x8'!S16</f>
        <v>-10815.449895855489</v>
      </c>
      <c r="Z11" s="1">
        <f>'3x9'!S16</f>
        <v>-13755.342593585181</v>
      </c>
      <c r="AA11" s="1">
        <f>'3x10'!S16</f>
        <v>-17087.642852420842</v>
      </c>
    </row>
    <row r="12" spans="1:27" x14ac:dyDescent="0.2">
      <c r="B12" s="331" t="s">
        <v>51</v>
      </c>
      <c r="C12" s="331"/>
      <c r="D12" s="331"/>
      <c r="E12" s="331"/>
      <c r="F12" s="331"/>
      <c r="G12" s="331"/>
      <c r="H12" s="331"/>
      <c r="I12" s="331"/>
      <c r="J12" s="331"/>
      <c r="L12" s="331" t="s">
        <v>51</v>
      </c>
      <c r="M12" s="331"/>
      <c r="N12" s="331"/>
      <c r="O12" s="331"/>
      <c r="P12" s="331"/>
      <c r="Q12" s="331"/>
      <c r="R12" s="331"/>
      <c r="S12" s="331"/>
      <c r="U12" s="331" t="s">
        <v>51</v>
      </c>
      <c r="V12" s="331"/>
      <c r="W12" s="331"/>
      <c r="X12" s="331"/>
      <c r="Y12" s="331"/>
      <c r="Z12" s="331"/>
      <c r="AA12" s="331"/>
    </row>
    <row r="13" spans="1:27" x14ac:dyDescent="0.2">
      <c r="A13" s="251" t="s">
        <v>59</v>
      </c>
      <c r="B13" s="270" t="s">
        <v>147</v>
      </c>
      <c r="C13" s="270" t="s">
        <v>148</v>
      </c>
      <c r="D13" s="270" t="s">
        <v>149</v>
      </c>
      <c r="E13" s="270" t="s">
        <v>150</v>
      </c>
      <c r="F13" s="270" t="s">
        <v>151</v>
      </c>
      <c r="G13" s="270" t="s">
        <v>152</v>
      </c>
      <c r="H13" s="270" t="s">
        <v>153</v>
      </c>
      <c r="I13" s="270" t="s">
        <v>154</v>
      </c>
      <c r="J13" s="270" t="s">
        <v>155</v>
      </c>
      <c r="K13" s="251" t="s">
        <v>59</v>
      </c>
      <c r="L13" s="270" t="s">
        <v>172</v>
      </c>
      <c r="M13" s="270" t="s">
        <v>173</v>
      </c>
      <c r="N13" s="270" t="s">
        <v>174</v>
      </c>
      <c r="O13" s="270" t="s">
        <v>175</v>
      </c>
      <c r="P13" s="270" t="s">
        <v>176</v>
      </c>
      <c r="Q13" s="270" t="s">
        <v>177</v>
      </c>
      <c r="R13" s="270" t="s">
        <v>178</v>
      </c>
      <c r="S13" s="270" t="s">
        <v>179</v>
      </c>
      <c r="T13" s="251" t="s">
        <v>59</v>
      </c>
      <c r="U13" s="270" t="s">
        <v>183</v>
      </c>
      <c r="V13" s="270" t="s">
        <v>184</v>
      </c>
      <c r="W13" s="270" t="s">
        <v>185</v>
      </c>
      <c r="X13" s="270" t="s">
        <v>186</v>
      </c>
      <c r="Y13" s="270" t="s">
        <v>187</v>
      </c>
      <c r="Z13" s="270" t="s">
        <v>188</v>
      </c>
      <c r="AA13" s="270" t="s">
        <v>189</v>
      </c>
    </row>
    <row r="14" spans="1:27" x14ac:dyDescent="0.2">
      <c r="A14">
        <v>2</v>
      </c>
      <c r="B14" s="1">
        <f>'1x2'!P7</f>
        <v>4.6273988852222281E-2</v>
      </c>
      <c r="C14" s="1">
        <f>'1x3'!P7</f>
        <v>0.16154687916241373</v>
      </c>
      <c r="D14" s="1">
        <f>'1x4'!P7</f>
        <v>0.22354406249726549</v>
      </c>
      <c r="E14" s="1">
        <f>'1x5'!P7</f>
        <v>0.2597057856612251</v>
      </c>
      <c r="F14" s="1">
        <f>'1x6'!P7</f>
        <v>0.28180250385164324</v>
      </c>
      <c r="G14" s="1">
        <f>'1x7'!P7</f>
        <v>0.29569046767278684</v>
      </c>
      <c r="H14" s="1">
        <f>'1x8'!P7</f>
        <v>0.30457423256867439</v>
      </c>
      <c r="I14" s="1">
        <f>'1x9'!P7</f>
        <v>0.31032111101394261</v>
      </c>
      <c r="J14" s="1">
        <f>'1x10'!P7</f>
        <v>0.31406579592507639</v>
      </c>
      <c r="K14">
        <v>2</v>
      </c>
      <c r="L14" s="1">
        <f>'2x3'!P8</f>
        <v>-7.8263020806445371E-2</v>
      </c>
      <c r="M14" s="1">
        <f>'2x4'!P8</f>
        <v>9.831263320331296E-3</v>
      </c>
      <c r="N14" s="1">
        <f>'2x5'!P8</f>
        <v>6.3307736727777897E-2</v>
      </c>
      <c r="O14" s="1">
        <f>'2x6'!P8</f>
        <v>9.66988457748435E-2</v>
      </c>
      <c r="P14" s="1">
        <f>'2x7'!P8</f>
        <v>0.11794875302880287</v>
      </c>
      <c r="Q14" s="1">
        <f>'2x8'!P8</f>
        <v>0.13164425827736537</v>
      </c>
      <c r="R14" s="1">
        <f>'2x9'!P8</f>
        <v>0.14054525095884751</v>
      </c>
      <c r="S14" s="1">
        <f>'2x10'!P8</f>
        <v>0.1463623324540802</v>
      </c>
      <c r="T14">
        <v>2</v>
      </c>
      <c r="U14" s="1">
        <f>'3x4'!P8</f>
        <v>-0.39325134837483355</v>
      </c>
      <c r="V14" s="1">
        <f>'3x5'!P8</f>
        <v>-0.35177472523497177</v>
      </c>
      <c r="W14" s="1">
        <f>'3x6'!P8</f>
        <v>-0.32504222488450352</v>
      </c>
      <c r="X14" s="1">
        <f>'3x7'!P8</f>
        <v>-0.30767394977654916</v>
      </c>
      <c r="Y14" s="1">
        <f>'3x8'!P8</f>
        <v>-0.29632734281556761</v>
      </c>
      <c r="Z14" s="1">
        <f>'3x9'!P8</f>
        <v>-0.28888700682785623</v>
      </c>
      <c r="AA14" s="1">
        <f>'3x10'!P8</f>
        <v>-0.28399595161358199</v>
      </c>
    </row>
    <row r="15" spans="1:27" x14ac:dyDescent="0.2">
      <c r="A15">
        <v>3</v>
      </c>
      <c r="B15" s="1">
        <f>'1x2'!P8</f>
        <v>0.39403697635411244</v>
      </c>
      <c r="C15" s="1">
        <f>'1x3'!P8</f>
        <v>0.53537276282161517</v>
      </c>
      <c r="D15" s="1">
        <f>'1x4'!P8</f>
        <v>0.60466270956836365</v>
      </c>
      <c r="E15" s="1">
        <f>'1x5'!P8</f>
        <v>0.64267646235343323</v>
      </c>
      <c r="F15" s="1">
        <f>'1x6'!P8</f>
        <v>0.66499608730475857</v>
      </c>
      <c r="G15" s="1">
        <f>'1x7'!P8</f>
        <v>0.67866383432592847</v>
      </c>
      <c r="H15" s="1">
        <f>'1x8'!P8</f>
        <v>0.68725918355561511</v>
      </c>
      <c r="I15" s="1">
        <f>'1x9'!P8</f>
        <v>0.69275774695734282</v>
      </c>
      <c r="J15" s="1">
        <f>'1x10'!P8</f>
        <v>0.69631442269809807</v>
      </c>
      <c r="K15">
        <v>3</v>
      </c>
      <c r="L15" s="1">
        <f>'2x3'!P9</f>
        <v>1.0988203940724028E-2</v>
      </c>
      <c r="M15" s="1">
        <f>'2x4'!P9</f>
        <v>0.11746837027167717</v>
      </c>
      <c r="N15" s="1">
        <f>'2x5'!P9</f>
        <v>0.18212804800587856</v>
      </c>
      <c r="O15" s="1">
        <f>'2x6'!P9</f>
        <v>0.22239884631323825</v>
      </c>
      <c r="P15" s="1">
        <f>'2x7'!P9</f>
        <v>0.24795516561770786</v>
      </c>
      <c r="Q15" s="1">
        <f>'2x8'!P9</f>
        <v>0.26438815930499127</v>
      </c>
      <c r="R15" s="1">
        <f>'2x9'!P9</f>
        <v>0.27504999995814328</v>
      </c>
      <c r="S15" s="1">
        <f>'2x10'!P9</f>
        <v>0.28200940152874826</v>
      </c>
      <c r="T15">
        <v>3</v>
      </c>
      <c r="U15" s="1">
        <f>'3x4'!P9</f>
        <v>-0.35984059265900808</v>
      </c>
      <c r="V15" s="1">
        <f>'3x5'!P9</f>
        <v>-0.3123817096706562</v>
      </c>
      <c r="W15" s="1">
        <f>'3x6'!P9</f>
        <v>-0.28153587936435293</v>
      </c>
      <c r="X15" s="1">
        <f>'3x7'!P9</f>
        <v>-0.26139082603202624</v>
      </c>
      <c r="Y15" s="1">
        <f>'3x8'!P9</f>
        <v>-0.2481870382587168</v>
      </c>
      <c r="Z15" s="1">
        <f>'3x9'!P9</f>
        <v>-0.23951076890189832</v>
      </c>
      <c r="AA15" s="1">
        <f>'3x10'!P9</f>
        <v>-0.23379954315026319</v>
      </c>
    </row>
    <row r="16" spans="1:27" x14ac:dyDescent="0.2">
      <c r="A16">
        <v>4</v>
      </c>
      <c r="B16" s="1">
        <f>'1x2'!P9</f>
        <v>0.5671754025813952</v>
      </c>
      <c r="C16" s="1">
        <f>'1x3'!P9</f>
        <v>0.71277795081499862</v>
      </c>
      <c r="D16" s="1">
        <f>'1x4'!P9</f>
        <v>0.77708322358125614</v>
      </c>
      <c r="E16" s="1">
        <f>'1x5'!P9</f>
        <v>0.80996363690100892</v>
      </c>
      <c r="F16" s="1">
        <f>'1x6'!P9</f>
        <v>0.82840123393352549</v>
      </c>
      <c r="G16" s="1">
        <f>'1x7'!P9</f>
        <v>0.83935831392074478</v>
      </c>
      <c r="H16" s="1">
        <f>'1x8'!P9</f>
        <v>0.84611532239759057</v>
      </c>
      <c r="I16" s="1">
        <f>'1x9'!P9</f>
        <v>0.85038273631885286</v>
      </c>
      <c r="J16" s="1">
        <f>'1x10'!P9</f>
        <v>0.8531198749981701</v>
      </c>
      <c r="K16">
        <v>4</v>
      </c>
      <c r="L16" s="1">
        <f>'2x3'!P10</f>
        <v>5.4135894016146657E-2</v>
      </c>
      <c r="M16" s="1">
        <f>'2x4'!P10</f>
        <v>0.17377206019478969</v>
      </c>
      <c r="N16" s="1">
        <f>'2x5'!P10</f>
        <v>0.24680469561581292</v>
      </c>
      <c r="O16" s="1">
        <f>'2x6'!P10</f>
        <v>0.29231848431724583</v>
      </c>
      <c r="P16" s="1">
        <f>'2x7'!P10</f>
        <v>0.32117790904052657</v>
      </c>
      <c r="Q16" s="1">
        <f>'2x8'!P10</f>
        <v>0.33971468364940782</v>
      </c>
      <c r="R16" s="1">
        <f>'2x9'!P10</f>
        <v>0.35173009533857175</v>
      </c>
      <c r="S16" s="1">
        <f>'2x10'!P10</f>
        <v>0.35956735368384535</v>
      </c>
      <c r="T16">
        <v>4</v>
      </c>
      <c r="U16" s="1">
        <f>'3x4'!P10</f>
        <v>-0.34922993258508506</v>
      </c>
      <c r="V16" s="1">
        <f>'3x5'!P10</f>
        <v>-0.29897637271751087</v>
      </c>
      <c r="W16" s="1">
        <f>'3x6'!P10</f>
        <v>-0.2660953095308205</v>
      </c>
      <c r="X16" s="1">
        <f>'3x7'!P10</f>
        <v>-0.24452677372420256</v>
      </c>
      <c r="Y16" s="1">
        <f>'3x8'!P10</f>
        <v>-0.23034939644157931</v>
      </c>
      <c r="Z16" s="1">
        <f>'3x9'!P10</f>
        <v>-0.22101586527053046</v>
      </c>
      <c r="AA16" s="1">
        <f>'3x10'!P10</f>
        <v>-0.21486441444467974</v>
      </c>
    </row>
    <row r="17" spans="1:27" x14ac:dyDescent="0.2">
      <c r="A17">
        <v>5</v>
      </c>
      <c r="B17" s="1">
        <f>'1x2'!P10</f>
        <v>0.67046755428519267</v>
      </c>
      <c r="C17" s="1">
        <f>'1x3'!P10</f>
        <v>0.8121449959994762</v>
      </c>
      <c r="D17" s="1">
        <f>'1x4'!P10</f>
        <v>0.86788273693816376</v>
      </c>
      <c r="E17" s="1">
        <f>'1x5'!P10</f>
        <v>0.8942271969228246</v>
      </c>
      <c r="F17" s="1">
        <f>'1x6'!P10</f>
        <v>0.90826287260720173</v>
      </c>
      <c r="G17" s="1">
        <f>'1x7'!P10</f>
        <v>0.91633164470158346</v>
      </c>
      <c r="H17" s="1">
        <f>'1x8'!P10</f>
        <v>0.92120109351836865</v>
      </c>
      <c r="I17" s="1">
        <f>'1x9'!P10</f>
        <v>0.92423325628174935</v>
      </c>
      <c r="J17" s="1">
        <f>'1x10'!P10</f>
        <v>0.92616015426539511</v>
      </c>
      <c r="K17">
        <v>5</v>
      </c>
      <c r="L17" s="1">
        <f>'2x3'!P11</f>
        <v>7.6343707673492633E-2</v>
      </c>
      <c r="M17" s="1">
        <f>'2x4'!P11</f>
        <v>0.20554518679445288</v>
      </c>
      <c r="N17" s="1">
        <f>'2x5'!P11</f>
        <v>0.28507557700218655</v>
      </c>
      <c r="O17" s="1">
        <f>'2x6'!P11</f>
        <v>0.33478649675867533</v>
      </c>
      <c r="P17" s="1">
        <f>'2x7'!P11</f>
        <v>0.36633064217090339</v>
      </c>
      <c r="Q17" s="1">
        <f>'2x8'!P11</f>
        <v>0.386590526567471</v>
      </c>
      <c r="R17" s="1">
        <f>'2x9'!P11</f>
        <v>0.39971905439037086</v>
      </c>
      <c r="S17" s="1">
        <f>'2x10'!P11</f>
        <v>0.40827980605476011</v>
      </c>
      <c r="T17">
        <v>5</v>
      </c>
      <c r="U17" s="1">
        <f>'3x4'!P11</f>
        <v>-0.34578619479397188</v>
      </c>
      <c r="V17" s="1">
        <f>'3x5'!P11</f>
        <v>-0.2942945789920326</v>
      </c>
      <c r="W17" s="1">
        <f>'3x6'!P11</f>
        <v>-0.26045459918513009</v>
      </c>
      <c r="X17" s="1">
        <f>'3x7'!P11</f>
        <v>-0.23818904369688498</v>
      </c>
      <c r="Y17" s="1">
        <f>'3x8'!P11</f>
        <v>-0.22352310584525481</v>
      </c>
      <c r="Z17" s="1">
        <f>'3x9'!P11</f>
        <v>-0.21385449689138475</v>
      </c>
      <c r="AA17" s="1">
        <f>'3x10'!P11</f>
        <v>-0.20747629800989248</v>
      </c>
    </row>
    <row r="18" spans="1:27" x14ac:dyDescent="0.2">
      <c r="A18">
        <v>6</v>
      </c>
      <c r="B18" s="1">
        <f>'1x2'!P11</f>
        <v>0.73884034145170552</v>
      </c>
      <c r="C18" s="1">
        <f>'1x3'!P11</f>
        <v>0.87300852438202248</v>
      </c>
      <c r="D18" s="1">
        <f>'1x4'!P11</f>
        <v>0.9195321914605169</v>
      </c>
      <c r="E18" s="1">
        <f>'1x5'!P11</f>
        <v>0.93971393532367153</v>
      </c>
      <c r="F18" s="1">
        <f>'1x6'!P11</f>
        <v>0.94988734271416209</v>
      </c>
      <c r="G18" s="1">
        <f>'1x7'!P11</f>
        <v>0.95553091184037142</v>
      </c>
      <c r="H18" s="1">
        <f>'1x8'!P11</f>
        <v>0.95885895270125843</v>
      </c>
      <c r="I18" s="1">
        <f>'1x9'!P11</f>
        <v>0.96090030802377746</v>
      </c>
      <c r="J18" s="1">
        <f>'1x10'!P11</f>
        <v>0.96218483085018403</v>
      </c>
      <c r="K18">
        <v>6</v>
      </c>
      <c r="L18" s="1">
        <f>'2x3'!P12</f>
        <v>8.814265581730385E-2</v>
      </c>
      <c r="M18" s="1">
        <f>'2x4'!P12</f>
        <v>0.22424632719976695</v>
      </c>
      <c r="N18" s="1">
        <f>'2x5'!P12</f>
        <v>0.30884837702378298</v>
      </c>
      <c r="O18" s="1">
        <f>'2x6'!P12</f>
        <v>0.36197110242110736</v>
      </c>
      <c r="P18" s="1">
        <f>'2x7'!P12</f>
        <v>0.39574551868505903</v>
      </c>
      <c r="Q18" s="1">
        <f>'2x8'!P12</f>
        <v>0.41745415307940803</v>
      </c>
      <c r="R18" s="1">
        <f>'2x9'!P12</f>
        <v>0.43152504917387652</v>
      </c>
      <c r="S18" s="1">
        <f>'2x10'!P12</f>
        <v>0.44070083051200104</v>
      </c>
      <c r="T18">
        <v>6</v>
      </c>
      <c r="U18" s="1">
        <f>'3x4'!P12</f>
        <v>-0.3446606664985315</v>
      </c>
      <c r="V18" s="1">
        <f>'3x5'!P12</f>
        <v>-0.29264470122113273</v>
      </c>
      <c r="W18" s="1">
        <f>'3x6'!P12</f>
        <v>-0.25837226430380955</v>
      </c>
      <c r="X18" s="1">
        <f>'3x7'!P12</f>
        <v>-0.2357796651347705</v>
      </c>
      <c r="Y18" s="1">
        <f>'3x8'!P12</f>
        <v>-0.22087860553981603</v>
      </c>
      <c r="Z18" s="1">
        <f>'3x9'!P12</f>
        <v>-0.21104607088120142</v>
      </c>
      <c r="AA18" s="1">
        <f>'3x10'!P12</f>
        <v>-0.2045557504313753</v>
      </c>
    </row>
    <row r="19" spans="1:27" x14ac:dyDescent="0.2">
      <c r="A19">
        <v>7</v>
      </c>
      <c r="B19" s="1">
        <f>'1x2'!P12</f>
        <v>0.78726311845959329</v>
      </c>
      <c r="C19" s="1">
        <f>'1x3'!P12</f>
        <v>0.91234959918454017</v>
      </c>
      <c r="D19" s="1">
        <f>'1x4'!P12</f>
        <v>0.95020679903218586</v>
      </c>
      <c r="E19" s="1">
        <f>'1x5'!P12</f>
        <v>0.96518821270708899</v>
      </c>
      <c r="F19" s="1">
        <f>'1x6'!P12</f>
        <v>0.97231047604460741</v>
      </c>
      <c r="G19" s="1">
        <f>'1x7'!P12</f>
        <v>0.9761162226080945</v>
      </c>
      <c r="H19" s="1">
        <f>'1x8'!P12</f>
        <v>0.97830693077926101</v>
      </c>
      <c r="I19" s="1">
        <f>'1x9'!P12</f>
        <v>0.97962974315209106</v>
      </c>
      <c r="J19" s="1">
        <f>'1x10'!P12</f>
        <v>0.98045363164876431</v>
      </c>
      <c r="K19">
        <v>7</v>
      </c>
      <c r="L19" s="1">
        <f>'2x3'!P13</f>
        <v>9.4517248116220309E-2</v>
      </c>
      <c r="M19" s="1">
        <f>'2x4'!P13</f>
        <v>0.23552726143562169</v>
      </c>
      <c r="N19" s="1">
        <f>'2x5'!P13</f>
        <v>0.32406338966534765</v>
      </c>
      <c r="O19" s="1">
        <f>'2x6'!P13</f>
        <v>0.37996143887132966</v>
      </c>
      <c r="P19" s="1">
        <f>'2x7'!P13</f>
        <v>0.41559889720671911</v>
      </c>
      <c r="Q19" s="1">
        <f>'2x8'!P13</f>
        <v>0.43853642712814483</v>
      </c>
      <c r="R19" s="1">
        <f>'2x9'!P13</f>
        <v>0.45341400798778259</v>
      </c>
      <c r="S19" s="1">
        <f>'2x10'!P13</f>
        <v>0.46311921092452346</v>
      </c>
      <c r="T19">
        <v>7</v>
      </c>
      <c r="U19" s="1">
        <f>'3x4'!P13</f>
        <v>-0.34429196614087493</v>
      </c>
      <c r="V19" s="1">
        <f>'3x5'!P13</f>
        <v>-0.29206143962493708</v>
      </c>
      <c r="W19" s="1">
        <f>'3x6'!P13</f>
        <v>-0.25760057917144819</v>
      </c>
      <c r="X19" s="1">
        <f>'3x7'!P13</f>
        <v>-0.23485970245537474</v>
      </c>
      <c r="Y19" s="1">
        <f>'3x8'!P13</f>
        <v>-0.2198492807147906</v>
      </c>
      <c r="Z19" s="1">
        <f>'3x9'!P13</f>
        <v>-0.20993922405189142</v>
      </c>
      <c r="AA19" s="1">
        <f>'3x10'!P13</f>
        <v>-0.20339530307508707</v>
      </c>
    </row>
    <row r="20" spans="1:27" x14ac:dyDescent="0.2">
      <c r="A20">
        <v>8</v>
      </c>
      <c r="B20" s="1">
        <f>'1x2'!P13</f>
        <v>0.82322113601005353</v>
      </c>
      <c r="C20" s="1">
        <f>'1x3'!P13</f>
        <v>0.93867042719627214</v>
      </c>
      <c r="D20" s="1">
        <f>'1x4'!P13</f>
        <v>0.96889291274573874</v>
      </c>
      <c r="E20" s="1">
        <f>'1x5'!P13</f>
        <v>0.97974922084467053</v>
      </c>
      <c r="F20" s="1">
        <f>'1x6'!P13</f>
        <v>0.98460490668929124</v>
      </c>
      <c r="G20" s="1">
        <f>'1x7'!P13</f>
        <v>0.98710102299405089</v>
      </c>
      <c r="H20" s="1">
        <f>'1x8'!P13</f>
        <v>0.98850261287621255</v>
      </c>
      <c r="I20" s="1">
        <f>'1x9'!P13</f>
        <v>0.98933542091426485</v>
      </c>
      <c r="J20" s="1">
        <f>'1x10'!P13</f>
        <v>0.98984870408003267</v>
      </c>
      <c r="K20">
        <v>8</v>
      </c>
      <c r="L20" s="1">
        <f>'2x3'!P14</f>
        <v>9.7992409981239426E-2</v>
      </c>
      <c r="M20" s="1">
        <f>'2x4'!P14</f>
        <v>0.24243325711320984</v>
      </c>
      <c r="N20" s="1">
        <f>'2x5'!P14</f>
        <v>0.33398830893007336</v>
      </c>
      <c r="O20" s="1">
        <f>'2x6'!P14</f>
        <v>0.39213079726750943</v>
      </c>
      <c r="P20" s="1">
        <f>'2x7'!P14</f>
        <v>0.4293211493132626</v>
      </c>
      <c r="Q20" s="1">
        <f>'2x8'!P14</f>
        <v>0.45330146772678626</v>
      </c>
      <c r="R20" s="1">
        <f>'2x9'!P14</f>
        <v>0.46887103406721053</v>
      </c>
      <c r="S20" s="1">
        <f>'2x10'!P14</f>
        <v>0.47903345172033385</v>
      </c>
      <c r="T20">
        <v>8</v>
      </c>
      <c r="U20" s="1">
        <f>'3x4'!P14</f>
        <v>-0.34417109711621879</v>
      </c>
      <c r="V20" s="1">
        <f>'3x5'!P14</f>
        <v>-0.29185501592172247</v>
      </c>
      <c r="W20" s="1">
        <f>'3x6'!P14</f>
        <v>-0.25731419510475911</v>
      </c>
      <c r="X20" s="1">
        <f>'3x7'!P14</f>
        <v>-0.2345078524778369</v>
      </c>
      <c r="Y20" s="1">
        <f>'3x8'!P14</f>
        <v>-0.21944789857868929</v>
      </c>
      <c r="Z20" s="1">
        <f>'3x9'!P14</f>
        <v>-0.20950214386800758</v>
      </c>
      <c r="AA20" s="1">
        <f>'3x10'!P14</f>
        <v>-0.20293327162823727</v>
      </c>
    </row>
    <row r="21" spans="1:27" x14ac:dyDescent="0.2">
      <c r="A21">
        <v>9</v>
      </c>
      <c r="B21" s="1">
        <f>'1x2'!P14</f>
        <v>0.85087335565900601</v>
      </c>
      <c r="C21" s="1">
        <f>'1x3'!P14</f>
        <v>0.95668845561531102</v>
      </c>
      <c r="D21" s="1">
        <f>'1x4'!P14</f>
        <v>0.98045251061042371</v>
      </c>
      <c r="E21" s="1">
        <f>'1x5'!P14</f>
        <v>0.98816957364892055</v>
      </c>
      <c r="F21" s="1">
        <f>'1x6'!P14</f>
        <v>0.99141112996660907</v>
      </c>
      <c r="G21" s="1">
        <f>'1x7'!P14</f>
        <v>0.99301288835616719</v>
      </c>
      <c r="H21" s="1">
        <f>'1x8'!P14</f>
        <v>0.99388984394563762</v>
      </c>
      <c r="I21" s="1">
        <f>'1x9'!P14</f>
        <v>0.99440247910787727</v>
      </c>
      <c r="J21" s="1">
        <f>'1x10'!P14</f>
        <v>0.99471508856739732</v>
      </c>
      <c r="K21">
        <v>9</v>
      </c>
      <c r="L21" s="1">
        <f>'2x3'!P15</f>
        <v>9.9896233848562221E-2</v>
      </c>
      <c r="M21" s="1">
        <f>'2x4'!P15</f>
        <v>0.24669921822076313</v>
      </c>
      <c r="N21" s="1">
        <f>'2x5'!P15</f>
        <v>0.3405430211085087</v>
      </c>
      <c r="O21" s="1">
        <f>'2x6'!P15</f>
        <v>0.4004850498958733</v>
      </c>
      <c r="P21" s="1">
        <f>'2x7'!P15</f>
        <v>0.43896222612483321</v>
      </c>
      <c r="Q21" s="1">
        <f>'2x8'!P15</f>
        <v>0.46382398949759518</v>
      </c>
      <c r="R21" s="1">
        <f>'2x9'!P15</f>
        <v>0.4799856623245235</v>
      </c>
      <c r="S21" s="1">
        <f>'2x10'!P15</f>
        <v>0.49054230917457126</v>
      </c>
      <c r="T21">
        <v>9</v>
      </c>
      <c r="U21" s="1">
        <f>'3x4'!P15</f>
        <v>-0.34413146358494839</v>
      </c>
      <c r="V21" s="1">
        <f>'3x5'!P15</f>
        <v>-0.29178193110160822</v>
      </c>
      <c r="W21" s="1">
        <f>'3x6'!P15</f>
        <v>-0.25720785740851793</v>
      </c>
      <c r="X21" s="1">
        <f>'3x7'!P15</f>
        <v>-0.23437319796948203</v>
      </c>
      <c r="Y21" s="1">
        <f>'3x8'!P15</f>
        <v>-0.21929126886437844</v>
      </c>
      <c r="Z21" s="1">
        <f>'3x9'!P15</f>
        <v>-0.20932941306531072</v>
      </c>
      <c r="AA21" s="1">
        <f>'3x10'!P15</f>
        <v>-0.20274916486288092</v>
      </c>
    </row>
    <row r="22" spans="1:27" x14ac:dyDescent="0.2">
      <c r="A22">
        <v>10</v>
      </c>
      <c r="B22" s="1">
        <f>'1x2'!P15</f>
        <v>0.87271557334276084</v>
      </c>
      <c r="C22" s="1">
        <f>'1x3'!P15</f>
        <v>0.96921711504736108</v>
      </c>
      <c r="D22" s="1">
        <f>'1x4'!P15</f>
        <v>0.98767170981296737</v>
      </c>
      <c r="E22" s="1">
        <f>'1x5'!P15</f>
        <v>0.99307167027604371</v>
      </c>
      <c r="F22" s="1">
        <f>'1x6'!P15</f>
        <v>0.99519918395738138</v>
      </c>
      <c r="G22" s="1">
        <f>'1x7'!P15</f>
        <v>0.99620915495392237</v>
      </c>
      <c r="H22" s="1">
        <f>'1x8'!P15</f>
        <v>0.99674817186453157</v>
      </c>
      <c r="I22" s="1">
        <f>'1x9'!P15</f>
        <v>0.99705811545224121</v>
      </c>
      <c r="J22" s="1">
        <f>'1x10'!P15</f>
        <v>0.99724510892190754</v>
      </c>
      <c r="K22">
        <v>10</v>
      </c>
      <c r="L22" s="1">
        <f>'2x3'!P16</f>
        <v>0.10094202173464289</v>
      </c>
      <c r="M22" s="1">
        <f>'2x4'!P16</f>
        <v>0.2493490493880256</v>
      </c>
      <c r="N22" s="1">
        <f>'2x5'!P16</f>
        <v>0.34490738168172191</v>
      </c>
      <c r="O22" s="1">
        <f>'2x6'!P16</f>
        <v>0.40627852077931242</v>
      </c>
      <c r="P22" s="1">
        <f>'2x7'!P16</f>
        <v>0.44581408363534558</v>
      </c>
      <c r="Q22" s="1">
        <f>'2x8'!P16</f>
        <v>0.47141649171877703</v>
      </c>
      <c r="R22" s="1">
        <f>'2x9'!P16</f>
        <v>0.48808234729630517</v>
      </c>
      <c r="S22" s="1">
        <f>'2x10'!P16</f>
        <v>0.49897751372258348</v>
      </c>
      <c r="T22">
        <v>10</v>
      </c>
      <c r="U22" s="1">
        <f>'3x4'!P16</f>
        <v>-0.34411846651754896</v>
      </c>
      <c r="V22" s="1">
        <f>'3x5'!P16</f>
        <v>-0.2917560516250004</v>
      </c>
      <c r="W22" s="1">
        <f>'3x6'!P16</f>
        <v>-0.25716836524649056</v>
      </c>
      <c r="X22" s="1">
        <f>'3x7'!P16</f>
        <v>-0.23432165257171444</v>
      </c>
      <c r="Y22" s="1">
        <f>'3x8'!P16</f>
        <v>-0.21923013083736842</v>
      </c>
      <c r="Z22" s="1">
        <f>'3x9'!P16</f>
        <v>-0.20926113033841648</v>
      </c>
      <c r="AA22" s="1">
        <f>'3x10'!P16</f>
        <v>-0.20267577970449197</v>
      </c>
    </row>
    <row r="23" spans="1:27" x14ac:dyDescent="0.2">
      <c r="B23" s="331" t="s">
        <v>161</v>
      </c>
      <c r="C23" s="331"/>
      <c r="D23" s="331"/>
      <c r="E23" s="331"/>
      <c r="F23" s="331"/>
      <c r="G23" s="331"/>
      <c r="H23" s="331"/>
      <c r="I23" s="331"/>
      <c r="J23" s="331"/>
      <c r="L23" s="331" t="s">
        <v>161</v>
      </c>
      <c r="M23" s="331"/>
      <c r="N23" s="331"/>
      <c r="O23" s="331"/>
      <c r="P23" s="331"/>
      <c r="Q23" s="331"/>
      <c r="R23" s="331"/>
      <c r="S23" s="331"/>
      <c r="U23" s="331" t="s">
        <v>182</v>
      </c>
      <c r="V23" s="331"/>
      <c r="W23" s="331"/>
      <c r="X23" s="331"/>
      <c r="Y23" s="331"/>
      <c r="Z23" s="331"/>
      <c r="AA23" s="331"/>
    </row>
    <row r="24" spans="1:27" x14ac:dyDescent="0.2">
      <c r="A24" s="251" t="s">
        <v>59</v>
      </c>
      <c r="B24" s="270" t="s">
        <v>147</v>
      </c>
      <c r="C24" s="270" t="s">
        <v>148</v>
      </c>
      <c r="D24" s="270" t="s">
        <v>149</v>
      </c>
      <c r="E24" s="270" t="s">
        <v>150</v>
      </c>
      <c r="F24" s="270" t="s">
        <v>151</v>
      </c>
      <c r="G24" s="270" t="s">
        <v>152</v>
      </c>
      <c r="H24" s="270" t="s">
        <v>153</v>
      </c>
      <c r="I24" s="270" t="s">
        <v>154</v>
      </c>
      <c r="J24" s="270" t="s">
        <v>155</v>
      </c>
      <c r="K24" s="251" t="s">
        <v>59</v>
      </c>
      <c r="L24" s="270" t="s">
        <v>172</v>
      </c>
      <c r="M24" s="270" t="s">
        <v>173</v>
      </c>
      <c r="N24" s="270" t="s">
        <v>174</v>
      </c>
      <c r="O24" s="270" t="s">
        <v>175</v>
      </c>
      <c r="P24" s="270" t="s">
        <v>176</v>
      </c>
      <c r="Q24" s="270" t="s">
        <v>177</v>
      </c>
      <c r="R24" s="270" t="s">
        <v>178</v>
      </c>
      <c r="S24" s="270" t="s">
        <v>179</v>
      </c>
      <c r="T24" s="251" t="s">
        <v>59</v>
      </c>
      <c r="U24" s="270" t="s">
        <v>183</v>
      </c>
      <c r="V24" s="270" t="s">
        <v>184</v>
      </c>
      <c r="W24" s="270" t="s">
        <v>185</v>
      </c>
      <c r="X24" s="270" t="s">
        <v>186</v>
      </c>
      <c r="Y24" s="270" t="s">
        <v>187</v>
      </c>
      <c r="Z24" s="270" t="s">
        <v>188</v>
      </c>
      <c r="AA24" s="270" t="s">
        <v>189</v>
      </c>
    </row>
    <row r="25" spans="1:27" x14ac:dyDescent="0.2">
      <c r="A25">
        <v>2</v>
      </c>
      <c r="B25" s="1">
        <f>'1x2'!F20</f>
        <v>15.226997363333563</v>
      </c>
      <c r="C25" s="1">
        <f>'1x3'!F32</f>
        <v>22.414289320128095</v>
      </c>
      <c r="D25" s="1">
        <f>'1x4'!F32</f>
        <v>33.076291432420113</v>
      </c>
      <c r="E25" s="1">
        <f>'1x5'!F32</f>
        <v>46.679786420280962</v>
      </c>
      <c r="F25" s="1">
        <f>'1x6'!F32</f>
        <v>63.158266344433358</v>
      </c>
      <c r="G25" s="1">
        <f>'1x7'!F32</f>
        <v>82.515079141680019</v>
      </c>
      <c r="H25" s="1">
        <f>'1x8'!F32</f>
        <v>104.76396928957668</v>
      </c>
      <c r="I25" s="1">
        <f>'1x9'!F32</f>
        <v>129.91554464066041</v>
      </c>
      <c r="J25" s="1">
        <f>'1x10'!F32</f>
        <v>157.97461091466266</v>
      </c>
      <c r="K25">
        <v>2</v>
      </c>
      <c r="L25" s="1">
        <f>'2x3'!F20</f>
        <v>-191.66139826236648</v>
      </c>
      <c r="M25" s="1">
        <f>'2x4'!F20</f>
        <v>1525.7449130652037</v>
      </c>
      <c r="N25" s="1">
        <f>'2x5'!F20</f>
        <v>236.9378653433738</v>
      </c>
      <c r="O25" s="1">
        <f>'2x6'!F20</f>
        <v>155.12077605276127</v>
      </c>
      <c r="P25" s="1">
        <f>'2x7'!F20</f>
        <v>127.1738752196645</v>
      </c>
      <c r="Q25" s="1">
        <f>'2x8'!F20</f>
        <v>113.94344270143583</v>
      </c>
      <c r="R25" s="1">
        <f>'2x9'!F20</f>
        <v>106.72719211545675</v>
      </c>
      <c r="S25" s="1">
        <f>'2x10'!F20</f>
        <v>102.48538506111952</v>
      </c>
      <c r="T25">
        <v>2</v>
      </c>
      <c r="U25" s="1">
        <f>'3x4'!F20</f>
        <v>-122.05933990656801</v>
      </c>
      <c r="V25" s="1">
        <f>'3x5'!F20</f>
        <v>-136.45096295061526</v>
      </c>
      <c r="W25" s="1">
        <f>'3x6'!F20</f>
        <v>-147.67312159844994</v>
      </c>
      <c r="X25" s="1">
        <f>'3x7'!F20</f>
        <v>-156.00930801863601</v>
      </c>
      <c r="Y25" s="1">
        <f>'3x8'!F20</f>
        <v>-161.98302709404348</v>
      </c>
      <c r="Z25" s="1">
        <f>'3x9'!F20</f>
        <v>-166.15492862440342</v>
      </c>
      <c r="AA25" s="1">
        <f>'3x10'!F20</f>
        <v>-169.01649381717601</v>
      </c>
    </row>
    <row r="26" spans="1:27" x14ac:dyDescent="0.2">
      <c r="A26">
        <v>3</v>
      </c>
      <c r="B26" s="1">
        <f>'1x2'!F21</f>
        <v>24.683722066016188</v>
      </c>
      <c r="C26" s="1">
        <f>'1x3'!F33</f>
        <v>54.715497239227091</v>
      </c>
      <c r="D26" s="1">
        <f>'1x4'!F33</f>
        <v>108.09653001242086</v>
      </c>
      <c r="E26" s="1">
        <f>'1x5'!F33</f>
        <v>191.36661565825773</v>
      </c>
      <c r="F26" s="1">
        <f>'1x6'!F33</f>
        <v>311.44328307543663</v>
      </c>
      <c r="G26" s="1">
        <f>'1x7'!F33</f>
        <v>475.36313560322344</v>
      </c>
      <c r="H26" s="1">
        <f>'1x8'!F33</f>
        <v>690.21324226247464</v>
      </c>
      <c r="I26" s="1">
        <f>'1x9'!F33</f>
        <v>963.09575091481418</v>
      </c>
      <c r="J26" s="1">
        <f>'1x10'!F33</f>
        <v>1301.1067172739129</v>
      </c>
      <c r="K26">
        <v>3</v>
      </c>
      <c r="L26" s="1">
        <f>'2x3'!F21</f>
        <v>5733.4210704364523</v>
      </c>
      <c r="M26" s="1">
        <f>'2x4'!F21</f>
        <v>536.31458284724283</v>
      </c>
      <c r="N26" s="1">
        <f>'2x5'!F21</f>
        <v>345.91047721527519</v>
      </c>
      <c r="O26" s="1">
        <f>'2x6'!F21</f>
        <v>283.27485076639056</v>
      </c>
      <c r="P26" s="1">
        <f>'2x7'!F21</f>
        <v>254.0781912853233</v>
      </c>
      <c r="Q26" s="1">
        <f>'2x8'!F21</f>
        <v>238.28601161871569</v>
      </c>
      <c r="R26" s="1">
        <f>'2x9'!F21</f>
        <v>229.04926380507999</v>
      </c>
      <c r="S26" s="1">
        <f>'2x10'!F21</f>
        <v>223.39680754784246</v>
      </c>
      <c r="T26">
        <v>3</v>
      </c>
      <c r="U26" s="1">
        <f>'3x4'!F21</f>
        <v>-950.42084461017384</v>
      </c>
      <c r="V26" s="1">
        <f>'3x5'!F21</f>
        <v>-1094.8144190662454</v>
      </c>
      <c r="W26" s="1">
        <f>'3x6'!F21</f>
        <v>-1214.7652397703696</v>
      </c>
      <c r="X26" s="1">
        <f>'3x7'!F21</f>
        <v>-1308.3856277270318</v>
      </c>
      <c r="Y26" s="1">
        <f>'3x8'!F21</f>
        <v>-1377.9929943137888</v>
      </c>
      <c r="Z26" s="1">
        <f>'3x9'!F21</f>
        <v>-1427.910743086798</v>
      </c>
      <c r="AA26" s="1">
        <f>'3x10'!F21</f>
        <v>-1462.7915666207964</v>
      </c>
    </row>
    <row r="27" spans="1:27" x14ac:dyDescent="0.2">
      <c r="A27">
        <v>4</v>
      </c>
      <c r="B27" s="1">
        <f>'1x2'!F22</f>
        <v>44.74489452660238</v>
      </c>
      <c r="C27" s="1">
        <f>'1x3'!F34</f>
        <v>147.75686680470218</v>
      </c>
      <c r="D27" s="1">
        <f>'1x4'!F34</f>
        <v>391.75799394224481</v>
      </c>
      <c r="E27" s="1">
        <f>'1x5'!F34</f>
        <v>872.26154906057627</v>
      </c>
      <c r="F27" s="1">
        <f>'1x6'!F34</f>
        <v>1710.9584095837654</v>
      </c>
      <c r="G27" s="1">
        <f>'1x7'!F34</f>
        <v>3055.6622334175308</v>
      </c>
      <c r="H27" s="1">
        <f>'1x8'!F34</f>
        <v>5080.323973699974</v>
      </c>
      <c r="I27" s="1">
        <f>'1x9'!F34</f>
        <v>7984.9972394308998</v>
      </c>
      <c r="J27" s="1">
        <f>'1x10'!F34</f>
        <v>11995.765471914679</v>
      </c>
      <c r="K27">
        <v>4</v>
      </c>
      <c r="L27" s="1">
        <f>'2x3'!F22</f>
        <v>4710.3683172562605</v>
      </c>
      <c r="M27" s="1">
        <f>'2x4'!F22</f>
        <v>1467.4395855936673</v>
      </c>
      <c r="N27" s="1">
        <f>'2x5'!F22</f>
        <v>1033.2056258643647</v>
      </c>
      <c r="O27" s="1">
        <f>'2x6'!F22</f>
        <v>872.33621437108638</v>
      </c>
      <c r="P27" s="1">
        <f>'2x7'!F22</f>
        <v>793.95248808293297</v>
      </c>
      <c r="Q27" s="1">
        <f>'2x8'!F22</f>
        <v>750.62990289570462</v>
      </c>
      <c r="R27" s="1">
        <f>'2x9'!F22</f>
        <v>724.98772035568823</v>
      </c>
      <c r="S27" s="1">
        <f>'2x10'!F22</f>
        <v>709.18562930552457</v>
      </c>
      <c r="T27">
        <v>4</v>
      </c>
      <c r="U27" s="1">
        <f>'3x4'!F22</f>
        <v>-6872.2631597887821</v>
      </c>
      <c r="V27" s="1">
        <f>'3x5'!F22</f>
        <v>-8027.3901853363186</v>
      </c>
      <c r="W27" s="1">
        <f>'3x6'!F22</f>
        <v>-9019.3247082471407</v>
      </c>
      <c r="X27" s="1">
        <f>'3x7'!F22</f>
        <v>-9814.8761521996676</v>
      </c>
      <c r="Y27" s="1">
        <f>'3x8'!F22</f>
        <v>-10418.955018224597</v>
      </c>
      <c r="Z27" s="1">
        <f>'3x9'!F22</f>
        <v>-10858.948958538896</v>
      </c>
      <c r="AA27" s="1">
        <f>'3x10'!F22</f>
        <v>-11169.834736025672</v>
      </c>
    </row>
    <row r="28" spans="1:27" x14ac:dyDescent="0.2">
      <c r="A28">
        <v>5</v>
      </c>
      <c r="B28" s="1">
        <f>'1x2'!F23</f>
        <v>83.915287947298211</v>
      </c>
      <c r="C28" s="1">
        <f>'1x3'!F35</f>
        <v>415.803500036792</v>
      </c>
      <c r="D28" s="1">
        <f>'1x4'!F35</f>
        <v>1483.3629672426403</v>
      </c>
      <c r="E28" s="1">
        <f>'1x5'!F35</f>
        <v>4155.5199441146697</v>
      </c>
      <c r="F28" s="1">
        <f>'1x6'!F35</f>
        <v>9822.2174151104173</v>
      </c>
      <c r="G28" s="1">
        <f>'1x7'!F35</f>
        <v>20519.482684486396</v>
      </c>
      <c r="H28" s="1">
        <f>'1x8'!F35</f>
        <v>39054.753459310174</v>
      </c>
      <c r="I28" s="1">
        <f>'1x9'!F35</f>
        <v>69132.041529490496</v>
      </c>
      <c r="J28" s="1">
        <f>'1x10'!F35</f>
        <v>115476.77373153294</v>
      </c>
      <c r="K28">
        <v>5</v>
      </c>
      <c r="L28" s="1">
        <f>'2x3'!F23</f>
        <v>13399.925562630184</v>
      </c>
      <c r="M28" s="1">
        <f>'2x4'!F23</f>
        <v>4977.0078100783239</v>
      </c>
      <c r="N28" s="1">
        <f>'2x5'!F23</f>
        <v>3588.5220710862704</v>
      </c>
      <c r="O28" s="1">
        <f>'2x6'!F23</f>
        <v>3055.6787979934884</v>
      </c>
      <c r="P28" s="1">
        <f>'2x7'!F23</f>
        <v>2792.5591862521351</v>
      </c>
      <c r="Q28" s="1">
        <f>'2x8'!F23</f>
        <v>2646.2107312437142</v>
      </c>
      <c r="R28" s="1">
        <f>'2x9'!F23</f>
        <v>2559.2975585320105</v>
      </c>
      <c r="S28" s="1">
        <f>'2x10'!F23</f>
        <v>2505.6345791023305</v>
      </c>
      <c r="T28">
        <v>5</v>
      </c>
      <c r="U28" s="1">
        <f>'3x4'!F23</f>
        <v>-48602.287346993246</v>
      </c>
      <c r="V28" s="1">
        <f>'3x5'!F23</f>
        <v>-57106.046796923794</v>
      </c>
      <c r="W28" s="1">
        <f>'3x6'!F23</f>
        <v>-64525.641138916355</v>
      </c>
      <c r="X28" s="1">
        <f>'3x7'!F23</f>
        <v>-70557.401546088775</v>
      </c>
      <c r="Y28" s="1">
        <f>'3x8'!F23</f>
        <v>-75186.857915417495</v>
      </c>
      <c r="Z28" s="1">
        <f>'3x9'!F23</f>
        <v>-78586.142654440671</v>
      </c>
      <c r="AA28" s="1">
        <f>'3x10'!F23</f>
        <v>-81002.023658619015</v>
      </c>
    </row>
    <row r="29" spans="1:27" x14ac:dyDescent="0.2">
      <c r="A29">
        <v>6</v>
      </c>
      <c r="B29" s="1">
        <f>'1x2'!F24</f>
        <v>160.04814279441825</v>
      </c>
      <c r="C29" s="1">
        <f>'1x3'!F36</f>
        <v>1196.9096067735786</v>
      </c>
      <c r="D29" s="1">
        <f>'1x4'!F36</f>
        <v>5746.117587835799</v>
      </c>
      <c r="E29" s="1">
        <f>'1x5'!F36</f>
        <v>20234.395471142037</v>
      </c>
      <c r="F29" s="1">
        <f>'1x6'!F36</f>
        <v>57580.373120891367</v>
      </c>
      <c r="G29" s="1">
        <f>'1x7'!F36</f>
        <v>140614.40310177853</v>
      </c>
      <c r="H29" s="1">
        <f>'1x8'!F36</f>
        <v>306235.1809787986</v>
      </c>
      <c r="I29" s="1">
        <f>'1x9'!F36</f>
        <v>610302.0086714318</v>
      </c>
      <c r="J29" s="1">
        <f>'1x10'!F36</f>
        <v>1133261.1396742132</v>
      </c>
      <c r="K29">
        <v>6</v>
      </c>
      <c r="L29" s="1">
        <f>'2x3'!F24</f>
        <v>46458.777104332316</v>
      </c>
      <c r="M29" s="1">
        <f>'2x4'!F24</f>
        <v>18261.168649384486</v>
      </c>
      <c r="N29" s="1">
        <f>'2x5'!F24</f>
        <v>13258.933200366673</v>
      </c>
      <c r="O29" s="1">
        <f>'2x6'!F24</f>
        <v>11313.05779000001</v>
      </c>
      <c r="P29" s="1">
        <f>'2x7'!F24</f>
        <v>10347.558738268039</v>
      </c>
      <c r="Q29" s="1">
        <f>'2x8'!F24</f>
        <v>9809.4604396498835</v>
      </c>
      <c r="R29" s="1">
        <f>'2x9'!F24</f>
        <v>9489.5997528754851</v>
      </c>
      <c r="S29" s="1">
        <f>'2x10'!F24</f>
        <v>9292.0178871514199</v>
      </c>
      <c r="T29">
        <v>6</v>
      </c>
      <c r="U29" s="1">
        <f>'3x4'!F24</f>
        <v>-341344.43362860865</v>
      </c>
      <c r="V29" s="1">
        <f>'3x5'!F24</f>
        <v>-402016.50502839958</v>
      </c>
      <c r="W29" s="1">
        <f>'3x6'!F24</f>
        <v>-455342.9924725297</v>
      </c>
      <c r="X29" s="1">
        <f>'3x7'!F24</f>
        <v>-498974.32814128808</v>
      </c>
      <c r="Y29" s="1">
        <f>'3x8'!F24</f>
        <v>-532636.4665897555</v>
      </c>
      <c r="Z29" s="1">
        <f>'3x9'!F24</f>
        <v>-557451.7426871428</v>
      </c>
      <c r="AA29" s="1">
        <f>'3x10'!F24</f>
        <v>-575139.05012154009</v>
      </c>
    </row>
    <row r="30" spans="1:27" x14ac:dyDescent="0.2">
      <c r="A30">
        <v>7</v>
      </c>
      <c r="B30" s="1">
        <f>'1x2'!F25</f>
        <v>308.54407022525481</v>
      </c>
      <c r="C30" s="1">
        <f>'1x3'!F37</f>
        <v>3493.2388461348369</v>
      </c>
      <c r="D30" s="1">
        <f>'1x4'!F37</f>
        <v>22545.319211899739</v>
      </c>
      <c r="E30" s="1">
        <f>'1x5'!F37</f>
        <v>99673.465334127803</v>
      </c>
      <c r="F30" s="1">
        <f>'1x6'!F37</f>
        <v>341174.41190652718</v>
      </c>
      <c r="G30" s="1">
        <f>'1x7'!F37</f>
        <v>973354.27440418187</v>
      </c>
      <c r="H30" s="1">
        <f>'1x8'!F37</f>
        <v>2424620.804012116</v>
      </c>
      <c r="I30" s="1">
        <f>'1x9'!F37</f>
        <v>5438841.960219576</v>
      </c>
      <c r="J30" s="1">
        <f>'1x10'!F37</f>
        <v>11225058.894557716</v>
      </c>
      <c r="K30">
        <v>7</v>
      </c>
      <c r="L30" s="1">
        <f>'2x3'!F25</f>
        <v>173333.44258875516</v>
      </c>
      <c r="M30" s="1">
        <f>'2x4'!F25</f>
        <v>69558.826864201794</v>
      </c>
      <c r="N30" s="1">
        <f>'2x5'!F25</f>
        <v>50554.923889793055</v>
      </c>
      <c r="O30" s="1">
        <f>'2x6'!F25</f>
        <v>43117.533317763722</v>
      </c>
      <c r="P30" s="1">
        <f>'2x7'!F25</f>
        <v>39420.220097097823</v>
      </c>
      <c r="Q30" s="1">
        <f>'2x8'!F25</f>
        <v>37358.356082954815</v>
      </c>
      <c r="R30" s="1">
        <f>'2x9'!F25</f>
        <v>36132.540484813268</v>
      </c>
      <c r="S30" s="1">
        <f>'2x10'!F25</f>
        <v>35375.34097817853</v>
      </c>
      <c r="T30">
        <v>7</v>
      </c>
      <c r="U30" s="1">
        <f>'3x4'!F25</f>
        <v>-2391987.2694997159</v>
      </c>
      <c r="V30" s="1">
        <f>'3x5'!F25</f>
        <v>-2819756.0111241867</v>
      </c>
      <c r="W30" s="1">
        <f>'3x6'!F25</f>
        <v>-3196972.6257947767</v>
      </c>
      <c r="X30" s="1">
        <f>'3x7'!F25</f>
        <v>-3506527.4774265699</v>
      </c>
      <c r="Y30" s="1">
        <f>'3x8'!F25</f>
        <v>-3745939.0238732556</v>
      </c>
      <c r="Z30" s="1">
        <f>'3x9'!F25</f>
        <v>-3922763.8556787381</v>
      </c>
      <c r="AA30" s="1">
        <f>'3x10'!F25</f>
        <v>-4048972.5551625667</v>
      </c>
    </row>
    <row r="31" spans="1:27" x14ac:dyDescent="0.2">
      <c r="A31">
        <v>8</v>
      </c>
      <c r="B31" s="1">
        <f>'1x2'!F26</f>
        <v>599.38414642799842</v>
      </c>
      <c r="C31" s="1">
        <f>'1x3'!F38</f>
        <v>10285.480024603445</v>
      </c>
      <c r="D31" s="1">
        <f>'1x4'!F38</f>
        <v>89122.113569373949</v>
      </c>
      <c r="E31" s="1">
        <f>'1x5'!F38</f>
        <v>494125.71791395533</v>
      </c>
      <c r="F31" s="1">
        <f>'1x6'!F38</f>
        <v>2032999.1656114287</v>
      </c>
      <c r="G31" s="1">
        <f>'1x7'!F38</f>
        <v>6772923.1703463113</v>
      </c>
      <c r="H31" s="1">
        <f>'1x8'!F38</f>
        <v>19291836.129325364</v>
      </c>
      <c r="I31" s="1">
        <f>'1x9'!F38</f>
        <v>48700160.163967535</v>
      </c>
      <c r="J31" s="1">
        <f>'1x10'!F38</f>
        <v>111701442.22907464</v>
      </c>
      <c r="K31">
        <v>8</v>
      </c>
      <c r="L31" s="1">
        <f>'2x3'!F26</f>
        <v>668776.28596486838</v>
      </c>
      <c r="M31" s="1">
        <f>'2x4'!F26</f>
        <v>270321.82292298664</v>
      </c>
      <c r="N31" s="1">
        <f>'2x5'!F26</f>
        <v>196219.44315937409</v>
      </c>
      <c r="O31" s="1">
        <f>'2x6'!F26</f>
        <v>167125.35831581824</v>
      </c>
      <c r="P31" s="1">
        <f>'2x7'!F26</f>
        <v>152647.96552610805</v>
      </c>
      <c r="Q31" s="1">
        <f>'2x8'!F26</f>
        <v>144572.66226964709</v>
      </c>
      <c r="R31" s="1">
        <f>'2x9'!F26</f>
        <v>139771.91005278833</v>
      </c>
      <c r="S31" s="1">
        <f>'2x10'!F26</f>
        <v>136806.7298111369</v>
      </c>
      <c r="T31">
        <v>8</v>
      </c>
      <c r="U31" s="1">
        <f>'3x4'!F26</f>
        <v>-16749808.593175845</v>
      </c>
      <c r="V31" s="1">
        <f>'3x5'!F26</f>
        <v>-19752273.16821637</v>
      </c>
      <c r="W31" s="1">
        <f>'3x6'!F26</f>
        <v>-22403738.735257123</v>
      </c>
      <c r="X31" s="1">
        <f>'3x7'!F26</f>
        <v>-24582545.697674774</v>
      </c>
      <c r="Y31" s="1">
        <f>'3x8'!F26</f>
        <v>-26269561.191231307</v>
      </c>
      <c r="Z31" s="1">
        <f>'3x9'!F26</f>
        <v>-27516663.522221476</v>
      </c>
      <c r="AA31" s="1">
        <f>'3x10'!F26</f>
        <v>-28407367.376212221</v>
      </c>
    </row>
    <row r="32" spans="1:27" x14ac:dyDescent="0.2">
      <c r="A32">
        <v>9</v>
      </c>
      <c r="B32" s="1">
        <f>'1x2'!F27</f>
        <v>1171.0573653285862</v>
      </c>
      <c r="C32" s="1">
        <f>'1x3'!F39</f>
        <v>30460.667214442812</v>
      </c>
      <c r="D32" s="1">
        <f>'1x4'!F39</f>
        <v>353886.81940296578</v>
      </c>
      <c r="E32" s="1">
        <f>'1x5'!F39</f>
        <v>2458437.868156448</v>
      </c>
      <c r="F32" s="1">
        <f>'1x6'!F39</f>
        <v>12151571.459204376</v>
      </c>
      <c r="G32" s="1">
        <f>'1x7'!F39</f>
        <v>47258356.105126895</v>
      </c>
      <c r="H32" s="1">
        <f>'1x8'!F39</f>
        <v>153892118.72148538</v>
      </c>
      <c r="I32" s="1">
        <f>'1x9'!F39</f>
        <v>437134046.8978681</v>
      </c>
      <c r="J32" s="1">
        <f>'1x10'!F39</f>
        <v>1114180556.0733104</v>
      </c>
      <c r="K32">
        <v>9</v>
      </c>
      <c r="L32" s="1">
        <f>'2x3'!F27</f>
        <v>2624152.9825578402</v>
      </c>
      <c r="M32" s="1">
        <f>'2x4'!F27</f>
        <v>1062601.6648557708</v>
      </c>
      <c r="N32" s="1">
        <f>'2x5'!F27</f>
        <v>769779.39276715415</v>
      </c>
      <c r="O32" s="1">
        <f>'2x6'!F27</f>
        <v>654563.75979117712</v>
      </c>
      <c r="P32" s="1">
        <f>'2x7'!F27</f>
        <v>597188.05946972547</v>
      </c>
      <c r="Q32" s="1">
        <f>'2x8'!F27</f>
        <v>565177.7526297163</v>
      </c>
      <c r="R32" s="1">
        <f>'2x9'!F27</f>
        <v>546147.56351359992</v>
      </c>
      <c r="S32" s="1">
        <f>'2x10'!F27</f>
        <v>534394.27159933338</v>
      </c>
      <c r="T32">
        <v>9</v>
      </c>
      <c r="U32" s="1">
        <f>'3x4'!F27</f>
        <v>-117262181.08516185</v>
      </c>
      <c r="V32" s="1">
        <f>'3x5'!F27</f>
        <v>-138300565.24626786</v>
      </c>
      <c r="W32" s="1">
        <f>'3x6'!F27</f>
        <v>-156891031.2716738</v>
      </c>
      <c r="X32" s="1">
        <f>'3x7'!F27</f>
        <v>-172176709.40878865</v>
      </c>
      <c r="Y32" s="1">
        <f>'3x8'!F27</f>
        <v>-184018297.71415499</v>
      </c>
      <c r="Z32" s="1">
        <f>'3x9'!F27</f>
        <v>-192775613.36977372</v>
      </c>
      <c r="AA32" s="1">
        <f>'3x10'!F27</f>
        <v>-199032168.77510253</v>
      </c>
    </row>
    <row r="33" spans="1:27" x14ac:dyDescent="0.2">
      <c r="A33">
        <v>10</v>
      </c>
      <c r="B33" s="1">
        <f>'1x2'!F28</f>
        <v>2298.0078537041554</v>
      </c>
      <c r="C33" s="1">
        <f>'1x3'!F40</f>
        <v>90562.214613462973</v>
      </c>
      <c r="D33" s="1">
        <f>'1x4'!F40</f>
        <v>1409080.9639140377</v>
      </c>
      <c r="E33" s="1">
        <f>'1x5'!F40</f>
        <v>12256833.380939871</v>
      </c>
      <c r="F33" s="1">
        <f>'1x6'!F40</f>
        <v>72754851.181153402</v>
      </c>
      <c r="G33" s="1">
        <f>'1x7'!F40</f>
        <v>330234243.55958146</v>
      </c>
      <c r="H33" s="1">
        <f>'1x8'!F40</f>
        <v>1229262523.261209</v>
      </c>
      <c r="I33" s="1">
        <f>'1x9'!F40</f>
        <v>3928711123.3489676</v>
      </c>
      <c r="J33" s="1">
        <f>'1x10'!F40</f>
        <v>11127100785.470407</v>
      </c>
      <c r="K33">
        <v>10</v>
      </c>
      <c r="L33" s="1">
        <f>'2x3'!F28</f>
        <v>10387893.782794459</v>
      </c>
      <c r="M33" s="1">
        <f>'2x4'!F28</f>
        <v>4205249.6393048428</v>
      </c>
      <c r="N33" s="1">
        <f>'2x5'!F28</f>
        <v>3040163.9851466487</v>
      </c>
      <c r="O33" s="1">
        <f>'2x6'!F28</f>
        <v>2580926.4983751834</v>
      </c>
      <c r="P33" s="1">
        <f>'2x7'!F28</f>
        <v>2352045.4792488874</v>
      </c>
      <c r="Q33" s="1">
        <f>'2x8'!F28</f>
        <v>2224306.9948124052</v>
      </c>
      <c r="R33" s="1">
        <f>'2x9'!F28</f>
        <v>2148356.738998042</v>
      </c>
      <c r="S33" s="1">
        <f>'2x10'!F28</f>
        <v>2101447.4022630532</v>
      </c>
      <c r="T33">
        <v>10</v>
      </c>
      <c r="U33" s="1">
        <f>'3x4'!F28</f>
        <v>-820866287.29526389</v>
      </c>
      <c r="V33" s="1">
        <f>'3x5'!F28</f>
        <v>-968189850.48190463</v>
      </c>
      <c r="W33" s="1">
        <f>'3x6'!F28</f>
        <v>-1098405893.4669251</v>
      </c>
      <c r="X33" s="1">
        <f>'3x7'!F28</f>
        <v>-1205502116.0007741</v>
      </c>
      <c r="Y33" s="1">
        <f>'3x8'!F28</f>
        <v>-1288487339.404768</v>
      </c>
      <c r="Z33" s="1">
        <f>'3x9'!F28</f>
        <v>-1349869646.3274467</v>
      </c>
      <c r="AA33" s="1">
        <f>'3x10'!F28</f>
        <v>-1393729672.1485829</v>
      </c>
    </row>
    <row r="34" spans="1:27" x14ac:dyDescent="0.2">
      <c r="B34" s="331" t="s">
        <v>162</v>
      </c>
      <c r="C34" s="331"/>
      <c r="D34" s="331"/>
      <c r="E34" s="331"/>
      <c r="F34" s="331"/>
      <c r="G34" s="331"/>
      <c r="H34" s="331"/>
      <c r="I34" s="331"/>
      <c r="J34" s="331"/>
      <c r="L34" s="331" t="s">
        <v>180</v>
      </c>
      <c r="M34" s="331"/>
      <c r="N34" s="331"/>
      <c r="O34" s="331"/>
      <c r="P34" s="331"/>
      <c r="Q34" s="331"/>
      <c r="R34" s="331"/>
      <c r="S34" s="331"/>
      <c r="U34" s="331" t="s">
        <v>180</v>
      </c>
      <c r="V34" s="331"/>
      <c r="W34" s="331"/>
      <c r="X34" s="331"/>
      <c r="Y34" s="331"/>
      <c r="Z34" s="331"/>
      <c r="AA34" s="331"/>
    </row>
    <row r="35" spans="1:27" x14ac:dyDescent="0.2">
      <c r="A35" s="251" t="s">
        <v>59</v>
      </c>
      <c r="B35" s="270" t="s">
        <v>147</v>
      </c>
      <c r="C35" s="270" t="s">
        <v>148</v>
      </c>
      <c r="D35" s="270" t="s">
        <v>149</v>
      </c>
      <c r="E35" s="270" t="s">
        <v>150</v>
      </c>
      <c r="F35" s="270" t="s">
        <v>151</v>
      </c>
      <c r="G35" s="270" t="s">
        <v>152</v>
      </c>
      <c r="H35" s="270" t="s">
        <v>153</v>
      </c>
      <c r="I35" s="270" t="s">
        <v>154</v>
      </c>
      <c r="J35" s="270" t="s">
        <v>155</v>
      </c>
      <c r="K35" s="251" t="s">
        <v>59</v>
      </c>
      <c r="L35" s="270" t="s">
        <v>172</v>
      </c>
      <c r="M35" s="270" t="s">
        <v>173</v>
      </c>
      <c r="N35" s="270" t="s">
        <v>174</v>
      </c>
      <c r="O35" s="270" t="s">
        <v>175</v>
      </c>
      <c r="P35" s="270" t="s">
        <v>176</v>
      </c>
      <c r="Q35" s="270" t="s">
        <v>177</v>
      </c>
      <c r="R35" s="270" t="s">
        <v>178</v>
      </c>
      <c r="S35" s="270" t="s">
        <v>179</v>
      </c>
      <c r="T35" s="251" t="s">
        <v>59</v>
      </c>
      <c r="U35" s="270" t="s">
        <v>183</v>
      </c>
      <c r="V35" s="270" t="s">
        <v>184</v>
      </c>
      <c r="W35" s="270" t="s">
        <v>185</v>
      </c>
      <c r="X35" s="270" t="s">
        <v>186</v>
      </c>
      <c r="Y35" s="270" t="s">
        <v>187</v>
      </c>
      <c r="Z35" s="270" t="s">
        <v>188</v>
      </c>
      <c r="AA35" s="270" t="s">
        <v>189</v>
      </c>
    </row>
    <row r="36" spans="1:27" x14ac:dyDescent="0.2">
      <c r="A36">
        <v>2</v>
      </c>
      <c r="B36" s="1">
        <f>'1x2'!F32</f>
        <v>20.302663151111418</v>
      </c>
      <c r="C36" s="1">
        <f>'1x3'!F20</f>
        <v>28.017861650160118</v>
      </c>
      <c r="D36" s="1">
        <f>'1x4'!F20</f>
        <v>39.691549718904142</v>
      </c>
      <c r="E36" s="1">
        <f>'1x5'!F20</f>
        <v>54.459750823661118</v>
      </c>
      <c r="F36" s="1">
        <f>'1x6'!F20</f>
        <v>72.180875822209558</v>
      </c>
      <c r="G36" s="1">
        <f>'1x7'!F20</f>
        <v>92.829464034390014</v>
      </c>
      <c r="H36" s="1">
        <f>'1x8'!F20</f>
        <v>116.40441032175187</v>
      </c>
      <c r="I36" s="218">
        <f>'1x9'!F20</f>
        <v>142.90709910472646</v>
      </c>
      <c r="J36" s="1">
        <f>'1x10'!F20</f>
        <v>172.33593917963199</v>
      </c>
      <c r="K36">
        <v>2</v>
      </c>
      <c r="L36" s="1">
        <f>'2x3'!F32</f>
        <v>-153.32911860989319</v>
      </c>
      <c r="M36" s="1">
        <f>'2x4'!F32</f>
        <v>1220.595930452163</v>
      </c>
      <c r="N36" s="1">
        <f>'2x5'!F32</f>
        <v>189.55029227469905</v>
      </c>
      <c r="O36" s="1">
        <f>'2x6'!F32</f>
        <v>124.09662084220902</v>
      </c>
      <c r="P36" s="1">
        <f>'2x7'!F32</f>
        <v>101.73910017573159</v>
      </c>
      <c r="Q36" s="1">
        <f>'2x8'!F32</f>
        <v>91.154754161148659</v>
      </c>
      <c r="R36" s="218">
        <f>'2x9'!F32</f>
        <v>85.381753692365393</v>
      </c>
      <c r="S36" s="1">
        <f>'2x10'!F32</f>
        <v>81.988308048895618</v>
      </c>
      <c r="T36">
        <v>2</v>
      </c>
      <c r="U36" s="1">
        <f>'3x4'!F32</f>
        <v>-106.801922418247</v>
      </c>
      <c r="V36" s="1">
        <f>'3x5'!F20</f>
        <v>-136.45096295061526</v>
      </c>
      <c r="W36" s="1">
        <f>'3x6'!F20</f>
        <v>-147.67312159844994</v>
      </c>
      <c r="X36" s="1">
        <f>'3x7'!F20</f>
        <v>-156.00930801863601</v>
      </c>
      <c r="Y36" s="1">
        <f>'3x8'!F20</f>
        <v>-161.98302709404348</v>
      </c>
      <c r="Z36" s="218">
        <f>'3x9'!F20</f>
        <v>-166.15492862440342</v>
      </c>
      <c r="AA36" s="1">
        <f>'3x10'!F20</f>
        <v>-169.01649381717601</v>
      </c>
    </row>
    <row r="37" spans="1:27" x14ac:dyDescent="0.2">
      <c r="A37">
        <v>3</v>
      </c>
      <c r="B37" s="1">
        <f>'1x2'!F33</f>
        <v>45.84119812260149</v>
      </c>
      <c r="C37" s="1">
        <f>'1x3'!F21</f>
        <v>88.386572463366832</v>
      </c>
      <c r="D37" s="1">
        <f>'1x4'!F21</f>
        <v>159.57106811357363</v>
      </c>
      <c r="E37" s="1">
        <f>'1x5'!F21</f>
        <v>265.44401526790591</v>
      </c>
      <c r="F37" s="1">
        <f>'1x6'!F21</f>
        <v>412.84342175116024</v>
      </c>
      <c r="G37" s="1">
        <f>'1x7'!F21</f>
        <v>608.79840173746163</v>
      </c>
      <c r="H37" s="1">
        <f>'1x8'!F21</f>
        <v>860.40280884774234</v>
      </c>
      <c r="I37" s="218">
        <f>'1x9'!F21</f>
        <v>1174.7651467202679</v>
      </c>
      <c r="J37" s="1">
        <f>'1x10'!F21</f>
        <v>1558.9837243011748</v>
      </c>
      <c r="K37">
        <v>3</v>
      </c>
      <c r="L37" s="1">
        <f>'2x3'!F33</f>
        <v>3549.260662651137</v>
      </c>
      <c r="M37" s="1">
        <f>'2x4'!F33</f>
        <v>332.00426557210267</v>
      </c>
      <c r="N37" s="1">
        <f>'2x5'!F33</f>
        <v>214.13505732374176</v>
      </c>
      <c r="O37" s="1">
        <f>'2x6'!F33</f>
        <v>175.3606219030037</v>
      </c>
      <c r="P37" s="1">
        <f>'2x7'!F33</f>
        <v>157.28649936710491</v>
      </c>
      <c r="Q37" s="1">
        <f>'2x8'!F33</f>
        <v>147.51038814491923</v>
      </c>
      <c r="R37" s="218">
        <f>'2x9'!F33</f>
        <v>141.79240140314477</v>
      </c>
      <c r="S37" s="1">
        <f>'2x10'!F33</f>
        <v>138.29326181533105</v>
      </c>
      <c r="T37">
        <v>3</v>
      </c>
      <c r="U37" s="1">
        <f>'3x4'!F33</f>
        <v>-716.98414593399082</v>
      </c>
      <c r="V37" s="1">
        <f>'3x5'!F21</f>
        <v>-1094.8144190662454</v>
      </c>
      <c r="W37" s="1">
        <f>'3x6'!F21</f>
        <v>-1214.7652397703696</v>
      </c>
      <c r="X37" s="1">
        <f>'3x7'!F21</f>
        <v>-1308.3856277270318</v>
      </c>
      <c r="Y37" s="1">
        <f>'3x8'!F21</f>
        <v>-1377.9929943137888</v>
      </c>
      <c r="Z37" s="218">
        <f>'3x9'!F21</f>
        <v>-1427.910743086798</v>
      </c>
      <c r="AA37" s="1">
        <f>'3x10'!F21</f>
        <v>-1462.7915666207964</v>
      </c>
    </row>
    <row r="38" spans="1:27" x14ac:dyDescent="0.2">
      <c r="A38">
        <v>4</v>
      </c>
      <c r="B38" s="1">
        <f>'1x2'!F34</f>
        <v>119.31971873760634</v>
      </c>
      <c r="C38" s="1">
        <f>'1x3'!F22</f>
        <v>313.98334195999217</v>
      </c>
      <c r="D38" s="1">
        <f>'1x4'!F22</f>
        <v>718.99114182341395</v>
      </c>
      <c r="E38" s="1">
        <f>'1x5'!F22</f>
        <v>1448.1778282480082</v>
      </c>
      <c r="F38" s="1">
        <f>'1x6'!F22</f>
        <v>2642.4068101679773</v>
      </c>
      <c r="G38" s="1">
        <f>'1x7'!F22</f>
        <v>4468.9060163731392</v>
      </c>
      <c r="H38" s="1">
        <f>'1x8'!F22</f>
        <v>7121.1378776649208</v>
      </c>
      <c r="I38" s="218">
        <f>'1x9'!F22</f>
        <v>10818.69747927772</v>
      </c>
      <c r="J38" s="1">
        <f>'1x10'!F22</f>
        <v>15807.201305925375</v>
      </c>
      <c r="K38">
        <v>4</v>
      </c>
      <c r="L38" s="1">
        <f>'2x3'!F34</f>
        <v>2216.6439140029461</v>
      </c>
      <c r="M38" s="1">
        <f>'2x4'!F34</f>
        <v>690.55980498525525</v>
      </c>
      <c r="N38" s="1">
        <f>'2x5'!F34</f>
        <v>486.21441217146571</v>
      </c>
      <c r="O38" s="1">
        <f>'2x6'!F34</f>
        <v>410.51115970404061</v>
      </c>
      <c r="P38" s="1">
        <f>'2x7'!F34</f>
        <v>373.62470027432141</v>
      </c>
      <c r="Q38" s="1">
        <f>'2x8'!F34</f>
        <v>353.23760136268453</v>
      </c>
      <c r="R38" s="218">
        <f>'2x9'!F34</f>
        <v>341.17069193208857</v>
      </c>
      <c r="S38" s="1">
        <f>'2x10'!F34</f>
        <v>333.73441379083511</v>
      </c>
      <c r="T38">
        <v>4</v>
      </c>
      <c r="U38" s="1">
        <f>'3x4'!F34</f>
        <v>-4449.7903959632367</v>
      </c>
      <c r="V38" s="1">
        <f>'3x5'!F22</f>
        <v>-8027.3901853363186</v>
      </c>
      <c r="W38" s="1">
        <f>'3x6'!F22</f>
        <v>-9019.3247082471407</v>
      </c>
      <c r="X38" s="1">
        <f>'3x7'!F22</f>
        <v>-9814.8761521996676</v>
      </c>
      <c r="Y38" s="1">
        <f>'3x8'!F22</f>
        <v>-10418.955018224597</v>
      </c>
      <c r="Z38" s="218">
        <f>'3x9'!F22</f>
        <v>-10858.948958538896</v>
      </c>
      <c r="AA38" s="1">
        <f>'3x10'!F22</f>
        <v>-11169.834736025672</v>
      </c>
    </row>
    <row r="39" spans="1:27" x14ac:dyDescent="0.2">
      <c r="A39">
        <v>5</v>
      </c>
      <c r="B39" s="1">
        <f>'1x2'!F35</f>
        <v>327.5403174717124</v>
      </c>
      <c r="C39" s="1">
        <f>'1x3'!F23</f>
        <v>1171.8098637400501</v>
      </c>
      <c r="D39" s="1">
        <f>'1x4'!F23</f>
        <v>3397.3796991686277</v>
      </c>
      <c r="E39" s="1">
        <f>'1x5'!F23</f>
        <v>8273.7945110093624</v>
      </c>
      <c r="F39" s="1">
        <f>'1x6'!F23</f>
        <v>17692.624424259986</v>
      </c>
      <c r="G39" s="1">
        <f>'1x7'!F23</f>
        <v>34291.930898279483</v>
      </c>
      <c r="H39" s="1">
        <f>'1x8'!F23</f>
        <v>61581.528580040242</v>
      </c>
      <c r="I39" s="218">
        <f>'1x9'!F23</f>
        <v>104068.02783283687</v>
      </c>
      <c r="J39" s="1">
        <f>'1x10'!F23</f>
        <v>167379.48348000523</v>
      </c>
      <c r="K39">
        <v>5</v>
      </c>
      <c r="L39" s="1">
        <f>'2x3'!F35</f>
        <v>4754.8122964171616</v>
      </c>
      <c r="M39" s="1">
        <f>'2x4'!F35</f>
        <v>1766.0350293826311</v>
      </c>
      <c r="N39" s="1">
        <f>'2x5'!F35</f>
        <v>1273.3465413531926</v>
      </c>
      <c r="O39" s="1">
        <f>'2x6'!F35</f>
        <v>1084.2731218686572</v>
      </c>
      <c r="P39" s="1">
        <f>'2x7'!F35</f>
        <v>990.90809834753179</v>
      </c>
      <c r="Q39" s="1">
        <f>'2x8'!F35</f>
        <v>938.97800140905986</v>
      </c>
      <c r="R39" s="218">
        <f>'2x9'!F35</f>
        <v>908.13784335006824</v>
      </c>
      <c r="S39" s="1">
        <f>'2x10'!F35</f>
        <v>889.09614097179474</v>
      </c>
      <c r="T39">
        <v>5</v>
      </c>
      <c r="U39" s="1">
        <f>'3x4'!F35</f>
        <v>-26981.991011986607</v>
      </c>
      <c r="V39" s="1">
        <f>'3x5'!F23</f>
        <v>-57106.046796923794</v>
      </c>
      <c r="W39" s="1">
        <f>'3x6'!F23</f>
        <v>-64525.641138916355</v>
      </c>
      <c r="X39" s="1">
        <f>'3x7'!F23</f>
        <v>-70557.401546088775</v>
      </c>
      <c r="Y39" s="1">
        <f>'3x8'!F23</f>
        <v>-75186.857915417495</v>
      </c>
      <c r="Z39" s="218">
        <f>'3x9'!F23</f>
        <v>-78586.142654440671</v>
      </c>
      <c r="AA39" s="1">
        <f>'3x10'!F23</f>
        <v>-81002.023658619015</v>
      </c>
    </row>
    <row r="40" spans="1:27" x14ac:dyDescent="0.2">
      <c r="A40">
        <v>6</v>
      </c>
      <c r="B40" s="1">
        <f>'1x2'!F36</f>
        <v>924.7226028121944</v>
      </c>
      <c r="C40" s="1">
        <f>'1x3'!F24</f>
        <v>4488.4110254009192</v>
      </c>
      <c r="D40" s="1">
        <f>'1x4'!F24</f>
        <v>16442.736482114749</v>
      </c>
      <c r="E40" s="1">
        <f>'1x5'!F24</f>
        <v>48337.722514394867</v>
      </c>
      <c r="F40" s="1">
        <f>'1x6'!F24</f>
        <v>120998.38775634315</v>
      </c>
      <c r="G40" s="1">
        <f>'1x7'!F24</f>
        <v>268557.15941240842</v>
      </c>
      <c r="H40" s="1">
        <f>'1x8'!F24</f>
        <v>543224.2001768162</v>
      </c>
      <c r="I40" s="218">
        <f>'1x9'!F24</f>
        <v>1020792.8117641346</v>
      </c>
      <c r="J40" s="1">
        <f>'1x10'!F24</f>
        <v>1806877.9010190254</v>
      </c>
      <c r="K40">
        <v>6</v>
      </c>
      <c r="L40" s="1">
        <f>'2x3'!F36</f>
        <v>12389.007227821952</v>
      </c>
      <c r="M40" s="1">
        <f>'2x4'!F36</f>
        <v>4869.6449731691964</v>
      </c>
      <c r="N40" s="1">
        <f>'2x5'!F36</f>
        <v>3535.7155200977795</v>
      </c>
      <c r="O40" s="1">
        <f>'2x6'!F36</f>
        <v>3016.8154106666693</v>
      </c>
      <c r="P40" s="1">
        <f>'2x7'!F36</f>
        <v>2759.3489968714771</v>
      </c>
      <c r="Q40" s="1">
        <f>'2x8'!F36</f>
        <v>2615.8561172399691</v>
      </c>
      <c r="R40" s="218">
        <f>'2x9'!F36</f>
        <v>2530.5599341001293</v>
      </c>
      <c r="S40" s="1">
        <f>'2x10'!F36</f>
        <v>2477.8714365737119</v>
      </c>
      <c r="T40">
        <v>6</v>
      </c>
      <c r="U40" s="1">
        <f>'3x4'!F36</f>
        <v>-162438.03091536858</v>
      </c>
      <c r="V40" s="1">
        <f>'3x5'!F24</f>
        <v>-402016.50502839958</v>
      </c>
      <c r="W40" s="1">
        <f>'3x6'!F24</f>
        <v>-455342.9924725297</v>
      </c>
      <c r="X40" s="1">
        <f>'3x7'!F24</f>
        <v>-498974.32814128808</v>
      </c>
      <c r="Y40" s="1">
        <f>'3x8'!F24</f>
        <v>-532636.4665897555</v>
      </c>
      <c r="Z40" s="218">
        <f>'3x9'!F24</f>
        <v>-557451.7426871428</v>
      </c>
      <c r="AA40" s="1">
        <f>'3x10'!F24</f>
        <v>-575139.05012154009</v>
      </c>
    </row>
    <row r="41" spans="1:27" x14ac:dyDescent="0.2">
      <c r="A41">
        <v>7</v>
      </c>
      <c r="B41" s="1">
        <f>'1x2'!F37</f>
        <v>2655.4225886315235</v>
      </c>
      <c r="C41" s="1">
        <f>'1x3'!F25</f>
        <v>17453.4101909811</v>
      </c>
      <c r="D41" s="1">
        <f>'1x4'!F25</f>
        <v>80632.233936570919</v>
      </c>
      <c r="E41" s="1">
        <f>'1x5'!F25</f>
        <v>285721.07437723689</v>
      </c>
      <c r="F41" s="1">
        <f>'1x6'!F25</f>
        <v>836418.74462025473</v>
      </c>
      <c r="G41" s="1">
        <f>'1x7'!F25</f>
        <v>2124555.5937516633</v>
      </c>
      <c r="H41" s="1">
        <f>'1x8'!F25</f>
        <v>4838599.2486991612</v>
      </c>
      <c r="I41" s="218">
        <f>'1x9'!F25</f>
        <v>10107794.372467529</v>
      </c>
      <c r="J41" s="1">
        <f>'1x10'!F25</f>
        <v>19687018.753145121</v>
      </c>
      <c r="K41">
        <v>7</v>
      </c>
      <c r="L41" s="1">
        <f>'2x3'!F37</f>
        <v>34692.080708571579</v>
      </c>
      <c r="M41" s="1">
        <f>'2x4'!F37</f>
        <v>13921.955276061628</v>
      </c>
      <c r="N41" s="1">
        <f>'2x5'!F37</f>
        <v>10118.390736411611</v>
      </c>
      <c r="O41" s="1">
        <f>'2x6'!F37</f>
        <v>8629.8230939966579</v>
      </c>
      <c r="P41" s="1">
        <f>'2x7'!F37</f>
        <v>7889.8188181885953</v>
      </c>
      <c r="Q41" s="1">
        <f>'2x8'!F37</f>
        <v>7477.1439660629212</v>
      </c>
      <c r="R41" s="218">
        <f>'2x9'!F37</f>
        <v>7231.8012726425377</v>
      </c>
      <c r="S41" s="1">
        <f>'2x10'!F37</f>
        <v>7080.2504466488062</v>
      </c>
      <c r="T41">
        <v>7</v>
      </c>
      <c r="U41" s="1">
        <f>'3x4'!F37</f>
        <v>-975689.33648178657</v>
      </c>
      <c r="V41" s="1">
        <f>'3x5'!F25</f>
        <v>-2819756.0111241867</v>
      </c>
      <c r="W41" s="1">
        <f>'3x6'!F25</f>
        <v>-3196972.6257947767</v>
      </c>
      <c r="X41" s="1">
        <f>'3x7'!F25</f>
        <v>-3506527.4774265699</v>
      </c>
      <c r="Y41" s="1">
        <f>'3x8'!F25</f>
        <v>-3745939.0238732556</v>
      </c>
      <c r="Z41" s="218">
        <f>'3x9'!F25</f>
        <v>-3922763.8556787381</v>
      </c>
      <c r="AA41" s="1">
        <f>'3x10'!F25</f>
        <v>-4048972.5551625667</v>
      </c>
    </row>
    <row r="42" spans="1:27" x14ac:dyDescent="0.2">
      <c r="A42">
        <v>8</v>
      </c>
      <c r="B42" s="1">
        <f>'1x2'!F38</f>
        <v>7709.7254913091556</v>
      </c>
      <c r="C42" s="1">
        <f>'1x3'!F26</f>
        <v>68501.924127275066</v>
      </c>
      <c r="D42" s="1">
        <f>'1x4'!F26</f>
        <v>398411.95343240019</v>
      </c>
      <c r="E42" s="1">
        <f>'1x5'!F26</f>
        <v>1699723.4531294503</v>
      </c>
      <c r="F42" s="1">
        <f>'1x6'!F26</f>
        <v>5814742.0638642209</v>
      </c>
      <c r="G42" s="1">
        <f>'1x7'!F26</f>
        <v>16895264.096494246</v>
      </c>
      <c r="H42" s="1">
        <f>'1x8'!F26</f>
        <v>43311359.163415007</v>
      </c>
      <c r="I42" s="218">
        <f>'1x9'!F26</f>
        <v>100562901.94460744</v>
      </c>
      <c r="J42" s="1">
        <f>'1x10'!F26</f>
        <v>215497766.61045995</v>
      </c>
      <c r="K42">
        <v>8</v>
      </c>
      <c r="L42" s="1">
        <f>'2x3'!F38</f>
        <v>100415.94039664767</v>
      </c>
      <c r="M42" s="1">
        <f>'2x4'!F38</f>
        <v>40588.490692945576</v>
      </c>
      <c r="N42" s="1">
        <f>'2x5'!F38</f>
        <v>29462.109112508446</v>
      </c>
      <c r="O42" s="1">
        <f>'2x6'!F38</f>
        <v>25093.667900017572</v>
      </c>
      <c r="P42" s="1">
        <f>'2x7'!F38</f>
        <v>22919.905100738586</v>
      </c>
      <c r="Q42" s="1">
        <f>'2x8'!F38</f>
        <v>21707.408205284617</v>
      </c>
      <c r="R42" s="218">
        <f>'2x9'!F38</f>
        <v>20986.581138619626</v>
      </c>
      <c r="S42" s="1">
        <f>'2x10'!F38</f>
        <v>20541.362956307119</v>
      </c>
      <c r="T42">
        <v>8</v>
      </c>
      <c r="U42" s="1">
        <f>'3x4'!F38</f>
        <v>-5856209.3589148726</v>
      </c>
      <c r="V42" s="1">
        <f>'3x5'!F26</f>
        <v>-19752273.16821637</v>
      </c>
      <c r="W42" s="1">
        <f>'3x6'!F26</f>
        <v>-22403738.735257123</v>
      </c>
      <c r="X42" s="1">
        <f>'3x7'!F26</f>
        <v>-24582545.697674774</v>
      </c>
      <c r="Y42" s="1">
        <f>'3x8'!F26</f>
        <v>-26269561.191231307</v>
      </c>
      <c r="Z42" s="218">
        <f>'3x9'!F26</f>
        <v>-27516663.522221476</v>
      </c>
      <c r="AA42" s="1">
        <f>'3x10'!F26</f>
        <v>-28407367.376212221</v>
      </c>
    </row>
    <row r="43" spans="1:27" x14ac:dyDescent="0.2">
      <c r="A43">
        <v>9</v>
      </c>
      <c r="B43" s="1">
        <f>'1x2'!F39</f>
        <v>22552.593996474789</v>
      </c>
      <c r="C43" s="1">
        <f>'1x3'!F27</f>
        <v>270468.81026981276</v>
      </c>
      <c r="D43" s="1">
        <f>'1x4'!F27</f>
        <v>1977503.2337109845</v>
      </c>
      <c r="E43" s="1">
        <f>'1x5'!F27</f>
        <v>10148003.715782877</v>
      </c>
      <c r="F43" s="1">
        <f>'1x6'!F27</f>
        <v>40548270.78890381</v>
      </c>
      <c r="G43" s="1">
        <f>'1x7'!F27</f>
        <v>134728461.72168329</v>
      </c>
      <c r="H43" s="1">
        <f>'1x8'!F27</f>
        <v>388684422.94234222</v>
      </c>
      <c r="I43" s="218">
        <f>'1x9'!F27</f>
        <v>1002950563.7657083</v>
      </c>
      <c r="J43" s="1">
        <f>'1x10'!F27</f>
        <v>2364461523.9568415</v>
      </c>
      <c r="K43">
        <v>9</v>
      </c>
      <c r="L43" s="1">
        <f>'2x3'!F39</f>
        <v>295536.66702545981</v>
      </c>
      <c r="M43" s="1">
        <f>'2x4'!F39</f>
        <v>119672.04522545679</v>
      </c>
      <c r="N43" s="1">
        <f>'2x5'!F39</f>
        <v>86693.892313221004</v>
      </c>
      <c r="O43" s="1">
        <f>'2x6'!F39</f>
        <v>73718.107598962859</v>
      </c>
      <c r="P43" s="1">
        <f>'2x7'!F39</f>
        <v>67256.356567692856</v>
      </c>
      <c r="Q43" s="1">
        <f>'2x8'!F39</f>
        <v>63651.300209759997</v>
      </c>
      <c r="R43" s="218">
        <f>'2x9'!F39</f>
        <v>61508.087256238039</v>
      </c>
      <c r="S43" s="1">
        <f>'2x10'!F39</f>
        <v>60184.411105492494</v>
      </c>
      <c r="T43">
        <v>9</v>
      </c>
      <c r="U43" s="1">
        <f>'3x4'!F39</f>
        <v>-35141320.337350674</v>
      </c>
      <c r="V43" s="1">
        <f>'3x5'!F27</f>
        <v>-138300565.24626786</v>
      </c>
      <c r="W43" s="1">
        <f>'3x6'!F27</f>
        <v>-156891031.2716738</v>
      </c>
      <c r="X43" s="1">
        <f>'3x7'!F27</f>
        <v>-172176709.40878865</v>
      </c>
      <c r="Y43" s="1">
        <f>'3x8'!F27</f>
        <v>-184018297.71415499</v>
      </c>
      <c r="Z43" s="218">
        <f>'3x9'!F27</f>
        <v>-192775613.36977372</v>
      </c>
      <c r="AA43" s="1">
        <f>'3x10'!F27</f>
        <v>-199032168.77510253</v>
      </c>
    </row>
    <row r="44" spans="1:27" x14ac:dyDescent="0.2">
      <c r="A44">
        <v>10</v>
      </c>
      <c r="B44" s="1">
        <f>'1x2'!F40</f>
        <v>66321.000853139281</v>
      </c>
      <c r="C44" s="1">
        <f>'1x3'!F28</f>
        <v>1072136.5012454493</v>
      </c>
      <c r="D44" s="1">
        <f>'1x4'!F28</f>
        <v>9842325.2121751364</v>
      </c>
      <c r="E44" s="1">
        <f>'1x5'!F28</f>
        <v>60712870.547360979</v>
      </c>
      <c r="F44" s="1">
        <f>'1x6'!F28</f>
        <v>283236104.46390617</v>
      </c>
      <c r="G44" s="1">
        <f>'1x7'!F28</f>
        <v>1075956681.0308614</v>
      </c>
      <c r="H44" s="1">
        <f>'1x8'!F28</f>
        <v>3492833785.1568847</v>
      </c>
      <c r="I44" s="218">
        <f>'1x9'!F28</f>
        <v>10015496412.252686</v>
      </c>
      <c r="J44" s="1">
        <f>'1x10'!F28</f>
        <v>25974750390.174026</v>
      </c>
      <c r="K44">
        <v>10</v>
      </c>
      <c r="L44" s="1">
        <f>'2x3'!F40</f>
        <v>877454.19081102521</v>
      </c>
      <c r="M44" s="1">
        <f>'2x4'!F40</f>
        <v>355212.90422955772</v>
      </c>
      <c r="N44" s="1">
        <f>'2x5'!F40</f>
        <v>256799.37485865006</v>
      </c>
      <c r="O44" s="1">
        <f>'2x6'!F40</f>
        <v>218008.07935921298</v>
      </c>
      <c r="P44" s="1">
        <f>'2x7'!F40</f>
        <v>198674.7463825024</v>
      </c>
      <c r="Q44" s="1">
        <f>'2x8'!F40</f>
        <v>187884.81429036963</v>
      </c>
      <c r="R44" s="218">
        <f>'2x9'!F40</f>
        <v>181469.37804785979</v>
      </c>
      <c r="S44" s="1">
        <f>'2x10'!F40</f>
        <v>177506.99693702706</v>
      </c>
      <c r="T44">
        <v>10</v>
      </c>
      <c r="U44" s="1">
        <f>'3x4'!F40</f>
        <v>-210855903.01007488</v>
      </c>
      <c r="V44" s="1">
        <f>'3x5'!F28</f>
        <v>-968189850.48190463</v>
      </c>
      <c r="W44" s="1">
        <f>'3x6'!F28</f>
        <v>-1098405893.4669251</v>
      </c>
      <c r="X44" s="1">
        <f>'3x7'!F28</f>
        <v>-1205502116.0007741</v>
      </c>
      <c r="Y44" s="1">
        <f>'3x8'!F28</f>
        <v>-1288487339.404768</v>
      </c>
      <c r="Z44" s="218">
        <f>'3x9'!F28</f>
        <v>-1349869646.3274467</v>
      </c>
      <c r="AA44" s="1">
        <f>'3x10'!F28</f>
        <v>-1393729672.1485829</v>
      </c>
    </row>
    <row r="45" spans="1:27" x14ac:dyDescent="0.2">
      <c r="B45" s="331" t="s">
        <v>164</v>
      </c>
      <c r="C45" s="331"/>
      <c r="D45" s="331"/>
      <c r="E45" s="331"/>
      <c r="F45" s="331"/>
      <c r="G45" s="331"/>
      <c r="H45" s="331"/>
      <c r="I45" s="331"/>
      <c r="J45" s="331"/>
      <c r="L45" s="331" t="s">
        <v>181</v>
      </c>
      <c r="M45" s="331"/>
      <c r="N45" s="331"/>
      <c r="O45" s="331"/>
      <c r="P45" s="331"/>
      <c r="Q45" s="331"/>
      <c r="R45" s="331"/>
      <c r="S45" s="331"/>
      <c r="U45" s="331" t="s">
        <v>164</v>
      </c>
      <c r="V45" s="331"/>
      <c r="W45" s="331"/>
      <c r="X45" s="331"/>
      <c r="Y45" s="331"/>
      <c r="Z45" s="331"/>
      <c r="AA45" s="331"/>
    </row>
    <row r="46" spans="1:27" x14ac:dyDescent="0.2">
      <c r="A46" s="251" t="s">
        <v>59</v>
      </c>
      <c r="B46" s="270" t="s">
        <v>147</v>
      </c>
      <c r="C46" s="270" t="s">
        <v>148</v>
      </c>
      <c r="D46" s="270" t="s">
        <v>149</v>
      </c>
      <c r="E46" s="270" t="s">
        <v>150</v>
      </c>
      <c r="F46" s="270" t="s">
        <v>151</v>
      </c>
      <c r="G46" s="270" t="s">
        <v>152</v>
      </c>
      <c r="H46" s="270" t="s">
        <v>153</v>
      </c>
      <c r="I46" s="270" t="s">
        <v>154</v>
      </c>
      <c r="J46" s="270" t="s">
        <v>155</v>
      </c>
      <c r="K46" s="251" t="s">
        <v>59</v>
      </c>
      <c r="L46" s="270" t="s">
        <v>172</v>
      </c>
      <c r="M46" s="270" t="s">
        <v>173</v>
      </c>
      <c r="N46" s="270" t="s">
        <v>174</v>
      </c>
      <c r="O46" s="270" t="s">
        <v>175</v>
      </c>
      <c r="P46" s="270" t="s">
        <v>176</v>
      </c>
      <c r="Q46" s="270" t="s">
        <v>177</v>
      </c>
      <c r="R46" s="270" t="s">
        <v>178</v>
      </c>
      <c r="S46" s="270" t="s">
        <v>179</v>
      </c>
      <c r="T46" s="251" t="s">
        <v>59</v>
      </c>
      <c r="U46" s="270" t="s">
        <v>183</v>
      </c>
      <c r="V46" s="270" t="s">
        <v>184</v>
      </c>
      <c r="W46" s="270" t="s">
        <v>185</v>
      </c>
      <c r="X46" s="270" t="s">
        <v>186</v>
      </c>
      <c r="Y46" s="270" t="s">
        <v>187</v>
      </c>
      <c r="Z46" s="270" t="s">
        <v>188</v>
      </c>
      <c r="AA46" s="270" t="s">
        <v>189</v>
      </c>
    </row>
    <row r="47" spans="1:27" x14ac:dyDescent="0.2">
      <c r="A47">
        <v>2</v>
      </c>
      <c r="B47" s="1">
        <f>'1x2'!F44</f>
        <v>25.378328938889272</v>
      </c>
      <c r="C47" s="1">
        <f>'1x3'!F44</f>
        <v>39.225006310224167</v>
      </c>
      <c r="D47" s="1">
        <f>'1x4'!F44</f>
        <v>59.537324578356213</v>
      </c>
      <c r="E47" s="1">
        <f>'1x5'!F44</f>
        <v>85.579608437181761</v>
      </c>
      <c r="F47" s="1">
        <f>'1x6'!F44</f>
        <v>117.29392321109052</v>
      </c>
      <c r="G47" s="1">
        <f>'1x7'!F44</f>
        <v>154.71577339065001</v>
      </c>
      <c r="H47" s="1">
        <f>'1x8'!F44</f>
        <v>197.88749754697815</v>
      </c>
      <c r="I47" s="218">
        <f>'1x9'!F44</f>
        <v>246.83953481725479</v>
      </c>
      <c r="J47" s="1">
        <f>'1x10'!F44</f>
        <v>301.58789356435602</v>
      </c>
      <c r="K47">
        <v>2</v>
      </c>
      <c r="L47" s="1">
        <f>'2x3'!F44</f>
        <v>-268.32595756731308</v>
      </c>
      <c r="M47" s="1">
        <f>'2x4'!F44</f>
        <v>2136.0428782912854</v>
      </c>
      <c r="N47" s="1">
        <f>'2x5'!F44</f>
        <v>331.71301148072331</v>
      </c>
      <c r="O47" s="1">
        <f>'2x6'!F44</f>
        <v>217.1690864738658</v>
      </c>
      <c r="P47" s="1">
        <f>'2x7'!F44</f>
        <v>178.0434253075303</v>
      </c>
      <c r="Q47" s="1">
        <f>'2x8'!F44</f>
        <v>159.52081978201016</v>
      </c>
      <c r="R47" s="218">
        <f>'2x9'!F44</f>
        <v>149.41806896163945</v>
      </c>
      <c r="S47" s="1">
        <f>'2x10'!F44</f>
        <v>143.47953908556732</v>
      </c>
      <c r="T47">
        <v>2</v>
      </c>
      <c r="U47" s="1">
        <f>'3x4'!F44</f>
        <v>-198.34642734817302</v>
      </c>
      <c r="V47" s="1">
        <f>'3x5'!F44</f>
        <v>-221.7328147947498</v>
      </c>
      <c r="W47" s="1">
        <f>'3x6'!F44</f>
        <v>-239.96882259748116</v>
      </c>
      <c r="X47" s="1">
        <f>'3x7'!F44</f>
        <v>-253.51512553028348</v>
      </c>
      <c r="Y47" s="1">
        <f>'3x8'!F44</f>
        <v>-263.22241902782065</v>
      </c>
      <c r="Z47" s="218">
        <f>'3x9'!F44</f>
        <v>-270.00175901465559</v>
      </c>
      <c r="AA47" s="1">
        <f>'3x10'!F32</f>
        <v>-147.889432090029</v>
      </c>
    </row>
    <row r="48" spans="1:27" x14ac:dyDescent="0.2">
      <c r="A48">
        <v>3</v>
      </c>
      <c r="B48" s="1">
        <f>'1x2'!F45</f>
        <v>74.051166198048563</v>
      </c>
      <c r="C48" s="1">
        <f>'1x3'!F45</f>
        <v>180.98202932975116</v>
      </c>
      <c r="D48" s="1">
        <f>'1x4'!F45</f>
        <v>375.76412813841534</v>
      </c>
      <c r="E48" s="1">
        <f>'1x5'!F45</f>
        <v>685.21594638924546</v>
      </c>
      <c r="F48" s="1">
        <f>'1x6'!F45</f>
        <v>1137.130126577757</v>
      </c>
      <c r="G48" s="1">
        <f>'1x7'!F45</f>
        <v>1759.6775721452657</v>
      </c>
      <c r="H48" s="1">
        <f>'1x8'!F45</f>
        <v>2581.2084265432268</v>
      </c>
      <c r="I48" s="218">
        <f>'1x9'!F45</f>
        <v>3630.1301380635305</v>
      </c>
      <c r="J48" s="1">
        <f>'1x10'!F45</f>
        <v>4934.828179930787</v>
      </c>
      <c r="K48">
        <v>3</v>
      </c>
      <c r="L48" s="1">
        <f>'2x3'!F45</f>
        <v>11739.862191846069</v>
      </c>
      <c r="M48" s="1">
        <f>'2x4'!F45</f>
        <v>1098.1679553538781</v>
      </c>
      <c r="N48" s="1">
        <f>'2x5'!F45</f>
        <v>708.29288191699197</v>
      </c>
      <c r="O48" s="1">
        <f>'2x6'!F45</f>
        <v>580.03898014070455</v>
      </c>
      <c r="P48" s="1">
        <f>'2x7'!F45</f>
        <v>520.25534406042391</v>
      </c>
      <c r="Q48" s="1">
        <f>'2x8'!F45</f>
        <v>487.91897617165591</v>
      </c>
      <c r="R48" s="218">
        <f>'2x9'!F45</f>
        <v>469.00563541040191</v>
      </c>
      <c r="S48" s="1">
        <f>'2x10'!F45</f>
        <v>457.4315583122488</v>
      </c>
      <c r="T48">
        <v>3</v>
      </c>
      <c r="U48" s="1">
        <f>'3x4'!F45</f>
        <v>-2617.8258351543386</v>
      </c>
      <c r="V48" s="1">
        <f>'3x5'!F45</f>
        <v>-3015.5414700596584</v>
      </c>
      <c r="W48" s="1">
        <f>'3x6'!F45</f>
        <v>-3345.9323270868072</v>
      </c>
      <c r="X48" s="1">
        <f>'3x7'!F45</f>
        <v>-3603.7990097042803</v>
      </c>
      <c r="Y48" s="1">
        <f>'3x8'!F45</f>
        <v>-3795.524563285348</v>
      </c>
      <c r="Z48" s="218">
        <f>'3x9'!F45</f>
        <v>-3933.017309905742</v>
      </c>
      <c r="AA48" s="1">
        <f>'3x10'!F33</f>
        <v>-1103.5094274507762</v>
      </c>
    </row>
    <row r="49" spans="1:27" x14ac:dyDescent="0.2">
      <c r="A49">
        <v>4</v>
      </c>
      <c r="B49" s="1">
        <f>'1x2'!F46</f>
        <v>253.55440231741346</v>
      </c>
      <c r="C49" s="1">
        <f>'1x3'!F46</f>
        <v>956.72571256044671</v>
      </c>
      <c r="D49" s="1">
        <f>'1x4'!F46</f>
        <v>2696.2167818378025</v>
      </c>
      <c r="E49" s="1">
        <f>'1x5'!F46</f>
        <v>6212.0678269634636</v>
      </c>
      <c r="F49" s="1">
        <f>'1x6'!F46</f>
        <v>12452.342092916593</v>
      </c>
      <c r="G49" s="1">
        <f>'1x7'!F46</f>
        <v>22573.704749372009</v>
      </c>
      <c r="H49" s="1">
        <f>'1x8'!F46</f>
        <v>37941.769984778097</v>
      </c>
      <c r="I49" s="218">
        <f>'1x9'!F46</f>
        <v>60130.92433351928</v>
      </c>
      <c r="J49" s="1">
        <f>'1x10'!F46</f>
        <v>90923.799315025666</v>
      </c>
      <c r="K49">
        <v>4</v>
      </c>
      <c r="L49" s="1">
        <f>'2x3'!F46</f>
        <v>14352.769343169077</v>
      </c>
      <c r="M49" s="1">
        <f>'2x4'!F46</f>
        <v>4471.3747372795278</v>
      </c>
      <c r="N49" s="1">
        <f>'2x5'!F46</f>
        <v>3148.2383188102403</v>
      </c>
      <c r="O49" s="1">
        <f>'2x6'!F46</f>
        <v>2658.0597590836633</v>
      </c>
      <c r="P49" s="1">
        <f>'2x7'!F46</f>
        <v>2419.219934276231</v>
      </c>
      <c r="Q49" s="1">
        <f>'2x8'!F46</f>
        <v>2287.2134688233823</v>
      </c>
      <c r="R49" s="218">
        <f>'2x9'!F46</f>
        <v>2209.0802302602733</v>
      </c>
      <c r="S49" s="1">
        <f>'2x10'!F46</f>
        <v>2160.9303292956574</v>
      </c>
      <c r="T49">
        <v>4</v>
      </c>
      <c r="U49" s="1">
        <f>'3x4'!F46</f>
        <v>-32385.540140504636</v>
      </c>
      <c r="V49" s="1">
        <f>'3x5'!F46</f>
        <v>-37829.076248397403</v>
      </c>
      <c r="W49" s="1">
        <f>'3x6'!F46</f>
        <v>-42503.567687614646</v>
      </c>
      <c r="X49" s="1">
        <f>'3x7'!F46</f>
        <v>-46252.603867240934</v>
      </c>
      <c r="Y49" s="1">
        <f>'3x8'!F46</f>
        <v>-49099.325523383413</v>
      </c>
      <c r="Z49" s="218">
        <f>'3x9'!F46</f>
        <v>-51172.796967114555</v>
      </c>
      <c r="AA49" s="1">
        <f>'3x10'!F34</f>
        <v>-7232.4679915766228</v>
      </c>
    </row>
    <row r="50" spans="1:27" x14ac:dyDescent="0.2">
      <c r="A50">
        <v>5</v>
      </c>
      <c r="B50" s="1">
        <f>'1x2'!F47</f>
        <v>923.06816742028036</v>
      </c>
      <c r="C50" s="1">
        <f>'1x3'!F47</f>
        <v>5343.5904343571201</v>
      </c>
      <c r="D50" s="1">
        <f>'1x4'!F47</f>
        <v>20362.528004876243</v>
      </c>
      <c r="E50" s="1">
        <f>'1x5'!F47</f>
        <v>59119.055184453391</v>
      </c>
      <c r="F50" s="1">
        <f>'1x6'!F47</f>
        <v>142886.41810110144</v>
      </c>
      <c r="G50" s="1">
        <f>'1x7'!F47</f>
        <v>303074.4441770392</v>
      </c>
      <c r="H50" s="1">
        <f>'1x8'!F47</f>
        <v>583234.89437579096</v>
      </c>
      <c r="I50" s="218">
        <f>'1x9'!F47</f>
        <v>1041064.2931912206</v>
      </c>
      <c r="J50" s="1">
        <f>'1x10'!F47</f>
        <v>1750401.7377948437</v>
      </c>
      <c r="K50">
        <v>5</v>
      </c>
      <c r="L50" s="1">
        <f>'2x3'!F47</f>
        <v>61105.232404369308</v>
      </c>
      <c r="M50" s="1">
        <f>'2x4'!F47</f>
        <v>22695.739427190012</v>
      </c>
      <c r="N50" s="1">
        <f>'2x5'!F47</f>
        <v>16364.081585158798</v>
      </c>
      <c r="O50" s="1">
        <f>'2x6'!F47</f>
        <v>13934.253756245967</v>
      </c>
      <c r="P50" s="1">
        <f>'2x7'!F47</f>
        <v>12734.397462234809</v>
      </c>
      <c r="Q50" s="1">
        <f>'2x8'!F47</f>
        <v>12067.031340422216</v>
      </c>
      <c r="R50" s="218">
        <f>'2x9'!F47</f>
        <v>11670.697077763272</v>
      </c>
      <c r="S50" s="1">
        <f>'2x10'!F47</f>
        <v>11425.987596786288</v>
      </c>
      <c r="T50">
        <v>5</v>
      </c>
      <c r="U50" s="1">
        <f>'3x4'!F47</f>
        <v>-392514.22423289332</v>
      </c>
      <c r="V50" s="1">
        <f>'3x5'!F47</f>
        <v>-461190.96201114357</v>
      </c>
      <c r="W50" s="1">
        <f>'3x6'!F47</f>
        <v>-521111.93438180181</v>
      </c>
      <c r="X50" s="1">
        <f>'3x7'!F47</f>
        <v>-569824.69845557807</v>
      </c>
      <c r="Y50" s="1">
        <f>'3x8'!F47</f>
        <v>-607212.39303986402</v>
      </c>
      <c r="Z50" s="218">
        <f>'3x9'!F47</f>
        <v>-634665.16707822285</v>
      </c>
      <c r="AA50" s="1">
        <f>'3x10'!F35</f>
        <v>-44968.992070386492</v>
      </c>
    </row>
    <row r="51" spans="1:27" x14ac:dyDescent="0.2">
      <c r="A51">
        <v>6</v>
      </c>
      <c r="B51" s="1">
        <f>'1x2'!F48</f>
        <v>3467.7097605457288</v>
      </c>
      <c r="C51" s="1">
        <f>'1x3'!F48</f>
        <v>30682.317419791929</v>
      </c>
      <c r="D51" s="1">
        <f>'1x4'!F48</f>
        <v>157645.6831845149</v>
      </c>
      <c r="E51" s="1">
        <f>'1x5'!F48</f>
        <v>575592.40020329319</v>
      </c>
      <c r="F51" s="1">
        <f>'1x6'!F48</f>
        <v>1675100.7421268164</v>
      </c>
      <c r="G51" s="1">
        <f>'1x7'!F48</f>
        <v>4153567.8908881387</v>
      </c>
      <c r="H51" s="1">
        <f>'1x8'!F48</f>
        <v>9146258.4169496559</v>
      </c>
      <c r="I51" s="218">
        <f>'1x9'!F48</f>
        <v>18380894.542933892</v>
      </c>
      <c r="J51" s="1">
        <f>'1x10'!F48</f>
        <v>34355739.948002927</v>
      </c>
      <c r="K51">
        <v>6</v>
      </c>
      <c r="L51" s="1">
        <f>'2x3'!F48</f>
        <v>317587.43528243579</v>
      </c>
      <c r="M51" s="1">
        <f>'2x4'!F48</f>
        <v>124831.47594681806</v>
      </c>
      <c r="N51" s="1">
        <f>'2x5'!F48</f>
        <v>90636.707467121931</v>
      </c>
      <c r="O51" s="1">
        <f>'2x6'!F48</f>
        <v>77334.902738820572</v>
      </c>
      <c r="P51" s="1">
        <f>'2x7'!F48</f>
        <v>70734.8502467246</v>
      </c>
      <c r="Q51" s="1">
        <f>'2x8'!F48</f>
        <v>67056.465466939975</v>
      </c>
      <c r="R51" s="218">
        <f>'2x9'!F48</f>
        <v>64869.93061837447</v>
      </c>
      <c r="S51" s="1">
        <f>'2x10'!F48</f>
        <v>63519.281249091502</v>
      </c>
      <c r="T51">
        <v>6</v>
      </c>
      <c r="U51" s="1">
        <f>'3x4'!F48</f>
        <v>-4725569.6930735772</v>
      </c>
      <c r="V51" s="1">
        <f>'3x5'!F48</f>
        <v>-5565513.379206148</v>
      </c>
      <c r="W51" s="1">
        <f>'3x6'!F48</f>
        <v>-6303764.8579990612</v>
      </c>
      <c r="X51" s="1">
        <f>'3x7'!F48</f>
        <v>-6907796.7307699444</v>
      </c>
      <c r="Y51" s="1">
        <f>'3x8'!F48</f>
        <v>-7373815.114503718</v>
      </c>
      <c r="Z51" s="218">
        <f>'3x9'!F48</f>
        <v>-7717357.6044294666</v>
      </c>
      <c r="AA51" s="1">
        <f>'3x10'!F36</f>
        <v>-273695.55674643465</v>
      </c>
    </row>
    <row r="52" spans="1:27" x14ac:dyDescent="0.2">
      <c r="A52">
        <v>7</v>
      </c>
      <c r="B52" s="1">
        <f>'1x2'!F49</f>
        <v>13267.395019685957</v>
      </c>
      <c r="C52" s="1">
        <f>'1x3'!F49</f>
        <v>178935.0075741547</v>
      </c>
      <c r="D52" s="1">
        <f>'1x4'!F49</f>
        <v>1236846.698159802</v>
      </c>
      <c r="E52" s="1">
        <f>'1x5'!F49</f>
        <v>5670384.7084567146</v>
      </c>
      <c r="F52" s="1">
        <f>'1x6'!F49</f>
        <v>19850217.957696646</v>
      </c>
      <c r="G52" s="1">
        <f>'1x7'!F49</f>
        <v>57502844.873803854</v>
      </c>
      <c r="H52" s="1">
        <f>'1x8'!F49</f>
        <v>144830751.21413788</v>
      </c>
      <c r="I52" s="218">
        <f>'1x9'!F49</f>
        <v>327610313.0932858</v>
      </c>
      <c r="J52" s="1">
        <f>'1x10'!F49</f>
        <v>680593112.0818342</v>
      </c>
      <c r="K52">
        <v>7</v>
      </c>
      <c r="L52" s="1">
        <f>'2x3'!F49</f>
        <v>1777040.7343374172</v>
      </c>
      <c r="M52" s="1">
        <f>'2x4'!F49</f>
        <v>713127.63956163079</v>
      </c>
      <c r="N52" s="1">
        <f>'2x5'!F49</f>
        <v>518296.74488515727</v>
      </c>
      <c r="O52" s="1">
        <f>'2x6'!F49</f>
        <v>442047.48907922313</v>
      </c>
      <c r="P52" s="1">
        <f>'2x7'!F49</f>
        <v>404142.0733521728</v>
      </c>
      <c r="Q52" s="1">
        <f>'2x8'!F49</f>
        <v>383003.53085815621</v>
      </c>
      <c r="R52" s="218">
        <f>'2x9'!F49</f>
        <v>370436.28348713426</v>
      </c>
      <c r="S52" s="1">
        <f>'2x10'!F49</f>
        <v>362673.35933808482</v>
      </c>
      <c r="T52">
        <v>7</v>
      </c>
      <c r="U52" s="1">
        <f>'3x4'!F49</f>
        <v>-56767580.780560158</v>
      </c>
      <c r="V52" s="1">
        <f>'3x5'!F49</f>
        <v>-66919556.464211926</v>
      </c>
      <c r="W52" s="1">
        <f>'3x6'!F49</f>
        <v>-75871809.228316665</v>
      </c>
      <c r="X52" s="1">
        <f>'3x7'!F49</f>
        <v>-83218286.473447427</v>
      </c>
      <c r="Y52" s="1">
        <f>'3x8'!F49</f>
        <v>-88900095.267335191</v>
      </c>
      <c r="Z52" s="218">
        <f>'3x9'!F49</f>
        <v>-93096571.582874328</v>
      </c>
      <c r="AA52" s="1">
        <f>'3x10'!F37</f>
        <v>-1651572.0615042339</v>
      </c>
    </row>
    <row r="53" spans="1:27" x14ac:dyDescent="0.2">
      <c r="A53">
        <v>8</v>
      </c>
      <c r="B53" s="1">
        <f>'1x2'!F50</f>
        <v>51347.241877331864</v>
      </c>
      <c r="C53" s="1">
        <f>'1x3'!F50</f>
        <v>1053393.0811905069</v>
      </c>
      <c r="D53" s="1">
        <f>'1x4'!F50</f>
        <v>9778117.6510336082</v>
      </c>
      <c r="E53" s="1">
        <f>'1x5'!F50</f>
        <v>56220669.489807546</v>
      </c>
      <c r="F53" s="1">
        <f>'1x6'!F50</f>
        <v>236567315.9306767</v>
      </c>
      <c r="G53" s="1">
        <f>'1x7'!F50</f>
        <v>800247060.55474508</v>
      </c>
      <c r="H53" s="1">
        <f>'1x8'!F50</f>
        <v>2304731493.0861602</v>
      </c>
      <c r="I53" s="218">
        <f>'1x9'!F50</f>
        <v>5866937077.8661251</v>
      </c>
      <c r="J53" s="1">
        <f>'1x10'!F50</f>
        <v>13545269761.017691</v>
      </c>
      <c r="K53">
        <v>8</v>
      </c>
      <c r="L53" s="1">
        <f>'2x3'!F50</f>
        <v>10284153.642031426</v>
      </c>
      <c r="M53" s="1">
        <f>'2x4'!F50</f>
        <v>4156892.5484897429</v>
      </c>
      <c r="N53" s="1">
        <f>'2x5'!F50</f>
        <v>3017378.0729881627</v>
      </c>
      <c r="O53" s="1">
        <f>'2x6'!F50</f>
        <v>2569981.7688956107</v>
      </c>
      <c r="P53" s="1">
        <f>'2x7'!F50</f>
        <v>2347354.6588888438</v>
      </c>
      <c r="Q53" s="1">
        <f>'2x8'!F50</f>
        <v>2223176.1239462881</v>
      </c>
      <c r="R53" s="218">
        <f>'2x9'!F50</f>
        <v>2149352.2243379634</v>
      </c>
      <c r="S53" s="1">
        <f>'2x10'!F50</f>
        <v>2103754.9598693768</v>
      </c>
      <c r="T53">
        <v>8</v>
      </c>
      <c r="U53" s="1">
        <f>'3x4'!F50</f>
        <v>-681450220.44312656</v>
      </c>
      <c r="V53" s="1">
        <f>'3x5'!F50</f>
        <v>-803602669.8369441</v>
      </c>
      <c r="W53" s="1">
        <f>'3x6'!F50</f>
        <v>-911475054.47382987</v>
      </c>
      <c r="X53" s="1">
        <f>'3x7'!F50</f>
        <v>-1000117768.0059379</v>
      </c>
      <c r="Y53" s="1">
        <f>'3x8'!F50</f>
        <v>-1068752407.8336099</v>
      </c>
      <c r="Z53" s="218">
        <f>'3x9'!F50</f>
        <v>-1119489594.0910473</v>
      </c>
      <c r="AA53" s="1">
        <f>'3x10'!F38</f>
        <v>-9932023.3879260384</v>
      </c>
    </row>
    <row r="54" spans="1:27" x14ac:dyDescent="0.2">
      <c r="A54">
        <v>9</v>
      </c>
      <c r="B54" s="1">
        <f>'1x2'!F51</f>
        <v>200250.80947118823</v>
      </c>
      <c r="C54" s="1">
        <f>'1x3'!F51</f>
        <v>6238660.9833076773</v>
      </c>
      <c r="D54" s="1">
        <f>'1x4'!F51</f>
        <v>77653174.873788461</v>
      </c>
      <c r="E54" s="1">
        <f>'1x5'!F51</f>
        <v>559431480.75664318</v>
      </c>
      <c r="F54" s="1">
        <f>'1x6'!F51</f>
        <v>2828002365.1230459</v>
      </c>
      <c r="G54" s="1">
        <f>'1x7'!F51</f>
        <v>11167513349.65856</v>
      </c>
      <c r="H54" s="1">
        <f>'1x8'!F51</f>
        <v>36769957173.276031</v>
      </c>
      <c r="I54" s="218">
        <f>'1x9'!F51</f>
        <v>105323591806.24925</v>
      </c>
      <c r="J54" s="1">
        <f>'1x10'!F51</f>
        <v>270218105658.41742</v>
      </c>
      <c r="K54">
        <v>9</v>
      </c>
      <c r="L54" s="1">
        <f>'2x3'!F51</f>
        <v>60528978.591589086</v>
      </c>
      <c r="M54" s="1">
        <f>'2x4'!F51</f>
        <v>24510077.671138294</v>
      </c>
      <c r="N54" s="1">
        <f>'2x5'!F51</f>
        <v>17755809.472522829</v>
      </c>
      <c r="O54" s="1">
        <f>'2x6'!F51</f>
        <v>15098234.007916473</v>
      </c>
      <c r="P54" s="1">
        <f>'2x7'!F51</f>
        <v>13774800.290630126</v>
      </c>
      <c r="Q54" s="1">
        <f>'2x8'!F51</f>
        <v>13036447.309570111</v>
      </c>
      <c r="R54" s="218">
        <f>'2x9'!F51</f>
        <v>12597495.039157683</v>
      </c>
      <c r="S54" s="1">
        <f>'2x10'!F51</f>
        <v>12326392.416944746</v>
      </c>
      <c r="T54">
        <v>9</v>
      </c>
      <c r="U54" s="1">
        <f>'3x4'!F51</f>
        <v>-8178344452.0912361</v>
      </c>
      <c r="V54" s="1">
        <f>'3x5'!F51</f>
        <v>-9645647471.6384106</v>
      </c>
      <c r="W54" s="1">
        <f>'3x6'!F51</f>
        <v>-10942222661.300373</v>
      </c>
      <c r="X54" s="1">
        <f>'3x7'!F51</f>
        <v>-12008308417.443146</v>
      </c>
      <c r="Y54" s="1">
        <f>'3x8'!F51</f>
        <v>-12834189252.380096</v>
      </c>
      <c r="Z54" s="218">
        <f>'3x9'!F51</f>
        <v>-13444960289.08226</v>
      </c>
      <c r="AA54" s="1">
        <f>'3x10'!F39</f>
        <v>-59646282.677310377</v>
      </c>
    </row>
    <row r="55" spans="1:27" x14ac:dyDescent="0.2">
      <c r="A55">
        <v>10</v>
      </c>
      <c r="B55" s="1">
        <f>'1x2'!F52</f>
        <v>785152.68334891973</v>
      </c>
      <c r="C55" s="1">
        <f>'1x3'!F52</f>
        <v>37094910.697772719</v>
      </c>
      <c r="D55" s="1">
        <f>'1x4'!F52</f>
        <v>618385835.04047573</v>
      </c>
      <c r="E55" s="1">
        <f>'1x5'!F52</f>
        <v>5578221629.3553734</v>
      </c>
      <c r="F55" s="1">
        <f>'1x6'!F52</f>
        <v>33864076745.639847</v>
      </c>
      <c r="G55" s="1">
        <f>'1x7'!F52</f>
        <v>156073784585.06461</v>
      </c>
      <c r="H55" s="1">
        <f>'1x8'!F52</f>
        <v>587423584995.63635</v>
      </c>
      <c r="I55" s="218">
        <f>'1x9'!F52</f>
        <v>1893176560688.0007</v>
      </c>
      <c r="J55" s="1">
        <f>'1x10'!F52</f>
        <v>5397229518375.7891</v>
      </c>
      <c r="K55">
        <v>10</v>
      </c>
      <c r="L55" s="1">
        <f>'2x3'!F52</f>
        <v>359411317.27450782</v>
      </c>
      <c r="M55" s="1">
        <f>'2x4'!F52</f>
        <v>145497667.18197182</v>
      </c>
      <c r="N55" s="1">
        <f>'2x5'!F52</f>
        <v>105186803.5502895</v>
      </c>
      <c r="O55" s="1">
        <f>'2x6'!F52</f>
        <v>89297620.09177658</v>
      </c>
      <c r="P55" s="1">
        <f>'2x7'!F52</f>
        <v>81378552.925382793</v>
      </c>
      <c r="Q55" s="1">
        <f>'2x8'!F52</f>
        <v>76958921.966698214</v>
      </c>
      <c r="R55" s="218">
        <f>'2x9'!F52</f>
        <v>74331114.823079854</v>
      </c>
      <c r="S55" s="1">
        <f>'2x10'!F52</f>
        <v>72708096.060958833</v>
      </c>
      <c r="T55">
        <v>10</v>
      </c>
      <c r="U55" s="1">
        <f>'3x4'!F52</f>
        <v>-98143840113.496719</v>
      </c>
      <c r="V55" s="1">
        <f>'3x5'!F52</f>
        <v>-115758036790.98735</v>
      </c>
      <c r="W55" s="1">
        <f>'3x6'!F52</f>
        <v>-131326836120.10045</v>
      </c>
      <c r="X55" s="1">
        <f>'3x7'!F52</f>
        <v>-144131399669.36557</v>
      </c>
      <c r="Y55" s="1">
        <f>'3x8'!F52</f>
        <v>-154053220827.81549</v>
      </c>
      <c r="Z55" s="218">
        <f>'3x9'!F52</f>
        <v>-161392169216.43417</v>
      </c>
      <c r="AA55" s="1">
        <f>'3x10'!F40</f>
        <v>-358007306.57503349</v>
      </c>
    </row>
    <row r="56" spans="1:27" x14ac:dyDescent="0.2">
      <c r="B56" s="331" t="s">
        <v>165</v>
      </c>
      <c r="C56" s="331"/>
      <c r="D56" s="331"/>
      <c r="E56" s="331"/>
      <c r="F56" s="331"/>
      <c r="G56" s="331"/>
      <c r="H56" s="331"/>
      <c r="I56" s="331"/>
      <c r="J56" s="331"/>
      <c r="L56" s="331" t="s">
        <v>165</v>
      </c>
      <c r="M56" s="331"/>
      <c r="N56" s="331"/>
      <c r="O56" s="331"/>
      <c r="P56" s="331"/>
      <c r="Q56" s="331"/>
      <c r="R56" s="331"/>
      <c r="S56" s="331"/>
      <c r="U56" s="331" t="s">
        <v>190</v>
      </c>
      <c r="V56" s="331"/>
      <c r="W56" s="331"/>
      <c r="X56" s="331"/>
      <c r="Y56" s="331"/>
      <c r="Z56" s="331"/>
      <c r="AA56" s="331"/>
    </row>
    <row r="57" spans="1:27" x14ac:dyDescent="0.2">
      <c r="A57" s="251" t="s">
        <v>59</v>
      </c>
      <c r="B57" s="270" t="s">
        <v>147</v>
      </c>
      <c r="C57" s="270" t="s">
        <v>148</v>
      </c>
      <c r="D57" s="270" t="s">
        <v>149</v>
      </c>
      <c r="E57" s="270" t="s">
        <v>150</v>
      </c>
      <c r="F57" s="270" t="s">
        <v>151</v>
      </c>
      <c r="G57" s="270" t="s">
        <v>152</v>
      </c>
      <c r="H57" s="270" t="s">
        <v>153</v>
      </c>
      <c r="I57" s="270" t="s">
        <v>154</v>
      </c>
      <c r="J57" s="270" t="s">
        <v>155</v>
      </c>
      <c r="K57" s="251" t="s">
        <v>59</v>
      </c>
      <c r="L57" s="270" t="s">
        <v>172</v>
      </c>
      <c r="M57" s="270" t="s">
        <v>173</v>
      </c>
      <c r="N57" s="270" t="s">
        <v>174</v>
      </c>
      <c r="O57" s="270" t="s">
        <v>175</v>
      </c>
      <c r="P57" s="270" t="s">
        <v>176</v>
      </c>
      <c r="Q57" s="270" t="s">
        <v>177</v>
      </c>
      <c r="R57" s="270" t="s">
        <v>178</v>
      </c>
      <c r="S57" s="270" t="s">
        <v>179</v>
      </c>
      <c r="T57" s="251" t="s">
        <v>59</v>
      </c>
      <c r="U57" s="270" t="s">
        <v>183</v>
      </c>
      <c r="V57" s="270" t="s">
        <v>184</v>
      </c>
      <c r="W57" s="270" t="s">
        <v>185</v>
      </c>
      <c r="X57" s="270" t="s">
        <v>186</v>
      </c>
      <c r="Y57" s="270" t="s">
        <v>187</v>
      </c>
      <c r="Z57" s="270" t="s">
        <v>188</v>
      </c>
      <c r="AA57" s="270" t="s">
        <v>189</v>
      </c>
    </row>
    <row r="58" spans="1:27" x14ac:dyDescent="0.2">
      <c r="A58">
        <v>2</v>
      </c>
      <c r="B58" s="1">
        <f t="shared" ref="B58:J58" si="0">B3/B25</f>
        <v>-8.2257596391549729E-3</v>
      </c>
      <c r="C58" s="1">
        <f t="shared" si="0"/>
        <v>2.3660521111293863E-2</v>
      </c>
      <c r="D58" s="1">
        <f t="shared" si="0"/>
        <v>3.1269611004865729E-2</v>
      </c>
      <c r="E58" s="1">
        <f t="shared" si="0"/>
        <v>2.646572866949393E-2</v>
      </c>
      <c r="F58" s="1">
        <f t="shared" si="0"/>
        <v>1.6486657360864795E-2</v>
      </c>
      <c r="G58" s="1">
        <f t="shared" si="0"/>
        <v>4.6522249568875787E-3</v>
      </c>
      <c r="H58" s="1">
        <f t="shared" si="0"/>
        <v>-7.5197097317366204E-3</v>
      </c>
      <c r="I58" s="1">
        <f t="shared" si="0"/>
        <v>-1.9324814392012373E-2</v>
      </c>
      <c r="J58" s="1">
        <f t="shared" si="0"/>
        <v>-3.0444163218933337E-2</v>
      </c>
      <c r="K58">
        <v>2</v>
      </c>
      <c r="L58" s="1">
        <f t="shared" ref="L58:S58" si="1">L3/L25</f>
        <v>5.9150802601830943E-3</v>
      </c>
      <c r="M58" s="1">
        <f t="shared" si="1"/>
        <v>-2.1190517326828282E-2</v>
      </c>
      <c r="N58" s="1">
        <f t="shared" si="1"/>
        <v>-0.20279083355109964</v>
      </c>
      <c r="O58" s="1">
        <f t="shared" si="1"/>
        <v>-0.43950601408991369</v>
      </c>
      <c r="P58" s="1">
        <f t="shared" si="1"/>
        <v>-0.73285767801011115</v>
      </c>
      <c r="Q58" s="1">
        <f t="shared" si="1"/>
        <v>-1.0834866733323125</v>
      </c>
      <c r="R58" s="1">
        <f t="shared" si="1"/>
        <v>-1.4912974708734321</v>
      </c>
      <c r="S58" s="1">
        <f t="shared" si="1"/>
        <v>-1.9558543154234365</v>
      </c>
      <c r="T58">
        <v>2</v>
      </c>
      <c r="U58" s="1">
        <f t="shared" ref="U58:AA58" si="2">U3/U25</f>
        <v>0.75670642924669751</v>
      </c>
      <c r="V58" s="1">
        <f t="shared" si="2"/>
        <v>1.0355825206802256</v>
      </c>
      <c r="W58" s="1">
        <f t="shared" si="2"/>
        <v>1.3696875783533229</v>
      </c>
      <c r="X58" s="1">
        <f t="shared" si="2"/>
        <v>1.7692224649395483</v>
      </c>
      <c r="Y58" s="1">
        <f t="shared" si="2"/>
        <v>2.2415620909749867</v>
      </c>
      <c r="Z58" s="1">
        <f t="shared" si="2"/>
        <v>2.7916863292663439</v>
      </c>
      <c r="AA58" s="1">
        <f t="shared" si="2"/>
        <v>3.4226604731907235</v>
      </c>
    </row>
    <row r="59" spans="1:27" x14ac:dyDescent="0.2">
      <c r="A59">
        <v>3</v>
      </c>
      <c r="B59" s="1">
        <f t="shared" ref="B59:J59" si="3">B4/B26</f>
        <v>-8.5690387022482124E-4</v>
      </c>
      <c r="C59" s="1">
        <f t="shared" si="3"/>
        <v>3.2727268202159619E-2</v>
      </c>
      <c r="D59" s="1">
        <f t="shared" si="3"/>
        <v>3.1392483446332796E-2</v>
      </c>
      <c r="E59" s="1">
        <f t="shared" si="3"/>
        <v>2.4488296588800047E-2</v>
      </c>
      <c r="F59" s="1">
        <f t="shared" si="3"/>
        <v>1.8041730735123093E-2</v>
      </c>
      <c r="G59" s="1">
        <f t="shared" si="3"/>
        <v>1.2921944447119632E-2</v>
      </c>
      <c r="H59" s="1">
        <f t="shared" si="3"/>
        <v>8.9996532389413891E-3</v>
      </c>
      <c r="I59" s="1">
        <f t="shared" si="3"/>
        <v>6.0103017989343059E-3</v>
      </c>
      <c r="J59" s="1">
        <f t="shared" si="3"/>
        <v>3.7236488527055975E-3</v>
      </c>
      <c r="K59">
        <v>3</v>
      </c>
      <c r="L59" s="1">
        <f t="shared" ref="L59:S59" si="4">L4/L26</f>
        <v>-4.578889482673887E-4</v>
      </c>
      <c r="M59" s="1">
        <f t="shared" si="4"/>
        <v>-0.1339875623249176</v>
      </c>
      <c r="N59" s="1">
        <f t="shared" si="4"/>
        <v>-0.29850676604514786</v>
      </c>
      <c r="O59" s="1">
        <f t="shared" si="4"/>
        <v>-0.50439839964191491</v>
      </c>
      <c r="P59" s="1">
        <f t="shared" si="4"/>
        <v>-0.75509941028119565</v>
      </c>
      <c r="Q59" s="1">
        <f t="shared" si="4"/>
        <v>-1.0530940593823512</v>
      </c>
      <c r="R59" s="1">
        <f t="shared" si="4"/>
        <v>-1.3998480314796335</v>
      </c>
      <c r="S59" s="1">
        <f t="shared" si="4"/>
        <v>-1.7961001692426235</v>
      </c>
      <c r="T59">
        <v>3</v>
      </c>
      <c r="U59" s="1">
        <f t="shared" ref="U59:AA59" si="5">U4/U26</f>
        <v>0.22997904347149617</v>
      </c>
      <c r="V59" s="1">
        <f t="shared" si="5"/>
        <v>0.30385987791842201</v>
      </c>
      <c r="W59" s="1">
        <f t="shared" si="5"/>
        <v>0.39011476726156519</v>
      </c>
      <c r="X59" s="1">
        <f t="shared" si="5"/>
        <v>0.49227978066848826</v>
      </c>
      <c r="Y59" s="1">
        <f t="shared" si="5"/>
        <v>0.61289689354472332</v>
      </c>
      <c r="Z59" s="1">
        <f t="shared" si="5"/>
        <v>0.75367718357330171</v>
      </c>
      <c r="AA59" s="1">
        <f t="shared" si="5"/>
        <v>0.915674459426016</v>
      </c>
    </row>
    <row r="60" spans="1:27" x14ac:dyDescent="0.2">
      <c r="A60">
        <v>4</v>
      </c>
      <c r="B60" s="1">
        <f t="shared" ref="B60:J60" si="6">B5/B27</f>
        <v>4.9749754328244442E-3</v>
      </c>
      <c r="C60" s="1">
        <f t="shared" si="6"/>
        <v>2.3395602433822858E-2</v>
      </c>
      <c r="D60" s="1">
        <f t="shared" si="6"/>
        <v>1.577301286966673E-2</v>
      </c>
      <c r="E60" s="1">
        <f t="shared" si="6"/>
        <v>9.7868900564962794E-3</v>
      </c>
      <c r="F60" s="1">
        <f t="shared" si="6"/>
        <v>6.1940748583016831E-3</v>
      </c>
      <c r="G60" s="1">
        <f t="shared" si="6"/>
        <v>4.046306941194954E-3</v>
      </c>
      <c r="H60" s="1">
        <f t="shared" si="6"/>
        <v>2.7187191760523264E-3</v>
      </c>
      <c r="I60" s="1">
        <f t="shared" si="6"/>
        <v>1.8675151970408209E-3</v>
      </c>
      <c r="J60" s="1">
        <f t="shared" si="6"/>
        <v>1.3036651439831352E-3</v>
      </c>
      <c r="K60">
        <v>4</v>
      </c>
      <c r="L60" s="1">
        <f t="shared" ref="L60:S60" si="7">L5/L27</f>
        <v>-1.0334549560875659E-3</v>
      </c>
      <c r="M60" s="1">
        <f t="shared" si="7"/>
        <v>-8.8483743469326165E-2</v>
      </c>
      <c r="N60" s="1">
        <f t="shared" si="7"/>
        <v>-0.17629584629931963</v>
      </c>
      <c r="O60" s="1">
        <f t="shared" si="7"/>
        <v>-0.28348108132869682</v>
      </c>
      <c r="P60" s="1">
        <f t="shared" si="7"/>
        <v>-0.41232537261593216</v>
      </c>
      <c r="Q60" s="1">
        <f t="shared" si="7"/>
        <v>-0.56460636267521302</v>
      </c>
      <c r="R60" s="1">
        <f t="shared" si="7"/>
        <v>-0.74146504046976325</v>
      </c>
      <c r="S60" s="1">
        <f t="shared" si="7"/>
        <v>-0.94354956590299854</v>
      </c>
      <c r="T60">
        <v>4</v>
      </c>
      <c r="U60" s="1">
        <f t="shared" ref="U60:AA60" si="8">U5/U27</f>
        <v>5.8891175850306086E-2</v>
      </c>
      <c r="V60" s="1">
        <f t="shared" si="8"/>
        <v>7.6667395121872303E-2</v>
      </c>
      <c r="W60" s="1">
        <f t="shared" si="8"/>
        <v>9.7060409454908098E-2</v>
      </c>
      <c r="X60" s="1">
        <f t="shared" si="8"/>
        <v>0.12103967296721538</v>
      </c>
      <c r="Y60" s="1">
        <f t="shared" si="8"/>
        <v>0.14930380211512112</v>
      </c>
      <c r="Z60" s="1">
        <f t="shared" si="8"/>
        <v>0.18232266821931425</v>
      </c>
      <c r="AA60" s="1">
        <f t="shared" si="8"/>
        <v>0.22038552091833757</v>
      </c>
    </row>
    <row r="61" spans="1:27" x14ac:dyDescent="0.2">
      <c r="A61">
        <v>5</v>
      </c>
      <c r="B61" s="1">
        <f t="shared" ref="B61:J61" si="9">B6/B28</f>
        <v>7.1071338643240523E-3</v>
      </c>
      <c r="C61" s="1">
        <f t="shared" si="9"/>
        <v>1.2749280050171143E-2</v>
      </c>
      <c r="D61" s="1">
        <f t="shared" si="9"/>
        <v>6.0003353388184315E-3</v>
      </c>
      <c r="E61" s="1">
        <f t="shared" si="9"/>
        <v>2.8957582109694828E-3</v>
      </c>
      <c r="F61" s="1">
        <f t="shared" si="9"/>
        <v>1.5201926554212601E-3</v>
      </c>
      <c r="G61" s="1">
        <f t="shared" si="9"/>
        <v>8.6033690379684949E-4</v>
      </c>
      <c r="H61" s="1">
        <f t="shared" si="9"/>
        <v>5.1715470455563674E-4</v>
      </c>
      <c r="I61" s="1">
        <f t="shared" si="9"/>
        <v>3.260710520626639E-4</v>
      </c>
      <c r="J61" s="1">
        <f t="shared" si="9"/>
        <v>2.135825050878791E-4</v>
      </c>
      <c r="K61">
        <v>5</v>
      </c>
      <c r="L61" s="1">
        <f t="shared" ref="L61:S61" si="10">L6/L28</f>
        <v>-5.9253794326731275E-4</v>
      </c>
      <c r="M61" s="1">
        <f t="shared" si="10"/>
        <v>-4.1898062172932599E-2</v>
      </c>
      <c r="N61" s="1">
        <f t="shared" si="10"/>
        <v>-8.0154957922499576E-2</v>
      </c>
      <c r="O61" s="1">
        <f t="shared" si="10"/>
        <v>-0.12596634124079079</v>
      </c>
      <c r="P61" s="1">
        <f t="shared" si="10"/>
        <v>-0.18043814053566049</v>
      </c>
      <c r="Q61" s="1">
        <f t="shared" si="10"/>
        <v>-0.24447769662547245</v>
      </c>
      <c r="R61" s="1">
        <f t="shared" si="10"/>
        <v>-0.31868927940599107</v>
      </c>
      <c r="S61" s="1">
        <f t="shared" si="10"/>
        <v>-0.40343033064806705</v>
      </c>
      <c r="T61">
        <v>5</v>
      </c>
      <c r="U61" s="1">
        <f t="shared" ref="U61:AA61" si="11">U6/U28</f>
        <v>1.3408583552813874E-2</v>
      </c>
      <c r="V61" s="1">
        <f t="shared" si="11"/>
        <v>1.7366598615655315E-2</v>
      </c>
      <c r="W61" s="1">
        <f t="shared" si="11"/>
        <v>2.1861177266452352E-2</v>
      </c>
      <c r="X61" s="1">
        <f t="shared" si="11"/>
        <v>2.712003610713546E-2</v>
      </c>
      <c r="Y61" s="1">
        <f t="shared" si="11"/>
        <v>3.330843297915536E-2</v>
      </c>
      <c r="Z61" s="1">
        <f t="shared" si="11"/>
        <v>4.0537748276269298E-2</v>
      </c>
      <c r="AA61" s="1">
        <f t="shared" si="11"/>
        <v>4.8876606941787526E-2</v>
      </c>
    </row>
    <row r="62" spans="1:27" x14ac:dyDescent="0.2">
      <c r="A62">
        <v>6</v>
      </c>
      <c r="B62" s="1">
        <f t="shared" ref="B62:J62" si="12">B7/B29</f>
        <v>6.7961892654909593E-3</v>
      </c>
      <c r="C62" s="1">
        <f t="shared" si="12"/>
        <v>5.9780690199572441E-3</v>
      </c>
      <c r="D62" s="1">
        <f t="shared" si="12"/>
        <v>1.965861759344688E-3</v>
      </c>
      <c r="E62" s="1">
        <f t="shared" si="12"/>
        <v>7.3508128026341941E-4</v>
      </c>
      <c r="F62" s="1">
        <f t="shared" si="12"/>
        <v>3.1756550945184449E-4</v>
      </c>
      <c r="G62" s="1">
        <f t="shared" si="12"/>
        <v>1.5381963055691313E-4</v>
      </c>
      <c r="H62" s="1">
        <f t="shared" si="12"/>
        <v>8.1357691584623147E-5</v>
      </c>
      <c r="I62" s="1">
        <f t="shared" si="12"/>
        <v>4.60822024459569E-5</v>
      </c>
      <c r="J62" s="1">
        <f t="shared" si="12"/>
        <v>2.7561219093823761E-5</v>
      </c>
      <c r="K62">
        <v>6</v>
      </c>
      <c r="L62" s="1">
        <f t="shared" ref="L62:S62" si="13">L7/L29</f>
        <v>-2.559552287217716E-4</v>
      </c>
      <c r="M62" s="1">
        <f t="shared" si="13"/>
        <v>-1.6958207138716101E-2</v>
      </c>
      <c r="N62" s="1">
        <f t="shared" si="13"/>
        <v>-3.1848481481908372E-2</v>
      </c>
      <c r="O62" s="1">
        <f t="shared" si="13"/>
        <v>-4.9415399372374796E-2</v>
      </c>
      <c r="P62" s="1">
        <f t="shared" si="13"/>
        <v>-7.010901489018001E-2</v>
      </c>
      <c r="Q62" s="1">
        <f t="shared" si="13"/>
        <v>-9.4319342329424641E-2</v>
      </c>
      <c r="R62" s="1">
        <f t="shared" si="13"/>
        <v>-0.1223132458267791</v>
      </c>
      <c r="S62" s="1">
        <f t="shared" si="13"/>
        <v>-0.15425229466937174</v>
      </c>
      <c r="T62">
        <v>6</v>
      </c>
      <c r="U62" s="1">
        <f t="shared" ref="U62:AA62" si="14">U7/U29</f>
        <v>2.8103781724603473E-3</v>
      </c>
      <c r="V62" s="1">
        <f t="shared" si="14"/>
        <v>3.6355984794848007E-3</v>
      </c>
      <c r="W62" s="1">
        <f t="shared" si="14"/>
        <v>4.5676096221343226E-3</v>
      </c>
      <c r="X62" s="1">
        <f t="shared" si="14"/>
        <v>5.6547219343675665E-3</v>
      </c>
      <c r="Y62" s="1">
        <f t="shared" si="14"/>
        <v>6.9322555866046381E-3</v>
      </c>
      <c r="Z62" s="1">
        <f t="shared" si="14"/>
        <v>8.424087744670369E-3</v>
      </c>
      <c r="AA62" s="1">
        <f t="shared" si="14"/>
        <v>1.0144951718315268E-2</v>
      </c>
    </row>
    <row r="63" spans="1:27" x14ac:dyDescent="0.2">
      <c r="A63">
        <v>7</v>
      </c>
      <c r="B63" s="1">
        <f t="shared" ref="B63:J63" si="15">B8/B30</f>
        <v>5.4561681882379157E-3</v>
      </c>
      <c r="C63" s="1">
        <f t="shared" si="15"/>
        <v>2.5498062940313383E-3</v>
      </c>
      <c r="D63" s="1">
        <f t="shared" si="15"/>
        <v>5.8847694900134408E-4</v>
      </c>
      <c r="E63" s="1">
        <f t="shared" si="15"/>
        <v>1.7079887485002226E-4</v>
      </c>
      <c r="F63" s="1">
        <f t="shared" si="15"/>
        <v>6.0666645182591182E-5</v>
      </c>
      <c r="G63" s="1">
        <f t="shared" si="15"/>
        <v>2.5068273707175059E-5</v>
      </c>
      <c r="H63" s="1">
        <f t="shared" si="15"/>
        <v>1.1605808259519367E-5</v>
      </c>
      <c r="I63" s="1">
        <f t="shared" si="15"/>
        <v>5.864486692742548E-6</v>
      </c>
      <c r="J63" s="1">
        <f t="shared" si="15"/>
        <v>3.1753257927577386E-6</v>
      </c>
      <c r="K63">
        <v>7</v>
      </c>
      <c r="L63" s="1">
        <f t="shared" ref="L63:S63" si="16">L8/L30</f>
        <v>-9.6631157480526277E-5</v>
      </c>
      <c r="M63" s="1">
        <f t="shared" si="16"/>
        <v>-6.2474235311895171E-3</v>
      </c>
      <c r="N63" s="1">
        <f t="shared" si="16"/>
        <v>-1.1633707588001082E-2</v>
      </c>
      <c r="O63" s="1">
        <f t="shared" si="16"/>
        <v>-1.7916672468167121E-2</v>
      </c>
      <c r="P63" s="1">
        <f t="shared" si="16"/>
        <v>-2.5259547536548937E-2</v>
      </c>
      <c r="Q63" s="1">
        <f t="shared" si="16"/>
        <v>-3.3812565123236847E-2</v>
      </c>
      <c r="R63" s="1">
        <f t="shared" si="16"/>
        <v>-4.3681138105475435E-2</v>
      </c>
      <c r="S63" s="1">
        <f t="shared" si="16"/>
        <v>-5.4930222414439595E-2</v>
      </c>
      <c r="T63">
        <v>7</v>
      </c>
      <c r="U63" s="1">
        <f t="shared" ref="U63:AA63" si="17">U8/U30</f>
        <v>5.5485973868162693E-4</v>
      </c>
      <c r="V63" s="1">
        <f t="shared" si="17"/>
        <v>7.1793771477745823E-4</v>
      </c>
      <c r="W63" s="1">
        <f t="shared" si="17"/>
        <v>9.0160517752736692E-4</v>
      </c>
      <c r="X63" s="1">
        <f t="shared" si="17"/>
        <v>1.115433398550642E-3</v>
      </c>
      <c r="Y63" s="1">
        <f t="shared" si="17"/>
        <v>1.3664621494136821E-3</v>
      </c>
      <c r="Z63" s="1">
        <f t="shared" si="17"/>
        <v>1.6594636032137057E-3</v>
      </c>
      <c r="AA63" s="1">
        <f t="shared" si="17"/>
        <v>1.9973866054043277E-3</v>
      </c>
    </row>
    <row r="64" spans="1:27" x14ac:dyDescent="0.2">
      <c r="A64">
        <v>8</v>
      </c>
      <c r="B64" s="1">
        <f t="shared" ref="B64:J64" si="18">B9/B31</f>
        <v>3.9552927818458867E-3</v>
      </c>
      <c r="C64" s="1">
        <f t="shared" si="18"/>
        <v>1.0200276136912629E-3</v>
      </c>
      <c r="D64" s="1">
        <f t="shared" si="18"/>
        <v>1.6623270289804567E-4</v>
      </c>
      <c r="E64" s="1">
        <f t="shared" si="18"/>
        <v>3.7590945119300013E-5</v>
      </c>
      <c r="F64" s="1">
        <f t="shared" si="18"/>
        <v>1.0993375366842753E-5</v>
      </c>
      <c r="G64" s="1">
        <f t="shared" si="18"/>
        <v>3.8738657862947722E-6</v>
      </c>
      <c r="H64" s="1">
        <f t="shared" si="18"/>
        <v>1.5672546012837031E-6</v>
      </c>
      <c r="I64" s="1">
        <f t="shared" si="18"/>
        <v>7.0464578497198106E-7</v>
      </c>
      <c r="J64" s="1">
        <f t="shared" si="18"/>
        <v>3.4422731077997408E-7</v>
      </c>
      <c r="K64">
        <v>8</v>
      </c>
      <c r="L64" s="1">
        <f t="shared" ref="L64:S64" si="19">L9/L31</f>
        <v>-3.3682035959205964E-5</v>
      </c>
      <c r="M64" s="1">
        <f t="shared" si="19"/>
        <v>-2.1604445843770607E-3</v>
      </c>
      <c r="N64" s="1">
        <f t="shared" si="19"/>
        <v>-4.0098325015231612E-3</v>
      </c>
      <c r="O64" s="1">
        <f t="shared" si="19"/>
        <v>-6.1493014037095417E-3</v>
      </c>
      <c r="P64" s="1">
        <f t="shared" si="19"/>
        <v>-8.6332884157216787E-3</v>
      </c>
      <c r="Q64" s="1">
        <f t="shared" si="19"/>
        <v>-1.1515325637301078E-2</v>
      </c>
      <c r="R64" s="1">
        <f t="shared" si="19"/>
        <v>-1.4833944443219102E-2</v>
      </c>
      <c r="S64" s="1">
        <f t="shared" si="19"/>
        <v>-1.8613262927768676E-2</v>
      </c>
      <c r="T64">
        <v>8</v>
      </c>
      <c r="U64" s="1">
        <f t="shared" ref="U64:AA64" si="20">U9/U31</f>
        <v>1.0478687021143933E-4</v>
      </c>
      <c r="V64" s="1">
        <f t="shared" si="20"/>
        <v>1.356694269387912E-4</v>
      </c>
      <c r="W64" s="1">
        <f t="shared" si="20"/>
        <v>1.704006372916715E-4</v>
      </c>
      <c r="X64" s="1">
        <f t="shared" si="20"/>
        <v>2.1078815383254477E-4</v>
      </c>
      <c r="Y64" s="1">
        <f t="shared" si="20"/>
        <v>2.5816735467079367E-4</v>
      </c>
      <c r="Z64" s="1">
        <f t="shared" si="20"/>
        <v>3.1344539946098066E-4</v>
      </c>
      <c r="AA64" s="1">
        <f t="shared" si="20"/>
        <v>3.771834672137164E-4</v>
      </c>
    </row>
    <row r="65" spans="1:27" x14ac:dyDescent="0.2">
      <c r="A65">
        <v>9</v>
      </c>
      <c r="B65" s="1">
        <f t="shared" ref="B65:J65" si="21">B10/B32</f>
        <v>2.6788813340464118E-3</v>
      </c>
      <c r="C65" s="1">
        <f t="shared" si="21"/>
        <v>3.8994398267584723E-4</v>
      </c>
      <c r="D65" s="1">
        <f t="shared" si="21"/>
        <v>4.5179715588991866E-5</v>
      </c>
      <c r="E65" s="1">
        <f t="shared" si="21"/>
        <v>7.9946887731117623E-6</v>
      </c>
      <c r="F65" s="1">
        <f t="shared" si="21"/>
        <v>1.9290982411848376E-6</v>
      </c>
      <c r="G65" s="1">
        <f t="shared" si="21"/>
        <v>5.8007729410546086E-7</v>
      </c>
      <c r="H65" s="1">
        <f t="shared" si="21"/>
        <v>2.0501246091569951E-7</v>
      </c>
      <c r="I65" s="1">
        <f t="shared" si="21"/>
        <v>8.1932191966903832E-8</v>
      </c>
      <c r="J65" s="1">
        <f t="shared" si="21"/>
        <v>3.6058294465129183E-8</v>
      </c>
      <c r="K65">
        <v>9</v>
      </c>
      <c r="L65" s="1">
        <f t="shared" ref="L65:S65" si="22">L10/L32</f>
        <v>-1.113609303026015E-5</v>
      </c>
      <c r="M65" s="1">
        <f t="shared" si="22"/>
        <v>-7.1382568248253443E-4</v>
      </c>
      <c r="N65" s="1">
        <f t="shared" si="22"/>
        <v>-1.3242703457020896E-3</v>
      </c>
      <c r="O65" s="1">
        <f t="shared" si="22"/>
        <v>-2.0264067264311745E-3</v>
      </c>
      <c r="P65" s="1">
        <f t="shared" si="22"/>
        <v>-2.8372647596257056E-3</v>
      </c>
      <c r="Q65" s="1">
        <f t="shared" si="22"/>
        <v>-3.7748324727889379E-3</v>
      </c>
      <c r="R65" s="1">
        <f t="shared" si="22"/>
        <v>-4.8524021473662065E-3</v>
      </c>
      <c r="S65" s="1">
        <f t="shared" si="22"/>
        <v>-6.0784197346630542E-3</v>
      </c>
      <c r="T65">
        <v>9</v>
      </c>
      <c r="U65" s="1">
        <f t="shared" ref="U65:AA65" si="23">U10/U32</f>
        <v>1.9127972521344948E-5</v>
      </c>
      <c r="V65" s="1">
        <f t="shared" si="23"/>
        <v>2.4782088708790741E-5</v>
      </c>
      <c r="W65" s="1">
        <f t="shared" si="23"/>
        <v>3.1135805581320787E-5</v>
      </c>
      <c r="X65" s="1">
        <f t="shared" si="23"/>
        <v>3.8518742627940953E-5</v>
      </c>
      <c r="Y65" s="1">
        <f t="shared" si="23"/>
        <v>4.7175154390557896E-5</v>
      </c>
      <c r="Z65" s="1">
        <f t="shared" si="23"/>
        <v>5.7271222772069564E-5</v>
      </c>
      <c r="AA65" s="1">
        <f t="shared" si="23"/>
        <v>6.8909830506303784E-5</v>
      </c>
    </row>
    <row r="66" spans="1:27" x14ac:dyDescent="0.2">
      <c r="A66">
        <v>10</v>
      </c>
      <c r="B66" s="1">
        <f t="shared" ref="B66:J66" si="24">B11/B33</f>
        <v>1.7279562727565403E-3</v>
      </c>
      <c r="C66" s="1">
        <f t="shared" si="24"/>
        <v>1.442146259983144E-4</v>
      </c>
      <c r="D66" s="1">
        <f t="shared" si="24"/>
        <v>1.1961823729757106E-5</v>
      </c>
      <c r="E66" s="1">
        <f t="shared" si="24"/>
        <v>1.6633372835632835E-6</v>
      </c>
      <c r="F66" s="1">
        <f t="shared" si="24"/>
        <v>3.318754971185375E-7</v>
      </c>
      <c r="G66" s="1">
        <f t="shared" si="24"/>
        <v>8.523566838279826E-8</v>
      </c>
      <c r="H66" s="1">
        <f t="shared" si="24"/>
        <v>2.6319859198054923E-8</v>
      </c>
      <c r="I66" s="1">
        <f t="shared" si="24"/>
        <v>9.3467343986597116E-9</v>
      </c>
      <c r="J66" s="1">
        <f t="shared" si="24"/>
        <v>3.7034399404522799E-9</v>
      </c>
      <c r="K66">
        <v>10</v>
      </c>
      <c r="L66" s="1">
        <f t="shared" ref="L66:S66" si="25">L11/L33</f>
        <v>-3.546286398014299E-6</v>
      </c>
      <c r="M66" s="1">
        <f t="shared" si="25"/>
        <v>-2.2787834179115057E-4</v>
      </c>
      <c r="N66" s="1">
        <f t="shared" si="25"/>
        <v>-4.2321635946456052E-4</v>
      </c>
      <c r="O66" s="1">
        <f t="shared" si="25"/>
        <v>-6.4705617689403742E-4</v>
      </c>
      <c r="P66" s="1">
        <f t="shared" si="25"/>
        <v>-9.044663080152982E-4</v>
      </c>
      <c r="Q66" s="1">
        <f t="shared" si="25"/>
        <v>-1.2012212162978834E-3</v>
      </c>
      <c r="R66" s="1">
        <f t="shared" si="25"/>
        <v>-1.5417041053548384E-3</v>
      </c>
      <c r="S66" s="1">
        <f t="shared" si="25"/>
        <v>-1.9287415576484189E-3</v>
      </c>
      <c r="T66">
        <v>10</v>
      </c>
      <c r="U66" s="1">
        <f t="shared" ref="U66:AA66" si="26">U11/U33</f>
        <v>3.399612509584983E-6</v>
      </c>
      <c r="V66" s="1">
        <f t="shared" si="26"/>
        <v>4.4072266246074945E-6</v>
      </c>
      <c r="W66" s="1">
        <f t="shared" si="26"/>
        <v>5.538985303063976E-6</v>
      </c>
      <c r="X66" s="1">
        <f t="shared" si="26"/>
        <v>6.8533968225681474E-6</v>
      </c>
      <c r="Y66" s="1">
        <f t="shared" si="26"/>
        <v>8.393912431341246E-6</v>
      </c>
      <c r="Z66" s="1">
        <f t="shared" si="26"/>
        <v>1.0190126602971602E-5</v>
      </c>
      <c r="AA66" s="1">
        <f t="shared" si="26"/>
        <v>1.2260370998687585E-5</v>
      </c>
    </row>
  </sheetData>
  <sheetProtection sheet="1" objects="1" scenarios="1"/>
  <mergeCells count="18">
    <mergeCell ref="L56:S56"/>
    <mergeCell ref="L1:S1"/>
    <mergeCell ref="L12:S12"/>
    <mergeCell ref="L23:S23"/>
    <mergeCell ref="L34:S34"/>
    <mergeCell ref="L45:S45"/>
    <mergeCell ref="B1:J1"/>
    <mergeCell ref="B12:J12"/>
    <mergeCell ref="B23:J23"/>
    <mergeCell ref="B34:J34"/>
    <mergeCell ref="B56:J56"/>
    <mergeCell ref="B45:J45"/>
    <mergeCell ref="U56:AA56"/>
    <mergeCell ref="U1:AA1"/>
    <mergeCell ref="U12:AA12"/>
    <mergeCell ref="U23:AA23"/>
    <mergeCell ref="U34:AA34"/>
    <mergeCell ref="U45:AA45"/>
  </mergeCells>
  <conditionalFormatting sqref="B14:J22">
    <cfRule type="colorScale" priority="40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3:J11">
    <cfRule type="colorScale" priority="41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B25:J33">
    <cfRule type="colorScale" priority="38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36:J44">
    <cfRule type="colorScale" priority="37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47:J55">
    <cfRule type="colorScale" priority="36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14:S22">
    <cfRule type="colorScale" priority="184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L3:S11">
    <cfRule type="colorScale" priority="185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L25:S33">
    <cfRule type="cellIs" dxfId="4" priority="12" operator="lessThanOrEqual">
      <formula>0</formula>
    </cfRule>
    <cfRule type="colorScale" priority="186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36:S44">
    <cfRule type="cellIs" dxfId="3" priority="10" operator="lessThanOrEqual">
      <formula>0</formula>
    </cfRule>
    <cfRule type="colorScale" priority="187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47:S55">
    <cfRule type="cellIs" dxfId="2" priority="8" operator="lessThanOrEqual">
      <formula>0</formula>
    </cfRule>
    <cfRule type="colorScale" priority="188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14:AA22">
    <cfRule type="colorScale" priority="192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3:AA11">
    <cfRule type="colorScale" priority="193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25:AA33">
    <cfRule type="cellIs" dxfId="1" priority="11" operator="lessThanOrEqual">
      <formula>0</formula>
    </cfRule>
    <cfRule type="colorScale" priority="194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36:AA44">
    <cfRule type="cellIs" dxfId="0" priority="9" operator="lessThanOrEqual">
      <formula>0</formula>
    </cfRule>
    <cfRule type="colorScale" priority="195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47:AA55">
    <cfRule type="colorScale" priority="196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58:J66">
    <cfRule type="colorScale" priority="218">
      <colorScale>
        <cfvo type="num" val="0"/>
        <cfvo type="percentile" val="50"/>
        <cfvo type="num" val="MAX($B$58:$J$66)"/>
        <color rgb="FFFF0000"/>
        <color rgb="FFFFEB84"/>
        <color rgb="FF00B050"/>
      </colorScale>
    </cfRule>
  </conditionalFormatting>
  <conditionalFormatting sqref="L58:S66">
    <cfRule type="colorScale" priority="2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58:AA66">
    <cfRule type="colorScale" priority="1">
      <colorScale>
        <cfvo type="num" val="0"/>
        <cfvo type="num" val="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AH38"/>
  <sheetViews>
    <sheetView tabSelected="1" zoomScaleNormal="100" zoomScaleSheetLayoutView="75" workbookViewId="0">
      <selection activeCell="N18" sqref="N18:V20"/>
    </sheetView>
  </sheetViews>
  <sheetFormatPr baseColWidth="10" defaultColWidth="11" defaultRowHeight="16" x14ac:dyDescent="0.2"/>
  <cols>
    <col min="1" max="1" width="5.83203125" style="251" bestFit="1" customWidth="1"/>
    <col min="2" max="11" width="3.6640625" customWidth="1"/>
    <col min="12" max="12" width="4.83203125" customWidth="1"/>
    <col min="13" max="22" width="7.1640625" customWidth="1"/>
    <col min="23" max="23" width="5.33203125" customWidth="1"/>
    <col min="24" max="34" width="6.5" customWidth="1"/>
  </cols>
  <sheetData>
    <row r="1" spans="1:34" x14ac:dyDescent="0.2">
      <c r="A1" s="335" t="str">
        <f>Rules!I2</f>
        <v>My Basic Strategy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M1" s="332" t="s">
        <v>194</v>
      </c>
      <c r="N1" s="333"/>
      <c r="O1" s="333"/>
      <c r="P1" s="333"/>
      <c r="Q1" s="333"/>
      <c r="R1" s="333"/>
      <c r="S1" s="333"/>
      <c r="T1" s="333"/>
      <c r="U1" s="333"/>
      <c r="V1" s="334"/>
      <c r="X1" s="336" t="s">
        <v>160</v>
      </c>
      <c r="Y1" s="337"/>
      <c r="Z1" s="337"/>
      <c r="AA1" s="337"/>
      <c r="AB1" s="337"/>
      <c r="AC1" s="337"/>
      <c r="AD1" s="337"/>
      <c r="AE1" s="337"/>
      <c r="AF1" s="337"/>
      <c r="AG1" s="337"/>
      <c r="AH1" s="338"/>
    </row>
    <row r="2" spans="1:34" x14ac:dyDescent="0.2">
      <c r="A2" s="252" t="str">
        <f>Rules!I3</f>
        <v>Hard</v>
      </c>
      <c r="B2" s="49" t="str">
        <f>Rules!J3</f>
        <v>A</v>
      </c>
      <c r="C2" s="49">
        <f>Rules!K3</f>
        <v>2</v>
      </c>
      <c r="D2" s="49">
        <f>Rules!L3</f>
        <v>3</v>
      </c>
      <c r="E2" s="49">
        <f>Rules!M3</f>
        <v>4</v>
      </c>
      <c r="F2" s="49">
        <f>Rules!N3</f>
        <v>5</v>
      </c>
      <c r="G2" s="49">
        <f>Rules!O3</f>
        <v>6</v>
      </c>
      <c r="H2" s="49">
        <f>Rules!P3</f>
        <v>7</v>
      </c>
      <c r="I2" s="49">
        <f>Rules!Q3</f>
        <v>8</v>
      </c>
      <c r="J2" s="49">
        <f>Rules!R3</f>
        <v>9</v>
      </c>
      <c r="K2" s="49">
        <f>Rules!S3</f>
        <v>10</v>
      </c>
      <c r="M2" s="271" t="s">
        <v>140</v>
      </c>
      <c r="N2" s="271" t="str">
        <f>'Strategy Summary'!B2</f>
        <v>1x2</v>
      </c>
      <c r="O2" s="271" t="str">
        <f>'Strategy Summary'!C2</f>
        <v>1x3</v>
      </c>
      <c r="P2" s="271" t="str">
        <f>'Strategy Summary'!D2</f>
        <v>1x4</v>
      </c>
      <c r="Q2" s="271" t="str">
        <f>'Strategy Summary'!E2</f>
        <v>1x5</v>
      </c>
      <c r="R2" s="271" t="str">
        <f>'Strategy Summary'!F2</f>
        <v>1x6</v>
      </c>
      <c r="S2" s="271" t="str">
        <f>'Strategy Summary'!G2</f>
        <v>1x7</v>
      </c>
      <c r="T2" s="271" t="str">
        <f>'Strategy Summary'!H2</f>
        <v>1x8</v>
      </c>
      <c r="U2" s="271" t="str">
        <f>'Strategy Summary'!I2</f>
        <v>1x9</v>
      </c>
      <c r="V2" s="271" t="str">
        <f>'Strategy Summary'!J2</f>
        <v>1x10</v>
      </c>
      <c r="X2" s="32" t="str">
        <f>ER!A2</f>
        <v>Hard</v>
      </c>
      <c r="Y2" s="32" t="str">
        <f>ER!B2</f>
        <v>Ace</v>
      </c>
      <c r="Z2" s="32">
        <f>ER!C2</f>
        <v>2</v>
      </c>
      <c r="AA2" s="32">
        <f>ER!D2</f>
        <v>3</v>
      </c>
      <c r="AB2" s="32">
        <f>ER!E2</f>
        <v>4</v>
      </c>
      <c r="AC2" s="32">
        <f>ER!F2</f>
        <v>5</v>
      </c>
      <c r="AD2" s="32">
        <f>ER!G2</f>
        <v>6</v>
      </c>
      <c r="AE2" s="32">
        <f>ER!H2</f>
        <v>7</v>
      </c>
      <c r="AF2" s="32">
        <f>ER!I2</f>
        <v>8</v>
      </c>
      <c r="AG2" s="32">
        <f>ER!J2</f>
        <v>9</v>
      </c>
      <c r="AH2" s="32">
        <f>ER!K2</f>
        <v>10</v>
      </c>
    </row>
    <row r="3" spans="1:34" x14ac:dyDescent="0.2">
      <c r="A3" s="252" t="str">
        <f>Rules!I4</f>
        <v>5-8</v>
      </c>
      <c r="B3" s="50" t="str">
        <f>Rules!J4</f>
        <v>H</v>
      </c>
      <c r="C3" s="50" t="str">
        <f>Rules!K4</f>
        <v>H</v>
      </c>
      <c r="D3" s="50" t="str">
        <f>Rules!L4</f>
        <v>H</v>
      </c>
      <c r="E3" s="50" t="str">
        <f>Rules!M4</f>
        <v>H</v>
      </c>
      <c r="F3" s="50" t="str">
        <f>Rules!N4</f>
        <v>H</v>
      </c>
      <c r="G3" s="50" t="str">
        <f>Rules!O4</f>
        <v>H</v>
      </c>
      <c r="H3" s="50" t="str">
        <f>Rules!P4</f>
        <v>H</v>
      </c>
      <c r="I3" s="50" t="str">
        <f>Rules!Q4</f>
        <v>H</v>
      </c>
      <c r="J3" s="50" t="str">
        <f>Rules!R4</f>
        <v>H</v>
      </c>
      <c r="K3" s="50" t="str">
        <f>Rules!S4</f>
        <v>H</v>
      </c>
      <c r="M3" s="271">
        <f>'Strategy Summary'!A3</f>
        <v>2</v>
      </c>
      <c r="N3" s="1">
        <f>'Strategy Summary'!B3</f>
        <v>-0.12525362033682841</v>
      </c>
      <c r="O3" s="1">
        <f>'Strategy Summary'!C3</f>
        <v>0.5303337656535394</v>
      </c>
      <c r="P3" s="1">
        <f>'Strategy Summary'!D3</f>
        <v>1.03428276657535</v>
      </c>
      <c r="Q3" s="1">
        <f>'Strategy Summary'!E3</f>
        <v>1.2354145617490833</v>
      </c>
      <c r="R3" s="1">
        <f>'Strategy Summary'!F3</f>
        <v>1.0412686967269114</v>
      </c>
      <c r="S3" s="1">
        <f>'Strategy Summary'!G3</f>
        <v>0.38387871050247746</v>
      </c>
      <c r="T3" s="1">
        <f>'Strategy Summary'!H3</f>
        <v>-0.78779463940218619</v>
      </c>
      <c r="U3" s="1">
        <f>'Strategy Summary'!I3</f>
        <v>-2.5105937868179602</v>
      </c>
      <c r="V3" s="1">
        <f>'Strategy Summary'!J3</f>
        <v>-4.809404839133478</v>
      </c>
      <c r="X3" s="32">
        <f>ER!A3</f>
        <v>5</v>
      </c>
      <c r="Y3" s="34">
        <f>ER!B3</f>
        <v>-0.27857459755181968</v>
      </c>
      <c r="Z3" s="34">
        <f>ER!C3</f>
        <v>-0.12821556706374745</v>
      </c>
      <c r="AA3" s="34">
        <f>ER!D3</f>
        <v>-9.5310227261489883E-2</v>
      </c>
      <c r="AB3" s="34">
        <f>ER!E3</f>
        <v>-6.1479464199694238E-2</v>
      </c>
      <c r="AC3" s="34">
        <f>ER!F3</f>
        <v>-2.397897039185962E-2</v>
      </c>
      <c r="AD3" s="34">
        <f>ER!G3</f>
        <v>-1.1863378384401623E-3</v>
      </c>
      <c r="AE3" s="34">
        <f>ER!H3</f>
        <v>-0.11944744188414852</v>
      </c>
      <c r="AF3" s="34">
        <f>ER!I3</f>
        <v>-0.18809330390318524</v>
      </c>
      <c r="AG3" s="34">
        <f>ER!J3</f>
        <v>-0.26661505335795899</v>
      </c>
      <c r="AH3" s="34">
        <f>ER!K3</f>
        <v>-0.31341164336497107</v>
      </c>
    </row>
    <row r="4" spans="1:34" x14ac:dyDescent="0.2">
      <c r="A4" s="252">
        <f>Rules!I5</f>
        <v>9</v>
      </c>
      <c r="B4" s="50" t="str">
        <f>Rules!J5</f>
        <v>H</v>
      </c>
      <c r="C4" s="50" t="str">
        <f>Rules!K5</f>
        <v>H</v>
      </c>
      <c r="D4" s="50" t="str">
        <f>Rules!L5</f>
        <v>D</v>
      </c>
      <c r="E4" s="50" t="str">
        <f>Rules!M5</f>
        <v>D</v>
      </c>
      <c r="F4" s="50" t="str">
        <f>Rules!N5</f>
        <v>D</v>
      </c>
      <c r="G4" s="50" t="str">
        <f>Rules!O5</f>
        <v>D</v>
      </c>
      <c r="H4" s="50" t="str">
        <f>Rules!P5</f>
        <v>H</v>
      </c>
      <c r="I4" s="50" t="str">
        <f>Rules!Q5</f>
        <v>H</v>
      </c>
      <c r="J4" s="50" t="str">
        <f>Rules!R5</f>
        <v>H</v>
      </c>
      <c r="K4" s="50" t="str">
        <f>Rules!S5</f>
        <v>H</v>
      </c>
      <c r="M4" s="271">
        <f>'Strategy Summary'!A4</f>
        <v>3</v>
      </c>
      <c r="N4" s="1">
        <f>'Strategy Summary'!B4</f>
        <v>-2.1151576969923092E-2</v>
      </c>
      <c r="O4" s="1">
        <f>'Strategy Summary'!C4</f>
        <v>1.7906887529627094</v>
      </c>
      <c r="P4" s="1">
        <f>'Strategy Summary'!D4</f>
        <v>3.3934185290209378</v>
      </c>
      <c r="Q4" s="1">
        <f>'Strategy Summary'!E4</f>
        <v>4.686242441434322</v>
      </c>
      <c r="R4" s="1">
        <f>'Strategy Summary'!F4</f>
        <v>5.6189758525097471</v>
      </c>
      <c r="S4" s="1">
        <f>'Strategy Summary'!G4</f>
        <v>6.1426160304734498</v>
      </c>
      <c r="T4" s="1">
        <f>'Strategy Summary'!H4</f>
        <v>6.211679841287717</v>
      </c>
      <c r="U4" s="1">
        <f>'Strategy Summary'!I4</f>
        <v>5.7884961242692938</v>
      </c>
      <c r="V4" s="1">
        <f>'Strategy Summary'!J4</f>
        <v>4.8448645350245521</v>
      </c>
      <c r="X4" s="32">
        <f>ER!A4</f>
        <v>6</v>
      </c>
      <c r="Y4" s="34">
        <f>ER!B4</f>
        <v>-0.30414663097569933</v>
      </c>
      <c r="Z4" s="34">
        <f>ER!C4</f>
        <v>-0.14075911746001987</v>
      </c>
      <c r="AA4" s="34">
        <f>ER!D4</f>
        <v>-0.10729107800860836</v>
      </c>
      <c r="AB4" s="34">
        <f>ER!E4</f>
        <v>-7.2917141926387305E-2</v>
      </c>
      <c r="AC4" s="34">
        <f>ER!F4</f>
        <v>-3.4915973330102178E-2</v>
      </c>
      <c r="AD4" s="34">
        <f>ER!G4</f>
        <v>-1.3005835529874294E-2</v>
      </c>
      <c r="AE4" s="34">
        <f>ER!H4</f>
        <v>-0.15193270723669944</v>
      </c>
      <c r="AF4" s="34">
        <f>ER!I4</f>
        <v>-0.21724188132078476</v>
      </c>
      <c r="AG4" s="34">
        <f>ER!J4</f>
        <v>-0.29264070019772598</v>
      </c>
      <c r="AH4" s="34">
        <f>ER!K4</f>
        <v>-0.33774944037840804</v>
      </c>
    </row>
    <row r="5" spans="1:34" x14ac:dyDescent="0.2">
      <c r="A5" s="252">
        <f>Rules!I6</f>
        <v>10</v>
      </c>
      <c r="B5" s="50" t="str">
        <f>Rules!J6</f>
        <v>H</v>
      </c>
      <c r="C5" s="50" t="str">
        <f>Rules!K6</f>
        <v>D</v>
      </c>
      <c r="D5" s="50" t="str">
        <f>Rules!L6</f>
        <v>D</v>
      </c>
      <c r="E5" s="50" t="str">
        <f>Rules!M6</f>
        <v>D</v>
      </c>
      <c r="F5" s="50" t="str">
        <f>Rules!N6</f>
        <v>D</v>
      </c>
      <c r="G5" s="50" t="str">
        <f>Rules!O6</f>
        <v>D</v>
      </c>
      <c r="H5" s="50" t="str">
        <f>Rules!P6</f>
        <v>D</v>
      </c>
      <c r="I5" s="50" t="str">
        <f>Rules!Q6</f>
        <v>D</v>
      </c>
      <c r="J5" s="50" t="str">
        <f>Rules!R6</f>
        <v>D</v>
      </c>
      <c r="K5" s="50" t="str">
        <f>Rules!S6</f>
        <v>H</v>
      </c>
      <c r="M5" s="271">
        <f>'Strategy Summary'!A5</f>
        <v>4</v>
      </c>
      <c r="N5" s="1">
        <f>'Strategy Summary'!B5</f>
        <v>0.22260475101416777</v>
      </c>
      <c r="O5" s="1">
        <f>'Strategy Summary'!C5</f>
        <v>3.4568609126301304</v>
      </c>
      <c r="P5" s="1">
        <f>'Strategy Summary'!D5</f>
        <v>6.179203880245848</v>
      </c>
      <c r="Q5" s="1">
        <f>'Strategy Summary'!E5</f>
        <v>8.536727881164996</v>
      </c>
      <c r="R5" s="1">
        <f>'Strategy Summary'!F5</f>
        <v>10.597804468402634</v>
      </c>
      <c r="S5" s="1">
        <f>'Strategy Summary'!G5</f>
        <v>12.36414730502463</v>
      </c>
      <c r="T5" s="1">
        <f>'Strategy Summary'!H5</f>
        <v>13.811974207856474</v>
      </c>
      <c r="U5" s="1">
        <f>'Strategy Summary'!I5</f>
        <v>14.912103692966207</v>
      </c>
      <c r="V5" s="1">
        <f>'Strategy Summary'!J5</f>
        <v>15.638461321131572</v>
      </c>
      <c r="X5" s="32">
        <f>ER!A5</f>
        <v>7</v>
      </c>
      <c r="Y5" s="34">
        <f>ER!B5</f>
        <v>-0.31007165033163697</v>
      </c>
      <c r="Z5" s="34">
        <f>ER!C5</f>
        <v>-0.10918342786661633</v>
      </c>
      <c r="AA5" s="34">
        <f>ER!D5</f>
        <v>-7.658298190446361E-2</v>
      </c>
      <c r="AB5" s="34">
        <f>ER!E5</f>
        <v>-4.3021794004341876E-2</v>
      </c>
      <c r="AC5" s="34">
        <f>ER!F5</f>
        <v>-7.2713609029408845E-3</v>
      </c>
      <c r="AD5" s="34">
        <f>ER!G5</f>
        <v>2.9185342353860864E-2</v>
      </c>
      <c r="AE5" s="34">
        <f>ER!H5</f>
        <v>-6.8807799580427764E-2</v>
      </c>
      <c r="AF5" s="34">
        <f>ER!I5</f>
        <v>-0.21060476872434969</v>
      </c>
      <c r="AG5" s="34">
        <f>ER!J5</f>
        <v>-0.28536544048687656</v>
      </c>
      <c r="AH5" s="34">
        <f>ER!K5</f>
        <v>-0.31905479139833842</v>
      </c>
    </row>
    <row r="6" spans="1:34" x14ac:dyDescent="0.2">
      <c r="A6" s="252">
        <f>Rules!I7</f>
        <v>11</v>
      </c>
      <c r="B6" s="50" t="str">
        <f>Rules!J7</f>
        <v>H</v>
      </c>
      <c r="C6" s="50" t="str">
        <f>Rules!K7</f>
        <v>D</v>
      </c>
      <c r="D6" s="50" t="str">
        <f>Rules!L7</f>
        <v>D</v>
      </c>
      <c r="E6" s="50" t="str">
        <f>Rules!M7</f>
        <v>D</v>
      </c>
      <c r="F6" s="50" t="str">
        <f>Rules!N7</f>
        <v>D</v>
      </c>
      <c r="G6" s="50" t="str">
        <f>Rules!O7</f>
        <v>D</v>
      </c>
      <c r="H6" s="50" t="str">
        <f>Rules!P7</f>
        <v>D</v>
      </c>
      <c r="I6" s="50" t="str">
        <f>Rules!Q7</f>
        <v>D</v>
      </c>
      <c r="J6" s="50" t="str">
        <f>Rules!R7</f>
        <v>D</v>
      </c>
      <c r="K6" s="50" t="str">
        <f>Rules!S7</f>
        <v>D</v>
      </c>
      <c r="M6" s="332" t="s">
        <v>195</v>
      </c>
      <c r="N6" s="333"/>
      <c r="O6" s="333"/>
      <c r="P6" s="333"/>
      <c r="Q6" s="333"/>
      <c r="R6" s="333"/>
      <c r="S6" s="333"/>
      <c r="T6" s="333"/>
      <c r="U6" s="333"/>
      <c r="V6" s="334"/>
      <c r="X6" s="32">
        <f>ER!A6</f>
        <v>8</v>
      </c>
      <c r="Y6" s="34">
        <f>ER!B6</f>
        <v>-0.1970288105741636</v>
      </c>
      <c r="Z6" s="34">
        <f>ER!C6</f>
        <v>-2.1798188008805668E-2</v>
      </c>
      <c r="AA6" s="34">
        <f>ER!D6</f>
        <v>8.0052625306546825E-3</v>
      </c>
      <c r="AB6" s="34">
        <f>ER!E6</f>
        <v>3.8784473277208811E-2</v>
      </c>
      <c r="AC6" s="34">
        <f>ER!F6</f>
        <v>7.0804635983033826E-2</v>
      </c>
      <c r="AD6" s="34">
        <f>ER!G6</f>
        <v>0.11496015009622321</v>
      </c>
      <c r="AE6" s="34">
        <f>ER!H6</f>
        <v>8.2207439363742862E-2</v>
      </c>
      <c r="AF6" s="34">
        <f>ER!I6</f>
        <v>-5.9898275658656304E-2</v>
      </c>
      <c r="AG6" s="34">
        <f>ER!J6</f>
        <v>-0.21018633199821757</v>
      </c>
      <c r="AH6" s="34">
        <f>ER!K6</f>
        <v>-0.24937508055334259</v>
      </c>
    </row>
    <row r="7" spans="1:34" x14ac:dyDescent="0.2">
      <c r="A7" s="252">
        <f>Rules!I8</f>
        <v>12</v>
      </c>
      <c r="B7" s="50" t="str">
        <f>Rules!J8</f>
        <v>H</v>
      </c>
      <c r="C7" s="50" t="str">
        <f>Rules!K8</f>
        <v>H</v>
      </c>
      <c r="D7" s="50" t="str">
        <f>Rules!L8</f>
        <v>H</v>
      </c>
      <c r="E7" s="50" t="str">
        <f>Rules!M8</f>
        <v>S</v>
      </c>
      <c r="F7" s="50" t="str">
        <f>Rules!N8</f>
        <v>S</v>
      </c>
      <c r="G7" s="50" t="str">
        <f>Rules!O8</f>
        <v>S</v>
      </c>
      <c r="H7" s="50" t="str">
        <f>Rules!P8</f>
        <v>H</v>
      </c>
      <c r="I7" s="50" t="str">
        <f>Rules!Q8</f>
        <v>H</v>
      </c>
      <c r="J7" s="50" t="str">
        <f>Rules!R8</f>
        <v>H</v>
      </c>
      <c r="K7" s="50" t="str">
        <f>Rules!S8</f>
        <v>H</v>
      </c>
      <c r="M7" s="271" t="s">
        <v>140</v>
      </c>
      <c r="N7" s="271" t="str">
        <f>'Strategy Summary'!B13</f>
        <v>1x2</v>
      </c>
      <c r="O7" s="271" t="str">
        <f>'Strategy Summary'!C13</f>
        <v>1x3</v>
      </c>
      <c r="P7" s="271" t="str">
        <f>'Strategy Summary'!D13</f>
        <v>1x4</v>
      </c>
      <c r="Q7" s="271" t="str">
        <f>'Strategy Summary'!E13</f>
        <v>1x5</v>
      </c>
      <c r="R7" s="271" t="str">
        <f>'Strategy Summary'!F13</f>
        <v>1x6</v>
      </c>
      <c r="S7" s="271" t="str">
        <f>'Strategy Summary'!G13</f>
        <v>1x7</v>
      </c>
      <c r="T7" s="271" t="str">
        <f>'Strategy Summary'!H13</f>
        <v>1x8</v>
      </c>
      <c r="U7" s="271" t="str">
        <f>'Strategy Summary'!I13</f>
        <v>1x9</v>
      </c>
      <c r="V7" s="271" t="str">
        <f>'Strategy Summary'!J13</f>
        <v>1x10</v>
      </c>
      <c r="X7" s="32">
        <f>ER!A7</f>
        <v>9</v>
      </c>
      <c r="Y7" s="34">
        <f>ER!B7</f>
        <v>-6.5680778778066204E-2</v>
      </c>
      <c r="Z7" s="34">
        <f>ER!C7</f>
        <v>7.4446037576340524E-2</v>
      </c>
      <c r="AA7" s="34">
        <f>ER!D7</f>
        <v>0.12081635332999649</v>
      </c>
      <c r="AB7" s="34">
        <f>ER!E7</f>
        <v>0.18194893405242166</v>
      </c>
      <c r="AC7" s="34">
        <f>ER!F7</f>
        <v>0.24305722487303633</v>
      </c>
      <c r="AD7" s="34">
        <f>ER!G7</f>
        <v>0.31705474570166692</v>
      </c>
      <c r="AE7" s="34">
        <f>ER!H7</f>
        <v>0.17186785993695267</v>
      </c>
      <c r="AF7" s="34">
        <f>ER!I7</f>
        <v>9.8376217435392516E-2</v>
      </c>
      <c r="AG7" s="34">
        <f>ER!J7</f>
        <v>-5.2178053462651669E-2</v>
      </c>
      <c r="AH7" s="34">
        <f>ER!K7</f>
        <v>-0.15295298487455075</v>
      </c>
    </row>
    <row r="8" spans="1:34" x14ac:dyDescent="0.2">
      <c r="A8" s="252">
        <f>Rules!I9</f>
        <v>13</v>
      </c>
      <c r="B8" s="50" t="str">
        <f>Rules!J9</f>
        <v>H</v>
      </c>
      <c r="C8" s="50" t="str">
        <f>Rules!K9</f>
        <v>S</v>
      </c>
      <c r="D8" s="50" t="str">
        <f>Rules!L9</f>
        <v>S</v>
      </c>
      <c r="E8" s="50" t="str">
        <f>Rules!M9</f>
        <v>S</v>
      </c>
      <c r="F8" s="50" t="str">
        <f>Rules!N9</f>
        <v>S</v>
      </c>
      <c r="G8" s="50" t="str">
        <f>Rules!O9</f>
        <v>S</v>
      </c>
      <c r="H8" s="50" t="str">
        <f>Rules!P9</f>
        <v>H</v>
      </c>
      <c r="I8" s="50" t="str">
        <f>Rules!Q9</f>
        <v>H</v>
      </c>
      <c r="J8" s="50" t="str">
        <f>Rules!R9</f>
        <v>H</v>
      </c>
      <c r="K8" s="50" t="str">
        <f>Rules!S9</f>
        <v>H</v>
      </c>
      <c r="M8" s="271">
        <f>'Strategy Summary'!A14</f>
        <v>2</v>
      </c>
      <c r="N8" s="1">
        <f>'Strategy Summary'!B14</f>
        <v>4.6273988852222281E-2</v>
      </c>
      <c r="O8" s="1">
        <f>'Strategy Summary'!C14</f>
        <v>0.16154687916241373</v>
      </c>
      <c r="P8" s="1">
        <f>'Strategy Summary'!D14</f>
        <v>0.22354406249726549</v>
      </c>
      <c r="Q8" s="1">
        <f>'Strategy Summary'!E14</f>
        <v>0.2597057856612251</v>
      </c>
      <c r="R8" s="1">
        <f>'Strategy Summary'!F14</f>
        <v>0.28180250385164324</v>
      </c>
      <c r="S8" s="1">
        <f>'Strategy Summary'!G14</f>
        <v>0.29569046767278684</v>
      </c>
      <c r="T8" s="1">
        <f>'Strategy Summary'!H14</f>
        <v>0.30457423256867439</v>
      </c>
      <c r="U8" s="1">
        <f>'Strategy Summary'!I14</f>
        <v>0.31032111101394261</v>
      </c>
      <c r="V8" s="1">
        <f>'Strategy Summary'!J14</f>
        <v>0.31406579592507639</v>
      </c>
      <c r="X8" s="32">
        <f>ER!A8</f>
        <v>10</v>
      </c>
      <c r="Y8" s="34">
        <f>ER!B8</f>
        <v>8.1449707945275923E-2</v>
      </c>
      <c r="Z8" s="34">
        <f>ER!C8</f>
        <v>0.3589394124422991</v>
      </c>
      <c r="AA8" s="34">
        <f>ER!D8</f>
        <v>0.40932067017593915</v>
      </c>
      <c r="AB8" s="34">
        <f>ER!E8</f>
        <v>0.460940243794354</v>
      </c>
      <c r="AC8" s="34">
        <f>ER!F8</f>
        <v>0.51251710900326775</v>
      </c>
      <c r="AD8" s="34">
        <f>ER!G8</f>
        <v>0.57559016859776857</v>
      </c>
      <c r="AE8" s="34">
        <f>ER!H8</f>
        <v>0.39241245528243773</v>
      </c>
      <c r="AF8" s="34">
        <f>ER!I8</f>
        <v>0.28663571688628381</v>
      </c>
      <c r="AG8" s="34">
        <f>ER!J8</f>
        <v>0.1443283683807712</v>
      </c>
      <c r="AH8" s="34">
        <f>ER!K8</f>
        <v>2.5308523040868145E-2</v>
      </c>
    </row>
    <row r="9" spans="1:34" x14ac:dyDescent="0.2">
      <c r="A9" s="252">
        <f>Rules!I10</f>
        <v>14</v>
      </c>
      <c r="B9" s="50" t="str">
        <f>Rules!J10</f>
        <v>H</v>
      </c>
      <c r="C9" s="50" t="str">
        <f>Rules!K10</f>
        <v>S</v>
      </c>
      <c r="D9" s="50" t="str">
        <f>Rules!L10</f>
        <v>S</v>
      </c>
      <c r="E9" s="50" t="str">
        <f>Rules!M10</f>
        <v>S</v>
      </c>
      <c r="F9" s="50" t="str">
        <f>Rules!N10</f>
        <v>S</v>
      </c>
      <c r="G9" s="50" t="str">
        <f>Rules!O10</f>
        <v>S</v>
      </c>
      <c r="H9" s="50" t="str">
        <f>Rules!P10</f>
        <v>H</v>
      </c>
      <c r="I9" s="50" t="str">
        <f>Rules!Q10</f>
        <v>H</v>
      </c>
      <c r="J9" s="50" t="str">
        <f>Rules!R10</f>
        <v>H</v>
      </c>
      <c r="K9" s="50" t="str">
        <f>Rules!S10</f>
        <v>H</v>
      </c>
      <c r="M9" s="271">
        <f>'Strategy Summary'!A15</f>
        <v>3</v>
      </c>
      <c r="N9" s="1">
        <f>'Strategy Summary'!B15</f>
        <v>0.39403697635411244</v>
      </c>
      <c r="O9" s="1">
        <f>'Strategy Summary'!C15</f>
        <v>0.53537276282161517</v>
      </c>
      <c r="P9" s="1">
        <f>'Strategy Summary'!D15</f>
        <v>0.60466270956836365</v>
      </c>
      <c r="Q9" s="1">
        <f>'Strategy Summary'!E15</f>
        <v>0.64267646235343323</v>
      </c>
      <c r="R9" s="1">
        <f>'Strategy Summary'!F15</f>
        <v>0.66499608730475857</v>
      </c>
      <c r="S9" s="1">
        <f>'Strategy Summary'!G15</f>
        <v>0.67866383432592847</v>
      </c>
      <c r="T9" s="1">
        <f>'Strategy Summary'!H15</f>
        <v>0.68725918355561511</v>
      </c>
      <c r="U9" s="1">
        <f>'Strategy Summary'!I15</f>
        <v>0.69275774695734282</v>
      </c>
      <c r="V9" s="1">
        <f>'Strategy Summary'!J15</f>
        <v>0.69631442269809807</v>
      </c>
      <c r="X9" s="32">
        <f>ER!A9</f>
        <v>11</v>
      </c>
      <c r="Y9" s="34">
        <f>ER!B9</f>
        <v>0.14300128216153027</v>
      </c>
      <c r="Z9" s="34">
        <f>ER!C9</f>
        <v>0.47064092333946889</v>
      </c>
      <c r="AA9" s="34">
        <f>ER!D9</f>
        <v>0.51779525312221675</v>
      </c>
      <c r="AB9" s="34">
        <f>ER!E9</f>
        <v>0.56604055041797607</v>
      </c>
      <c r="AC9" s="34">
        <f>ER!F9</f>
        <v>0.61469901790902803</v>
      </c>
      <c r="AD9" s="34">
        <f>ER!G9</f>
        <v>0.66738009490756944</v>
      </c>
      <c r="AE9" s="34">
        <f>ER!H9</f>
        <v>0.46288894886429077</v>
      </c>
      <c r="AF9" s="34">
        <f>ER!I9</f>
        <v>0.35069259087031501</v>
      </c>
      <c r="AG9" s="34">
        <f>ER!J9</f>
        <v>0.22778342315245487</v>
      </c>
      <c r="AH9" s="34">
        <f>ER!K9</f>
        <v>0.1796887274111463</v>
      </c>
    </row>
    <row r="10" spans="1:34" x14ac:dyDescent="0.2">
      <c r="A10" s="252">
        <f>Rules!I11</f>
        <v>15</v>
      </c>
      <c r="B10" s="50" t="str">
        <f>Rules!J11</f>
        <v>H</v>
      </c>
      <c r="C10" s="50" t="str">
        <f>Rules!K11</f>
        <v>S</v>
      </c>
      <c r="D10" s="50" t="str">
        <f>Rules!L11</f>
        <v>S</v>
      </c>
      <c r="E10" s="50" t="str">
        <f>Rules!M11</f>
        <v>S</v>
      </c>
      <c r="F10" s="50" t="str">
        <f>Rules!N11</f>
        <v>S</v>
      </c>
      <c r="G10" s="50" t="str">
        <f>Rules!O11</f>
        <v>S</v>
      </c>
      <c r="H10" s="50" t="str">
        <f>Rules!P11</f>
        <v>H</v>
      </c>
      <c r="I10" s="50" t="str">
        <f>Rules!Q11</f>
        <v>H</v>
      </c>
      <c r="J10" s="50" t="str">
        <f>Rules!R11</f>
        <v>H</v>
      </c>
      <c r="K10" s="50" t="str">
        <f>Rules!S11</f>
        <v>R</v>
      </c>
      <c r="M10" s="271">
        <f>'Strategy Summary'!A16</f>
        <v>4</v>
      </c>
      <c r="N10" s="1">
        <f>'Strategy Summary'!B16</f>
        <v>0.5671754025813952</v>
      </c>
      <c r="O10" s="1">
        <f>'Strategy Summary'!C16</f>
        <v>0.71277795081499862</v>
      </c>
      <c r="P10" s="1">
        <f>'Strategy Summary'!D16</f>
        <v>0.77708322358125614</v>
      </c>
      <c r="Q10" s="1">
        <f>'Strategy Summary'!E16</f>
        <v>0.80996363690100892</v>
      </c>
      <c r="R10" s="1">
        <f>'Strategy Summary'!F16</f>
        <v>0.82840123393352549</v>
      </c>
      <c r="S10" s="1">
        <f>'Strategy Summary'!G16</f>
        <v>0.83935831392074478</v>
      </c>
      <c r="T10" s="1">
        <f>'Strategy Summary'!H16</f>
        <v>0.84611532239759057</v>
      </c>
      <c r="U10" s="1">
        <f>'Strategy Summary'!I16</f>
        <v>0.85038273631885286</v>
      </c>
      <c r="V10" s="1">
        <f>'Strategy Summary'!J16</f>
        <v>0.8531198749981701</v>
      </c>
      <c r="X10" s="32">
        <f>ER!A10</f>
        <v>12</v>
      </c>
      <c r="Y10" s="34">
        <f>ER!B10</f>
        <v>-0.35054034044008009</v>
      </c>
      <c r="Z10" s="34">
        <f>ER!C10</f>
        <v>-0.25338998596663809</v>
      </c>
      <c r="AA10" s="34">
        <f>ER!D10</f>
        <v>-0.2336908997980866</v>
      </c>
      <c r="AB10" s="34">
        <f>ER!E10</f>
        <v>-0.21106310899491437</v>
      </c>
      <c r="AC10" s="34">
        <f>ER!F10</f>
        <v>-0.16719266083547524</v>
      </c>
      <c r="AD10" s="34">
        <f>ER!G10</f>
        <v>-0.1536990158300045</v>
      </c>
      <c r="AE10" s="34">
        <f>ER!H10</f>
        <v>-0.21284771451731424</v>
      </c>
      <c r="AF10" s="34">
        <f>ER!I10</f>
        <v>-0.27157480502428616</v>
      </c>
      <c r="AG10" s="34">
        <f>ER!J10</f>
        <v>-0.3400132806089356</v>
      </c>
      <c r="AH10" s="34">
        <f>ER!K10</f>
        <v>-0.38104299284808768</v>
      </c>
    </row>
    <row r="11" spans="1:34" x14ac:dyDescent="0.2">
      <c r="A11" s="252">
        <f>Rules!I12</f>
        <v>16</v>
      </c>
      <c r="B11" s="50" t="str">
        <f>Rules!J12</f>
        <v>H</v>
      </c>
      <c r="C11" s="50" t="str">
        <f>Rules!K12</f>
        <v>S</v>
      </c>
      <c r="D11" s="50" t="str">
        <f>Rules!L12</f>
        <v>S</v>
      </c>
      <c r="E11" s="50" t="str">
        <f>Rules!M12</f>
        <v>S</v>
      </c>
      <c r="F11" s="50" t="str">
        <f>Rules!N12</f>
        <v>S</v>
      </c>
      <c r="G11" s="50" t="str">
        <f>Rules!O12</f>
        <v>S</v>
      </c>
      <c r="H11" s="50" t="str">
        <f>Rules!P12</f>
        <v>H</v>
      </c>
      <c r="I11" s="50" t="str">
        <f>Rules!Q12</f>
        <v>H</v>
      </c>
      <c r="J11" s="50" t="str">
        <f>Rules!R12</f>
        <v>R</v>
      </c>
      <c r="K11" s="50" t="str">
        <f>Rules!S12</f>
        <v>R</v>
      </c>
      <c r="M11" s="332" t="s">
        <v>182</v>
      </c>
      <c r="N11" s="333"/>
      <c r="O11" s="333"/>
      <c r="P11" s="333"/>
      <c r="Q11" s="333"/>
      <c r="R11" s="333"/>
      <c r="S11" s="333"/>
      <c r="T11" s="333"/>
      <c r="U11" s="333"/>
      <c r="V11" s="334"/>
      <c r="X11" s="32">
        <f>ER!A11</f>
        <v>13</v>
      </c>
      <c r="Y11" s="34">
        <f>ER!B11</f>
        <v>-0.3969303161229315</v>
      </c>
      <c r="Z11" s="34">
        <f>ER!C11</f>
        <v>-0.29278372720927726</v>
      </c>
      <c r="AA11" s="34">
        <f>ER!D11</f>
        <v>-0.2522502292357135</v>
      </c>
      <c r="AB11" s="34">
        <f>ER!E11</f>
        <v>-0.21106310899491437</v>
      </c>
      <c r="AC11" s="34">
        <f>ER!F11</f>
        <v>-0.16719266083547524</v>
      </c>
      <c r="AD11" s="34">
        <f>ER!G11</f>
        <v>-0.1536990158300045</v>
      </c>
      <c r="AE11" s="34">
        <f>ER!H11</f>
        <v>-0.26907287776607752</v>
      </c>
      <c r="AF11" s="34">
        <f>ER!I11</f>
        <v>-0.32360517609397998</v>
      </c>
      <c r="AG11" s="34">
        <f>ER!J11</f>
        <v>-0.38715518913686875</v>
      </c>
      <c r="AH11" s="34">
        <f>ER!K11</f>
        <v>-0.42525420764465277</v>
      </c>
    </row>
    <row r="12" spans="1:34" x14ac:dyDescent="0.2">
      <c r="A12" s="252" t="str">
        <f>Rules!I13</f>
        <v>17-21</v>
      </c>
      <c r="B12" s="50" t="str">
        <f>Rules!J13</f>
        <v>S</v>
      </c>
      <c r="C12" s="50" t="str">
        <f>Rules!K13</f>
        <v>S</v>
      </c>
      <c r="D12" s="50" t="str">
        <f>Rules!L13</f>
        <v>S</v>
      </c>
      <c r="E12" s="50" t="str">
        <f>Rules!M13</f>
        <v>S</v>
      </c>
      <c r="F12" s="50" t="str">
        <f>Rules!N13</f>
        <v>S</v>
      </c>
      <c r="G12" s="50" t="str">
        <f>Rules!O13</f>
        <v>S</v>
      </c>
      <c r="H12" s="50" t="str">
        <f>Rules!P13</f>
        <v>S</v>
      </c>
      <c r="I12" s="50" t="str">
        <f>Rules!Q13</f>
        <v>S</v>
      </c>
      <c r="J12" s="50" t="str">
        <f>Rules!R13</f>
        <v>S</v>
      </c>
      <c r="K12" s="50" t="str">
        <f>Rules!S13</f>
        <v>S</v>
      </c>
      <c r="M12" s="271" t="s">
        <v>140</v>
      </c>
      <c r="N12" s="271" t="str">
        <f>'Strategy Summary'!B24</f>
        <v>1x2</v>
      </c>
      <c r="O12" s="271" t="str">
        <f>'Strategy Summary'!C24</f>
        <v>1x3</v>
      </c>
      <c r="P12" s="271" t="str">
        <f>'Strategy Summary'!D24</f>
        <v>1x4</v>
      </c>
      <c r="Q12" s="271" t="str">
        <f>'Strategy Summary'!E24</f>
        <v>1x5</v>
      </c>
      <c r="R12" s="271" t="str">
        <f>'Strategy Summary'!F24</f>
        <v>1x6</v>
      </c>
      <c r="S12" s="271" t="str">
        <f>'Strategy Summary'!G24</f>
        <v>1x7</v>
      </c>
      <c r="T12" s="271" t="str">
        <f>'Strategy Summary'!H24</f>
        <v>1x8</v>
      </c>
      <c r="U12" s="271" t="str">
        <f>'Strategy Summary'!I24</f>
        <v>1x9</v>
      </c>
      <c r="V12" s="271" t="str">
        <f>'Strategy Summary'!J24</f>
        <v>1x10</v>
      </c>
      <c r="X12" s="32">
        <f>ER!A12</f>
        <v>14</v>
      </c>
      <c r="Y12" s="34">
        <f>ER!B12</f>
        <v>-0.44000672211415065</v>
      </c>
      <c r="Z12" s="34">
        <f>ER!C12</f>
        <v>-0.29278372720927726</v>
      </c>
      <c r="AA12" s="34">
        <f>ER!D12</f>
        <v>-0.2522502292357135</v>
      </c>
      <c r="AB12" s="34">
        <f>ER!E12</f>
        <v>-0.21106310899491437</v>
      </c>
      <c r="AC12" s="34">
        <f>ER!F12</f>
        <v>-0.16719266083547524</v>
      </c>
      <c r="AD12" s="34">
        <f>ER!G12</f>
        <v>-0.1536990158300045</v>
      </c>
      <c r="AE12" s="34">
        <f>ER!H12</f>
        <v>-0.3212819579256434</v>
      </c>
      <c r="AF12" s="34">
        <f>ER!I12</f>
        <v>-0.37191909208726714</v>
      </c>
      <c r="AG12" s="34">
        <f>ER!J12</f>
        <v>-0.43092981848423528</v>
      </c>
      <c r="AH12" s="34">
        <f>ER!K12</f>
        <v>-0.46630747852717758</v>
      </c>
    </row>
    <row r="13" spans="1:34" x14ac:dyDescent="0.2">
      <c r="A13" s="252" t="str">
        <f>Rules!I14</f>
        <v>Soft</v>
      </c>
      <c r="B13" s="260" t="str">
        <f>Rules!J14</f>
        <v>A</v>
      </c>
      <c r="C13" s="260">
        <f>Rules!K14</f>
        <v>2</v>
      </c>
      <c r="D13" s="260">
        <f>Rules!L14</f>
        <v>3</v>
      </c>
      <c r="E13" s="260">
        <f>Rules!M14</f>
        <v>4</v>
      </c>
      <c r="F13" s="260">
        <f>Rules!N14</f>
        <v>5</v>
      </c>
      <c r="G13" s="260">
        <f>Rules!O14</f>
        <v>6</v>
      </c>
      <c r="H13" s="260">
        <f>Rules!P14</f>
        <v>7</v>
      </c>
      <c r="I13" s="260">
        <f>Rules!Q14</f>
        <v>8</v>
      </c>
      <c r="J13" s="260">
        <f>Rules!R14</f>
        <v>9</v>
      </c>
      <c r="K13" s="260">
        <f>Rules!S14</f>
        <v>10</v>
      </c>
      <c r="M13" s="271">
        <f>'Strategy Summary'!A25</f>
        <v>2</v>
      </c>
      <c r="N13" s="1">
        <f>'Strategy Summary'!B25</f>
        <v>15.226997363333563</v>
      </c>
      <c r="O13" s="1">
        <f>'Strategy Summary'!C25</f>
        <v>22.414289320128095</v>
      </c>
      <c r="P13" s="1">
        <f>'Strategy Summary'!D25</f>
        <v>33.076291432420113</v>
      </c>
      <c r="Q13" s="1">
        <f>'Strategy Summary'!E25</f>
        <v>46.679786420280962</v>
      </c>
      <c r="R13" s="1">
        <f>'Strategy Summary'!F25</f>
        <v>63.158266344433358</v>
      </c>
      <c r="S13" s="1">
        <f>'Strategy Summary'!G25</f>
        <v>82.515079141680019</v>
      </c>
      <c r="T13" s="1">
        <f>'Strategy Summary'!H25</f>
        <v>104.76396928957668</v>
      </c>
      <c r="U13" s="1">
        <f>'Strategy Summary'!I25</f>
        <v>129.91554464066041</v>
      </c>
      <c r="V13" s="1">
        <f>'Strategy Summary'!J25</f>
        <v>157.97461091466266</v>
      </c>
      <c r="X13" s="32">
        <f>ER!A13</f>
        <v>15</v>
      </c>
      <c r="Y13" s="34">
        <f>ER!B13</f>
        <v>-0.4800062419631399</v>
      </c>
      <c r="Z13" s="34">
        <f>ER!C13</f>
        <v>-0.29278372720927726</v>
      </c>
      <c r="AA13" s="34">
        <f>ER!D13</f>
        <v>-0.2522502292357135</v>
      </c>
      <c r="AB13" s="34">
        <f>ER!E13</f>
        <v>-0.21106310899491437</v>
      </c>
      <c r="AC13" s="34">
        <f>ER!F13</f>
        <v>-0.16719266083547524</v>
      </c>
      <c r="AD13" s="34">
        <f>ER!G13</f>
        <v>-0.1536990158300045</v>
      </c>
      <c r="AE13" s="34">
        <f>ER!H13</f>
        <v>-0.36976181807381175</v>
      </c>
      <c r="AF13" s="34">
        <f>ER!I13</f>
        <v>-0.41678201408103371</v>
      </c>
      <c r="AG13" s="34">
        <f>ER!J13</f>
        <v>-0.47157768859250415</v>
      </c>
      <c r="AH13" s="34">
        <f>ER!K13</f>
        <v>-0.5</v>
      </c>
    </row>
    <row r="14" spans="1:34" x14ac:dyDescent="0.2">
      <c r="A14" s="252">
        <f>Rules!I15</f>
        <v>13</v>
      </c>
      <c r="B14" s="50" t="str">
        <f>Rules!J15</f>
        <v>H</v>
      </c>
      <c r="C14" s="50" t="str">
        <f>Rules!K15</f>
        <v>H</v>
      </c>
      <c r="D14" s="50" t="str">
        <f>Rules!L15</f>
        <v>H</v>
      </c>
      <c r="E14" s="50" t="str">
        <f>Rules!M15</f>
        <v>H</v>
      </c>
      <c r="F14" s="50" t="str">
        <f>Rules!N15</f>
        <v>H</v>
      </c>
      <c r="G14" s="50" t="str">
        <f>Rules!O15</f>
        <v>D</v>
      </c>
      <c r="H14" s="50" t="str">
        <f>Rules!P15</f>
        <v>H</v>
      </c>
      <c r="I14" s="50" t="str">
        <f>Rules!Q15</f>
        <v>H</v>
      </c>
      <c r="J14" s="50" t="str">
        <f>Rules!R15</f>
        <v>H</v>
      </c>
      <c r="K14" s="50" t="str">
        <f>Rules!S15</f>
        <v>H</v>
      </c>
      <c r="M14" s="271">
        <f>'Strategy Summary'!A26</f>
        <v>3</v>
      </c>
      <c r="N14" s="1">
        <f>'Strategy Summary'!B26</f>
        <v>24.683722066016188</v>
      </c>
      <c r="O14" s="1">
        <f>'Strategy Summary'!C26</f>
        <v>54.715497239227091</v>
      </c>
      <c r="P14" s="1">
        <f>'Strategy Summary'!D26</f>
        <v>108.09653001242086</v>
      </c>
      <c r="Q14" s="1">
        <f>'Strategy Summary'!E26</f>
        <v>191.36661565825773</v>
      </c>
      <c r="R14" s="1">
        <f>'Strategy Summary'!F26</f>
        <v>311.44328307543663</v>
      </c>
      <c r="S14" s="1">
        <f>'Strategy Summary'!G26</f>
        <v>475.36313560322344</v>
      </c>
      <c r="T14" s="1">
        <f>'Strategy Summary'!H26</f>
        <v>690.21324226247464</v>
      </c>
      <c r="U14" s="1">
        <f>'Strategy Summary'!I26</f>
        <v>963.09575091481418</v>
      </c>
      <c r="V14" s="1">
        <f>'Strategy Summary'!J26</f>
        <v>1301.1067172739129</v>
      </c>
      <c r="X14" s="32">
        <f>ER!A14</f>
        <v>16</v>
      </c>
      <c r="Y14" s="34">
        <f>ER!B14</f>
        <v>-0.51714865325148707</v>
      </c>
      <c r="Z14" s="34">
        <f>ER!C14</f>
        <v>-0.29278372720927726</v>
      </c>
      <c r="AA14" s="34">
        <f>ER!D14</f>
        <v>-0.2522502292357135</v>
      </c>
      <c r="AB14" s="34">
        <f>ER!E14</f>
        <v>-0.21106310899491437</v>
      </c>
      <c r="AC14" s="34">
        <f>ER!F14</f>
        <v>-0.16719266083547524</v>
      </c>
      <c r="AD14" s="34">
        <f>ER!G14</f>
        <v>-0.1536990158300045</v>
      </c>
      <c r="AE14" s="34">
        <f>ER!H14</f>
        <v>-0.41477883106853947</v>
      </c>
      <c r="AF14" s="34">
        <f>ER!I14</f>
        <v>-0.45844044164667419</v>
      </c>
      <c r="AG14" s="34">
        <f>ER!J14</f>
        <v>-0.5</v>
      </c>
      <c r="AH14" s="34">
        <f>ER!K14</f>
        <v>-0.5</v>
      </c>
    </row>
    <row r="15" spans="1:34" x14ac:dyDescent="0.2">
      <c r="A15" s="252">
        <f>Rules!I16</f>
        <v>14</v>
      </c>
      <c r="B15" s="50" t="str">
        <f>Rules!J16</f>
        <v>H</v>
      </c>
      <c r="C15" s="50" t="str">
        <f>Rules!K16</f>
        <v>H</v>
      </c>
      <c r="D15" s="50" t="str">
        <f>Rules!L16</f>
        <v>H</v>
      </c>
      <c r="E15" s="50" t="str">
        <f>Rules!M16</f>
        <v>H</v>
      </c>
      <c r="F15" s="50" t="str">
        <f>Rules!N16</f>
        <v>D</v>
      </c>
      <c r="G15" s="50" t="str">
        <f>Rules!O16</f>
        <v>D</v>
      </c>
      <c r="H15" s="50" t="str">
        <f>Rules!P16</f>
        <v>H</v>
      </c>
      <c r="I15" s="50" t="str">
        <f>Rules!Q16</f>
        <v>H</v>
      </c>
      <c r="J15" s="50" t="str">
        <f>Rules!R16</f>
        <v>H</v>
      </c>
      <c r="K15" s="50" t="str">
        <f>Rules!S16</f>
        <v>H</v>
      </c>
      <c r="M15" s="271">
        <f>'Strategy Summary'!A27</f>
        <v>4</v>
      </c>
      <c r="N15" s="1">
        <f>'Strategy Summary'!B27</f>
        <v>44.74489452660238</v>
      </c>
      <c r="O15" s="1">
        <f>'Strategy Summary'!C27</f>
        <v>147.75686680470218</v>
      </c>
      <c r="P15" s="1">
        <f>'Strategy Summary'!D27</f>
        <v>391.75799394224481</v>
      </c>
      <c r="Q15" s="1">
        <f>'Strategy Summary'!E27</f>
        <v>872.26154906057627</v>
      </c>
      <c r="R15" s="1">
        <f>'Strategy Summary'!F27</f>
        <v>1710.9584095837654</v>
      </c>
      <c r="S15" s="1">
        <f>'Strategy Summary'!G27</f>
        <v>3055.6622334175308</v>
      </c>
      <c r="T15" s="1">
        <f>'Strategy Summary'!H27</f>
        <v>5080.323973699974</v>
      </c>
      <c r="U15" s="1">
        <f>'Strategy Summary'!I27</f>
        <v>7984.9972394308998</v>
      </c>
      <c r="V15" s="1">
        <f>'Strategy Summary'!J27</f>
        <v>11995.765471914679</v>
      </c>
      <c r="X15" s="32">
        <f>ER!A15</f>
        <v>17</v>
      </c>
      <c r="Y15" s="34">
        <f>ER!B15</f>
        <v>-0.47803347499473703</v>
      </c>
      <c r="Z15" s="34">
        <f>ER!C15</f>
        <v>-0.15297458768154204</v>
      </c>
      <c r="AA15" s="34">
        <f>ER!D15</f>
        <v>-0.11721624142457365</v>
      </c>
      <c r="AB15" s="34">
        <f>ER!E15</f>
        <v>-8.0573373145316152E-2</v>
      </c>
      <c r="AC15" s="34">
        <f>ER!F15</f>
        <v>-4.4941375564924446E-2</v>
      </c>
      <c r="AD15" s="34">
        <f>ER!G15</f>
        <v>1.1739160673341853E-2</v>
      </c>
      <c r="AE15" s="34">
        <f>ER!H15</f>
        <v>-0.10680898948269468</v>
      </c>
      <c r="AF15" s="34">
        <f>ER!I15</f>
        <v>-0.38195097104844711</v>
      </c>
      <c r="AG15" s="34">
        <f>ER!J15</f>
        <v>-0.42315423964521737</v>
      </c>
      <c r="AH15" s="34">
        <f>ER!K15</f>
        <v>-0.41972063392881986</v>
      </c>
    </row>
    <row r="16" spans="1:34" x14ac:dyDescent="0.2">
      <c r="A16" s="252">
        <f>Rules!I17</f>
        <v>15</v>
      </c>
      <c r="B16" s="50" t="str">
        <f>Rules!J17</f>
        <v>H</v>
      </c>
      <c r="C16" s="50" t="str">
        <f>Rules!K17</f>
        <v>H</v>
      </c>
      <c r="D16" s="50" t="str">
        <f>Rules!L17</f>
        <v>H</v>
      </c>
      <c r="E16" s="50" t="str">
        <f>Rules!M17</f>
        <v>H</v>
      </c>
      <c r="F16" s="50" t="str">
        <f>Rules!N17</f>
        <v>D</v>
      </c>
      <c r="G16" s="50" t="str">
        <f>Rules!O17</f>
        <v>D</v>
      </c>
      <c r="H16" s="50" t="str">
        <f>Rules!P17</f>
        <v>H</v>
      </c>
      <c r="I16" s="50" t="str">
        <f>Rules!Q17</f>
        <v>H</v>
      </c>
      <c r="J16" s="50" t="str">
        <f>Rules!R17</f>
        <v>H</v>
      </c>
      <c r="K16" s="50" t="str">
        <f>Rules!S17</f>
        <v>H</v>
      </c>
      <c r="M16" s="332" t="s">
        <v>196</v>
      </c>
      <c r="N16" s="333"/>
      <c r="O16" s="333"/>
      <c r="P16" s="333"/>
      <c r="Q16" s="333"/>
      <c r="R16" s="333"/>
      <c r="S16" s="333"/>
      <c r="T16" s="333"/>
      <c r="U16" s="333"/>
      <c r="V16" s="334"/>
      <c r="X16" s="32">
        <f>ER!A16</f>
        <v>18</v>
      </c>
      <c r="Y16" s="34">
        <f>ER!B16</f>
        <v>-0.10019887561319057</v>
      </c>
      <c r="Z16" s="34">
        <f>ER!C16</f>
        <v>0.12174190222088771</v>
      </c>
      <c r="AA16" s="34">
        <f>ER!D16</f>
        <v>0.14830007284131119</v>
      </c>
      <c r="AB16" s="34">
        <f>ER!E16</f>
        <v>0.17585443719748528</v>
      </c>
      <c r="AC16" s="34">
        <f>ER!F16</f>
        <v>0.19956119497617719</v>
      </c>
      <c r="AD16" s="34">
        <f>ER!G16</f>
        <v>0.28344391604689856</v>
      </c>
      <c r="AE16" s="34">
        <f>ER!H16</f>
        <v>0.3995541673365518</v>
      </c>
      <c r="AF16" s="34">
        <f>ER!I16</f>
        <v>0.10595134861912359</v>
      </c>
      <c r="AG16" s="34">
        <f>ER!J16</f>
        <v>-0.18316335667343331</v>
      </c>
      <c r="AH16" s="34">
        <f>ER!K16</f>
        <v>-0.17830123379648949</v>
      </c>
    </row>
    <row r="17" spans="1:34" x14ac:dyDescent="0.2">
      <c r="A17" s="252">
        <f>Rules!I18</f>
        <v>16</v>
      </c>
      <c r="B17" s="50" t="str">
        <f>Rules!J18</f>
        <v>H</v>
      </c>
      <c r="C17" s="50" t="str">
        <f>Rules!K18</f>
        <v>H</v>
      </c>
      <c r="D17" s="50" t="str">
        <f>Rules!L18</f>
        <v>H</v>
      </c>
      <c r="E17" s="50" t="str">
        <f>Rules!M18</f>
        <v>D</v>
      </c>
      <c r="F17" s="50" t="str">
        <f>Rules!N18</f>
        <v>D</v>
      </c>
      <c r="G17" s="50" t="str">
        <f>Rules!O18</f>
        <v>D</v>
      </c>
      <c r="H17" s="50" t="str">
        <f>Rules!P18</f>
        <v>H</v>
      </c>
      <c r="I17" s="50" t="str">
        <f>Rules!Q18</f>
        <v>H</v>
      </c>
      <c r="J17" s="50" t="str">
        <f>Rules!R18</f>
        <v>H</v>
      </c>
      <c r="K17" s="50" t="str">
        <f>Rules!S18</f>
        <v>H</v>
      </c>
      <c r="M17" s="271" t="s">
        <v>140</v>
      </c>
      <c r="N17" s="271" t="str">
        <f>'Strategy Summary'!B57</f>
        <v>1x2</v>
      </c>
      <c r="O17" s="271" t="str">
        <f>'Strategy Summary'!C57</f>
        <v>1x3</v>
      </c>
      <c r="P17" s="271" t="str">
        <f>'Strategy Summary'!D57</f>
        <v>1x4</v>
      </c>
      <c r="Q17" s="271" t="str">
        <f>'Strategy Summary'!E57</f>
        <v>1x5</v>
      </c>
      <c r="R17" s="271" t="str">
        <f>'Strategy Summary'!F57</f>
        <v>1x6</v>
      </c>
      <c r="S17" s="271" t="str">
        <f>'Strategy Summary'!G57</f>
        <v>1x7</v>
      </c>
      <c r="T17" s="271" t="str">
        <f>'Strategy Summary'!H57</f>
        <v>1x8</v>
      </c>
      <c r="U17" s="271" t="str">
        <f>'Strategy Summary'!I57</f>
        <v>1x9</v>
      </c>
      <c r="V17" s="271" t="str">
        <f>'Strategy Summary'!J57</f>
        <v>1x10</v>
      </c>
      <c r="X17" s="32">
        <f>ER!A17</f>
        <v>19</v>
      </c>
      <c r="Y17" s="34">
        <f>ER!B17</f>
        <v>0.27763572376835594</v>
      </c>
      <c r="Z17" s="34">
        <f>ER!C17</f>
        <v>0.38630468602058993</v>
      </c>
      <c r="AA17" s="34">
        <f>ER!D17</f>
        <v>0.4043629365977599</v>
      </c>
      <c r="AB17" s="34">
        <f>ER!E17</f>
        <v>0.42317892482749653</v>
      </c>
      <c r="AC17" s="34">
        <f>ER!F17</f>
        <v>0.43951210416088371</v>
      </c>
      <c r="AD17" s="34">
        <f>ER!G17</f>
        <v>0.49597707378731914</v>
      </c>
      <c r="AE17" s="34">
        <f>ER!H17</f>
        <v>0.6159764957534315</v>
      </c>
      <c r="AF17" s="34">
        <f>ER!I17</f>
        <v>0.59385366828669439</v>
      </c>
      <c r="AG17" s="34">
        <f>ER!J17</f>
        <v>0.28759675706758148</v>
      </c>
      <c r="AH17" s="34">
        <f>ER!K17</f>
        <v>6.3118166335840831E-2</v>
      </c>
    </row>
    <row r="18" spans="1:34" x14ac:dyDescent="0.2">
      <c r="A18" s="252">
        <f>Rules!I19</f>
        <v>17</v>
      </c>
      <c r="B18" s="50" t="str">
        <f>Rules!J19</f>
        <v>H</v>
      </c>
      <c r="C18" s="50" t="str">
        <f>Rules!K19</f>
        <v>H</v>
      </c>
      <c r="D18" s="50" t="str">
        <f>Rules!L19</f>
        <v>D</v>
      </c>
      <c r="E18" s="50" t="str">
        <f>Rules!M19</f>
        <v>D</v>
      </c>
      <c r="F18" s="50" t="str">
        <f>Rules!N19</f>
        <v>D</v>
      </c>
      <c r="G18" s="50" t="str">
        <f>Rules!O19</f>
        <v>D</v>
      </c>
      <c r="H18" s="50" t="str">
        <f>Rules!P19</f>
        <v>H</v>
      </c>
      <c r="I18" s="50" t="str">
        <f>Rules!Q19</f>
        <v>H</v>
      </c>
      <c r="J18" s="50" t="str">
        <f>Rules!R19</f>
        <v>H</v>
      </c>
      <c r="K18" s="50" t="str">
        <f>Rules!S19</f>
        <v>H</v>
      </c>
      <c r="M18" s="271">
        <f>'Strategy Summary'!A58</f>
        <v>2</v>
      </c>
      <c r="N18" s="1">
        <f>'Strategy Summary'!B58</f>
        <v>-8.2257596391549729E-3</v>
      </c>
      <c r="O18" s="1">
        <f>'Strategy Summary'!C58</f>
        <v>2.3660521111293863E-2</v>
      </c>
      <c r="P18" s="1">
        <f>'Strategy Summary'!D58</f>
        <v>3.1269611004865729E-2</v>
      </c>
      <c r="Q18" s="1">
        <f>'Strategy Summary'!E58</f>
        <v>2.646572866949393E-2</v>
      </c>
      <c r="R18" s="1">
        <f>'Strategy Summary'!F58</f>
        <v>1.6486657360864795E-2</v>
      </c>
      <c r="S18" s="1">
        <f>'Strategy Summary'!G58</f>
        <v>4.6522249568875787E-3</v>
      </c>
      <c r="T18" s="1">
        <f>'Strategy Summary'!H58</f>
        <v>-7.5197097317366204E-3</v>
      </c>
      <c r="U18" s="1">
        <f>'Strategy Summary'!I58</f>
        <v>-1.9324814392012373E-2</v>
      </c>
      <c r="V18" s="1">
        <f>'Strategy Summary'!J58</f>
        <v>-3.0444163218933337E-2</v>
      </c>
      <c r="X18" s="32" t="str">
        <f>ER!A18</f>
        <v>Soft</v>
      </c>
      <c r="Y18" s="32" t="str">
        <f>ER!B18</f>
        <v>Ace</v>
      </c>
      <c r="Z18" s="32">
        <f>ER!C18</f>
        <v>2</v>
      </c>
      <c r="AA18" s="32">
        <f>ER!D18</f>
        <v>3</v>
      </c>
      <c r="AB18" s="32">
        <f>ER!E18</f>
        <v>4</v>
      </c>
      <c r="AC18" s="32">
        <f>ER!F18</f>
        <v>5</v>
      </c>
      <c r="AD18" s="32">
        <f>ER!G18</f>
        <v>6</v>
      </c>
      <c r="AE18" s="32">
        <f>ER!H18</f>
        <v>7</v>
      </c>
      <c r="AF18" s="32">
        <f>ER!I18</f>
        <v>8</v>
      </c>
      <c r="AG18" s="32">
        <f>ER!J18</f>
        <v>9</v>
      </c>
      <c r="AH18" s="32">
        <f>ER!K18</f>
        <v>10</v>
      </c>
    </row>
    <row r="19" spans="1:34" x14ac:dyDescent="0.2">
      <c r="A19" s="252">
        <f>Rules!I20</f>
        <v>18</v>
      </c>
      <c r="B19" s="50" t="str">
        <f>Rules!J20</f>
        <v>H</v>
      </c>
      <c r="C19" s="50" t="str">
        <f>Rules!K20</f>
        <v>S</v>
      </c>
      <c r="D19" s="50" t="str">
        <f>Rules!L20</f>
        <v>D</v>
      </c>
      <c r="E19" s="50" t="str">
        <f>Rules!M20</f>
        <v>D</v>
      </c>
      <c r="F19" s="50" t="str">
        <f>Rules!N20</f>
        <v>D</v>
      </c>
      <c r="G19" s="50" t="str">
        <f>Rules!O20</f>
        <v>D</v>
      </c>
      <c r="H19" s="50" t="str">
        <f>Rules!P20</f>
        <v>S</v>
      </c>
      <c r="I19" s="50" t="str">
        <f>Rules!Q20</f>
        <v>S</v>
      </c>
      <c r="J19" s="50" t="str">
        <f>Rules!R20</f>
        <v>H</v>
      </c>
      <c r="K19" s="50" t="str">
        <f>Rules!S20</f>
        <v>H</v>
      </c>
      <c r="M19" s="271">
        <f>'Strategy Summary'!A59</f>
        <v>3</v>
      </c>
      <c r="N19" s="1">
        <f>'Strategy Summary'!B59</f>
        <v>-8.5690387022482124E-4</v>
      </c>
      <c r="O19" s="1">
        <f>'Strategy Summary'!C59</f>
        <v>3.2727268202159619E-2</v>
      </c>
      <c r="P19" s="1">
        <f>'Strategy Summary'!D59</f>
        <v>3.1392483446332796E-2</v>
      </c>
      <c r="Q19" s="1">
        <f>'Strategy Summary'!E59</f>
        <v>2.4488296588800047E-2</v>
      </c>
      <c r="R19" s="1">
        <f>'Strategy Summary'!F59</f>
        <v>1.8041730735123093E-2</v>
      </c>
      <c r="S19" s="1">
        <f>'Strategy Summary'!G59</f>
        <v>1.2921944447119632E-2</v>
      </c>
      <c r="T19" s="1">
        <f>'Strategy Summary'!H59</f>
        <v>8.9996532389413891E-3</v>
      </c>
      <c r="U19" s="1">
        <f>'Strategy Summary'!I59</f>
        <v>6.0103017989343059E-3</v>
      </c>
      <c r="V19" s="1">
        <f>'Strategy Summary'!J59</f>
        <v>3.7236488527055975E-3</v>
      </c>
      <c r="X19" s="32">
        <f>ER!A19</f>
        <v>13</v>
      </c>
      <c r="Y19" s="34">
        <f>ER!B19</f>
        <v>-5.7308046666810254E-2</v>
      </c>
      <c r="Z19" s="34">
        <f>ER!C19</f>
        <v>4.6636132695309578E-2</v>
      </c>
      <c r="AA19" s="34">
        <f>ER!D19</f>
        <v>7.4118813392744051E-2</v>
      </c>
      <c r="AB19" s="34">
        <f>ER!E19</f>
        <v>0.10247714687203523</v>
      </c>
      <c r="AC19" s="34">
        <f>ER!F19</f>
        <v>0.13336273848321728</v>
      </c>
      <c r="AD19" s="34">
        <f>ER!G19</f>
        <v>0.17974820582791512</v>
      </c>
      <c r="AE19" s="34">
        <f>ER!H19</f>
        <v>0.12238569517899196</v>
      </c>
      <c r="AF19" s="34">
        <f>ER!I19</f>
        <v>5.4057070196311299E-2</v>
      </c>
      <c r="AG19" s="34">
        <f>ER!J19</f>
        <v>-3.7694688127479885E-2</v>
      </c>
      <c r="AH19" s="34">
        <f>ER!K19</f>
        <v>-0.10485135840627779</v>
      </c>
    </row>
    <row r="20" spans="1:34" x14ac:dyDescent="0.2">
      <c r="A20" s="252">
        <f>Rules!I21</f>
        <v>19</v>
      </c>
      <c r="B20" s="50" t="str">
        <f>Rules!J21</f>
        <v>S</v>
      </c>
      <c r="C20" s="50" t="str">
        <f>Rules!K21</f>
        <v>S</v>
      </c>
      <c r="D20" s="50" t="str">
        <f>Rules!L21</f>
        <v>S</v>
      </c>
      <c r="E20" s="50" t="str">
        <f>Rules!M21</f>
        <v>S</v>
      </c>
      <c r="F20" s="50" t="str">
        <f>Rules!N21</f>
        <v>S</v>
      </c>
      <c r="G20" s="50" t="str">
        <f>Rules!O21</f>
        <v>S</v>
      </c>
      <c r="H20" s="50" t="str">
        <f>Rules!P21</f>
        <v>S</v>
      </c>
      <c r="I20" s="50" t="str">
        <f>Rules!Q21</f>
        <v>S</v>
      </c>
      <c r="J20" s="50" t="str">
        <f>Rules!R21</f>
        <v>S</v>
      </c>
      <c r="K20" s="50" t="str">
        <f>Rules!S21</f>
        <v>S</v>
      </c>
      <c r="M20" s="271">
        <f>'Strategy Summary'!A60</f>
        <v>4</v>
      </c>
      <c r="N20" s="1">
        <f>'Strategy Summary'!B60</f>
        <v>4.9749754328244442E-3</v>
      </c>
      <c r="O20" s="1">
        <f>'Strategy Summary'!C60</f>
        <v>2.3395602433822858E-2</v>
      </c>
      <c r="P20" s="1">
        <f>'Strategy Summary'!D60</f>
        <v>1.577301286966673E-2</v>
      </c>
      <c r="Q20" s="1">
        <f>'Strategy Summary'!E60</f>
        <v>9.7868900564962794E-3</v>
      </c>
      <c r="R20" s="1">
        <f>'Strategy Summary'!F60</f>
        <v>6.1940748583016831E-3</v>
      </c>
      <c r="S20" s="1">
        <f>'Strategy Summary'!G60</f>
        <v>4.046306941194954E-3</v>
      </c>
      <c r="T20" s="1">
        <f>'Strategy Summary'!H60</f>
        <v>2.7187191760523264E-3</v>
      </c>
      <c r="U20" s="1">
        <f>'Strategy Summary'!I60</f>
        <v>1.8675151970408209E-3</v>
      </c>
      <c r="V20" s="1">
        <f>'Strategy Summary'!J60</f>
        <v>1.3036651439831352E-3</v>
      </c>
      <c r="X20" s="32">
        <f>ER!A20</f>
        <v>14</v>
      </c>
      <c r="Y20" s="34">
        <f>ER!B20</f>
        <v>-9.3874324768310105E-2</v>
      </c>
      <c r="Z20" s="34">
        <f>ER!C20</f>
        <v>2.2391856987839083E-2</v>
      </c>
      <c r="AA20" s="34">
        <f>ER!D20</f>
        <v>5.0806738919282814E-2</v>
      </c>
      <c r="AB20" s="34">
        <f>ER!E20</f>
        <v>8.0081414310110233E-2</v>
      </c>
      <c r="AC20" s="34">
        <f>ER!F20</f>
        <v>0.12595448524867925</v>
      </c>
      <c r="AD20" s="34">
        <f>ER!G20</f>
        <v>0.17974820582791512</v>
      </c>
      <c r="AE20" s="34">
        <f>ER!H20</f>
        <v>7.9507488494468148E-2</v>
      </c>
      <c r="AF20" s="34">
        <f>ER!I20</f>
        <v>1.3277219463208444E-2</v>
      </c>
      <c r="AG20" s="34">
        <f>ER!J20</f>
        <v>-7.516318944168382E-2</v>
      </c>
      <c r="AH20" s="34">
        <f>ER!K20</f>
        <v>-0.13946678217545452</v>
      </c>
    </row>
    <row r="21" spans="1:34" x14ac:dyDescent="0.2">
      <c r="A21" s="252" t="str">
        <f>Rules!I22</f>
        <v>Pair</v>
      </c>
      <c r="B21" s="260" t="str">
        <f>Rules!J22</f>
        <v>A</v>
      </c>
      <c r="C21" s="260">
        <f>Rules!K22</f>
        <v>2</v>
      </c>
      <c r="D21" s="260">
        <f>Rules!L22</f>
        <v>3</v>
      </c>
      <c r="E21" s="260">
        <f>Rules!M22</f>
        <v>4</v>
      </c>
      <c r="F21" s="260">
        <f>Rules!N22</f>
        <v>5</v>
      </c>
      <c r="G21" s="260">
        <f>Rules!O22</f>
        <v>6</v>
      </c>
      <c r="H21" s="260">
        <f>Rules!P22</f>
        <v>7</v>
      </c>
      <c r="I21" s="260">
        <f>Rules!Q22</f>
        <v>8</v>
      </c>
      <c r="J21" s="260">
        <f>Rules!R22</f>
        <v>9</v>
      </c>
      <c r="K21" s="260">
        <f>Rules!S22</f>
        <v>10</v>
      </c>
      <c r="M21" s="332" t="s">
        <v>161</v>
      </c>
      <c r="N21" s="333"/>
      <c r="O21" s="333"/>
      <c r="P21" s="333"/>
      <c r="Q21" s="333"/>
      <c r="R21" s="333"/>
      <c r="S21" s="333"/>
      <c r="T21" s="333"/>
      <c r="U21" s="333"/>
      <c r="V21" s="334"/>
      <c r="X21" s="32">
        <f>ER!A21</f>
        <v>15</v>
      </c>
      <c r="Y21" s="34">
        <f>ER!B21</f>
        <v>-0.13002650167843849</v>
      </c>
      <c r="Z21" s="34">
        <f>ER!C21</f>
        <v>-1.2068474052636583E-4</v>
      </c>
      <c r="AA21" s="34">
        <f>ER!D21</f>
        <v>2.9159812622497363E-2</v>
      </c>
      <c r="AB21" s="34">
        <f>ER!E21</f>
        <v>5.9285376931179926E-2</v>
      </c>
      <c r="AC21" s="34">
        <f>ER!F21</f>
        <v>0.12595448524867925</v>
      </c>
      <c r="AD21" s="34">
        <f>ER!G21</f>
        <v>0.17974820582791512</v>
      </c>
      <c r="AE21" s="34">
        <f>ER!H21</f>
        <v>3.7028282279269235E-2</v>
      </c>
      <c r="AF21" s="34">
        <f>ER!I21</f>
        <v>-2.7054780502901672E-2</v>
      </c>
      <c r="AG21" s="34">
        <f>ER!J21</f>
        <v>-0.11218876868994289</v>
      </c>
      <c r="AH21" s="34">
        <f>ER!K21</f>
        <v>-0.17370423031226784</v>
      </c>
    </row>
    <row r="22" spans="1:34" x14ac:dyDescent="0.2">
      <c r="A22" s="252" t="str">
        <f>Rules!I23</f>
        <v>A</v>
      </c>
      <c r="B22" s="50" t="str">
        <f>Rules!J23</f>
        <v>P</v>
      </c>
      <c r="C22" s="50" t="str">
        <f>Rules!K23</f>
        <v>P</v>
      </c>
      <c r="D22" s="50" t="str">
        <f>Rules!L23</f>
        <v>P</v>
      </c>
      <c r="E22" s="50" t="str">
        <f>Rules!M23</f>
        <v>P</v>
      </c>
      <c r="F22" s="50" t="str">
        <f>Rules!N23</f>
        <v>P</v>
      </c>
      <c r="G22" s="50" t="str">
        <f>Rules!O23</f>
        <v>P</v>
      </c>
      <c r="H22" s="50" t="str">
        <f>Rules!P23</f>
        <v>P</v>
      </c>
      <c r="I22" s="50" t="str">
        <f>Rules!Q23</f>
        <v>P</v>
      </c>
      <c r="J22" s="50" t="str">
        <f>Rules!R23</f>
        <v>P</v>
      </c>
      <c r="K22" s="50" t="str">
        <f>Rules!S23</f>
        <v>P</v>
      </c>
      <c r="M22" s="275"/>
      <c r="N22" s="278" t="s">
        <v>148</v>
      </c>
      <c r="O22" s="278" t="s">
        <v>148</v>
      </c>
      <c r="P22" s="278" t="s">
        <v>149</v>
      </c>
      <c r="Q22" s="278" t="s">
        <v>150</v>
      </c>
      <c r="R22" s="278" t="s">
        <v>151</v>
      </c>
      <c r="S22" s="279" t="s">
        <v>152</v>
      </c>
      <c r="T22" s="276" t="s">
        <v>153</v>
      </c>
      <c r="U22" s="276" t="s">
        <v>154</v>
      </c>
      <c r="V22" s="276" t="s">
        <v>155</v>
      </c>
      <c r="X22" s="32">
        <f>ER!A22</f>
        <v>16</v>
      </c>
      <c r="Y22" s="34">
        <f>ER!B22</f>
        <v>-0.16563717206687348</v>
      </c>
      <c r="Z22" s="34">
        <f>ER!C22</f>
        <v>-2.1025187774008566E-2</v>
      </c>
      <c r="AA22" s="34">
        <f>ER!D22</f>
        <v>9.0590953469108244E-3</v>
      </c>
      <c r="AB22" s="34">
        <f>ER!E22</f>
        <v>5.8426518743744951E-2</v>
      </c>
      <c r="AC22" s="34">
        <f>ER!F22</f>
        <v>0.12595448524867925</v>
      </c>
      <c r="AD22" s="34">
        <f>ER!G22</f>
        <v>0.17974820582791512</v>
      </c>
      <c r="AE22" s="34">
        <f>ER!H22</f>
        <v>-4.8901571730158942E-3</v>
      </c>
      <c r="AF22" s="34">
        <f>ER!I22</f>
        <v>-6.6794847920094103E-2</v>
      </c>
      <c r="AG22" s="34">
        <f>ER!J22</f>
        <v>-0.14864353463007471</v>
      </c>
      <c r="AH22" s="34">
        <f>ER!K22</f>
        <v>-0.20744109003068206</v>
      </c>
    </row>
    <row r="23" spans="1:34" x14ac:dyDescent="0.2">
      <c r="A23" s="252">
        <f>Rules!I24</f>
        <v>2</v>
      </c>
      <c r="B23" s="50" t="str">
        <f>Rules!J24</f>
        <v>H</v>
      </c>
      <c r="C23" s="50" t="str">
        <f>Rules!K24</f>
        <v>P</v>
      </c>
      <c r="D23" s="50" t="str">
        <f>Rules!L24</f>
        <v>P</v>
      </c>
      <c r="E23" s="50" t="str">
        <f>Rules!M24</f>
        <v>P</v>
      </c>
      <c r="F23" s="50" t="str">
        <f>Rules!N24</f>
        <v>P</v>
      </c>
      <c r="G23" s="50" t="str">
        <f>Rules!O24</f>
        <v>P</v>
      </c>
      <c r="H23" s="50" t="str">
        <f>Rules!P24</f>
        <v>P</v>
      </c>
      <c r="I23" s="50" t="str">
        <f>Rules!Q24</f>
        <v>H</v>
      </c>
      <c r="J23" s="50" t="str">
        <f>Rules!R24</f>
        <v>H</v>
      </c>
      <c r="K23" s="50" t="str">
        <f>Rules!S24</f>
        <v>H</v>
      </c>
      <c r="M23" s="277"/>
      <c r="N23" s="49">
        <v>30</v>
      </c>
      <c r="O23" s="49">
        <v>60</v>
      </c>
      <c r="P23" s="49">
        <v>110</v>
      </c>
      <c r="Q23" s="49">
        <v>200</v>
      </c>
      <c r="R23" s="49">
        <v>350</v>
      </c>
      <c r="S23" s="49">
        <v>500</v>
      </c>
      <c r="T23" s="253">
        <v>700</v>
      </c>
      <c r="U23" s="253">
        <v>1000</v>
      </c>
      <c r="V23" s="253">
        <v>1400</v>
      </c>
      <c r="X23" s="32">
        <f>ER!A23</f>
        <v>17</v>
      </c>
      <c r="Y23" s="34">
        <f>ER!B23</f>
        <v>-0.17956936979241733</v>
      </c>
      <c r="Z23" s="34">
        <f>ER!C23</f>
        <v>-4.9104358288912882E-4</v>
      </c>
      <c r="AA23" s="34">
        <f>ER!D23</f>
        <v>5.5095284479298338E-2</v>
      </c>
      <c r="AB23" s="34">
        <f>ER!E23</f>
        <v>0.11865255067432869</v>
      </c>
      <c r="AC23" s="34">
        <f>ER!F23</f>
        <v>0.18237815537354879</v>
      </c>
      <c r="AD23" s="34">
        <f>ER!G23</f>
        <v>0.2561042872909981</v>
      </c>
      <c r="AE23" s="34">
        <f>ER!H23</f>
        <v>5.3823463716116654E-2</v>
      </c>
      <c r="AF23" s="34">
        <f>ER!I23</f>
        <v>-7.2915398729642075E-2</v>
      </c>
      <c r="AG23" s="34">
        <f>ER!J23</f>
        <v>-0.1497868921821332</v>
      </c>
      <c r="AH23" s="34">
        <f>ER!K23</f>
        <v>-0.19686697623363469</v>
      </c>
    </row>
    <row r="24" spans="1:34" x14ac:dyDescent="0.2">
      <c r="A24" s="252">
        <f>Rules!I25</f>
        <v>3</v>
      </c>
      <c r="B24" s="50" t="str">
        <f>Rules!J25</f>
        <v>H</v>
      </c>
      <c r="C24" s="50" t="str">
        <f>Rules!K25</f>
        <v>P</v>
      </c>
      <c r="D24" s="50" t="str">
        <f>Rules!L25</f>
        <v>P</v>
      </c>
      <c r="E24" s="50" t="str">
        <f>Rules!M25</f>
        <v>P</v>
      </c>
      <c r="F24" s="50" t="str">
        <f>Rules!N25</f>
        <v>P</v>
      </c>
      <c r="G24" s="50" t="str">
        <f>Rules!O25</f>
        <v>P</v>
      </c>
      <c r="H24" s="50" t="str">
        <f>Rules!P25</f>
        <v>P</v>
      </c>
      <c r="I24" s="50" t="str">
        <f>Rules!Q25</f>
        <v>H</v>
      </c>
      <c r="J24" s="50" t="str">
        <f>Rules!R25</f>
        <v>H</v>
      </c>
      <c r="K24" s="50" t="str">
        <f>Rules!S25</f>
        <v>H</v>
      </c>
      <c r="M24" s="49">
        <v>50</v>
      </c>
      <c r="N24" s="1">
        <f>$M24*N$23</f>
        <v>1500</v>
      </c>
      <c r="O24" s="1">
        <f t="shared" ref="O24:V28" si="0">$M24*O$23</f>
        <v>3000</v>
      </c>
      <c r="P24" s="1">
        <f t="shared" si="0"/>
        <v>5500</v>
      </c>
      <c r="Q24" s="1">
        <f t="shared" si="0"/>
        <v>10000</v>
      </c>
      <c r="R24" s="1">
        <f t="shared" si="0"/>
        <v>17500</v>
      </c>
      <c r="S24" s="1">
        <f t="shared" si="0"/>
        <v>25000</v>
      </c>
      <c r="T24" s="1">
        <f t="shared" si="0"/>
        <v>35000</v>
      </c>
      <c r="U24" s="1">
        <f t="shared" si="0"/>
        <v>50000</v>
      </c>
      <c r="V24" s="1">
        <f t="shared" si="0"/>
        <v>70000</v>
      </c>
      <c r="X24" s="32">
        <f>ER!A24</f>
        <v>18</v>
      </c>
      <c r="Y24" s="34">
        <f>ER!B24</f>
        <v>-9.2935491769284034E-2</v>
      </c>
      <c r="Z24" s="34">
        <f>ER!C24</f>
        <v>0.12174190222088771</v>
      </c>
      <c r="AA24" s="34">
        <f>ER!D24</f>
        <v>0.17764127567893753</v>
      </c>
      <c r="AB24" s="34">
        <f>ER!E24</f>
        <v>0.23700384775562167</v>
      </c>
      <c r="AC24" s="34">
        <f>ER!F24</f>
        <v>0.29522549562328804</v>
      </c>
      <c r="AD24" s="34">
        <f>ER!G24</f>
        <v>0.38150648207879345</v>
      </c>
      <c r="AE24" s="34">
        <f>ER!H24</f>
        <v>0.3995541673365518</v>
      </c>
      <c r="AF24" s="34">
        <f>ER!I24</f>
        <v>0.10595134861912359</v>
      </c>
      <c r="AG24" s="34">
        <f>ER!J24</f>
        <v>-0.10074430758041522</v>
      </c>
      <c r="AH24" s="34">
        <f>ER!K24</f>
        <v>-0.14380812317405353</v>
      </c>
    </row>
    <row r="25" spans="1:34" x14ac:dyDescent="0.2">
      <c r="A25" s="252">
        <f>Rules!I26</f>
        <v>4</v>
      </c>
      <c r="B25" s="50" t="str">
        <f>Rules!J26</f>
        <v>H</v>
      </c>
      <c r="C25" s="50" t="str">
        <f>Rules!K26</f>
        <v>H</v>
      </c>
      <c r="D25" s="50" t="str">
        <f>Rules!L26</f>
        <v>H</v>
      </c>
      <c r="E25" s="50" t="str">
        <f>Rules!M26</f>
        <v>H</v>
      </c>
      <c r="F25" s="50" t="str">
        <f>Rules!N26</f>
        <v>P</v>
      </c>
      <c r="G25" s="50" t="str">
        <f>Rules!O26</f>
        <v>P</v>
      </c>
      <c r="H25" s="50" t="str">
        <f>Rules!P26</f>
        <v>H</v>
      </c>
      <c r="I25" s="50" t="str">
        <f>Rules!Q26</f>
        <v>H</v>
      </c>
      <c r="J25" s="50" t="str">
        <f>Rules!R26</f>
        <v>H</v>
      </c>
      <c r="K25" s="50" t="str">
        <f>Rules!S26</f>
        <v>H</v>
      </c>
      <c r="M25" s="49">
        <v>100</v>
      </c>
      <c r="N25" s="1">
        <f t="shared" ref="N25:N28" si="1">$M25*N$23</f>
        <v>3000</v>
      </c>
      <c r="O25" s="1">
        <f t="shared" si="0"/>
        <v>6000</v>
      </c>
      <c r="P25" s="1">
        <f t="shared" si="0"/>
        <v>11000</v>
      </c>
      <c r="Q25" s="1">
        <f t="shared" si="0"/>
        <v>20000</v>
      </c>
      <c r="R25" s="1">
        <f t="shared" si="0"/>
        <v>35000</v>
      </c>
      <c r="S25" s="1">
        <f t="shared" si="0"/>
        <v>50000</v>
      </c>
      <c r="T25" s="1">
        <f t="shared" si="0"/>
        <v>70000</v>
      </c>
      <c r="U25" s="1">
        <f t="shared" si="0"/>
        <v>100000</v>
      </c>
      <c r="V25" s="1">
        <f t="shared" si="0"/>
        <v>140000</v>
      </c>
      <c r="X25" s="32">
        <f>ER!A25</f>
        <v>19</v>
      </c>
      <c r="Y25" s="34">
        <f>ER!B25</f>
        <v>0.27763572376835594</v>
      </c>
      <c r="Z25" s="34">
        <f>ER!C25</f>
        <v>0.38630468602058993</v>
      </c>
      <c r="AA25" s="34">
        <f>ER!D25</f>
        <v>0.4043629365977599</v>
      </c>
      <c r="AB25" s="34">
        <f>ER!E25</f>
        <v>0.42317892482749653</v>
      </c>
      <c r="AC25" s="34">
        <f>ER!F25</f>
        <v>0.43951210416088371</v>
      </c>
      <c r="AD25" s="34">
        <f>ER!G25</f>
        <v>0.49597707378731914</v>
      </c>
      <c r="AE25" s="34">
        <f>ER!H25</f>
        <v>0.6159764957534315</v>
      </c>
      <c r="AF25" s="34">
        <f>ER!I25</f>
        <v>0.59385366828669439</v>
      </c>
      <c r="AG25" s="34">
        <f>ER!J25</f>
        <v>0.28759675706758148</v>
      </c>
      <c r="AH25" s="34">
        <f>ER!K25</f>
        <v>6.3118166335840831E-2</v>
      </c>
    </row>
    <row r="26" spans="1:34" x14ac:dyDescent="0.2">
      <c r="A26" s="252">
        <f>Rules!I27</f>
        <v>5</v>
      </c>
      <c r="B26" s="50" t="str">
        <f>Rules!J27</f>
        <v>H</v>
      </c>
      <c r="C26" s="50" t="str">
        <f>Rules!K27</f>
        <v>D</v>
      </c>
      <c r="D26" s="50" t="str">
        <f>Rules!L27</f>
        <v>D</v>
      </c>
      <c r="E26" s="50" t="str">
        <f>Rules!M27</f>
        <v>D</v>
      </c>
      <c r="F26" s="50" t="str">
        <f>Rules!N27</f>
        <v>D</v>
      </c>
      <c r="G26" s="50" t="str">
        <f>Rules!O27</f>
        <v>D</v>
      </c>
      <c r="H26" s="50" t="str">
        <f>Rules!P27</f>
        <v>D</v>
      </c>
      <c r="I26" s="50" t="str">
        <f>Rules!Q27</f>
        <v>D</v>
      </c>
      <c r="J26" s="50" t="str">
        <f>Rules!R27</f>
        <v>D</v>
      </c>
      <c r="K26" s="50" t="str">
        <f>Rules!S27</f>
        <v>H</v>
      </c>
      <c r="M26" s="49">
        <v>200</v>
      </c>
      <c r="N26" s="1">
        <f t="shared" si="1"/>
        <v>6000</v>
      </c>
      <c r="O26" s="1">
        <f t="shared" si="0"/>
        <v>12000</v>
      </c>
      <c r="P26" s="1">
        <f t="shared" si="0"/>
        <v>22000</v>
      </c>
      <c r="Q26" s="1">
        <f t="shared" si="0"/>
        <v>40000</v>
      </c>
      <c r="R26" s="1">
        <f t="shared" si="0"/>
        <v>70000</v>
      </c>
      <c r="S26" s="1">
        <f t="shared" si="0"/>
        <v>100000</v>
      </c>
      <c r="T26" s="1">
        <f t="shared" si="0"/>
        <v>140000</v>
      </c>
      <c r="U26" s="1">
        <f t="shared" si="0"/>
        <v>200000</v>
      </c>
      <c r="V26" s="1">
        <f t="shared" si="0"/>
        <v>280000</v>
      </c>
      <c r="X26" s="32">
        <f>ER!A26</f>
        <v>20</v>
      </c>
      <c r="Y26" s="34">
        <f>ER!B26</f>
        <v>0.65547032314990239</v>
      </c>
      <c r="Z26" s="34">
        <f>ER!C26</f>
        <v>0.63998657521683877</v>
      </c>
      <c r="AA26" s="34">
        <f>ER!D26</f>
        <v>0.65027209425148136</v>
      </c>
      <c r="AB26" s="34">
        <f>ER!E26</f>
        <v>0.66104996194807186</v>
      </c>
      <c r="AC26" s="34">
        <f>ER!F26</f>
        <v>0.67035969063279999</v>
      </c>
      <c r="AD26" s="34">
        <f>ER!G26</f>
        <v>0.70395857017134467</v>
      </c>
      <c r="AE26" s="34">
        <f>ER!H26</f>
        <v>0.77322722653717491</v>
      </c>
      <c r="AF26" s="34">
        <f>ER!I26</f>
        <v>0.79181515955189841</v>
      </c>
      <c r="AG26" s="34">
        <f>ER!J26</f>
        <v>0.75835687080859626</v>
      </c>
      <c r="AH26" s="34">
        <f>ER!K26</f>
        <v>0.55453756646817121</v>
      </c>
    </row>
    <row r="27" spans="1:34" x14ac:dyDescent="0.2">
      <c r="A27" s="252">
        <f>Rules!I28</f>
        <v>6</v>
      </c>
      <c r="B27" s="50" t="str">
        <f>Rules!J28</f>
        <v>H</v>
      </c>
      <c r="C27" s="50" t="str">
        <f>Rules!K28</f>
        <v>H</v>
      </c>
      <c r="D27" s="50" t="str">
        <f>Rules!L28</f>
        <v>P</v>
      </c>
      <c r="E27" s="50" t="str">
        <f>Rules!M28</f>
        <v>P</v>
      </c>
      <c r="F27" s="50" t="str">
        <f>Rules!N28</f>
        <v>P</v>
      </c>
      <c r="G27" s="50" t="str">
        <f>Rules!O28</f>
        <v>P</v>
      </c>
      <c r="H27" s="50" t="str">
        <f>Rules!P28</f>
        <v>H</v>
      </c>
      <c r="I27" s="50" t="str">
        <f>Rules!Q28</f>
        <v>H</v>
      </c>
      <c r="J27" s="50" t="str">
        <f>Rules!R28</f>
        <v>H</v>
      </c>
      <c r="K27" s="50" t="str">
        <f>Rules!S28</f>
        <v>H</v>
      </c>
      <c r="M27" s="49">
        <v>300</v>
      </c>
      <c r="N27" s="1">
        <f t="shared" si="1"/>
        <v>9000</v>
      </c>
      <c r="O27" s="1">
        <f t="shared" si="0"/>
        <v>18000</v>
      </c>
      <c r="P27" s="1">
        <f t="shared" si="0"/>
        <v>33000</v>
      </c>
      <c r="Q27" s="1">
        <f t="shared" si="0"/>
        <v>60000</v>
      </c>
      <c r="R27" s="1">
        <f t="shared" si="0"/>
        <v>105000</v>
      </c>
      <c r="S27" s="1">
        <f t="shared" si="0"/>
        <v>150000</v>
      </c>
      <c r="T27" s="1">
        <f t="shared" si="0"/>
        <v>210000</v>
      </c>
      <c r="U27" s="1">
        <f t="shared" si="0"/>
        <v>300000</v>
      </c>
      <c r="V27" s="1">
        <f t="shared" si="0"/>
        <v>420000</v>
      </c>
      <c r="X27" s="32">
        <f>ER!A27</f>
        <v>21</v>
      </c>
      <c r="Y27" s="34">
        <f>ER!B27</f>
        <v>1.5</v>
      </c>
      <c r="Z27" s="34">
        <f>ER!C27</f>
        <v>1.5</v>
      </c>
      <c r="AA27" s="34">
        <f>ER!D27</f>
        <v>1.5</v>
      </c>
      <c r="AB27" s="34">
        <f>ER!E27</f>
        <v>1.5</v>
      </c>
      <c r="AC27" s="34">
        <f>ER!F27</f>
        <v>1.5</v>
      </c>
      <c r="AD27" s="34">
        <f>ER!G27</f>
        <v>1.5</v>
      </c>
      <c r="AE27" s="34">
        <f>ER!H27</f>
        <v>1.5</v>
      </c>
      <c r="AF27" s="34">
        <f>ER!I27</f>
        <v>1.5</v>
      </c>
      <c r="AG27" s="34">
        <f>ER!J27</f>
        <v>1.5</v>
      </c>
      <c r="AH27" s="34">
        <f>ER!K27</f>
        <v>1.5</v>
      </c>
    </row>
    <row r="28" spans="1:34" x14ac:dyDescent="0.2">
      <c r="A28" s="252">
        <f>Rules!I29</f>
        <v>7</v>
      </c>
      <c r="B28" s="50" t="str">
        <f>Rules!J29</f>
        <v>H</v>
      </c>
      <c r="C28" s="50" t="str">
        <f>Rules!K29</f>
        <v>P</v>
      </c>
      <c r="D28" s="50" t="str">
        <f>Rules!L29</f>
        <v>P</v>
      </c>
      <c r="E28" s="50" t="str">
        <f>Rules!M29</f>
        <v>P</v>
      </c>
      <c r="F28" s="50" t="str">
        <f>Rules!N29</f>
        <v>P</v>
      </c>
      <c r="G28" s="50" t="str">
        <f>Rules!O29</f>
        <v>P</v>
      </c>
      <c r="H28" s="50" t="str">
        <f>Rules!P29</f>
        <v>P</v>
      </c>
      <c r="I28" s="50" t="str">
        <f>Rules!Q29</f>
        <v>H</v>
      </c>
      <c r="J28" s="50" t="str">
        <f>Rules!R29</f>
        <v>H</v>
      </c>
      <c r="K28" s="50" t="str">
        <f>Rules!S29</f>
        <v>H</v>
      </c>
      <c r="M28" s="49">
        <v>500</v>
      </c>
      <c r="N28" s="1">
        <f t="shared" si="1"/>
        <v>15000</v>
      </c>
      <c r="O28" s="1">
        <f t="shared" si="0"/>
        <v>30000</v>
      </c>
      <c r="P28" s="1">
        <f t="shared" si="0"/>
        <v>55000</v>
      </c>
      <c r="Q28" s="1">
        <f t="shared" si="0"/>
        <v>100000</v>
      </c>
      <c r="R28" s="1">
        <f t="shared" si="0"/>
        <v>175000</v>
      </c>
      <c r="S28" s="1">
        <f t="shared" si="0"/>
        <v>250000</v>
      </c>
      <c r="T28" s="1">
        <f t="shared" si="0"/>
        <v>350000</v>
      </c>
      <c r="U28" s="1">
        <f t="shared" si="0"/>
        <v>500000</v>
      </c>
      <c r="V28" s="1">
        <f t="shared" si="0"/>
        <v>700000</v>
      </c>
      <c r="X28" s="32" t="str">
        <f>ER!A28</f>
        <v>Pair</v>
      </c>
      <c r="Y28" s="32" t="str">
        <f>ER!B28</f>
        <v>Ace</v>
      </c>
      <c r="Z28" s="32">
        <f>ER!C28</f>
        <v>2</v>
      </c>
      <c r="AA28" s="32">
        <f>ER!D28</f>
        <v>3</v>
      </c>
      <c r="AB28" s="32">
        <f>ER!E28</f>
        <v>4</v>
      </c>
      <c r="AC28" s="32">
        <f>ER!F28</f>
        <v>5</v>
      </c>
      <c r="AD28" s="32">
        <f>ER!G28</f>
        <v>6</v>
      </c>
      <c r="AE28" s="32">
        <f>ER!H28</f>
        <v>7</v>
      </c>
      <c r="AF28" s="32">
        <f>ER!I28</f>
        <v>8</v>
      </c>
      <c r="AG28" s="32">
        <f>ER!J28</f>
        <v>9</v>
      </c>
      <c r="AH28" s="32">
        <f>ER!K28</f>
        <v>10</v>
      </c>
    </row>
    <row r="29" spans="1:34" x14ac:dyDescent="0.2">
      <c r="A29" s="252">
        <f>Rules!I30</f>
        <v>8</v>
      </c>
      <c r="B29" s="50" t="str">
        <f>Rules!J30</f>
        <v>P</v>
      </c>
      <c r="C29" s="50" t="str">
        <f>Rules!K30</f>
        <v>P</v>
      </c>
      <c r="D29" s="50" t="str">
        <f>Rules!L30</f>
        <v>P</v>
      </c>
      <c r="E29" s="50" t="str">
        <f>Rules!M30</f>
        <v>P</v>
      </c>
      <c r="F29" s="50" t="str">
        <f>Rules!N30</f>
        <v>P</v>
      </c>
      <c r="G29" s="50" t="str">
        <f>Rules!O30</f>
        <v>P</v>
      </c>
      <c r="H29" s="50" t="str">
        <f>Rules!P30</f>
        <v>P</v>
      </c>
      <c r="I29" s="50" t="str">
        <f>Rules!Q30</f>
        <v>P</v>
      </c>
      <c r="J29" s="50" t="str">
        <f>Rules!R30</f>
        <v>R</v>
      </c>
      <c r="K29" s="50" t="str">
        <f>Rules!S30</f>
        <v>R</v>
      </c>
      <c r="M29" s="332" t="s">
        <v>197</v>
      </c>
      <c r="N29" s="333"/>
      <c r="O29" s="333"/>
      <c r="P29" s="333"/>
      <c r="Q29" s="333"/>
      <c r="R29" s="333"/>
      <c r="S29" s="333"/>
      <c r="T29" s="333"/>
      <c r="U29" s="333"/>
      <c r="V29" s="334"/>
      <c r="X29" s="32" t="str">
        <f>ER!A29</f>
        <v>Ace</v>
      </c>
      <c r="Y29" s="34">
        <f>ER!B29</f>
        <v>0.22844717277365195</v>
      </c>
      <c r="Z29" s="34">
        <f>ER!C29</f>
        <v>0.58809086957773749</v>
      </c>
      <c r="AA29" s="34">
        <f>ER!D29</f>
        <v>0.63626378886959067</v>
      </c>
      <c r="AB29" s="34">
        <f>ER!E29</f>
        <v>0.68559495955842076</v>
      </c>
      <c r="AC29" s="34">
        <f>ER!F29</f>
        <v>0.73499004540818236</v>
      </c>
      <c r="AD29" s="34">
        <f>ER!G29</f>
        <v>0.79369995809796545</v>
      </c>
      <c r="AE29" s="34">
        <f>ER!H29</f>
        <v>0.60723727688601759</v>
      </c>
      <c r="AF29" s="34">
        <f>ER!I29</f>
        <v>0.48318645338845845</v>
      </c>
      <c r="AG29" s="34">
        <f>ER!J29</f>
        <v>0.34638851611915705</v>
      </c>
      <c r="AH29" s="34">
        <f>ER!K29</f>
        <v>0.29047627531978187</v>
      </c>
    </row>
    <row r="30" spans="1:34" x14ac:dyDescent="0.2">
      <c r="A30" s="252">
        <f>Rules!I31</f>
        <v>9</v>
      </c>
      <c r="B30" s="50" t="str">
        <f>Rules!J31</f>
        <v>S</v>
      </c>
      <c r="C30" s="50" t="str">
        <f>Rules!K31</f>
        <v>P</v>
      </c>
      <c r="D30" s="50" t="str">
        <f>Rules!L31</f>
        <v>P</v>
      </c>
      <c r="E30" s="50" t="str">
        <f>Rules!M31</f>
        <v>P</v>
      </c>
      <c r="F30" s="50" t="str">
        <f>Rules!N31</f>
        <v>P</v>
      </c>
      <c r="G30" s="50" t="str">
        <f>Rules!O31</f>
        <v>P</v>
      </c>
      <c r="H30" s="50" t="str">
        <f>Rules!P31</f>
        <v>S</v>
      </c>
      <c r="I30" s="50" t="str">
        <f>Rules!Q31</f>
        <v>P</v>
      </c>
      <c r="J30" s="50" t="str">
        <f>Rules!R31</f>
        <v>P</v>
      </c>
      <c r="K30" s="50" t="str">
        <f>Rules!S31</f>
        <v>S</v>
      </c>
      <c r="M30" s="275"/>
      <c r="N30" s="278" t="s">
        <v>148</v>
      </c>
      <c r="O30" s="278" t="s">
        <v>148</v>
      </c>
      <c r="P30" s="278" t="s">
        <v>149</v>
      </c>
      <c r="Q30" s="278" t="s">
        <v>150</v>
      </c>
      <c r="R30" s="278" t="s">
        <v>151</v>
      </c>
      <c r="S30" s="279" t="s">
        <v>152</v>
      </c>
      <c r="T30" s="276" t="s">
        <v>153</v>
      </c>
      <c r="U30" s="276" t="s">
        <v>154</v>
      </c>
      <c r="V30" s="276" t="s">
        <v>155</v>
      </c>
      <c r="X30" s="32">
        <f>ER!A30</f>
        <v>2</v>
      </c>
      <c r="Y30" s="34">
        <f>ER!B30</f>
        <v>-0.25307699440390863</v>
      </c>
      <c r="Z30" s="34">
        <f>ER!C30</f>
        <v>-8.4267225502711041E-2</v>
      </c>
      <c r="AA30" s="34">
        <f>ER!D30</f>
        <v>-1.5498287197501173E-2</v>
      </c>
      <c r="AB30" s="34">
        <f>ER!E30</f>
        <v>5.9333738978653974E-2</v>
      </c>
      <c r="AC30" s="34">
        <f>ER!F30</f>
        <v>0.15203616947891799</v>
      </c>
      <c r="AD30" s="34">
        <f>ER!G30</f>
        <v>0.22737886696191317</v>
      </c>
      <c r="AE30" s="34">
        <f>ER!H30</f>
        <v>6.958050045595748E-3</v>
      </c>
      <c r="AF30" s="34">
        <f>ER!I30</f>
        <v>-0.15933415266020512</v>
      </c>
      <c r="AG30" s="34">
        <f>ER!J30</f>
        <v>-0.24066617915336547</v>
      </c>
      <c r="AH30" s="34">
        <f>ER!K30</f>
        <v>-0.28919791448567511</v>
      </c>
    </row>
    <row r="31" spans="1:34" x14ac:dyDescent="0.2">
      <c r="A31" s="252">
        <f>Rules!I32</f>
        <v>10</v>
      </c>
      <c r="B31" s="50" t="str">
        <f>Rules!J32</f>
        <v>S</v>
      </c>
      <c r="C31" s="50" t="str">
        <f>Rules!K32</f>
        <v>S</v>
      </c>
      <c r="D31" s="50" t="str">
        <f>Rules!L32</f>
        <v>S</v>
      </c>
      <c r="E31" s="50" t="str">
        <f>Rules!M32</f>
        <v>S</v>
      </c>
      <c r="F31" s="50" t="str">
        <f>Rules!N32</f>
        <v>S</v>
      </c>
      <c r="G31" s="50" t="str">
        <f>Rules!O32</f>
        <v>P</v>
      </c>
      <c r="H31" s="50" t="str">
        <f>Rules!P32</f>
        <v>S</v>
      </c>
      <c r="I31" s="50" t="str">
        <f>Rules!Q32</f>
        <v>S</v>
      </c>
      <c r="J31" s="50" t="str">
        <f>Rules!R32</f>
        <v>S</v>
      </c>
      <c r="K31" s="50" t="str">
        <f>Rules!S32</f>
        <v>S</v>
      </c>
      <c r="M31" s="277"/>
      <c r="N31" s="49">
        <f>N23*2</f>
        <v>60</v>
      </c>
      <c r="O31" s="49">
        <f t="shared" ref="O31:V31" si="2">O23*2</f>
        <v>120</v>
      </c>
      <c r="P31" s="49">
        <f t="shared" si="2"/>
        <v>220</v>
      </c>
      <c r="Q31" s="49">
        <f t="shared" si="2"/>
        <v>400</v>
      </c>
      <c r="R31" s="49">
        <f t="shared" si="2"/>
        <v>700</v>
      </c>
      <c r="S31" s="49">
        <f t="shared" si="2"/>
        <v>1000</v>
      </c>
      <c r="T31" s="49">
        <f t="shared" si="2"/>
        <v>1400</v>
      </c>
      <c r="U31" s="49">
        <f t="shared" si="2"/>
        <v>2000</v>
      </c>
      <c r="V31" s="49">
        <f t="shared" si="2"/>
        <v>2800</v>
      </c>
      <c r="X31" s="32">
        <f>ER!A31</f>
        <v>3</v>
      </c>
      <c r="Y31" s="34">
        <f>ER!B31</f>
        <v>-0.30414663097569933</v>
      </c>
      <c r="Z31" s="34">
        <f>ER!C31</f>
        <v>-0.13992944417761496</v>
      </c>
      <c r="AA31" s="34">
        <f>ER!D31</f>
        <v>-5.8284696427541714E-2</v>
      </c>
      <c r="AB31" s="34">
        <f>ER!E31</f>
        <v>2.8134517976885209E-2</v>
      </c>
      <c r="AC31" s="34">
        <f>ER!F31</f>
        <v>0.12470784634060185</v>
      </c>
      <c r="AD31" s="34">
        <f>ER!G31</f>
        <v>0.19970541230483627</v>
      </c>
      <c r="AE31" s="34">
        <f>ER!H31</f>
        <v>-5.8585254727766593E-2</v>
      </c>
      <c r="AF31" s="34">
        <f>ER!I31</f>
        <v>-0.21724188132078476</v>
      </c>
      <c r="AG31" s="34">
        <f>ER!J31</f>
        <v>-0.29264070019772598</v>
      </c>
      <c r="AH31" s="34">
        <f>ER!K31</f>
        <v>-0.33774944037840804</v>
      </c>
    </row>
    <row r="32" spans="1:34" x14ac:dyDescent="0.2">
      <c r="M32" s="49">
        <v>50</v>
      </c>
      <c r="N32" s="1">
        <f>$M32*N$23</f>
        <v>1500</v>
      </c>
      <c r="O32" s="1">
        <f t="shared" ref="O32:V36" si="3">$M32*O$23</f>
        <v>3000</v>
      </c>
      <c r="P32" s="1">
        <f t="shared" si="3"/>
        <v>5500</v>
      </c>
      <c r="Q32" s="1">
        <f t="shared" si="3"/>
        <v>10000</v>
      </c>
      <c r="R32" s="1">
        <f t="shared" si="3"/>
        <v>17500</v>
      </c>
      <c r="S32" s="1">
        <f t="shared" si="3"/>
        <v>25000</v>
      </c>
      <c r="T32" s="1">
        <f t="shared" si="3"/>
        <v>35000</v>
      </c>
      <c r="U32" s="1">
        <f t="shared" si="3"/>
        <v>50000</v>
      </c>
      <c r="V32" s="1">
        <f t="shared" si="3"/>
        <v>70000</v>
      </c>
      <c r="X32" s="32">
        <f>ER!A32</f>
        <v>4</v>
      </c>
      <c r="Y32" s="34">
        <f>ER!B32</f>
        <v>-0.1970288105741636</v>
      </c>
      <c r="Z32" s="34">
        <f>ER!C32</f>
        <v>-2.1798188008805668E-2</v>
      </c>
      <c r="AA32" s="34">
        <f>ER!D32</f>
        <v>8.0052625306546825E-3</v>
      </c>
      <c r="AB32" s="34">
        <f>ER!E32</f>
        <v>3.8784473277208811E-2</v>
      </c>
      <c r="AC32" s="34">
        <f>ER!F32</f>
        <v>0.10070528937626665</v>
      </c>
      <c r="AD32" s="34">
        <f>ER!G32</f>
        <v>0.17417494269127992</v>
      </c>
      <c r="AE32" s="34">
        <f>ER!H32</f>
        <v>8.2207439363742862E-2</v>
      </c>
      <c r="AF32" s="34">
        <f>ER!I32</f>
        <v>-5.9898275658656304E-2</v>
      </c>
      <c r="AG32" s="34">
        <f>ER!J32</f>
        <v>-0.21018633199821757</v>
      </c>
      <c r="AH32" s="34">
        <f>ER!K32</f>
        <v>-0.24937508055334259</v>
      </c>
    </row>
    <row r="33" spans="13:34" x14ac:dyDescent="0.2">
      <c r="M33" s="49">
        <v>100</v>
      </c>
      <c r="N33" s="1">
        <f t="shared" ref="N33:N36" si="4">$M33*N$23</f>
        <v>3000</v>
      </c>
      <c r="O33" s="1">
        <f t="shared" si="3"/>
        <v>6000</v>
      </c>
      <c r="P33" s="1">
        <f t="shared" si="3"/>
        <v>11000</v>
      </c>
      <c r="Q33" s="1">
        <f t="shared" si="3"/>
        <v>20000</v>
      </c>
      <c r="R33" s="1">
        <f t="shared" si="3"/>
        <v>35000</v>
      </c>
      <c r="S33" s="1">
        <f t="shared" si="3"/>
        <v>50000</v>
      </c>
      <c r="T33" s="1">
        <f t="shared" si="3"/>
        <v>70000</v>
      </c>
      <c r="U33" s="1">
        <f t="shared" si="3"/>
        <v>100000</v>
      </c>
      <c r="V33" s="1">
        <f t="shared" si="3"/>
        <v>140000</v>
      </c>
      <c r="X33" s="32">
        <f>ER!A33</f>
        <v>5</v>
      </c>
      <c r="Y33" s="34">
        <f>ER!B33</f>
        <v>8.1449707945275923E-2</v>
      </c>
      <c r="Z33" s="34">
        <f>ER!C33</f>
        <v>0.3589394124422991</v>
      </c>
      <c r="AA33" s="34">
        <f>ER!D33</f>
        <v>0.40932067017593915</v>
      </c>
      <c r="AB33" s="34">
        <f>ER!E33</f>
        <v>0.460940243794354</v>
      </c>
      <c r="AC33" s="34">
        <f>ER!F33</f>
        <v>0.51251710900326775</v>
      </c>
      <c r="AD33" s="34">
        <f>ER!G33</f>
        <v>0.57559016859776857</v>
      </c>
      <c r="AE33" s="34">
        <f>ER!H33</f>
        <v>0.39241245528243773</v>
      </c>
      <c r="AF33" s="34">
        <f>ER!I33</f>
        <v>0.28663571688628381</v>
      </c>
      <c r="AG33" s="34">
        <f>ER!J33</f>
        <v>0.1443283683807712</v>
      </c>
      <c r="AH33" s="34">
        <f>ER!K33</f>
        <v>2.5308523040868145E-2</v>
      </c>
    </row>
    <row r="34" spans="13:34" x14ac:dyDescent="0.2">
      <c r="M34" s="49">
        <v>200</v>
      </c>
      <c r="N34" s="1">
        <f t="shared" si="4"/>
        <v>6000</v>
      </c>
      <c r="O34" s="1">
        <f t="shared" si="3"/>
        <v>12000</v>
      </c>
      <c r="P34" s="1">
        <f t="shared" si="3"/>
        <v>22000</v>
      </c>
      <c r="Q34" s="1">
        <f t="shared" si="3"/>
        <v>40000</v>
      </c>
      <c r="R34" s="1">
        <f t="shared" si="3"/>
        <v>70000</v>
      </c>
      <c r="S34" s="1">
        <f t="shared" si="3"/>
        <v>100000</v>
      </c>
      <c r="T34" s="1">
        <f t="shared" si="3"/>
        <v>140000</v>
      </c>
      <c r="U34" s="1">
        <f t="shared" si="3"/>
        <v>200000</v>
      </c>
      <c r="V34" s="1">
        <f t="shared" si="3"/>
        <v>280000</v>
      </c>
      <c r="X34" s="32">
        <f>ER!A34</f>
        <v>6</v>
      </c>
      <c r="Y34" s="34">
        <f>ER!B34</f>
        <v>-0.35054034044008009</v>
      </c>
      <c r="Z34" s="34">
        <f>ER!C34</f>
        <v>-0.25338998596663809</v>
      </c>
      <c r="AA34" s="34">
        <f>ER!D34</f>
        <v>-0.16236190502927889</v>
      </c>
      <c r="AB34" s="34">
        <f>ER!E34</f>
        <v>-6.5242110257549266E-2</v>
      </c>
      <c r="AC34" s="34">
        <f>ER!F34</f>
        <v>3.9226356320867399E-2</v>
      </c>
      <c r="AD34" s="34">
        <f>ER!G34</f>
        <v>0.10667340682942227</v>
      </c>
      <c r="AE34" s="34">
        <f>ER!H34</f>
        <v>-0.21284771451731424</v>
      </c>
      <c r="AF34" s="34">
        <f>ER!I34</f>
        <v>-0.27157480502428616</v>
      </c>
      <c r="AG34" s="34">
        <f>ER!J34</f>
        <v>-0.3400132806089356</v>
      </c>
      <c r="AH34" s="34">
        <f>ER!K34</f>
        <v>-0.38104299284808768</v>
      </c>
    </row>
    <row r="35" spans="13:34" x14ac:dyDescent="0.2">
      <c r="M35" s="49">
        <v>300</v>
      </c>
      <c r="N35" s="1">
        <f t="shared" si="4"/>
        <v>9000</v>
      </c>
      <c r="O35" s="1">
        <f t="shared" si="3"/>
        <v>18000</v>
      </c>
      <c r="P35" s="1">
        <f t="shared" si="3"/>
        <v>33000</v>
      </c>
      <c r="Q35" s="1">
        <f t="shared" si="3"/>
        <v>60000</v>
      </c>
      <c r="R35" s="1">
        <f t="shared" si="3"/>
        <v>105000</v>
      </c>
      <c r="S35" s="1">
        <f t="shared" si="3"/>
        <v>150000</v>
      </c>
      <c r="T35" s="1">
        <f t="shared" si="3"/>
        <v>210000</v>
      </c>
      <c r="U35" s="1">
        <f t="shared" si="3"/>
        <v>300000</v>
      </c>
      <c r="V35" s="1">
        <f t="shared" si="3"/>
        <v>420000</v>
      </c>
      <c r="X35" s="32">
        <f>ER!A35</f>
        <v>7</v>
      </c>
      <c r="Y35" s="34">
        <f>ER!B35</f>
        <v>-0.44000672211415065</v>
      </c>
      <c r="Z35" s="34">
        <f>ER!C35</f>
        <v>-0.1963016079632402</v>
      </c>
      <c r="AA35" s="34">
        <f>ER!D35</f>
        <v>-0.10948552726048816</v>
      </c>
      <c r="AB35" s="34">
        <f>ER!E35</f>
        <v>-1.9921218921965758E-2</v>
      </c>
      <c r="AC35" s="34">
        <f>ER!F35</f>
        <v>7.4563567868088848E-2</v>
      </c>
      <c r="AD35" s="34">
        <f>ER!G35</f>
        <v>0.16472730313989489</v>
      </c>
      <c r="AE35" s="34">
        <f>ER!H35</f>
        <v>-0.13707521359511174</v>
      </c>
      <c r="AF35" s="34">
        <f>ER!I35</f>
        <v>-0.37191909208726714</v>
      </c>
      <c r="AG35" s="34">
        <f>ER!J35</f>
        <v>-0.43092981848423528</v>
      </c>
      <c r="AH35" s="34">
        <f>ER!K35</f>
        <v>-0.46630747852717758</v>
      </c>
    </row>
    <row r="36" spans="13:34" x14ac:dyDescent="0.2">
      <c r="M36" s="49">
        <v>500</v>
      </c>
      <c r="N36" s="1">
        <f t="shared" si="4"/>
        <v>15000</v>
      </c>
      <c r="O36" s="1">
        <f t="shared" si="3"/>
        <v>30000</v>
      </c>
      <c r="P36" s="1">
        <f t="shared" si="3"/>
        <v>55000</v>
      </c>
      <c r="Q36" s="1">
        <f t="shared" si="3"/>
        <v>100000</v>
      </c>
      <c r="R36" s="1">
        <f t="shared" si="3"/>
        <v>175000</v>
      </c>
      <c r="S36" s="1">
        <f t="shared" si="3"/>
        <v>250000</v>
      </c>
      <c r="T36" s="1">
        <f t="shared" si="3"/>
        <v>350000</v>
      </c>
      <c r="U36" s="1">
        <f t="shared" si="3"/>
        <v>500000</v>
      </c>
      <c r="V36" s="1">
        <f t="shared" si="3"/>
        <v>700000</v>
      </c>
      <c r="X36" s="32">
        <f>ER!A36</f>
        <v>8</v>
      </c>
      <c r="Y36" s="34">
        <f>ER!B36</f>
        <v>-0.47846720619452893</v>
      </c>
      <c r="Z36" s="34">
        <f>ER!C36</f>
        <v>-4.10085652565544E-2</v>
      </c>
      <c r="AA36" s="34">
        <f>ER!D36</f>
        <v>2.9651267038439212E-2</v>
      </c>
      <c r="AB36" s="34">
        <f>ER!E36</f>
        <v>0.10253679913733912</v>
      </c>
      <c r="AC36" s="34">
        <f>ER!F36</f>
        <v>0.17786869518456505</v>
      </c>
      <c r="AD36" s="34">
        <f>ER!G36</f>
        <v>0.28114462143026464</v>
      </c>
      <c r="AE36" s="34">
        <f>ER!H36</f>
        <v>0.17942021385705018</v>
      </c>
      <c r="AF36" s="34">
        <f>ER!I36</f>
        <v>-0.15401156627741791</v>
      </c>
      <c r="AG36" s="34">
        <f>ER!J36</f>
        <v>-0.5</v>
      </c>
      <c r="AH36" s="34">
        <f>ER!K36</f>
        <v>-0.5</v>
      </c>
    </row>
    <row r="37" spans="13:34" x14ac:dyDescent="0.2">
      <c r="X37" s="32">
        <f>ER!A37</f>
        <v>9</v>
      </c>
      <c r="Y37" s="34">
        <f>ER!B37</f>
        <v>-0.10019887561319057</v>
      </c>
      <c r="Z37" s="34">
        <f>ER!C37</f>
        <v>0.13385768207672508</v>
      </c>
      <c r="AA37" s="34">
        <f>ER!D37</f>
        <v>0.19320731563116447</v>
      </c>
      <c r="AB37" s="34">
        <f>ER!E37</f>
        <v>0.25454407563811315</v>
      </c>
      <c r="AC37" s="34">
        <f>ER!F37</f>
        <v>0.31872977328281132</v>
      </c>
      <c r="AD37" s="34">
        <f>ER!G37</f>
        <v>0.40361032143368897</v>
      </c>
      <c r="AE37" s="34">
        <f>ER!H37</f>
        <v>0.3995541673365518</v>
      </c>
      <c r="AF37" s="34">
        <f>ER!I37</f>
        <v>0.19129321615782191</v>
      </c>
      <c r="AG37" s="34">
        <f>ER!J37</f>
        <v>-0.15072067108588086</v>
      </c>
      <c r="AH37" s="34">
        <f>ER!K37</f>
        <v>-0.17830123379648949</v>
      </c>
    </row>
    <row r="38" spans="13:34" x14ac:dyDescent="0.2">
      <c r="X38" s="32">
        <f>ER!A38</f>
        <v>10</v>
      </c>
      <c r="Y38" s="34">
        <f>ER!B38</f>
        <v>0.65547032314990239</v>
      </c>
      <c r="Z38" s="34">
        <f>ER!C38</f>
        <v>0.63998657521683877</v>
      </c>
      <c r="AA38" s="34">
        <f>ER!D38</f>
        <v>0.65027209425148136</v>
      </c>
      <c r="AB38" s="34">
        <f>ER!E38</f>
        <v>0.66104996194807186</v>
      </c>
      <c r="AC38" s="34">
        <f>ER!F38</f>
        <v>0.67035969063279999</v>
      </c>
      <c r="AD38" s="34">
        <f>ER!G38</f>
        <v>0.70504978713524302</v>
      </c>
      <c r="AE38" s="34">
        <f>ER!H38</f>
        <v>0.77322722653717491</v>
      </c>
      <c r="AF38" s="34">
        <f>ER!I38</f>
        <v>0.79181515955189841</v>
      </c>
      <c r="AG38" s="34">
        <f>ER!J38</f>
        <v>0.75835687080859626</v>
      </c>
      <c r="AH38" s="34">
        <f>ER!K38</f>
        <v>0.55453756646817121</v>
      </c>
    </row>
  </sheetData>
  <sheetProtection sheet="1" objects="1" scenarios="1"/>
  <mergeCells count="8">
    <mergeCell ref="M21:V21"/>
    <mergeCell ref="M29:V29"/>
    <mergeCell ref="A1:K1"/>
    <mergeCell ref="X1:AH1"/>
    <mergeCell ref="M1:V1"/>
    <mergeCell ref="M6:V6"/>
    <mergeCell ref="M11:V11"/>
    <mergeCell ref="M16:V16"/>
  </mergeCells>
  <conditionalFormatting sqref="B2:K2 N23:V23 M24:M28">
    <cfRule type="containsText" dxfId="75" priority="214" operator="containsText" text="S">
      <formula>NOT(ISERROR(SEARCH("S",B2)))</formula>
    </cfRule>
    <cfRule type="containsText" dxfId="74" priority="215" operator="containsText" text="H">
      <formula>NOT(ISERROR(SEARCH("H",B2)))</formula>
    </cfRule>
  </conditionalFormatting>
  <conditionalFormatting sqref="B2:K2 N23:V23 M24:M28">
    <cfRule type="containsText" dxfId="73" priority="213" operator="containsText" text="D">
      <formula>NOT(ISERROR(SEARCH("D",B2)))</formula>
    </cfRule>
  </conditionalFormatting>
  <conditionalFormatting sqref="B2:K2 N23:V23 M24:M28">
    <cfRule type="containsText" dxfId="72" priority="212" operator="containsText" text="R">
      <formula>NOT(ISERROR(SEARCH("R",B2)))</formula>
    </cfRule>
  </conditionalFormatting>
  <conditionalFormatting sqref="B2:K2 N23:V23 M24:M28">
    <cfRule type="containsText" dxfId="71" priority="211" operator="containsText" text="P">
      <formula>NOT(ISERROR(SEARCH("P",B2)))</formula>
    </cfRule>
  </conditionalFormatting>
  <conditionalFormatting sqref="B3:K12 B14:K20 B22:K31">
    <cfRule type="containsText" dxfId="70" priority="204" operator="containsText" text="S">
      <formula>NOT(ISERROR(SEARCH("S",B3)))</formula>
    </cfRule>
    <cfRule type="containsText" dxfId="69" priority="205" operator="containsText" text="H">
      <formula>NOT(ISERROR(SEARCH("H",B3)))</formula>
    </cfRule>
  </conditionalFormatting>
  <conditionalFormatting sqref="B3:K12 B14:K20 B22:K31">
    <cfRule type="containsText" dxfId="68" priority="203" operator="containsText" text="D">
      <formula>NOT(ISERROR(SEARCH("D",B3)))</formula>
    </cfRule>
  </conditionalFormatting>
  <conditionalFormatting sqref="B3:K12 B14:K20 B22:K31">
    <cfRule type="containsText" dxfId="67" priority="202" operator="containsText" text="R">
      <formula>NOT(ISERROR(SEARCH("R",B3)))</formula>
    </cfRule>
  </conditionalFormatting>
  <conditionalFormatting sqref="B3:K12 B14:K20 B22:K31">
    <cfRule type="containsText" dxfId="66" priority="201" operator="containsText" text="P">
      <formula>NOT(ISERROR(SEARCH("P",B3)))</formula>
    </cfRule>
  </conditionalFormatting>
  <conditionalFormatting sqref="Y3:AH17">
    <cfRule type="colorScale" priority="137">
      <colorScale>
        <cfvo type="num" val="MIN($Y$3:$AH$17,$Y$19:$AH$27,$Y$29:$AH$38)"/>
        <cfvo type="num" val="AVERAGE($Y$3:$AH$17,$Y$19:$AH$27,$Y$29:$AH$38)"/>
        <cfvo type="num" val="MAX($Y$3:$AH$17,$Y$19:$AH$27,$Y$29:$AH$38)"/>
        <color rgb="FFFF0000"/>
        <color rgb="FFFFFF00"/>
        <color rgb="FF00B050"/>
      </colorScale>
    </cfRule>
    <cfRule type="containsText" dxfId="65" priority="139" operator="containsText" text="R">
      <formula>NOT(ISERROR(SEARCH("R",Y3)))</formula>
    </cfRule>
    <cfRule type="containsText" dxfId="64" priority="140" operator="containsText" text="D">
      <formula>NOT(ISERROR(SEARCH("D",Y3)))</formula>
    </cfRule>
    <cfRule type="containsText" dxfId="63" priority="141" operator="containsText" text="S">
      <formula>NOT(ISERROR(SEARCH("S",Y3)))</formula>
    </cfRule>
    <cfRule type="containsText" dxfId="62" priority="142" operator="containsText" text="H">
      <formula>NOT(ISERROR(SEARCH("H",Y3)))</formula>
    </cfRule>
  </conditionalFormatting>
  <conditionalFormatting sqref="Y3:AH17">
    <cfRule type="containsText" dxfId="61" priority="138" operator="containsText" text="P">
      <formula>NOT(ISERROR(SEARCH("P",Y3)))</formula>
    </cfRule>
  </conditionalFormatting>
  <conditionalFormatting sqref="Y19:AH27">
    <cfRule type="colorScale" priority="109">
      <colorScale>
        <cfvo type="num" val="MIN($Y$3:$AH$17,$Y$19:$AH$27,$Y$29:$AH$38)"/>
        <cfvo type="num" val="AVERAGE($Y$3:$AH$17,$Y$19:$AH$27,$Y$29:$AH$38)"/>
        <cfvo type="num" val="MAX($Y$3:$AH$17,$Y$19:$AH$27,$Y$29:$AH$38)"/>
        <color rgb="FFFF0000"/>
        <color rgb="FFFFFF00"/>
        <color rgb="FF00B050"/>
      </colorScale>
    </cfRule>
    <cfRule type="containsText" dxfId="60" priority="111" operator="containsText" text="R">
      <formula>NOT(ISERROR(SEARCH("R",Y19)))</formula>
    </cfRule>
    <cfRule type="containsText" dxfId="59" priority="112" operator="containsText" text="D">
      <formula>NOT(ISERROR(SEARCH("D",Y19)))</formula>
    </cfRule>
    <cfRule type="containsText" dxfId="58" priority="113" operator="containsText" text="S">
      <formula>NOT(ISERROR(SEARCH("S",Y19)))</formula>
    </cfRule>
    <cfRule type="containsText" dxfId="57" priority="114" operator="containsText" text="H">
      <formula>NOT(ISERROR(SEARCH("H",Y19)))</formula>
    </cfRule>
  </conditionalFormatting>
  <conditionalFormatting sqref="Y19:AH27">
    <cfRule type="containsText" dxfId="56" priority="110" operator="containsText" text="P">
      <formula>NOT(ISERROR(SEARCH("P",Y19)))</formula>
    </cfRule>
  </conditionalFormatting>
  <conditionalFormatting sqref="Y29:AH38">
    <cfRule type="colorScale" priority="103">
      <colorScale>
        <cfvo type="num" val="MIN($Y$3:$AH$17,$Y$19:$AH$27,$Y$29:$AH$38)"/>
        <cfvo type="num" val="AVERAGE($Y$3:$AH$17,$Y$19:$AH$27,$Y$29:$AH$38)"/>
        <cfvo type="num" val="MAX($Y$3:$AH$17,$Y$19:$AH$27,$Y$29:$AH$38)"/>
        <color rgb="FFFF0000"/>
        <color rgb="FFFFFF00"/>
        <color rgb="FF00B050"/>
      </colorScale>
    </cfRule>
    <cfRule type="containsText" dxfId="55" priority="105" operator="containsText" text="R">
      <formula>NOT(ISERROR(SEARCH("R",Y29)))</formula>
    </cfRule>
    <cfRule type="containsText" dxfId="54" priority="106" operator="containsText" text="D">
      <formula>NOT(ISERROR(SEARCH("D",Y29)))</formula>
    </cfRule>
    <cfRule type="containsText" dxfId="53" priority="107" operator="containsText" text="S">
      <formula>NOT(ISERROR(SEARCH("S",Y29)))</formula>
    </cfRule>
    <cfRule type="containsText" dxfId="52" priority="108" operator="containsText" text="H">
      <formula>NOT(ISERROR(SEARCH("H",Y29)))</formula>
    </cfRule>
  </conditionalFormatting>
  <conditionalFormatting sqref="Y29:AH38">
    <cfRule type="containsText" dxfId="51" priority="104" operator="containsText" text="P">
      <formula>NOT(ISERROR(SEARCH("P",Y29)))</formula>
    </cfRule>
  </conditionalFormatting>
  <conditionalFormatting sqref="M2:M5">
    <cfRule type="containsText" dxfId="50" priority="54" operator="containsText" text="S">
      <formula>NOT(ISERROR(SEARCH("S",M2)))</formula>
    </cfRule>
    <cfRule type="containsText" dxfId="49" priority="55" operator="containsText" text="H">
      <formula>NOT(ISERROR(SEARCH("H",M2)))</formula>
    </cfRule>
  </conditionalFormatting>
  <conditionalFormatting sqref="M2:M5">
    <cfRule type="containsText" dxfId="48" priority="53" operator="containsText" text="D">
      <formula>NOT(ISERROR(SEARCH("D",M2)))</formula>
    </cfRule>
  </conditionalFormatting>
  <conditionalFormatting sqref="M2:M5">
    <cfRule type="containsText" dxfId="47" priority="52" operator="containsText" text="R">
      <formula>NOT(ISERROR(SEARCH("R",M2)))</formula>
    </cfRule>
  </conditionalFormatting>
  <conditionalFormatting sqref="M2:M5">
    <cfRule type="containsText" dxfId="46" priority="51" operator="containsText" text="P">
      <formula>NOT(ISERROR(SEARCH("P",M2)))</formula>
    </cfRule>
  </conditionalFormatting>
  <conditionalFormatting sqref="N2:V2">
    <cfRule type="containsText" dxfId="45" priority="49" operator="containsText" text="S">
      <formula>NOT(ISERROR(SEARCH("S",N2)))</formula>
    </cfRule>
    <cfRule type="containsText" dxfId="44" priority="50" operator="containsText" text="H">
      <formula>NOT(ISERROR(SEARCH("H",N2)))</formula>
    </cfRule>
  </conditionalFormatting>
  <conditionalFormatting sqref="N2:V2">
    <cfRule type="containsText" dxfId="43" priority="48" operator="containsText" text="D">
      <formula>NOT(ISERROR(SEARCH("D",N2)))</formula>
    </cfRule>
  </conditionalFormatting>
  <conditionalFormatting sqref="N2:V2">
    <cfRule type="containsText" dxfId="42" priority="47" operator="containsText" text="R">
      <formula>NOT(ISERROR(SEARCH("R",N2)))</formula>
    </cfRule>
  </conditionalFormatting>
  <conditionalFormatting sqref="N2:V2">
    <cfRule type="containsText" dxfId="41" priority="46" operator="containsText" text="P">
      <formula>NOT(ISERROR(SEARCH("P",N2)))</formula>
    </cfRule>
  </conditionalFormatting>
  <conditionalFormatting sqref="N3:V5">
    <cfRule type="colorScale" priority="45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M7:M10">
    <cfRule type="containsText" dxfId="40" priority="43" operator="containsText" text="S">
      <formula>NOT(ISERROR(SEARCH("S",M7)))</formula>
    </cfRule>
    <cfRule type="containsText" dxfId="39" priority="44" operator="containsText" text="H">
      <formula>NOT(ISERROR(SEARCH("H",M7)))</formula>
    </cfRule>
  </conditionalFormatting>
  <conditionalFormatting sqref="M7:M10">
    <cfRule type="containsText" dxfId="38" priority="42" operator="containsText" text="D">
      <formula>NOT(ISERROR(SEARCH("D",M7)))</formula>
    </cfRule>
  </conditionalFormatting>
  <conditionalFormatting sqref="M7:M10">
    <cfRule type="containsText" dxfId="37" priority="41" operator="containsText" text="R">
      <formula>NOT(ISERROR(SEARCH("R",M7)))</formula>
    </cfRule>
  </conditionalFormatting>
  <conditionalFormatting sqref="M7:M10">
    <cfRule type="containsText" dxfId="36" priority="40" operator="containsText" text="P">
      <formula>NOT(ISERROR(SEARCH("P",M7)))</formula>
    </cfRule>
  </conditionalFormatting>
  <conditionalFormatting sqref="N7:V7">
    <cfRule type="containsText" dxfId="35" priority="38" operator="containsText" text="S">
      <formula>NOT(ISERROR(SEARCH("S",N7)))</formula>
    </cfRule>
    <cfRule type="containsText" dxfId="34" priority="39" operator="containsText" text="H">
      <formula>NOT(ISERROR(SEARCH("H",N7)))</formula>
    </cfRule>
  </conditionalFormatting>
  <conditionalFormatting sqref="N7:V7">
    <cfRule type="containsText" dxfId="33" priority="37" operator="containsText" text="D">
      <formula>NOT(ISERROR(SEARCH("D",N7)))</formula>
    </cfRule>
  </conditionalFormatting>
  <conditionalFormatting sqref="N7:V7">
    <cfRule type="containsText" dxfId="32" priority="36" operator="containsText" text="R">
      <formula>NOT(ISERROR(SEARCH("R",N7)))</formula>
    </cfRule>
  </conditionalFormatting>
  <conditionalFormatting sqref="N7:V7">
    <cfRule type="containsText" dxfId="31" priority="35" operator="containsText" text="P">
      <formula>NOT(ISERROR(SEARCH("P",N7)))</formula>
    </cfRule>
  </conditionalFormatting>
  <conditionalFormatting sqref="N8:V10">
    <cfRule type="colorScale" priority="34">
      <colorScale>
        <cfvo type="num" val="0"/>
        <cfvo type="percentile" val="50"/>
        <cfvo type="max"/>
        <color rgb="FFFF0000"/>
        <color rgb="FFFFEB84"/>
        <color rgb="FF00B050"/>
      </colorScale>
    </cfRule>
  </conditionalFormatting>
  <conditionalFormatting sqref="M12:M15">
    <cfRule type="containsText" dxfId="30" priority="32" operator="containsText" text="S">
      <formula>NOT(ISERROR(SEARCH("S",M12)))</formula>
    </cfRule>
    <cfRule type="containsText" dxfId="29" priority="33" operator="containsText" text="H">
      <formula>NOT(ISERROR(SEARCH("H",M12)))</formula>
    </cfRule>
  </conditionalFormatting>
  <conditionalFormatting sqref="M12:M15">
    <cfRule type="containsText" dxfId="28" priority="31" operator="containsText" text="D">
      <formula>NOT(ISERROR(SEARCH("D",M12)))</formula>
    </cfRule>
  </conditionalFormatting>
  <conditionalFormatting sqref="M12:M15">
    <cfRule type="containsText" dxfId="27" priority="30" operator="containsText" text="R">
      <formula>NOT(ISERROR(SEARCH("R",M12)))</formula>
    </cfRule>
  </conditionalFormatting>
  <conditionalFormatting sqref="M12:M15">
    <cfRule type="containsText" dxfId="26" priority="29" operator="containsText" text="P">
      <formula>NOT(ISERROR(SEARCH("P",M12)))</formula>
    </cfRule>
  </conditionalFormatting>
  <conditionalFormatting sqref="N12:V12">
    <cfRule type="containsText" dxfId="25" priority="27" operator="containsText" text="S">
      <formula>NOT(ISERROR(SEARCH("S",N12)))</formula>
    </cfRule>
    <cfRule type="containsText" dxfId="24" priority="28" operator="containsText" text="H">
      <formula>NOT(ISERROR(SEARCH("H",N12)))</formula>
    </cfRule>
  </conditionalFormatting>
  <conditionalFormatting sqref="N12:V12">
    <cfRule type="containsText" dxfId="23" priority="26" operator="containsText" text="D">
      <formula>NOT(ISERROR(SEARCH("D",N12)))</formula>
    </cfRule>
  </conditionalFormatting>
  <conditionalFormatting sqref="N12:V12">
    <cfRule type="containsText" dxfId="22" priority="25" operator="containsText" text="R">
      <formula>NOT(ISERROR(SEARCH("R",N12)))</formula>
    </cfRule>
  </conditionalFormatting>
  <conditionalFormatting sqref="N12:V12">
    <cfRule type="containsText" dxfId="21" priority="24" operator="containsText" text="P">
      <formula>NOT(ISERROR(SEARCH("P",N12)))</formula>
    </cfRule>
  </conditionalFormatting>
  <conditionalFormatting sqref="N13:V15">
    <cfRule type="colorScale" priority="23">
      <colorScale>
        <cfvo type="num" val="0"/>
        <cfvo type="percentile" val="50"/>
        <cfvo type="num" val="100"/>
        <color rgb="FF00B050"/>
        <color theme="9" tint="0.39997558519241921"/>
        <color rgb="FFFF0000"/>
      </colorScale>
    </cfRule>
  </conditionalFormatting>
  <conditionalFormatting sqref="M17:M20">
    <cfRule type="containsText" dxfId="20" priority="21" operator="containsText" text="S">
      <formula>NOT(ISERROR(SEARCH("S",M17)))</formula>
    </cfRule>
    <cfRule type="containsText" dxfId="19" priority="22" operator="containsText" text="H">
      <formula>NOT(ISERROR(SEARCH("H",M17)))</formula>
    </cfRule>
  </conditionalFormatting>
  <conditionalFormatting sqref="M17:M20">
    <cfRule type="containsText" dxfId="18" priority="20" operator="containsText" text="D">
      <formula>NOT(ISERROR(SEARCH("D",M17)))</formula>
    </cfRule>
  </conditionalFormatting>
  <conditionalFormatting sqref="M17:M20">
    <cfRule type="containsText" dxfId="17" priority="19" operator="containsText" text="R">
      <formula>NOT(ISERROR(SEARCH("R",M17)))</formula>
    </cfRule>
  </conditionalFormatting>
  <conditionalFormatting sqref="M17:M20">
    <cfRule type="containsText" dxfId="16" priority="18" operator="containsText" text="P">
      <formula>NOT(ISERROR(SEARCH("P",M17)))</formula>
    </cfRule>
  </conditionalFormatting>
  <conditionalFormatting sqref="N17:V17">
    <cfRule type="containsText" dxfId="15" priority="16" operator="containsText" text="S">
      <formula>NOT(ISERROR(SEARCH("S",N17)))</formula>
    </cfRule>
    <cfRule type="containsText" dxfId="14" priority="17" operator="containsText" text="H">
      <formula>NOT(ISERROR(SEARCH("H",N17)))</formula>
    </cfRule>
  </conditionalFormatting>
  <conditionalFormatting sqref="N17:V17">
    <cfRule type="containsText" dxfId="13" priority="15" operator="containsText" text="D">
      <formula>NOT(ISERROR(SEARCH("D",N17)))</formula>
    </cfRule>
  </conditionalFormatting>
  <conditionalFormatting sqref="N17:V17">
    <cfRule type="containsText" dxfId="12" priority="14" operator="containsText" text="R">
      <formula>NOT(ISERROR(SEARCH("R",N17)))</formula>
    </cfRule>
  </conditionalFormatting>
  <conditionalFormatting sqref="N17:V17">
    <cfRule type="containsText" dxfId="11" priority="13" operator="containsText" text="P">
      <formula>NOT(ISERROR(SEARCH("P",N17)))</formula>
    </cfRule>
  </conditionalFormatting>
  <conditionalFormatting sqref="N18:V20">
    <cfRule type="colorScale" priority="6">
      <colorScale>
        <cfvo type="num" val="0"/>
        <cfvo type="num" val="0"/>
        <cfvo type="max"/>
        <color rgb="FFFF0000"/>
        <color rgb="FFFFEB84"/>
        <color rgb="FF00B050"/>
      </colorScale>
    </cfRule>
    <cfRule type="cellIs" dxfId="10" priority="12" operator="equal">
      <formula>MAX($N$18:$V$20)</formula>
    </cfRule>
  </conditionalFormatting>
  <conditionalFormatting sqref="M32:M36 N31:V31">
    <cfRule type="containsText" dxfId="9" priority="4" operator="containsText" text="S">
      <formula>NOT(ISERROR(SEARCH("S",M31)))</formula>
    </cfRule>
    <cfRule type="containsText" dxfId="8" priority="5" operator="containsText" text="H">
      <formula>NOT(ISERROR(SEARCH("H",M31)))</formula>
    </cfRule>
  </conditionalFormatting>
  <conditionalFormatting sqref="M32:M36 N31:V31">
    <cfRule type="containsText" dxfId="7" priority="3" operator="containsText" text="D">
      <formula>NOT(ISERROR(SEARCH("D",M31)))</formula>
    </cfRule>
  </conditionalFormatting>
  <conditionalFormatting sqref="M32:M36 N31:V31">
    <cfRule type="containsText" dxfId="6" priority="2" operator="containsText" text="R">
      <formula>NOT(ISERROR(SEARCH("R",M31)))</formula>
    </cfRule>
  </conditionalFormatting>
  <conditionalFormatting sqref="M32:M36 N31:V31">
    <cfRule type="containsText" dxfId="5" priority="1" operator="containsText" text="P">
      <formula>NOT(ISERROR(SEARCH("P",M31)))</formula>
    </cfRule>
  </conditionalFormatting>
  <pageMargins left="0.25" right="0.25" top="0.75" bottom="0.75" header="0.3" footer="0.3"/>
  <pageSetup paperSize="9" scale="6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4"/>
  <sheetViews>
    <sheetView workbookViewId="0">
      <selection activeCell="K9" sqref="K9"/>
    </sheetView>
  </sheetViews>
  <sheetFormatPr baseColWidth="10" defaultColWidth="8.83203125" defaultRowHeight="16" x14ac:dyDescent="0.2"/>
  <cols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MAX(Hit!B2,Stand!B2)</f>
        <v>-0.20335368314889377</v>
      </c>
      <c r="C2">
        <f>MAX(Hit!C2,Stand!C2)</f>
        <v>-7.5884358318949102E-2</v>
      </c>
      <c r="D2">
        <f>MAX(Hit!D2,Stand!D2)</f>
        <v>-4.9750706146412048E-2</v>
      </c>
      <c r="E2">
        <f>MAX(Hit!E2,Stand!E2)</f>
        <v>-2.2100412135834389E-2</v>
      </c>
      <c r="F2">
        <f>MAX(Hit!F2,Stand!F2)</f>
        <v>1.3730032284783571E-2</v>
      </c>
      <c r="G2">
        <f>MAX(Hit!G2,Stand!G2)</f>
        <v>3.8883411946301231E-2</v>
      </c>
      <c r="H2">
        <f>MAX(Hit!H2,Stand!H2)</f>
        <v>-2.7257021375862247E-2</v>
      </c>
      <c r="I2">
        <f>MAX(Hit!I2,Stand!I2)</f>
        <v>-0.10316172777512726</v>
      </c>
      <c r="J2">
        <f>MAX(Hit!J2,Stand!J2)</f>
        <v>-0.19004714305350842</v>
      </c>
      <c r="K2">
        <f>MAX(Hit!K2,Stand!K2)</f>
        <v>-0.24199803315764098</v>
      </c>
      <c r="N2" s="31">
        <v>2</v>
      </c>
      <c r="O2" s="31" t="str">
        <f>IF(B2=Stand!B2,"S","H")</f>
        <v>H</v>
      </c>
      <c r="P2" s="31" t="str">
        <f>IF(C2=Stand!C2,"S","H")</f>
        <v>H</v>
      </c>
      <c r="Q2" s="31" t="str">
        <f>IF(D2=Stand!D2,"S","H")</f>
        <v>H</v>
      </c>
      <c r="R2" s="31" t="str">
        <f>IF(E2=Stand!E2,"S","H")</f>
        <v>H</v>
      </c>
      <c r="S2" s="31" t="str">
        <f>IF(F2=Stand!F2,"S","H")</f>
        <v>H</v>
      </c>
      <c r="T2" s="31" t="str">
        <f>IF(G2=Stand!G2,"S","H")</f>
        <v>H</v>
      </c>
      <c r="U2" s="31" t="str">
        <f>IF(H2=Stand!H2,"S","H")</f>
        <v>H</v>
      </c>
      <c r="V2" s="31" t="str">
        <f>IF(I2=Stand!I2,"S","H")</f>
        <v>H</v>
      </c>
      <c r="W2" s="31" t="str">
        <f>IF(J2=Stand!J2,"S","H")</f>
        <v>H</v>
      </c>
      <c r="X2" s="31" t="str">
        <f>IF(K2=Stand!K2,"S","H")</f>
        <v>H</v>
      </c>
    </row>
    <row r="3" spans="1:24" x14ac:dyDescent="0.2">
      <c r="A3">
        <v>3</v>
      </c>
      <c r="B3">
        <f>MAX(Hit!B3,Stand!B3)</f>
        <v>-0.22793749290805351</v>
      </c>
      <c r="C3">
        <f>MAX(Hit!C3,Stand!C3)</f>
        <v>-0.10052250439785246</v>
      </c>
      <c r="D3">
        <f>MAX(Hit!D3,Stand!D3)</f>
        <v>-6.8875858278897514E-2</v>
      </c>
      <c r="E3">
        <f>MAX(Hit!E3,Stand!E3)</f>
        <v>-3.6261290708905339E-2</v>
      </c>
      <c r="F3">
        <f>MAX(Hit!F3,Stand!F3)</f>
        <v>1.6995712139687808E-4</v>
      </c>
      <c r="G3">
        <f>MAX(Hit!G3,Stand!G3)</f>
        <v>2.447130320655936E-2</v>
      </c>
      <c r="H3">
        <f>MAX(Hit!H3,Stand!H3)</f>
        <v>-5.7437588540356667E-2</v>
      </c>
      <c r="I3">
        <f>MAX(Hit!I3,Stand!I3)</f>
        <v>-0.13094188065020101</v>
      </c>
      <c r="J3">
        <f>MAX(Hit!J3,Stand!J3)</f>
        <v>-0.21507662281362433</v>
      </c>
      <c r="K3">
        <f>MAX(Hit!K3,Stand!K3)</f>
        <v>-0.26532921479747562</v>
      </c>
      <c r="N3" s="31">
        <v>3</v>
      </c>
      <c r="O3" s="31" t="str">
        <f>IF(B3=Stand!B3,"S","H")</f>
        <v>H</v>
      </c>
      <c r="P3" s="31" t="str">
        <f>IF(C3=Stand!C3,"S","H")</f>
        <v>H</v>
      </c>
      <c r="Q3" s="31" t="str">
        <f>IF(D3=Stand!D3,"S","H")</f>
        <v>H</v>
      </c>
      <c r="R3" s="31" t="str">
        <f>IF(E3=Stand!E3,"S","H")</f>
        <v>H</v>
      </c>
      <c r="S3" s="31" t="str">
        <f>IF(F3=Stand!F3,"S","H")</f>
        <v>H</v>
      </c>
      <c r="T3" s="31" t="str">
        <f>IF(G3=Stand!G3,"S","H")</f>
        <v>H</v>
      </c>
      <c r="U3" s="31" t="str">
        <f>IF(H3=Stand!H3,"S","H")</f>
        <v>H</v>
      </c>
      <c r="V3" s="31" t="str">
        <f>IF(I3=Stand!I3,"S","H")</f>
        <v>H</v>
      </c>
      <c r="W3" s="31" t="str">
        <f>IF(J3=Stand!J3,"S","H")</f>
        <v>H</v>
      </c>
      <c r="X3" s="31" t="str">
        <f>IF(K3=Stand!K3,"S","H")</f>
        <v>H</v>
      </c>
    </row>
    <row r="4" spans="1:24" x14ac:dyDescent="0.2">
      <c r="A4">
        <v>4</v>
      </c>
      <c r="B4">
        <f>MAX(Hit!B4,Stand!B4)</f>
        <v>-0.25307699440390863</v>
      </c>
      <c r="C4">
        <f>MAX(Hit!C4,Stand!C4)</f>
        <v>-0.11491332761892134</v>
      </c>
      <c r="D4">
        <f>MAX(Hit!D4,Stand!D4)</f>
        <v>-8.2613314299744361E-2</v>
      </c>
      <c r="E4">
        <f>MAX(Hit!E4,Stand!E4)</f>
        <v>-4.9367420106916922E-2</v>
      </c>
      <c r="F4">
        <f>MAX(Hit!F4,Stand!F4)</f>
        <v>-1.2379926519926384E-2</v>
      </c>
      <c r="G4">
        <f>MAX(Hit!G4,Stand!G4)</f>
        <v>1.1130417280979797E-2</v>
      </c>
      <c r="H4">
        <f>MAX(Hit!H4,Stand!H4)</f>
        <v>-8.8279201058463722E-2</v>
      </c>
      <c r="I4">
        <f>MAX(Hit!I4,Stand!I4)</f>
        <v>-0.15933415266020512</v>
      </c>
      <c r="J4">
        <f>MAX(Hit!J4,Stand!J4)</f>
        <v>-0.24066617915336547</v>
      </c>
      <c r="K4">
        <f>MAX(Hit!K4,Stand!K4)</f>
        <v>-0.28919791448567511</v>
      </c>
      <c r="N4" s="31">
        <v>4</v>
      </c>
      <c r="O4" s="31" t="str">
        <f>IF(B4=Stand!B4,"S","H")</f>
        <v>H</v>
      </c>
      <c r="P4" s="31" t="str">
        <f>IF(C4=Stand!C4,"S","H")</f>
        <v>H</v>
      </c>
      <c r="Q4" s="31" t="str">
        <f>IF(D4=Stand!D4,"S","H")</f>
        <v>H</v>
      </c>
      <c r="R4" s="31" t="str">
        <f>IF(E4=Stand!E4,"S","H")</f>
        <v>H</v>
      </c>
      <c r="S4" s="31" t="str">
        <f>IF(F4=Stand!F4,"S","H")</f>
        <v>H</v>
      </c>
      <c r="T4" s="31" t="str">
        <f>IF(G4=Stand!G4,"S","H")</f>
        <v>H</v>
      </c>
      <c r="U4" s="31" t="str">
        <f>IF(H4=Stand!H4,"S","H")</f>
        <v>H</v>
      </c>
      <c r="V4" s="31" t="str">
        <f>IF(I4=Stand!I4,"S","H")</f>
        <v>H</v>
      </c>
      <c r="W4" s="31" t="str">
        <f>IF(J4=Stand!J4,"S","H")</f>
        <v>H</v>
      </c>
      <c r="X4" s="31" t="str">
        <f>IF(K4=Stand!K4,"S","H")</f>
        <v>H</v>
      </c>
    </row>
    <row r="5" spans="1:24" x14ac:dyDescent="0.2">
      <c r="A5">
        <v>5</v>
      </c>
      <c r="B5">
        <f>MAX(Hit!B5,Stand!B5)</f>
        <v>-0.27857459755181968</v>
      </c>
      <c r="C5">
        <f>MAX(Hit!C5,Stand!C5)</f>
        <v>-0.12821556706374745</v>
      </c>
      <c r="D5">
        <f>MAX(Hit!D5,Stand!D5)</f>
        <v>-9.5310227261489883E-2</v>
      </c>
      <c r="E5">
        <f>MAX(Hit!E5,Stand!E5)</f>
        <v>-6.1479464199694238E-2</v>
      </c>
      <c r="F5">
        <f>MAX(Hit!F5,Stand!F5)</f>
        <v>-2.397897039185962E-2</v>
      </c>
      <c r="G5">
        <f>MAX(Hit!G5,Stand!G5)</f>
        <v>-1.1863378384401623E-3</v>
      </c>
      <c r="H5">
        <f>MAX(Hit!H5,Stand!H5)</f>
        <v>-0.11944744188414852</v>
      </c>
      <c r="I5">
        <f>MAX(Hit!I5,Stand!I5)</f>
        <v>-0.18809330390318524</v>
      </c>
      <c r="J5">
        <f>MAX(Hit!J5,Stand!J5)</f>
        <v>-0.26661505335795899</v>
      </c>
      <c r="K5">
        <f>MAX(Hit!K5,Stand!K5)</f>
        <v>-0.31341164336497107</v>
      </c>
      <c r="N5" s="31">
        <v>5</v>
      </c>
      <c r="O5" s="31" t="str">
        <f>IF(B5=Stand!B5,"S","H")</f>
        <v>H</v>
      </c>
      <c r="P5" s="31" t="str">
        <f>IF(C5=Stand!C5,"S","H")</f>
        <v>H</v>
      </c>
      <c r="Q5" s="31" t="str">
        <f>IF(D5=Stand!D5,"S","H")</f>
        <v>H</v>
      </c>
      <c r="R5" s="31" t="str">
        <f>IF(E5=Stand!E5,"S","H")</f>
        <v>H</v>
      </c>
      <c r="S5" s="31" t="str">
        <f>IF(F5=Stand!F5,"S","H")</f>
        <v>H</v>
      </c>
      <c r="T5" s="31" t="str">
        <f>IF(G5=Stand!G5,"S","H")</f>
        <v>H</v>
      </c>
      <c r="U5" s="31" t="str">
        <f>IF(H5=Stand!H5,"S","H")</f>
        <v>H</v>
      </c>
      <c r="V5" s="31" t="str">
        <f>IF(I5=Stand!I5,"S","H")</f>
        <v>H</v>
      </c>
      <c r="W5" s="31" t="str">
        <f>IF(J5=Stand!J5,"S","H")</f>
        <v>H</v>
      </c>
      <c r="X5" s="31" t="str">
        <f>IF(K5=Stand!K5,"S","H")</f>
        <v>H</v>
      </c>
    </row>
    <row r="6" spans="1:24" x14ac:dyDescent="0.2">
      <c r="A6">
        <v>6</v>
      </c>
      <c r="B6">
        <f>MAX(Hit!B6,Stand!B6)</f>
        <v>-0.30414663097569933</v>
      </c>
      <c r="C6">
        <f>MAX(Hit!C6,Stand!C6)</f>
        <v>-0.14075911746001987</v>
      </c>
      <c r="D6">
        <f>MAX(Hit!D6,Stand!D6)</f>
        <v>-0.10729107800860836</v>
      </c>
      <c r="E6">
        <f>MAX(Hit!E6,Stand!E6)</f>
        <v>-7.2917141926387305E-2</v>
      </c>
      <c r="F6">
        <f>MAX(Hit!F6,Stand!F6)</f>
        <v>-3.4915973330102178E-2</v>
      </c>
      <c r="G6">
        <f>MAX(Hit!G6,Stand!G6)</f>
        <v>-1.3005835529874294E-2</v>
      </c>
      <c r="H6">
        <f>MAX(Hit!H6,Stand!H6)</f>
        <v>-0.15193270723669944</v>
      </c>
      <c r="I6">
        <f>MAX(Hit!I6,Stand!I6)</f>
        <v>-0.21724188132078476</v>
      </c>
      <c r="J6">
        <f>MAX(Hit!J6,Stand!J6)</f>
        <v>-0.29264070019772598</v>
      </c>
      <c r="K6">
        <f>MAX(Hit!K6,Stand!K6)</f>
        <v>-0.33774944037840804</v>
      </c>
      <c r="N6" s="31">
        <v>6</v>
      </c>
      <c r="O6" s="31" t="str">
        <f>IF(B6=Stand!B6,"S","H")</f>
        <v>H</v>
      </c>
      <c r="P6" s="31" t="str">
        <f>IF(C6=Stand!C6,"S","H")</f>
        <v>H</v>
      </c>
      <c r="Q6" s="31" t="str">
        <f>IF(D6=Stand!D6,"S","H")</f>
        <v>H</v>
      </c>
      <c r="R6" s="31" t="str">
        <f>IF(E6=Stand!E6,"S","H")</f>
        <v>H</v>
      </c>
      <c r="S6" s="31" t="str">
        <f>IF(F6=Stand!F6,"S","H")</f>
        <v>H</v>
      </c>
      <c r="T6" s="31" t="str">
        <f>IF(G6=Stand!G6,"S","H")</f>
        <v>H</v>
      </c>
      <c r="U6" s="31" t="str">
        <f>IF(H6=Stand!H6,"S","H")</f>
        <v>H</v>
      </c>
      <c r="V6" s="31" t="str">
        <f>IF(I6=Stand!I6,"S","H")</f>
        <v>H</v>
      </c>
      <c r="W6" s="31" t="str">
        <f>IF(J6=Stand!J6,"S","H")</f>
        <v>H</v>
      </c>
      <c r="X6" s="31" t="str">
        <f>IF(K6=Stand!K6,"S","H")</f>
        <v>H</v>
      </c>
    </row>
    <row r="7" spans="1:24" x14ac:dyDescent="0.2">
      <c r="A7">
        <v>7</v>
      </c>
      <c r="B7">
        <f>MAX(Hit!B7,Stand!B7)</f>
        <v>-0.31007165033163697</v>
      </c>
      <c r="C7">
        <f>MAX(Hit!C7,Stand!C7)</f>
        <v>-0.10918342786661633</v>
      </c>
      <c r="D7">
        <f>MAX(Hit!D7,Stand!D7)</f>
        <v>-7.658298190446361E-2</v>
      </c>
      <c r="E7">
        <f>MAX(Hit!E7,Stand!E7)</f>
        <v>-4.3021794004341876E-2</v>
      </c>
      <c r="F7">
        <f>MAX(Hit!F7,Stand!F7)</f>
        <v>-7.2713609029408845E-3</v>
      </c>
      <c r="G7">
        <f>MAX(Hit!G7,Stand!G7)</f>
        <v>2.9185342353860864E-2</v>
      </c>
      <c r="H7">
        <f>MAX(Hit!H7,Stand!H7)</f>
        <v>-6.8807799580427764E-2</v>
      </c>
      <c r="I7">
        <f>MAX(Hit!I7,Stand!I7)</f>
        <v>-0.21060476872434969</v>
      </c>
      <c r="J7">
        <f>MAX(Hit!J7,Stand!J7)</f>
        <v>-0.28536544048687656</v>
      </c>
      <c r="K7">
        <f>MAX(Hit!K7,Stand!K7)</f>
        <v>-0.31905479139833842</v>
      </c>
      <c r="N7" s="31">
        <v>7</v>
      </c>
      <c r="O7" s="31" t="str">
        <f>IF(B7=Stand!B7,"S","H")</f>
        <v>H</v>
      </c>
      <c r="P7" s="31" t="str">
        <f>IF(C7=Stand!C7,"S","H")</f>
        <v>H</v>
      </c>
      <c r="Q7" s="31" t="str">
        <f>IF(D7=Stand!D7,"S","H")</f>
        <v>H</v>
      </c>
      <c r="R7" s="31" t="str">
        <f>IF(E7=Stand!E7,"S","H")</f>
        <v>H</v>
      </c>
      <c r="S7" s="31" t="str">
        <f>IF(F7=Stand!F7,"S","H")</f>
        <v>H</v>
      </c>
      <c r="T7" s="31" t="str">
        <f>IF(G7=Stand!G7,"S","H")</f>
        <v>H</v>
      </c>
      <c r="U7" s="31" t="str">
        <f>IF(H7=Stand!H7,"S","H")</f>
        <v>H</v>
      </c>
      <c r="V7" s="31" t="str">
        <f>IF(I7=Stand!I7,"S","H")</f>
        <v>H</v>
      </c>
      <c r="W7" s="31" t="str">
        <f>IF(J7=Stand!J7,"S","H")</f>
        <v>H</v>
      </c>
      <c r="X7" s="31" t="str">
        <f>IF(K7=Stand!K7,"S","H")</f>
        <v>H</v>
      </c>
    </row>
    <row r="8" spans="1:24" x14ac:dyDescent="0.2">
      <c r="A8">
        <v>8</v>
      </c>
      <c r="B8">
        <f>MAX(Hit!B8,Stand!B8)</f>
        <v>-0.1970288105741636</v>
      </c>
      <c r="C8">
        <f>MAX(Hit!C8,Stand!C8)</f>
        <v>-2.1798188008805668E-2</v>
      </c>
      <c r="D8">
        <f>MAX(Hit!D8,Stand!D8)</f>
        <v>8.0052625306546825E-3</v>
      </c>
      <c r="E8">
        <f>MAX(Hit!E8,Stand!E8)</f>
        <v>3.8784473277208811E-2</v>
      </c>
      <c r="F8">
        <f>MAX(Hit!F8,Stand!F8)</f>
        <v>7.0804635983033826E-2</v>
      </c>
      <c r="G8">
        <f>MAX(Hit!G8,Stand!G8)</f>
        <v>0.11496015009622321</v>
      </c>
      <c r="H8">
        <f>MAX(Hit!H8,Stand!H8)</f>
        <v>8.2207439363742862E-2</v>
      </c>
      <c r="I8">
        <f>MAX(Hit!I8,Stand!I8)</f>
        <v>-5.9898275658656304E-2</v>
      </c>
      <c r="J8">
        <f>MAX(Hit!J8,Stand!J8)</f>
        <v>-0.21018633199821757</v>
      </c>
      <c r="K8">
        <f>MAX(Hit!K8,Stand!K8)</f>
        <v>-0.24937508055334259</v>
      </c>
      <c r="N8" s="31">
        <v>8</v>
      </c>
      <c r="O8" s="31" t="str">
        <f>IF(B8=Stand!B8,"S","H")</f>
        <v>H</v>
      </c>
      <c r="P8" s="31" t="str">
        <f>IF(C8=Stand!C8,"S","H")</f>
        <v>H</v>
      </c>
      <c r="Q8" s="31" t="str">
        <f>IF(D8=Stand!D8,"S","H")</f>
        <v>H</v>
      </c>
      <c r="R8" s="31" t="str">
        <f>IF(E8=Stand!E8,"S","H")</f>
        <v>H</v>
      </c>
      <c r="S8" s="31" t="str">
        <f>IF(F8=Stand!F8,"S","H")</f>
        <v>H</v>
      </c>
      <c r="T8" s="31" t="str">
        <f>IF(G8=Stand!G8,"S","H")</f>
        <v>H</v>
      </c>
      <c r="U8" s="31" t="str">
        <f>IF(H8=Stand!H8,"S","H")</f>
        <v>H</v>
      </c>
      <c r="V8" s="31" t="str">
        <f>IF(I8=Stand!I8,"S","H")</f>
        <v>H</v>
      </c>
      <c r="W8" s="31" t="str">
        <f>IF(J8=Stand!J8,"S","H")</f>
        <v>H</v>
      </c>
      <c r="X8" s="31" t="str">
        <f>IF(K8=Stand!K8,"S","H")</f>
        <v>H</v>
      </c>
    </row>
    <row r="9" spans="1:24" x14ac:dyDescent="0.2">
      <c r="A9">
        <v>9</v>
      </c>
      <c r="B9">
        <f>MAX(Hit!B9,Stand!B9)</f>
        <v>-6.5680778778066204E-2</v>
      </c>
      <c r="C9">
        <f>MAX(Hit!C9,Stand!C9)</f>
        <v>7.4446037576340524E-2</v>
      </c>
      <c r="D9">
        <f>MAX(Hit!D9,Stand!D9)</f>
        <v>0.10126470173887674</v>
      </c>
      <c r="E9">
        <f>MAX(Hit!E9,Stand!E9)</f>
        <v>0.12898088119574178</v>
      </c>
      <c r="F9">
        <f>MAX(Hit!F9,Stand!F9)</f>
        <v>0.15803185626651736</v>
      </c>
      <c r="G9">
        <f>MAX(Hit!G9,Stand!G9)</f>
        <v>0.19601883925727878</v>
      </c>
      <c r="H9">
        <f>MAX(Hit!H9,Stand!H9)</f>
        <v>0.17186785993695267</v>
      </c>
      <c r="I9">
        <f>MAX(Hit!I9,Stand!I9)</f>
        <v>9.8376217435392516E-2</v>
      </c>
      <c r="J9">
        <f>MAX(Hit!J9,Stand!J9)</f>
        <v>-5.2178053462651669E-2</v>
      </c>
      <c r="K9">
        <f>MAX(Hit!K9,Stand!K9)</f>
        <v>-0.15295298487455075</v>
      </c>
      <c r="N9" s="31">
        <v>9</v>
      </c>
      <c r="O9" s="31" t="str">
        <f>IF(B9=Stand!B9,"S","H")</f>
        <v>H</v>
      </c>
      <c r="P9" s="31" t="str">
        <f>IF(C9=Stand!C9,"S","H")</f>
        <v>H</v>
      </c>
      <c r="Q9" s="31" t="str">
        <f>IF(D9=Stand!D9,"S","H")</f>
        <v>H</v>
      </c>
      <c r="R9" s="31" t="str">
        <f>IF(E9=Stand!E9,"S","H")</f>
        <v>H</v>
      </c>
      <c r="S9" s="31" t="str">
        <f>IF(F9=Stand!F9,"S","H")</f>
        <v>H</v>
      </c>
      <c r="T9" s="31" t="str">
        <f>IF(G9=Stand!G9,"S","H")</f>
        <v>H</v>
      </c>
      <c r="U9" s="31" t="str">
        <f>IF(H9=Stand!H9,"S","H")</f>
        <v>H</v>
      </c>
      <c r="V9" s="31" t="str">
        <f>IF(I9=Stand!I9,"S","H")</f>
        <v>H</v>
      </c>
      <c r="W9" s="31" t="str">
        <f>IF(J9=Stand!J9,"S","H")</f>
        <v>H</v>
      </c>
      <c r="X9" s="31" t="str">
        <f>IF(K9=Stand!K9,"S","H")</f>
        <v>H</v>
      </c>
    </row>
    <row r="10" spans="1:24" x14ac:dyDescent="0.2">
      <c r="A10">
        <v>10</v>
      </c>
      <c r="B10">
        <f>MAX(Hit!B10,Stand!B10)</f>
        <v>8.1449707945275923E-2</v>
      </c>
      <c r="C10">
        <f>MAX(Hit!C10,Stand!C10)</f>
        <v>0.18249999400904487</v>
      </c>
      <c r="D10">
        <f>MAX(Hit!D10,Stand!D10)</f>
        <v>0.20608797581394089</v>
      </c>
      <c r="E10">
        <f>MAX(Hit!E10,Stand!E10)</f>
        <v>0.230470121897177</v>
      </c>
      <c r="F10">
        <f>MAX(Hit!F10,Stand!F10)</f>
        <v>0.25625855450163387</v>
      </c>
      <c r="G10">
        <f>MAX(Hit!G10,Stand!G10)</f>
        <v>0.28779508429888429</v>
      </c>
      <c r="H10">
        <f>MAX(Hit!H10,Stand!H10)</f>
        <v>0.25690874433608657</v>
      </c>
      <c r="I10">
        <f>MAX(Hit!I10,Stand!I10)</f>
        <v>0.19795370833197609</v>
      </c>
      <c r="J10">
        <f>MAX(Hit!J10,Stand!J10)</f>
        <v>0.1165295910692839</v>
      </c>
      <c r="K10">
        <f>MAX(Hit!K10,Stand!K10)</f>
        <v>2.5308523040868145E-2</v>
      </c>
      <c r="N10" s="31">
        <v>10</v>
      </c>
      <c r="O10" s="31" t="str">
        <f>IF(B10=Stand!B10,"S","H")</f>
        <v>H</v>
      </c>
      <c r="P10" s="31" t="str">
        <f>IF(C10=Stand!C10,"S","H")</f>
        <v>H</v>
      </c>
      <c r="Q10" s="31" t="str">
        <f>IF(D10=Stand!D10,"S","H")</f>
        <v>H</v>
      </c>
      <c r="R10" s="31" t="str">
        <f>IF(E10=Stand!E10,"S","H")</f>
        <v>H</v>
      </c>
      <c r="S10" s="31" t="str">
        <f>IF(F10=Stand!F10,"S","H")</f>
        <v>H</v>
      </c>
      <c r="T10" s="31" t="str">
        <f>IF(G10=Stand!G10,"S","H")</f>
        <v>H</v>
      </c>
      <c r="U10" s="31" t="str">
        <f>IF(H10=Stand!H10,"S","H")</f>
        <v>H</v>
      </c>
      <c r="V10" s="31" t="str">
        <f>IF(I10=Stand!I10,"S","H")</f>
        <v>H</v>
      </c>
      <c r="W10" s="31" t="str">
        <f>IF(J10=Stand!J10,"S","H")</f>
        <v>H</v>
      </c>
      <c r="X10" s="31" t="str">
        <f>IF(K10=Stand!K10,"S","H")</f>
        <v>H</v>
      </c>
    </row>
    <row r="11" spans="1:24" x14ac:dyDescent="0.2">
      <c r="A11">
        <v>11</v>
      </c>
      <c r="B11">
        <f>MAX(Hit!B11,Stand!B11)</f>
        <v>0.14300128216153027</v>
      </c>
      <c r="C11">
        <f>MAX(Hit!C11,Stand!C11)</f>
        <v>0.2383507494576298</v>
      </c>
      <c r="D11">
        <f>MAX(Hit!D11,Stand!D11)</f>
        <v>0.26032526728707961</v>
      </c>
      <c r="E11">
        <f>MAX(Hit!E11,Stand!E11)</f>
        <v>0.28302027520898798</v>
      </c>
      <c r="F11">
        <f>MAX(Hit!F11,Stand!F11)</f>
        <v>0.30734950895451402</v>
      </c>
      <c r="G11">
        <f>MAX(Hit!G11,Stand!G11)</f>
        <v>0.33369004745378472</v>
      </c>
      <c r="H11">
        <f>MAX(Hit!H11,Stand!H11)</f>
        <v>0.29214699112701309</v>
      </c>
      <c r="I11">
        <f>MAX(Hit!I11,Stand!I11)</f>
        <v>0.22998214532399169</v>
      </c>
      <c r="J11">
        <f>MAX(Hit!J11,Stand!J11)</f>
        <v>0.15825711845512572</v>
      </c>
      <c r="K11">
        <f>MAX(Hit!K11,Stand!K11)</f>
        <v>0.11948223076371363</v>
      </c>
      <c r="N11" s="31">
        <v>11</v>
      </c>
      <c r="O11" s="31" t="str">
        <f>IF(B11=Stand!B11,"S","H")</f>
        <v>H</v>
      </c>
      <c r="P11" s="31" t="str">
        <f>IF(C11=Stand!C11,"S","H")</f>
        <v>H</v>
      </c>
      <c r="Q11" s="31" t="str">
        <f>IF(D11=Stand!D11,"S","H")</f>
        <v>H</v>
      </c>
      <c r="R11" s="31" t="str">
        <f>IF(E11=Stand!E11,"S","H")</f>
        <v>H</v>
      </c>
      <c r="S11" s="31" t="str">
        <f>IF(F11=Stand!F11,"S","H")</f>
        <v>H</v>
      </c>
      <c r="T11" s="31" t="str">
        <f>IF(G11=Stand!G11,"S","H")</f>
        <v>H</v>
      </c>
      <c r="U11" s="31" t="str">
        <f>IF(H11=Stand!H11,"S","H")</f>
        <v>H</v>
      </c>
      <c r="V11" s="31" t="str">
        <f>IF(I11=Stand!I11,"S","H")</f>
        <v>H</v>
      </c>
      <c r="W11" s="31" t="str">
        <f>IF(J11=Stand!J11,"S","H")</f>
        <v>H</v>
      </c>
      <c r="X11" s="31" t="str">
        <f>IF(K11=Stand!K11,"S","H")</f>
        <v>H</v>
      </c>
    </row>
    <row r="12" spans="1:24" x14ac:dyDescent="0.2">
      <c r="A12">
        <v>12</v>
      </c>
      <c r="B12">
        <f>MAX(Hit!B12,Stand!B12)</f>
        <v>-0.35054034044008009</v>
      </c>
      <c r="C12">
        <f>MAX(Hit!C12,Stand!C12)</f>
        <v>-0.25338998596663809</v>
      </c>
      <c r="D12">
        <f>MAX(Hit!D12,Stand!D12)</f>
        <v>-0.2336908997980866</v>
      </c>
      <c r="E12">
        <f>MAX(Hit!E12,Stand!E12)</f>
        <v>-0.21106310899491437</v>
      </c>
      <c r="F12">
        <f>MAX(Hit!F12,Stand!F12)</f>
        <v>-0.16719266083547524</v>
      </c>
      <c r="G12">
        <f>MAX(Hit!G12,Stand!G12)</f>
        <v>-0.1536990158300045</v>
      </c>
      <c r="H12">
        <f>MAX(Hit!H12,Stand!H12)</f>
        <v>-0.21284771451731424</v>
      </c>
      <c r="I12">
        <f>MAX(Hit!I12,Stand!I12)</f>
        <v>-0.27157480502428616</v>
      </c>
      <c r="J12">
        <f>MAX(Hit!J12,Stand!J12)</f>
        <v>-0.3400132806089356</v>
      </c>
      <c r="K12">
        <f>MAX(Hit!K12,Stand!K12)</f>
        <v>-0.38104299284808768</v>
      </c>
      <c r="N12" s="31">
        <v>12</v>
      </c>
      <c r="O12" s="31" t="str">
        <f>IF(B12=Stand!B12,"S","H")</f>
        <v>H</v>
      </c>
      <c r="P12" s="31" t="str">
        <f>IF(C12=Stand!C12,"S","H")</f>
        <v>H</v>
      </c>
      <c r="Q12" s="31" t="str">
        <f>IF(D12=Stand!D12,"S","H")</f>
        <v>H</v>
      </c>
      <c r="R12" s="31" t="str">
        <f>IF(E12=Stand!E12,"S","H")</f>
        <v>S</v>
      </c>
      <c r="S12" s="31" t="str">
        <f>IF(F12=Stand!F12,"S","H")</f>
        <v>S</v>
      </c>
      <c r="T12" s="31" t="str">
        <f>IF(G12=Stand!G12,"S","H")</f>
        <v>S</v>
      </c>
      <c r="U12" s="31" t="str">
        <f>IF(H12=Stand!H12,"S","H")</f>
        <v>H</v>
      </c>
      <c r="V12" s="31" t="str">
        <f>IF(I12=Stand!I12,"S","H")</f>
        <v>H</v>
      </c>
      <c r="W12" s="31" t="str">
        <f>IF(J12=Stand!J12,"S","H")</f>
        <v>H</v>
      </c>
      <c r="X12" s="31" t="str">
        <f>IF(K12=Stand!K12,"S","H")</f>
        <v>H</v>
      </c>
    </row>
    <row r="13" spans="1:24" x14ac:dyDescent="0.2">
      <c r="A13">
        <v>13</v>
      </c>
      <c r="B13">
        <f>MAX(Hit!B13,Stand!B13)</f>
        <v>-0.3969303161229315</v>
      </c>
      <c r="C13">
        <f>MAX(Hit!C13,Stand!C13)</f>
        <v>-0.29278372720927726</v>
      </c>
      <c r="D13">
        <f>MAX(Hit!D13,Stand!D13)</f>
        <v>-0.2522502292357135</v>
      </c>
      <c r="E13">
        <f>MAX(Hit!E13,Stand!E13)</f>
        <v>-0.21106310899491437</v>
      </c>
      <c r="F13">
        <f>MAX(Hit!F13,Stand!F13)</f>
        <v>-0.16719266083547524</v>
      </c>
      <c r="G13">
        <f>MAX(Hit!G13,Stand!G13)</f>
        <v>-0.1536990158300045</v>
      </c>
      <c r="H13">
        <f>MAX(Hit!H13,Stand!H13)</f>
        <v>-0.26907287776607752</v>
      </c>
      <c r="I13">
        <f>MAX(Hit!I13,Stand!I13)</f>
        <v>-0.32360517609397998</v>
      </c>
      <c r="J13">
        <f>MAX(Hit!J13,Stand!J13)</f>
        <v>-0.38715518913686875</v>
      </c>
      <c r="K13">
        <f>MAX(Hit!K13,Stand!K13)</f>
        <v>-0.42525420764465277</v>
      </c>
      <c r="N13" s="31">
        <v>13</v>
      </c>
      <c r="O13" s="31" t="str">
        <f>IF(B13=Stand!B13,"S","H")</f>
        <v>H</v>
      </c>
      <c r="P13" s="31" t="str">
        <f>IF(C13=Stand!C13,"S","H")</f>
        <v>S</v>
      </c>
      <c r="Q13" s="31" t="str">
        <f>IF(D13=Stand!D13,"S","H")</f>
        <v>S</v>
      </c>
      <c r="R13" s="31" t="str">
        <f>IF(E13=Stand!E13,"S","H")</f>
        <v>S</v>
      </c>
      <c r="S13" s="31" t="str">
        <f>IF(F13=Stand!F13,"S","H")</f>
        <v>S</v>
      </c>
      <c r="T13" s="31" t="str">
        <f>IF(G13=Stand!G13,"S","H")</f>
        <v>S</v>
      </c>
      <c r="U13" s="31" t="str">
        <f>IF(H13=Stand!H13,"S","H")</f>
        <v>H</v>
      </c>
      <c r="V13" s="31" t="str">
        <f>IF(I13=Stand!I13,"S","H")</f>
        <v>H</v>
      </c>
      <c r="W13" s="31" t="str">
        <f>IF(J13=Stand!J13,"S","H")</f>
        <v>H</v>
      </c>
      <c r="X13" s="31" t="str">
        <f>IF(K13=Stand!K13,"S","H")</f>
        <v>H</v>
      </c>
    </row>
    <row r="14" spans="1:24" x14ac:dyDescent="0.2">
      <c r="A14">
        <v>14</v>
      </c>
      <c r="B14">
        <f>MAX(Hit!B14,Stand!B14)</f>
        <v>-0.44000672211415065</v>
      </c>
      <c r="C14">
        <f>MAX(Hit!C14,Stand!C14)</f>
        <v>-0.29278372720927726</v>
      </c>
      <c r="D14">
        <f>MAX(Hit!D14,Stand!D14)</f>
        <v>-0.2522502292357135</v>
      </c>
      <c r="E14">
        <f>MAX(Hit!E14,Stand!E14)</f>
        <v>-0.21106310899491437</v>
      </c>
      <c r="F14">
        <f>MAX(Hit!F14,Stand!F14)</f>
        <v>-0.16719266083547524</v>
      </c>
      <c r="G14">
        <f>MAX(Hit!G14,Stand!G14)</f>
        <v>-0.1536990158300045</v>
      </c>
      <c r="H14">
        <f>MAX(Hit!H14,Stand!H14)</f>
        <v>-0.3212819579256434</v>
      </c>
      <c r="I14">
        <f>MAX(Hit!I14,Stand!I14)</f>
        <v>-0.37191909208726714</v>
      </c>
      <c r="J14">
        <f>MAX(Hit!J14,Stand!J14)</f>
        <v>-0.43092981848423528</v>
      </c>
      <c r="K14">
        <f>MAX(Hit!K14,Stand!K14)</f>
        <v>-0.46630747852717758</v>
      </c>
      <c r="N14" s="31">
        <v>14</v>
      </c>
      <c r="O14" s="31" t="str">
        <f>IF(B14=Stand!B14,"S","H")</f>
        <v>H</v>
      </c>
      <c r="P14" s="31" t="str">
        <f>IF(C14=Stand!C14,"S","H")</f>
        <v>S</v>
      </c>
      <c r="Q14" s="31" t="str">
        <f>IF(D14=Stand!D14,"S","H")</f>
        <v>S</v>
      </c>
      <c r="R14" s="31" t="str">
        <f>IF(E14=Stand!E14,"S","H")</f>
        <v>S</v>
      </c>
      <c r="S14" s="31" t="str">
        <f>IF(F14=Stand!F14,"S","H")</f>
        <v>S</v>
      </c>
      <c r="T14" s="31" t="str">
        <f>IF(G14=Stand!G14,"S","H")</f>
        <v>S</v>
      </c>
      <c r="U14" s="31" t="str">
        <f>IF(H14=Stand!H14,"S","H")</f>
        <v>H</v>
      </c>
      <c r="V14" s="31" t="str">
        <f>IF(I14=Stand!I14,"S","H")</f>
        <v>H</v>
      </c>
      <c r="W14" s="31" t="str">
        <f>IF(J14=Stand!J14,"S","H")</f>
        <v>H</v>
      </c>
      <c r="X14" s="31" t="str">
        <f>IF(K14=Stand!K14,"S","H")</f>
        <v>H</v>
      </c>
    </row>
    <row r="15" spans="1:24" x14ac:dyDescent="0.2">
      <c r="A15">
        <v>15</v>
      </c>
      <c r="B15">
        <f>MAX(Hit!B15,Stand!B15)</f>
        <v>-0.4800062419631399</v>
      </c>
      <c r="C15">
        <f>MAX(Hit!C15,Stand!C15)</f>
        <v>-0.29278372720927726</v>
      </c>
      <c r="D15">
        <f>MAX(Hit!D15,Stand!D15)</f>
        <v>-0.2522502292357135</v>
      </c>
      <c r="E15">
        <f>MAX(Hit!E15,Stand!E15)</f>
        <v>-0.21106310899491437</v>
      </c>
      <c r="F15">
        <f>MAX(Hit!F15,Stand!F15)</f>
        <v>-0.16719266083547524</v>
      </c>
      <c r="G15">
        <f>MAX(Hit!G15,Stand!G15)</f>
        <v>-0.1536990158300045</v>
      </c>
      <c r="H15">
        <f>MAX(Hit!H15,Stand!H15)</f>
        <v>-0.36976181807381175</v>
      </c>
      <c r="I15">
        <f>MAX(Hit!I15,Stand!I15)</f>
        <v>-0.41678201408103371</v>
      </c>
      <c r="J15">
        <f>MAX(Hit!J15,Stand!J15)</f>
        <v>-0.47157768859250415</v>
      </c>
      <c r="K15">
        <f>MAX(Hit!K15,Stand!K15)</f>
        <v>-0.5044283729180935</v>
      </c>
      <c r="N15" s="31">
        <v>15</v>
      </c>
      <c r="O15" s="31" t="str">
        <f>IF(B15=Stand!B15,"S","H")</f>
        <v>H</v>
      </c>
      <c r="P15" s="31" t="str">
        <f>IF(C15=Stand!C15,"S","H")</f>
        <v>S</v>
      </c>
      <c r="Q15" s="31" t="str">
        <f>IF(D15=Stand!D15,"S","H")</f>
        <v>S</v>
      </c>
      <c r="R15" s="31" t="str">
        <f>IF(E15=Stand!E15,"S","H")</f>
        <v>S</v>
      </c>
      <c r="S15" s="31" t="str">
        <f>IF(F15=Stand!F15,"S","H")</f>
        <v>S</v>
      </c>
      <c r="T15" s="31" t="str">
        <f>IF(G15=Stand!G15,"S","H")</f>
        <v>S</v>
      </c>
      <c r="U15" s="31" t="str">
        <f>IF(H15=Stand!H15,"S","H")</f>
        <v>H</v>
      </c>
      <c r="V15" s="31" t="str">
        <f>IF(I15=Stand!I15,"S","H")</f>
        <v>H</v>
      </c>
      <c r="W15" s="31" t="str">
        <f>IF(J15=Stand!J15,"S","H")</f>
        <v>H</v>
      </c>
      <c r="X15" s="31" t="str">
        <f>IF(K15=Stand!K15,"S","H")</f>
        <v>H</v>
      </c>
    </row>
    <row r="16" spans="1:24" x14ac:dyDescent="0.2">
      <c r="A16">
        <v>16</v>
      </c>
      <c r="B16">
        <f>MAX(Hit!B16,Stand!B16)</f>
        <v>-0.51714865325148707</v>
      </c>
      <c r="C16">
        <f>MAX(Hit!C16,Stand!C16)</f>
        <v>-0.29278372720927726</v>
      </c>
      <c r="D16">
        <f>MAX(Hit!D16,Stand!D16)</f>
        <v>-0.2522502292357135</v>
      </c>
      <c r="E16">
        <f>MAX(Hit!E16,Stand!E16)</f>
        <v>-0.21106310899491437</v>
      </c>
      <c r="F16">
        <f>MAX(Hit!F16,Stand!F16)</f>
        <v>-0.16719266083547524</v>
      </c>
      <c r="G16">
        <f>MAX(Hit!G16,Stand!G16)</f>
        <v>-0.1536990158300045</v>
      </c>
      <c r="H16">
        <f>MAX(Hit!H16,Stand!H16)</f>
        <v>-0.41477883106853947</v>
      </c>
      <c r="I16">
        <f>MAX(Hit!I16,Stand!I16)</f>
        <v>-0.45844044164667419</v>
      </c>
      <c r="J16">
        <f>MAX(Hit!J16,Stand!J16)</f>
        <v>-0.50932213940732529</v>
      </c>
      <c r="K16">
        <f>MAX(Hit!K16,Stand!K16)</f>
        <v>-0.53982634628108683</v>
      </c>
      <c r="N16" s="31">
        <v>16</v>
      </c>
      <c r="O16" s="31" t="str">
        <f>IF(B16=Stand!B16,"S","H")</f>
        <v>H</v>
      </c>
      <c r="P16" s="31" t="str">
        <f>IF(C16=Stand!C16,"S","H")</f>
        <v>S</v>
      </c>
      <c r="Q16" s="31" t="str">
        <f>IF(D16=Stand!D16,"S","H")</f>
        <v>S</v>
      </c>
      <c r="R16" s="31" t="str">
        <f>IF(E16=Stand!E16,"S","H")</f>
        <v>S</v>
      </c>
      <c r="S16" s="31" t="str">
        <f>IF(F16=Stand!F16,"S","H")</f>
        <v>S</v>
      </c>
      <c r="T16" s="31" t="str">
        <f>IF(G16=Stand!G16,"S","H")</f>
        <v>S</v>
      </c>
      <c r="U16" s="31" t="str">
        <f>IF(H16=Stand!H16,"S","H")</f>
        <v>H</v>
      </c>
      <c r="V16" s="31" t="str">
        <f>IF(I16=Stand!I16,"S","H")</f>
        <v>H</v>
      </c>
      <c r="W16" s="31" t="str">
        <f>IF(J16=Stand!J16,"S","H")</f>
        <v>H</v>
      </c>
      <c r="X16" s="31" t="str">
        <f>IF(K16=Stand!K16,"S","H")</f>
        <v>H</v>
      </c>
    </row>
    <row r="17" spans="1:24" x14ac:dyDescent="0.2">
      <c r="A17">
        <v>17</v>
      </c>
      <c r="B17">
        <f>MAX(Hit!B17,Stand!B17)</f>
        <v>-0.47803347499473703</v>
      </c>
      <c r="C17">
        <f>MAX(Hit!C17,Stand!C17)</f>
        <v>-0.15297458768154204</v>
      </c>
      <c r="D17">
        <f>MAX(Hit!D17,Stand!D17)</f>
        <v>-0.11721624142457365</v>
      </c>
      <c r="E17">
        <f>MAX(Hit!E17,Stand!E17)</f>
        <v>-8.0573373145316152E-2</v>
      </c>
      <c r="F17">
        <f>MAX(Hit!F17,Stand!F17)</f>
        <v>-4.4941375564924446E-2</v>
      </c>
      <c r="G17">
        <f>MAX(Hit!G17,Stand!G17)</f>
        <v>1.1739160673341853E-2</v>
      </c>
      <c r="H17">
        <f>MAX(Hit!H17,Stand!H17)</f>
        <v>-0.10680898948269468</v>
      </c>
      <c r="I17">
        <f>MAX(Hit!I17,Stand!I17)</f>
        <v>-0.38195097104844711</v>
      </c>
      <c r="J17">
        <f>MAX(Hit!J17,Stand!J17)</f>
        <v>-0.42315423964521737</v>
      </c>
      <c r="K17">
        <f>MAX(Hit!K17,Stand!K17)</f>
        <v>-0.41972063392881986</v>
      </c>
      <c r="N17" s="31">
        <v>17</v>
      </c>
      <c r="O17" s="31" t="str">
        <f>IF(B17=Stand!B17,"S","H")</f>
        <v>S</v>
      </c>
      <c r="P17" s="31" t="str">
        <f>IF(C17=Stand!C17,"S","H")</f>
        <v>S</v>
      </c>
      <c r="Q17" s="31" t="str">
        <f>IF(D17=Stand!D17,"S","H")</f>
        <v>S</v>
      </c>
      <c r="R17" s="31" t="str">
        <f>IF(E17=Stand!E17,"S","H")</f>
        <v>S</v>
      </c>
      <c r="S17" s="31" t="str">
        <f>IF(F17=Stand!F17,"S","H")</f>
        <v>S</v>
      </c>
      <c r="T17" s="31" t="str">
        <f>IF(G17=Stand!G17,"S","H")</f>
        <v>S</v>
      </c>
      <c r="U17" s="31" t="str">
        <f>IF(H17=Stand!H17,"S","H")</f>
        <v>S</v>
      </c>
      <c r="V17" s="31" t="str">
        <f>IF(I17=Stand!I17,"S","H")</f>
        <v>S</v>
      </c>
      <c r="W17" s="31" t="str">
        <f>IF(J17=Stand!J17,"S","H")</f>
        <v>S</v>
      </c>
      <c r="X17" s="31" t="str">
        <f>IF(K17=Stand!K17,"S","H")</f>
        <v>S</v>
      </c>
    </row>
    <row r="18" spans="1:24" x14ac:dyDescent="0.2">
      <c r="A18">
        <v>18</v>
      </c>
      <c r="B18">
        <f>MAX(Hit!B18,Stand!B18)</f>
        <v>-0.10019887561319057</v>
      </c>
      <c r="C18">
        <f>MAX(Hit!C18,Stand!C18)</f>
        <v>0.12174190222088771</v>
      </c>
      <c r="D18">
        <f>MAX(Hit!D18,Stand!D18)</f>
        <v>0.14830007284131119</v>
      </c>
      <c r="E18">
        <f>MAX(Hit!E18,Stand!E18)</f>
        <v>0.17585443719748528</v>
      </c>
      <c r="F18">
        <f>MAX(Hit!F18,Stand!F18)</f>
        <v>0.19956119497617719</v>
      </c>
      <c r="G18">
        <f>MAX(Hit!G18,Stand!G18)</f>
        <v>0.28344391604689856</v>
      </c>
      <c r="H18">
        <f>MAX(Hit!H18,Stand!H18)</f>
        <v>0.3995541673365518</v>
      </c>
      <c r="I18">
        <f>MAX(Hit!I18,Stand!I18)</f>
        <v>0.10595134861912359</v>
      </c>
      <c r="J18">
        <f>MAX(Hit!J18,Stand!J18)</f>
        <v>-0.18316335667343331</v>
      </c>
      <c r="K18">
        <f>MAX(Hit!K18,Stand!K18)</f>
        <v>-0.17830123379648949</v>
      </c>
      <c r="N18" s="31">
        <v>18</v>
      </c>
      <c r="O18" s="31" t="str">
        <f>IF(B18=Stand!B18,"S","H")</f>
        <v>S</v>
      </c>
      <c r="P18" s="31" t="str">
        <f>IF(C18=Stand!C18,"S","H")</f>
        <v>S</v>
      </c>
      <c r="Q18" s="31" t="str">
        <f>IF(D18=Stand!D18,"S","H")</f>
        <v>S</v>
      </c>
      <c r="R18" s="31" t="str">
        <f>IF(E18=Stand!E18,"S","H")</f>
        <v>S</v>
      </c>
      <c r="S18" s="31" t="str">
        <f>IF(F18=Stand!F18,"S","H")</f>
        <v>S</v>
      </c>
      <c r="T18" s="31" t="str">
        <f>IF(G18=Stand!G18,"S","H")</f>
        <v>S</v>
      </c>
      <c r="U18" s="31" t="str">
        <f>IF(H18=Stand!H18,"S","H")</f>
        <v>S</v>
      </c>
      <c r="V18" s="31" t="str">
        <f>IF(I18=Stand!I18,"S","H")</f>
        <v>S</v>
      </c>
      <c r="W18" s="31" t="str">
        <f>IF(J18=Stand!J18,"S","H")</f>
        <v>S</v>
      </c>
      <c r="X18" s="31" t="str">
        <f>IF(K18=Stand!K18,"S","H")</f>
        <v>S</v>
      </c>
    </row>
    <row r="19" spans="1:24" x14ac:dyDescent="0.2">
      <c r="A19">
        <v>19</v>
      </c>
      <c r="B19">
        <f>MAX(Hit!B19,Stand!B19)</f>
        <v>0.27763572376835594</v>
      </c>
      <c r="C19">
        <f>MAX(Hit!C19,Stand!C19)</f>
        <v>0.38630468602058993</v>
      </c>
      <c r="D19">
        <f>MAX(Hit!D19,Stand!D19)</f>
        <v>0.4043629365977599</v>
      </c>
      <c r="E19">
        <f>MAX(Hit!E19,Stand!E19)</f>
        <v>0.42317892482749653</v>
      </c>
      <c r="F19">
        <f>MAX(Hit!F19,Stand!F19)</f>
        <v>0.43951210416088371</v>
      </c>
      <c r="G19">
        <f>MAX(Hit!G19,Stand!G19)</f>
        <v>0.49597707378731914</v>
      </c>
      <c r="H19">
        <f>MAX(Hit!H19,Stand!H19)</f>
        <v>0.6159764957534315</v>
      </c>
      <c r="I19">
        <f>MAX(Hit!I19,Stand!I19)</f>
        <v>0.59385366828669439</v>
      </c>
      <c r="J19">
        <f>MAX(Hit!J19,Stand!J19)</f>
        <v>0.28759675706758148</v>
      </c>
      <c r="K19">
        <f>MAX(Hit!K19,Stand!K19)</f>
        <v>6.3118166335840831E-2</v>
      </c>
      <c r="N19" s="31">
        <v>19</v>
      </c>
      <c r="O19" s="31" t="str">
        <f>IF(B19=Stand!B19,"S","H")</f>
        <v>S</v>
      </c>
      <c r="P19" s="31" t="str">
        <f>IF(C19=Stand!C19,"S","H")</f>
        <v>S</v>
      </c>
      <c r="Q19" s="31" t="str">
        <f>IF(D19=Stand!D19,"S","H")</f>
        <v>S</v>
      </c>
      <c r="R19" s="31" t="str">
        <f>IF(E19=Stand!E19,"S","H")</f>
        <v>S</v>
      </c>
      <c r="S19" s="31" t="str">
        <f>IF(F19=Stand!F19,"S","H")</f>
        <v>S</v>
      </c>
      <c r="T19" s="31" t="str">
        <f>IF(G19=Stand!G19,"S","H")</f>
        <v>S</v>
      </c>
      <c r="U19" s="31" t="str">
        <f>IF(H19=Stand!H19,"S","H")</f>
        <v>S</v>
      </c>
      <c r="V19" s="31" t="str">
        <f>IF(I19=Stand!I19,"S","H")</f>
        <v>S</v>
      </c>
      <c r="W19" s="31" t="str">
        <f>IF(J19=Stand!J19,"S","H")</f>
        <v>S</v>
      </c>
      <c r="X19" s="31" t="str">
        <f>IF(K19=Stand!K19,"S","H")</f>
        <v>S</v>
      </c>
    </row>
    <row r="20" spans="1:24" x14ac:dyDescent="0.2">
      <c r="A20">
        <v>20</v>
      </c>
      <c r="B20">
        <f>MAX(Hit!B20,Stand!B20)</f>
        <v>0.65547032314990239</v>
      </c>
      <c r="C20">
        <f>MAX(Hit!C20,Stand!C20)</f>
        <v>0.63998657521683877</v>
      </c>
      <c r="D20">
        <f>MAX(Hit!D20,Stand!D20)</f>
        <v>0.65027209425148136</v>
      </c>
      <c r="E20">
        <f>MAX(Hit!E20,Stand!E20)</f>
        <v>0.66104996194807186</v>
      </c>
      <c r="F20">
        <f>MAX(Hit!F20,Stand!F20)</f>
        <v>0.67035969063279999</v>
      </c>
      <c r="G20">
        <f>MAX(Hit!G20,Stand!G20)</f>
        <v>0.70395857017134467</v>
      </c>
      <c r="H20">
        <f>MAX(Hit!H20,Stand!H20)</f>
        <v>0.77322722653717491</v>
      </c>
      <c r="I20">
        <f>MAX(Hit!I20,Stand!I20)</f>
        <v>0.79181515955189841</v>
      </c>
      <c r="J20">
        <f>MAX(Hit!J20,Stand!J20)</f>
        <v>0.75835687080859626</v>
      </c>
      <c r="K20">
        <f>MAX(Hit!K20,Stand!K20)</f>
        <v>0.55453756646817121</v>
      </c>
      <c r="N20" s="31">
        <v>20</v>
      </c>
      <c r="O20" s="31" t="str">
        <f>IF(B20=Stand!B20,"S","H")</f>
        <v>S</v>
      </c>
      <c r="P20" s="31" t="str">
        <f>IF(C20=Stand!C20,"S","H")</f>
        <v>S</v>
      </c>
      <c r="Q20" s="31" t="str">
        <f>IF(D20=Stand!D20,"S","H")</f>
        <v>S</v>
      </c>
      <c r="R20" s="31" t="str">
        <f>IF(E20=Stand!E20,"S","H")</f>
        <v>S</v>
      </c>
      <c r="S20" s="31" t="str">
        <f>IF(F20=Stand!F20,"S","H")</f>
        <v>S</v>
      </c>
      <c r="T20" s="31" t="str">
        <f>IF(G20=Stand!G20,"S","H")</f>
        <v>S</v>
      </c>
      <c r="U20" s="31" t="str">
        <f>IF(H20=Stand!H20,"S","H")</f>
        <v>S</v>
      </c>
      <c r="V20" s="31" t="str">
        <f>IF(I20=Stand!I20,"S","H")</f>
        <v>S</v>
      </c>
      <c r="W20" s="31" t="str">
        <f>IF(J20=Stand!J20,"S","H")</f>
        <v>S</v>
      </c>
      <c r="X20" s="31" t="str">
        <f>IF(K20=Stand!K20,"S","H")</f>
        <v>S</v>
      </c>
    </row>
    <row r="21" spans="1:24" x14ac:dyDescent="0.2">
      <c r="A21">
        <v>21</v>
      </c>
      <c r="B21">
        <f>MAX(Hit!B21,Stand!B21)</f>
        <v>0.92219381142033785</v>
      </c>
      <c r="C21">
        <f>MAX(Hit!C21,Stand!C21)</f>
        <v>0.88200651549403997</v>
      </c>
      <c r="D21">
        <f>MAX(Hit!D21,Stand!D21)</f>
        <v>0.88530035730174927</v>
      </c>
      <c r="E21">
        <f>MAX(Hit!E21,Stand!E21)</f>
        <v>0.88876729296591961</v>
      </c>
      <c r="F21">
        <f>MAX(Hit!F21,Stand!F21)</f>
        <v>0.89175382659528035</v>
      </c>
      <c r="G21">
        <f>MAX(Hit!G21,Stand!G21)</f>
        <v>0.90283674384257995</v>
      </c>
      <c r="H21">
        <f>MAX(Hit!H21,Stand!H21)</f>
        <v>0.92592629596452325</v>
      </c>
      <c r="I21">
        <f>MAX(Hit!I21,Stand!I21)</f>
        <v>0.93060505318396614</v>
      </c>
      <c r="J21">
        <f>MAX(Hit!J21,Stand!J21)</f>
        <v>0.93917615614724415</v>
      </c>
      <c r="K21">
        <f>MAX(Hit!K21,Stand!K21)</f>
        <v>0.96262363326716827</v>
      </c>
      <c r="N21" s="31">
        <v>21</v>
      </c>
      <c r="O21" s="31" t="str">
        <f>IF(B21=Stand!B21,"S","H")</f>
        <v>S</v>
      </c>
      <c r="P21" s="31" t="str">
        <f>IF(C21=Stand!C21,"S","H")</f>
        <v>S</v>
      </c>
      <c r="Q21" s="31" t="str">
        <f>IF(D21=Stand!D21,"S","H")</f>
        <v>S</v>
      </c>
      <c r="R21" s="31" t="str">
        <f>IF(E21=Stand!E21,"S","H")</f>
        <v>S</v>
      </c>
      <c r="S21" s="31" t="str">
        <f>IF(F21=Stand!F21,"S","H")</f>
        <v>S</v>
      </c>
      <c r="T21" s="31" t="str">
        <f>IF(G21=Stand!G21,"S","H")</f>
        <v>S</v>
      </c>
      <c r="U21" s="31" t="str">
        <f>IF(H21=Stand!H21,"S","H")</f>
        <v>S</v>
      </c>
      <c r="V21" s="31" t="str">
        <f>IF(I21=Stand!I21,"S","H")</f>
        <v>S</v>
      </c>
      <c r="W21" s="31" t="str">
        <f>IF(J21=Stand!J21,"S","H")</f>
        <v>S</v>
      </c>
      <c r="X21" s="31" t="str">
        <f>IF(K21=Stand!K21,"S","H")</f>
        <v>S</v>
      </c>
    </row>
    <row r="22" spans="1:24" x14ac:dyDescent="0.2">
      <c r="A22">
        <v>22</v>
      </c>
      <c r="B22">
        <f>MAX(Hit!B22,Stand!B22)</f>
        <v>-1</v>
      </c>
      <c r="C22">
        <f>MAX(Hit!C22,Stand!C22)</f>
        <v>-1</v>
      </c>
      <c r="D22">
        <f>MAX(Hit!D22,Stand!D22)</f>
        <v>-1</v>
      </c>
      <c r="E22">
        <f>MAX(Hit!E22,Stand!E22)</f>
        <v>-1</v>
      </c>
      <c r="F22">
        <f>MAX(Hit!F22,Stand!F22)</f>
        <v>-1</v>
      </c>
      <c r="G22">
        <f>MAX(Hit!G22,Stand!G22)</f>
        <v>-1</v>
      </c>
      <c r="H22">
        <f>MAX(Hit!H22,Stand!H22)</f>
        <v>-1</v>
      </c>
      <c r="I22">
        <f>MAX(Hit!I22,Stand!I22)</f>
        <v>-1</v>
      </c>
      <c r="J22">
        <f>MAX(Hit!J22,Stand!J22)</f>
        <v>-1</v>
      </c>
      <c r="K22">
        <f>MAX(Hit!K22,Stand!K22)</f>
        <v>-1</v>
      </c>
      <c r="N22" s="31">
        <v>22</v>
      </c>
      <c r="O22" s="31" t="str">
        <f>IF(B22=Stand!B22,"S","H")</f>
        <v>S</v>
      </c>
      <c r="P22" s="31" t="str">
        <f>IF(C22=Stand!C22,"S","H")</f>
        <v>S</v>
      </c>
      <c r="Q22" s="31" t="str">
        <f>IF(D22=Stand!D22,"S","H")</f>
        <v>S</v>
      </c>
      <c r="R22" s="31" t="str">
        <f>IF(E22=Stand!E22,"S","H")</f>
        <v>S</v>
      </c>
      <c r="S22" s="31" t="str">
        <f>IF(F22=Stand!F22,"S","H")</f>
        <v>S</v>
      </c>
      <c r="T22" s="31" t="str">
        <f>IF(G22=Stand!G22,"S","H")</f>
        <v>S</v>
      </c>
      <c r="U22" s="31" t="str">
        <f>IF(H22=Stand!H22,"S","H")</f>
        <v>S</v>
      </c>
      <c r="V22" s="31" t="str">
        <f>IF(I22=Stand!I22,"S","H")</f>
        <v>S</v>
      </c>
      <c r="W22" s="31" t="str">
        <f>IF(J22=Stand!J22,"S","H")</f>
        <v>S</v>
      </c>
      <c r="X22" s="31" t="str">
        <f>IF(K22=Stand!K22,"S","H")</f>
        <v>S</v>
      </c>
    </row>
    <row r="23" spans="1:24" x14ac:dyDescent="0.2">
      <c r="A23">
        <v>23</v>
      </c>
      <c r="B23">
        <f>MAX(Hit!B23,Stand!B23)</f>
        <v>-1</v>
      </c>
      <c r="C23">
        <f>MAX(Hit!C23,Stand!C23)</f>
        <v>-1</v>
      </c>
      <c r="D23">
        <f>MAX(Hit!D23,Stand!D23)</f>
        <v>-1</v>
      </c>
      <c r="E23">
        <f>MAX(Hit!E23,Stand!E23)</f>
        <v>-1</v>
      </c>
      <c r="F23">
        <f>MAX(Hit!F23,Stand!F23)</f>
        <v>-1</v>
      </c>
      <c r="G23">
        <f>MAX(Hit!G23,Stand!G23)</f>
        <v>-1</v>
      </c>
      <c r="H23">
        <f>MAX(Hit!H23,Stand!H23)</f>
        <v>-1</v>
      </c>
      <c r="I23">
        <f>MAX(Hit!I23,Stand!I23)</f>
        <v>-1</v>
      </c>
      <c r="J23">
        <f>MAX(Hit!J23,Stand!J23)</f>
        <v>-1</v>
      </c>
      <c r="K23">
        <f>MAX(Hit!K23,Stand!K23)</f>
        <v>-1</v>
      </c>
      <c r="N23" s="31">
        <v>23</v>
      </c>
      <c r="O23" s="31" t="str">
        <f>IF(B23=Stand!B23,"S","H")</f>
        <v>S</v>
      </c>
      <c r="P23" s="31" t="str">
        <f>IF(C23=Stand!C23,"S","H")</f>
        <v>S</v>
      </c>
      <c r="Q23" s="31" t="str">
        <f>IF(D23=Stand!D23,"S","H")</f>
        <v>S</v>
      </c>
      <c r="R23" s="31" t="str">
        <f>IF(E23=Stand!E23,"S","H")</f>
        <v>S</v>
      </c>
      <c r="S23" s="31" t="str">
        <f>IF(F23=Stand!F23,"S","H")</f>
        <v>S</v>
      </c>
      <c r="T23" s="31" t="str">
        <f>IF(G23=Stand!G23,"S","H")</f>
        <v>S</v>
      </c>
      <c r="U23" s="31" t="str">
        <f>IF(H23=Stand!H23,"S","H")</f>
        <v>S</v>
      </c>
      <c r="V23" s="31" t="str">
        <f>IF(I23=Stand!I23,"S","H")</f>
        <v>S</v>
      </c>
      <c r="W23" s="31" t="str">
        <f>IF(J23=Stand!J23,"S","H")</f>
        <v>S</v>
      </c>
      <c r="X23" s="31" t="str">
        <f>IF(K23=Stand!K23,"S","H")</f>
        <v>S</v>
      </c>
    </row>
    <row r="24" spans="1:24" x14ac:dyDescent="0.2">
      <c r="A24">
        <v>24</v>
      </c>
      <c r="B24">
        <f>MAX(Hit!B24,Stand!B24)</f>
        <v>-1</v>
      </c>
      <c r="C24">
        <f>MAX(Hit!C24,Stand!C24)</f>
        <v>-1</v>
      </c>
      <c r="D24">
        <f>MAX(Hit!D24,Stand!D24)</f>
        <v>-1</v>
      </c>
      <c r="E24">
        <f>MAX(Hit!E24,Stand!E24)</f>
        <v>-1</v>
      </c>
      <c r="F24">
        <f>MAX(Hit!F24,Stand!F24)</f>
        <v>-1</v>
      </c>
      <c r="G24">
        <f>MAX(Hit!G24,Stand!G24)</f>
        <v>-1</v>
      </c>
      <c r="H24">
        <f>MAX(Hit!H24,Stand!H24)</f>
        <v>-1</v>
      </c>
      <c r="I24">
        <f>MAX(Hit!I24,Stand!I24)</f>
        <v>-1</v>
      </c>
      <c r="J24">
        <f>MAX(Hit!J24,Stand!J24)</f>
        <v>-1</v>
      </c>
      <c r="K24">
        <f>MAX(Hit!K24,Stand!K24)</f>
        <v>-1</v>
      </c>
      <c r="N24" s="31">
        <v>24</v>
      </c>
      <c r="O24" s="31" t="str">
        <f>IF(B24=Stand!B24,"S","H")</f>
        <v>S</v>
      </c>
      <c r="P24" s="31" t="str">
        <f>IF(C24=Stand!C24,"S","H")</f>
        <v>S</v>
      </c>
      <c r="Q24" s="31" t="str">
        <f>IF(D24=Stand!D24,"S","H")</f>
        <v>S</v>
      </c>
      <c r="R24" s="31" t="str">
        <f>IF(E24=Stand!E24,"S","H")</f>
        <v>S</v>
      </c>
      <c r="S24" s="31" t="str">
        <f>IF(F24=Stand!F24,"S","H")</f>
        <v>S</v>
      </c>
      <c r="T24" s="31" t="str">
        <f>IF(G24=Stand!G24,"S","H")</f>
        <v>S</v>
      </c>
      <c r="U24" s="31" t="str">
        <f>IF(H24=Stand!H24,"S","H")</f>
        <v>S</v>
      </c>
      <c r="V24" s="31" t="str">
        <f>IF(I24=Stand!I24,"S","H")</f>
        <v>S</v>
      </c>
      <c r="W24" s="31" t="str">
        <f>IF(J24=Stand!J24,"S","H")</f>
        <v>S</v>
      </c>
      <c r="X24" s="31" t="str">
        <f>IF(K24=Stand!K24,"S","H")</f>
        <v>S</v>
      </c>
    </row>
    <row r="25" spans="1:24" x14ac:dyDescent="0.2">
      <c r="A25">
        <v>25</v>
      </c>
      <c r="B25">
        <f>MAX(Hit!B25,Stand!B25)</f>
        <v>-1</v>
      </c>
      <c r="C25">
        <f>MAX(Hit!C25,Stand!C25)</f>
        <v>-1</v>
      </c>
      <c r="D25">
        <f>MAX(Hit!D25,Stand!D25)</f>
        <v>-1</v>
      </c>
      <c r="E25">
        <f>MAX(Hit!E25,Stand!E25)</f>
        <v>-1</v>
      </c>
      <c r="F25">
        <f>MAX(Hit!F25,Stand!F25)</f>
        <v>-1</v>
      </c>
      <c r="G25">
        <f>MAX(Hit!G25,Stand!G25)</f>
        <v>-1</v>
      </c>
      <c r="H25">
        <f>MAX(Hit!H25,Stand!H25)</f>
        <v>-1</v>
      </c>
      <c r="I25">
        <f>MAX(Hit!I25,Stand!I25)</f>
        <v>-1</v>
      </c>
      <c r="J25">
        <f>MAX(Hit!J25,Stand!J25)</f>
        <v>-1</v>
      </c>
      <c r="K25">
        <f>MAX(Hit!K25,Stand!K25)</f>
        <v>-1</v>
      </c>
      <c r="N25" s="31">
        <v>25</v>
      </c>
      <c r="O25" s="31" t="str">
        <f>IF(B25=Stand!B25,"S","H")</f>
        <v>S</v>
      </c>
      <c r="P25" s="31" t="str">
        <f>IF(C25=Stand!C25,"S","H")</f>
        <v>S</v>
      </c>
      <c r="Q25" s="31" t="str">
        <f>IF(D25=Stand!D25,"S","H")</f>
        <v>S</v>
      </c>
      <c r="R25" s="31" t="str">
        <f>IF(E25=Stand!E25,"S","H")</f>
        <v>S</v>
      </c>
      <c r="S25" s="31" t="str">
        <f>IF(F25=Stand!F25,"S","H")</f>
        <v>S</v>
      </c>
      <c r="T25" s="31" t="str">
        <f>IF(G25=Stand!G25,"S","H")</f>
        <v>S</v>
      </c>
      <c r="U25" s="31" t="str">
        <f>IF(H25=Stand!H25,"S","H")</f>
        <v>S</v>
      </c>
      <c r="V25" s="31" t="str">
        <f>IF(I25=Stand!I25,"S","H")</f>
        <v>S</v>
      </c>
      <c r="W25" s="31" t="str">
        <f>IF(J25=Stand!J25,"S","H")</f>
        <v>S</v>
      </c>
      <c r="X25" s="31" t="str">
        <f>IF(K25=Stand!K25,"S","H")</f>
        <v>S</v>
      </c>
    </row>
    <row r="26" spans="1:24" x14ac:dyDescent="0.2">
      <c r="A26">
        <v>26</v>
      </c>
      <c r="B26">
        <f>MAX(Hit!B26,Stand!B26)</f>
        <v>-1</v>
      </c>
      <c r="C26">
        <f>MAX(Hit!C26,Stand!C26)</f>
        <v>-1</v>
      </c>
      <c r="D26">
        <f>MAX(Hit!D26,Stand!D26)</f>
        <v>-1</v>
      </c>
      <c r="E26">
        <f>MAX(Hit!E26,Stand!E26)</f>
        <v>-1</v>
      </c>
      <c r="F26">
        <f>MAX(Hit!F26,Stand!F26)</f>
        <v>-1</v>
      </c>
      <c r="G26">
        <f>MAX(Hit!G26,Stand!G26)</f>
        <v>-1</v>
      </c>
      <c r="H26">
        <f>MAX(Hit!H26,Stand!H26)</f>
        <v>-1</v>
      </c>
      <c r="I26">
        <f>MAX(Hit!I26,Stand!I26)</f>
        <v>-1</v>
      </c>
      <c r="J26">
        <f>MAX(Hit!J26,Stand!J26)</f>
        <v>-1</v>
      </c>
      <c r="K26">
        <f>MAX(Hit!K26,Stand!K26)</f>
        <v>-1</v>
      </c>
      <c r="N26" s="31">
        <v>26</v>
      </c>
      <c r="O26" s="31" t="str">
        <f>IF(B26=Stand!B26,"S","H")</f>
        <v>S</v>
      </c>
      <c r="P26" s="31" t="str">
        <f>IF(C26=Stand!C26,"S","H")</f>
        <v>S</v>
      </c>
      <c r="Q26" s="31" t="str">
        <f>IF(D26=Stand!D26,"S","H")</f>
        <v>S</v>
      </c>
      <c r="R26" s="31" t="str">
        <f>IF(E26=Stand!E26,"S","H")</f>
        <v>S</v>
      </c>
      <c r="S26" s="31" t="str">
        <f>IF(F26=Stand!F26,"S","H")</f>
        <v>S</v>
      </c>
      <c r="T26" s="31" t="str">
        <f>IF(G26=Stand!G26,"S","H")</f>
        <v>S</v>
      </c>
      <c r="U26" s="31" t="str">
        <f>IF(H26=Stand!H26,"S","H")</f>
        <v>S</v>
      </c>
      <c r="V26" s="31" t="str">
        <f>IF(I26=Stand!I26,"S","H")</f>
        <v>S</v>
      </c>
      <c r="W26" s="31" t="str">
        <f>IF(J26=Stand!J26,"S","H")</f>
        <v>S</v>
      </c>
      <c r="X26" s="31" t="str">
        <f>IF(K26=Stand!K26,"S","H")</f>
        <v>S</v>
      </c>
    </row>
    <row r="27" spans="1:24" x14ac:dyDescent="0.2">
      <c r="A27">
        <v>27</v>
      </c>
      <c r="B27">
        <f>MAX(Hit!B27,Stand!B27)</f>
        <v>-1</v>
      </c>
      <c r="C27">
        <f>MAX(Hit!C27,Stand!C27)</f>
        <v>-1</v>
      </c>
      <c r="D27">
        <f>MAX(Hit!D27,Stand!D27)</f>
        <v>-1</v>
      </c>
      <c r="E27">
        <f>MAX(Hit!E27,Stand!E27)</f>
        <v>-1</v>
      </c>
      <c r="F27">
        <f>MAX(Hit!F27,Stand!F27)</f>
        <v>-1</v>
      </c>
      <c r="G27">
        <f>MAX(Hit!G27,Stand!G27)</f>
        <v>-1</v>
      </c>
      <c r="H27">
        <f>MAX(Hit!H27,Stand!H27)</f>
        <v>-1</v>
      </c>
      <c r="I27">
        <f>MAX(Hit!I27,Stand!I27)</f>
        <v>-1</v>
      </c>
      <c r="J27">
        <f>MAX(Hit!J27,Stand!J27)</f>
        <v>-1</v>
      </c>
      <c r="K27">
        <f>MAX(Hit!K27,Stand!K27)</f>
        <v>-1</v>
      </c>
      <c r="N27" s="31">
        <v>27</v>
      </c>
      <c r="O27" s="31" t="str">
        <f>IF(B27=Stand!B27,"S","H")</f>
        <v>S</v>
      </c>
      <c r="P27" s="31" t="str">
        <f>IF(C27=Stand!C27,"S","H")</f>
        <v>S</v>
      </c>
      <c r="Q27" s="31" t="str">
        <f>IF(D27=Stand!D27,"S","H")</f>
        <v>S</v>
      </c>
      <c r="R27" s="31" t="str">
        <f>IF(E27=Stand!E27,"S","H")</f>
        <v>S</v>
      </c>
      <c r="S27" s="31" t="str">
        <f>IF(F27=Stand!F27,"S","H")</f>
        <v>S</v>
      </c>
      <c r="T27" s="31" t="str">
        <f>IF(G27=Stand!G27,"S","H")</f>
        <v>S</v>
      </c>
      <c r="U27" s="31" t="str">
        <f>IF(H27=Stand!H27,"S","H")</f>
        <v>S</v>
      </c>
      <c r="V27" s="31" t="str">
        <f>IF(I27=Stand!I27,"S","H")</f>
        <v>S</v>
      </c>
      <c r="W27" s="31" t="str">
        <f>IF(J27=Stand!J27,"S","H")</f>
        <v>S</v>
      </c>
      <c r="X27" s="31" t="str">
        <f>IF(K27=Stand!K27,"S","H")</f>
        <v>S</v>
      </c>
    </row>
    <row r="28" spans="1:24" x14ac:dyDescent="0.2">
      <c r="A28">
        <v>28</v>
      </c>
      <c r="B28">
        <f>MAX(Hit!B28,Stand!B28)</f>
        <v>-1</v>
      </c>
      <c r="C28">
        <f>MAX(Hit!C28,Stand!C28)</f>
        <v>-1</v>
      </c>
      <c r="D28">
        <f>MAX(Hit!D28,Stand!D28)</f>
        <v>-1</v>
      </c>
      <c r="E28">
        <f>MAX(Hit!E28,Stand!E28)</f>
        <v>-1</v>
      </c>
      <c r="F28">
        <f>MAX(Hit!F28,Stand!F28)</f>
        <v>-1</v>
      </c>
      <c r="G28">
        <f>MAX(Hit!G28,Stand!G28)</f>
        <v>-1</v>
      </c>
      <c r="H28">
        <f>MAX(Hit!H28,Stand!H28)</f>
        <v>-1</v>
      </c>
      <c r="I28">
        <f>MAX(Hit!I28,Stand!I28)</f>
        <v>-1</v>
      </c>
      <c r="J28">
        <f>MAX(Hit!J28,Stand!J28)</f>
        <v>-1</v>
      </c>
      <c r="K28">
        <f>MAX(Hit!K28,Stand!K28)</f>
        <v>-1</v>
      </c>
      <c r="N28" s="31">
        <v>28</v>
      </c>
      <c r="O28" s="31" t="str">
        <f>IF(B28=Stand!B28,"S","H")</f>
        <v>S</v>
      </c>
      <c r="P28" s="31" t="str">
        <f>IF(C28=Stand!C28,"S","H")</f>
        <v>S</v>
      </c>
      <c r="Q28" s="31" t="str">
        <f>IF(D28=Stand!D28,"S","H")</f>
        <v>S</v>
      </c>
      <c r="R28" s="31" t="str">
        <f>IF(E28=Stand!E28,"S","H")</f>
        <v>S</v>
      </c>
      <c r="S28" s="31" t="str">
        <f>IF(F28=Stand!F28,"S","H")</f>
        <v>S</v>
      </c>
      <c r="T28" s="31" t="str">
        <f>IF(G28=Stand!G28,"S","H")</f>
        <v>S</v>
      </c>
      <c r="U28" s="31" t="str">
        <f>IF(H28=Stand!H28,"S","H")</f>
        <v>S</v>
      </c>
      <c r="V28" s="31" t="str">
        <f>IF(I28=Stand!I28,"S","H")</f>
        <v>S</v>
      </c>
      <c r="W28" s="31" t="str">
        <f>IF(J28=Stand!J28,"S","H")</f>
        <v>S</v>
      </c>
      <c r="X28" s="31" t="str">
        <f>IF(K28=Stand!K28,"S","H")</f>
        <v>S</v>
      </c>
    </row>
    <row r="29" spans="1:24" x14ac:dyDescent="0.2">
      <c r="A29">
        <v>29</v>
      </c>
      <c r="B29">
        <f>MAX(Hit!B29,Stand!B29)</f>
        <v>-1</v>
      </c>
      <c r="C29">
        <f>MAX(Hit!C29,Stand!C29)</f>
        <v>-1</v>
      </c>
      <c r="D29">
        <f>MAX(Hit!D29,Stand!D29)</f>
        <v>-1</v>
      </c>
      <c r="E29">
        <f>MAX(Hit!E29,Stand!E29)</f>
        <v>-1</v>
      </c>
      <c r="F29">
        <f>MAX(Hit!F29,Stand!F29)</f>
        <v>-1</v>
      </c>
      <c r="G29">
        <f>MAX(Hit!G29,Stand!G29)</f>
        <v>-1</v>
      </c>
      <c r="H29">
        <f>MAX(Hit!H29,Stand!H29)</f>
        <v>-1</v>
      </c>
      <c r="I29">
        <f>MAX(Hit!I29,Stand!I29)</f>
        <v>-1</v>
      </c>
      <c r="J29">
        <f>MAX(Hit!J29,Stand!J29)</f>
        <v>-1</v>
      </c>
      <c r="K29">
        <f>MAX(Hit!K29,Stand!K29)</f>
        <v>-1</v>
      </c>
      <c r="N29" s="31">
        <v>29</v>
      </c>
      <c r="O29" s="31" t="str">
        <f>IF(B29=Stand!B29,"S","H")</f>
        <v>S</v>
      </c>
      <c r="P29" s="31" t="str">
        <f>IF(C29=Stand!C29,"S","H")</f>
        <v>S</v>
      </c>
      <c r="Q29" s="31" t="str">
        <f>IF(D29=Stand!D29,"S","H")</f>
        <v>S</v>
      </c>
      <c r="R29" s="31" t="str">
        <f>IF(E29=Stand!E29,"S","H")</f>
        <v>S</v>
      </c>
      <c r="S29" s="31" t="str">
        <f>IF(F29=Stand!F29,"S","H")</f>
        <v>S</v>
      </c>
      <c r="T29" s="31" t="str">
        <f>IF(G29=Stand!G29,"S","H")</f>
        <v>S</v>
      </c>
      <c r="U29" s="31" t="str">
        <f>IF(H29=Stand!H29,"S","H")</f>
        <v>S</v>
      </c>
      <c r="V29" s="31" t="str">
        <f>IF(I29=Stand!I29,"S","H")</f>
        <v>S</v>
      </c>
      <c r="W29" s="31" t="str">
        <f>IF(J29=Stand!J29,"S","H")</f>
        <v>S</v>
      </c>
      <c r="X29" s="31" t="str">
        <f>IF(K29=Stand!K29,"S","H")</f>
        <v>S</v>
      </c>
    </row>
    <row r="30" spans="1:24" x14ac:dyDescent="0.2">
      <c r="A30">
        <v>30</v>
      </c>
      <c r="B30">
        <f>MAX(Hit!B30,Stand!B30)</f>
        <v>-1</v>
      </c>
      <c r="C30">
        <f>MAX(Hit!C30,Stand!C30)</f>
        <v>-1</v>
      </c>
      <c r="D30">
        <f>MAX(Hit!D30,Stand!D30)</f>
        <v>-1</v>
      </c>
      <c r="E30">
        <f>MAX(Hit!E30,Stand!E30)</f>
        <v>-1</v>
      </c>
      <c r="F30">
        <f>MAX(Hit!F30,Stand!F30)</f>
        <v>-1</v>
      </c>
      <c r="G30">
        <f>MAX(Hit!G30,Stand!G30)</f>
        <v>-1</v>
      </c>
      <c r="H30">
        <f>MAX(Hit!H30,Stand!H30)</f>
        <v>-1</v>
      </c>
      <c r="I30">
        <f>MAX(Hit!I30,Stand!I30)</f>
        <v>-1</v>
      </c>
      <c r="J30">
        <f>MAX(Hit!J30,Stand!J30)</f>
        <v>-1</v>
      </c>
      <c r="K30">
        <f>MAX(Hit!K30,Stand!K30)</f>
        <v>-1</v>
      </c>
      <c r="N30" s="31">
        <v>30</v>
      </c>
      <c r="O30" s="31" t="str">
        <f>IF(B30=Stand!B30,"S","H")</f>
        <v>S</v>
      </c>
      <c r="P30" s="31" t="str">
        <f>IF(C30=Stand!C30,"S","H")</f>
        <v>S</v>
      </c>
      <c r="Q30" s="31" t="str">
        <f>IF(D30=Stand!D30,"S","H")</f>
        <v>S</v>
      </c>
      <c r="R30" s="31" t="str">
        <f>IF(E30=Stand!E30,"S","H")</f>
        <v>S</v>
      </c>
      <c r="S30" s="31" t="str">
        <f>IF(F30=Stand!F30,"S","H")</f>
        <v>S</v>
      </c>
      <c r="T30" s="31" t="str">
        <f>IF(G30=Stand!G30,"S","H")</f>
        <v>S</v>
      </c>
      <c r="U30" s="31" t="str">
        <f>IF(H30=Stand!H30,"S","H")</f>
        <v>S</v>
      </c>
      <c r="V30" s="31" t="str">
        <f>IF(I30=Stand!I30,"S","H")</f>
        <v>S</v>
      </c>
      <c r="W30" s="31" t="str">
        <f>IF(J30=Stand!J30,"S","H")</f>
        <v>S</v>
      </c>
      <c r="X30" s="31" t="str">
        <f>IF(K30=Stand!K30,"S","H")</f>
        <v>S</v>
      </c>
    </row>
    <row r="31" spans="1:24" x14ac:dyDescent="0.2">
      <c r="A31">
        <v>31</v>
      </c>
      <c r="B31">
        <f>MAX(Hit!B31,Stand!B31)</f>
        <v>-1</v>
      </c>
      <c r="C31">
        <f>MAX(Hit!C31,Stand!C31)</f>
        <v>-1</v>
      </c>
      <c r="D31">
        <f>MAX(Hit!D31,Stand!D31)</f>
        <v>-1</v>
      </c>
      <c r="E31">
        <f>MAX(Hit!E31,Stand!E31)</f>
        <v>-1</v>
      </c>
      <c r="F31">
        <f>MAX(Hit!F31,Stand!F31)</f>
        <v>-1</v>
      </c>
      <c r="G31">
        <f>MAX(Hit!G31,Stand!G31)</f>
        <v>-1</v>
      </c>
      <c r="H31">
        <f>MAX(Hit!H31,Stand!H31)</f>
        <v>-1</v>
      </c>
      <c r="I31">
        <f>MAX(Hit!I31,Stand!I31)</f>
        <v>-1</v>
      </c>
      <c r="J31">
        <f>MAX(Hit!J31,Stand!J31)</f>
        <v>-1</v>
      </c>
      <c r="K31">
        <f>MAX(Hit!K31,Stand!K31)</f>
        <v>-1</v>
      </c>
      <c r="N31" s="31">
        <v>31</v>
      </c>
      <c r="O31" s="31" t="str">
        <f>IF(B31=Stand!B31,"S","H")</f>
        <v>S</v>
      </c>
      <c r="P31" s="31" t="str">
        <f>IF(C31=Stand!C31,"S","H")</f>
        <v>S</v>
      </c>
      <c r="Q31" s="31" t="str">
        <f>IF(D31=Stand!D31,"S","H")</f>
        <v>S</v>
      </c>
      <c r="R31" s="31" t="str">
        <f>IF(E31=Stand!E31,"S","H")</f>
        <v>S</v>
      </c>
      <c r="S31" s="31" t="str">
        <f>IF(F31=Stand!F31,"S","H")</f>
        <v>S</v>
      </c>
      <c r="T31" s="31" t="str">
        <f>IF(G31=Stand!G31,"S","H")</f>
        <v>S</v>
      </c>
      <c r="U31" s="31" t="str">
        <f>IF(H31=Stand!H31,"S","H")</f>
        <v>S</v>
      </c>
      <c r="V31" s="31" t="str">
        <f>IF(I31=Stand!I31,"S","H")</f>
        <v>S</v>
      </c>
      <c r="W31" s="31" t="str">
        <f>IF(J31=Stand!J31,"S","H")</f>
        <v>S</v>
      </c>
      <c r="X31" s="31" t="str">
        <f>IF(K31=Stand!K31,"S","H")</f>
        <v>S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MAX(Hit!B34,Stand!B34)</f>
        <v>0.29861942370404337</v>
      </c>
      <c r="C34">
        <f>MAX(Hit!C34,Stand!C34)</f>
        <v>0.3696374242362967</v>
      </c>
      <c r="D34">
        <f>MAX(Hit!D34,Stand!D34)</f>
        <v>0.38767410174512951</v>
      </c>
      <c r="E34">
        <f>MAX(Hit!E34,Stand!E34)</f>
        <v>0.40637639293641487</v>
      </c>
      <c r="F34">
        <f>MAX(Hit!F34,Stand!F34)</f>
        <v>0.42575273133176267</v>
      </c>
      <c r="G34">
        <f>MAX(Hit!G34,Stand!G34)</f>
        <v>0.45589668319225651</v>
      </c>
      <c r="H34">
        <f>MAX(Hit!H34,Stand!H34)</f>
        <v>0.45736852128859351</v>
      </c>
      <c r="I34">
        <f>MAX(Hit!I34,Stand!I34)</f>
        <v>0.40074805174057648</v>
      </c>
      <c r="J34">
        <f>MAX(Hit!J34,Stand!J34)</f>
        <v>0.32142328174266549</v>
      </c>
      <c r="K34">
        <f>MAX(Hit!K34,Stand!K34)</f>
        <v>0.26400071601402691</v>
      </c>
      <c r="N34" s="31">
        <v>11</v>
      </c>
      <c r="O34" s="31" t="str">
        <f>IF(B34=Stand!B34,"S","H")</f>
        <v>H</v>
      </c>
      <c r="P34" s="31" t="str">
        <f>IF(C34=Stand!C34,"S","H")</f>
        <v>H</v>
      </c>
      <c r="Q34" s="31" t="str">
        <f>IF(D34=Stand!D34,"S","H")</f>
        <v>H</v>
      </c>
      <c r="R34" s="31" t="str">
        <f>IF(E34=Stand!E34,"S","H")</f>
        <v>H</v>
      </c>
      <c r="S34" s="31" t="str">
        <f>IF(F34=Stand!F34,"S","H")</f>
        <v>H</v>
      </c>
      <c r="T34" s="31" t="str">
        <f>IF(G34=Stand!G34,"S","H")</f>
        <v>H</v>
      </c>
      <c r="U34" s="31" t="str">
        <f>IF(H34=Stand!H34,"S","H")</f>
        <v>H</v>
      </c>
      <c r="V34" s="31" t="str">
        <f>IF(I34=Stand!I34,"S","H")</f>
        <v>H</v>
      </c>
      <c r="W34" s="31" t="str">
        <f>IF(J34=Stand!J34,"S","H")</f>
        <v>H</v>
      </c>
      <c r="X34" s="31" t="str">
        <f>IF(K34=Stand!K34,"S","H")</f>
        <v>H</v>
      </c>
    </row>
    <row r="35" spans="1:24" x14ac:dyDescent="0.2">
      <c r="A35">
        <v>12</v>
      </c>
      <c r="B35">
        <f>MAX(Hit!B35,Stand!B35)</f>
        <v>-2.0477877704912145E-2</v>
      </c>
      <c r="C35">
        <f>MAX(Hit!C35,Stand!C35)</f>
        <v>8.1836216051656044E-2</v>
      </c>
      <c r="D35">
        <f>MAX(Hit!D35,Stand!D35)</f>
        <v>0.10350704654207775</v>
      </c>
      <c r="E35">
        <f>MAX(Hit!E35,Stand!E35)</f>
        <v>0.12659562809256977</v>
      </c>
      <c r="F35">
        <f>MAX(Hit!F35,Stand!F35)</f>
        <v>0.15648238458465519</v>
      </c>
      <c r="G35">
        <f>MAX(Hit!G35,Stand!G35)</f>
        <v>0.18595361333225549</v>
      </c>
      <c r="H35">
        <f>MAX(Hit!H35,Stand!H35)</f>
        <v>0.16547293077063496</v>
      </c>
      <c r="I35">
        <f>MAX(Hit!I35,Stand!I35)</f>
        <v>9.5115020927032265E-2</v>
      </c>
      <c r="J35">
        <f>MAX(Hit!J35,Stand!J35)</f>
        <v>6.5790841226914386E-5</v>
      </c>
      <c r="K35">
        <f>MAX(Hit!K35,Stand!K35)</f>
        <v>-7.0002397357964694E-2</v>
      </c>
      <c r="N35" s="31">
        <v>12</v>
      </c>
      <c r="O35" s="31" t="str">
        <f>IF(B35=Stand!B35,"S","H")</f>
        <v>H</v>
      </c>
      <c r="P35" s="31" t="str">
        <f>IF(C35=Stand!C35,"S","H")</f>
        <v>H</v>
      </c>
      <c r="Q35" s="31" t="str">
        <f>IF(D35=Stand!D35,"S","H")</f>
        <v>H</v>
      </c>
      <c r="R35" s="31" t="str">
        <f>IF(E35=Stand!E35,"S","H")</f>
        <v>H</v>
      </c>
      <c r="S35" s="31" t="str">
        <f>IF(F35=Stand!F35,"S","H")</f>
        <v>H</v>
      </c>
      <c r="T35" s="31" t="str">
        <f>IF(G35=Stand!G35,"S","H")</f>
        <v>H</v>
      </c>
      <c r="U35" s="31" t="str">
        <f>IF(H35=Stand!H35,"S","H")</f>
        <v>H</v>
      </c>
      <c r="V35" s="31" t="str">
        <f>IF(I35=Stand!I35,"S","H")</f>
        <v>H</v>
      </c>
      <c r="W35" s="31" t="str">
        <f>IF(J35=Stand!J35,"S","H")</f>
        <v>H</v>
      </c>
      <c r="X35" s="31" t="str">
        <f>IF(K35=Stand!K35,"S","H")</f>
        <v>H</v>
      </c>
    </row>
    <row r="36" spans="1:24" x14ac:dyDescent="0.2">
      <c r="A36">
        <v>13</v>
      </c>
      <c r="B36">
        <f>MAX(Hit!B36,Stand!B36)</f>
        <v>-5.7308046666810254E-2</v>
      </c>
      <c r="C36">
        <f>MAX(Hit!C36,Stand!C36)</f>
        <v>4.6636132695309578E-2</v>
      </c>
      <c r="D36">
        <f>MAX(Hit!D36,Stand!D36)</f>
        <v>7.4118813392744051E-2</v>
      </c>
      <c r="E36">
        <f>MAX(Hit!E36,Stand!E36)</f>
        <v>0.10247714687203523</v>
      </c>
      <c r="F36">
        <f>MAX(Hit!F36,Stand!F36)</f>
        <v>0.13336273848321728</v>
      </c>
      <c r="G36">
        <f>MAX(Hit!G36,Stand!G36)</f>
        <v>0.16169271124923693</v>
      </c>
      <c r="H36">
        <f>MAX(Hit!H36,Stand!H36)</f>
        <v>0.12238569517899196</v>
      </c>
      <c r="I36">
        <f>MAX(Hit!I36,Stand!I36)</f>
        <v>5.4057070196311299E-2</v>
      </c>
      <c r="J36">
        <f>MAX(Hit!J36,Stand!J36)</f>
        <v>-3.7694688127479885E-2</v>
      </c>
      <c r="K36">
        <f>MAX(Hit!K36,Stand!K36)</f>
        <v>-0.10485135840627779</v>
      </c>
      <c r="N36" s="31">
        <v>13</v>
      </c>
      <c r="O36" s="31" t="str">
        <f>IF(B36=Stand!B36,"S","H")</f>
        <v>H</v>
      </c>
      <c r="P36" s="31" t="str">
        <f>IF(C36=Stand!C36,"S","H")</f>
        <v>H</v>
      </c>
      <c r="Q36" s="31" t="str">
        <f>IF(D36=Stand!D36,"S","H")</f>
        <v>H</v>
      </c>
      <c r="R36" s="31" t="str">
        <f>IF(E36=Stand!E36,"S","H")</f>
        <v>H</v>
      </c>
      <c r="S36" s="31" t="str">
        <f>IF(F36=Stand!F36,"S","H")</f>
        <v>H</v>
      </c>
      <c r="T36" s="31" t="str">
        <f>IF(G36=Stand!G36,"S","H")</f>
        <v>H</v>
      </c>
      <c r="U36" s="31" t="str">
        <f>IF(H36=Stand!H36,"S","H")</f>
        <v>H</v>
      </c>
      <c r="V36" s="31" t="str">
        <f>IF(I36=Stand!I36,"S","H")</f>
        <v>H</v>
      </c>
      <c r="W36" s="31" t="str">
        <f>IF(J36=Stand!J36,"S","H")</f>
        <v>H</v>
      </c>
      <c r="X36" s="31" t="str">
        <f>IF(K36=Stand!K36,"S","H")</f>
        <v>H</v>
      </c>
    </row>
    <row r="37" spans="1:24" x14ac:dyDescent="0.2">
      <c r="A37">
        <v>14</v>
      </c>
      <c r="B37">
        <f>MAX(Hit!B37,Stand!B37)</f>
        <v>-9.3874324768310105E-2</v>
      </c>
      <c r="C37">
        <f>MAX(Hit!C37,Stand!C37)</f>
        <v>2.2391856987839083E-2</v>
      </c>
      <c r="D37">
        <f>MAX(Hit!D37,Stand!D37)</f>
        <v>5.0806738919282814E-2</v>
      </c>
      <c r="E37">
        <f>MAX(Hit!E37,Stand!E37)</f>
        <v>8.0081414310110233E-2</v>
      </c>
      <c r="F37">
        <f>MAX(Hit!F37,Stand!F37)</f>
        <v>0.11189449567473925</v>
      </c>
      <c r="G37">
        <f>MAX(Hit!G37,Stand!G37)</f>
        <v>0.1391647307435768</v>
      </c>
      <c r="H37">
        <f>MAX(Hit!H37,Stand!H37)</f>
        <v>7.9507488494468148E-2</v>
      </c>
      <c r="I37">
        <f>MAX(Hit!I37,Stand!I37)</f>
        <v>1.3277219463208444E-2</v>
      </c>
      <c r="J37">
        <f>MAX(Hit!J37,Stand!J37)</f>
        <v>-7.516318944168382E-2</v>
      </c>
      <c r="K37">
        <f>MAX(Hit!K37,Stand!K37)</f>
        <v>-0.13946678217545452</v>
      </c>
      <c r="N37" s="31">
        <v>14</v>
      </c>
      <c r="O37" s="31" t="str">
        <f>IF(B37=Stand!B37,"S","H")</f>
        <v>H</v>
      </c>
      <c r="P37" s="31" t="str">
        <f>IF(C37=Stand!C37,"S","H")</f>
        <v>H</v>
      </c>
      <c r="Q37" s="31" t="str">
        <f>IF(D37=Stand!D37,"S","H")</f>
        <v>H</v>
      </c>
      <c r="R37" s="31" t="str">
        <f>IF(E37=Stand!E37,"S","H")</f>
        <v>H</v>
      </c>
      <c r="S37" s="31" t="str">
        <f>IF(F37=Stand!F37,"S","H")</f>
        <v>H</v>
      </c>
      <c r="T37" s="31" t="str">
        <f>IF(G37=Stand!G37,"S","H")</f>
        <v>H</v>
      </c>
      <c r="U37" s="31" t="str">
        <f>IF(H37=Stand!H37,"S","H")</f>
        <v>H</v>
      </c>
      <c r="V37" s="31" t="str">
        <f>IF(I37=Stand!I37,"S","H")</f>
        <v>H</v>
      </c>
      <c r="W37" s="31" t="str">
        <f>IF(J37=Stand!J37,"S","H")</f>
        <v>H</v>
      </c>
      <c r="X37" s="31" t="str">
        <f>IF(K37=Stand!K37,"S","H")</f>
        <v>H</v>
      </c>
    </row>
    <row r="38" spans="1:24" x14ac:dyDescent="0.2">
      <c r="A38">
        <v>15</v>
      </c>
      <c r="B38">
        <f>MAX(Hit!B38,Stand!B38)</f>
        <v>-0.13002650167843849</v>
      </c>
      <c r="C38">
        <f>MAX(Hit!C38,Stand!C38)</f>
        <v>-1.2068474052636583E-4</v>
      </c>
      <c r="D38">
        <f>MAX(Hit!D38,Stand!D38)</f>
        <v>2.9159812622497363E-2</v>
      </c>
      <c r="E38">
        <f>MAX(Hit!E38,Stand!E38)</f>
        <v>5.9285376931179926E-2</v>
      </c>
      <c r="F38">
        <f>MAX(Hit!F38,Stand!F38)</f>
        <v>9.1959698781152482E-2</v>
      </c>
      <c r="G38">
        <f>MAX(Hit!G38,Stand!G38)</f>
        <v>0.11824589170260671</v>
      </c>
      <c r="H38">
        <f>MAX(Hit!H38,Stand!H38)</f>
        <v>3.7028282279269235E-2</v>
      </c>
      <c r="I38">
        <f>MAX(Hit!I38,Stand!I38)</f>
        <v>-2.7054780502901672E-2</v>
      </c>
      <c r="J38">
        <f>MAX(Hit!J38,Stand!J38)</f>
        <v>-0.11218876868994289</v>
      </c>
      <c r="K38">
        <f>MAX(Hit!K38,Stand!K38)</f>
        <v>-0.17370423031226784</v>
      </c>
      <c r="N38" s="31">
        <v>15</v>
      </c>
      <c r="O38" s="31" t="str">
        <f>IF(B38=Stand!B38,"S","H")</f>
        <v>H</v>
      </c>
      <c r="P38" s="31" t="str">
        <f>IF(C38=Stand!C38,"S","H")</f>
        <v>H</v>
      </c>
      <c r="Q38" s="31" t="str">
        <f>IF(D38=Stand!D38,"S","H")</f>
        <v>H</v>
      </c>
      <c r="R38" s="31" t="str">
        <f>IF(E38=Stand!E38,"S","H")</f>
        <v>H</v>
      </c>
      <c r="S38" s="31" t="str">
        <f>IF(F38=Stand!F38,"S","H")</f>
        <v>H</v>
      </c>
      <c r="T38" s="31" t="str">
        <f>IF(G38=Stand!G38,"S","H")</f>
        <v>H</v>
      </c>
      <c r="U38" s="31" t="str">
        <f>IF(H38=Stand!H38,"S","H")</f>
        <v>H</v>
      </c>
      <c r="V38" s="31" t="str">
        <f>IF(I38=Stand!I38,"S","H")</f>
        <v>H</v>
      </c>
      <c r="W38" s="31" t="str">
        <f>IF(J38=Stand!J38,"S","H")</f>
        <v>H</v>
      </c>
      <c r="X38" s="31" t="str">
        <f>IF(K38=Stand!K38,"S","H")</f>
        <v>H</v>
      </c>
    </row>
    <row r="39" spans="1:24" x14ac:dyDescent="0.2">
      <c r="A39">
        <v>16</v>
      </c>
      <c r="B39">
        <f>MAX(Hit!B39,Stand!B39)</f>
        <v>-0.16563717206687348</v>
      </c>
      <c r="C39">
        <f>MAX(Hit!C39,Stand!C39)</f>
        <v>-2.1025187774008566E-2</v>
      </c>
      <c r="D39">
        <f>MAX(Hit!D39,Stand!D39)</f>
        <v>9.0590953469108244E-3</v>
      </c>
      <c r="E39">
        <f>MAX(Hit!E39,Stand!E39)</f>
        <v>3.9974770793601705E-2</v>
      </c>
      <c r="F39">
        <f>MAX(Hit!F39,Stand!F39)</f>
        <v>7.3448815951393354E-2</v>
      </c>
      <c r="G39">
        <f>MAX(Hit!G39,Stand!G39)</f>
        <v>9.8821255450277368E-2</v>
      </c>
      <c r="H39">
        <f>MAX(Hit!H39,Stand!H39)</f>
        <v>-4.8901571730158942E-3</v>
      </c>
      <c r="I39">
        <f>MAX(Hit!I39,Stand!I39)</f>
        <v>-6.6794847920094103E-2</v>
      </c>
      <c r="J39">
        <f>MAX(Hit!J39,Stand!J39)</f>
        <v>-0.14864353463007471</v>
      </c>
      <c r="K39">
        <f>MAX(Hit!K39,Stand!K39)</f>
        <v>-0.20744109003068206</v>
      </c>
      <c r="N39" s="31">
        <v>16</v>
      </c>
      <c r="O39" s="31" t="str">
        <f>IF(B39=Stand!B39,"S","H")</f>
        <v>H</v>
      </c>
      <c r="P39" s="31" t="str">
        <f>IF(C39=Stand!C39,"S","H")</f>
        <v>H</v>
      </c>
      <c r="Q39" s="31" t="str">
        <f>IF(D39=Stand!D39,"S","H")</f>
        <v>H</v>
      </c>
      <c r="R39" s="31" t="str">
        <f>IF(E39=Stand!E39,"S","H")</f>
        <v>H</v>
      </c>
      <c r="S39" s="31" t="str">
        <f>IF(F39=Stand!F39,"S","H")</f>
        <v>H</v>
      </c>
      <c r="T39" s="31" t="str">
        <f>IF(G39=Stand!G39,"S","H")</f>
        <v>H</v>
      </c>
      <c r="U39" s="31" t="str">
        <f>IF(H39=Stand!H39,"S","H")</f>
        <v>H</v>
      </c>
      <c r="V39" s="31" t="str">
        <f>IF(I39=Stand!I39,"S","H")</f>
        <v>H</v>
      </c>
      <c r="W39" s="31" t="str">
        <f>IF(J39=Stand!J39,"S","H")</f>
        <v>H</v>
      </c>
      <c r="X39" s="31" t="str">
        <f>IF(K39=Stand!K39,"S","H")</f>
        <v>H</v>
      </c>
    </row>
    <row r="40" spans="1:24" x14ac:dyDescent="0.2">
      <c r="A40">
        <v>17</v>
      </c>
      <c r="B40">
        <f>MAX(Hit!B40,Stand!B40)</f>
        <v>-0.17956936979241733</v>
      </c>
      <c r="C40">
        <f>MAX(Hit!C40,Stand!C40)</f>
        <v>-4.9104358288912882E-4</v>
      </c>
      <c r="D40">
        <f>MAX(Hit!D40,Stand!D40)</f>
        <v>2.8975282965620488E-2</v>
      </c>
      <c r="E40">
        <f>MAX(Hit!E40,Stand!E40)</f>
        <v>5.9326275337164343E-2</v>
      </c>
      <c r="F40">
        <f>MAX(Hit!F40,Stand!F40)</f>
        <v>9.1189077686774395E-2</v>
      </c>
      <c r="G40">
        <f>MAX(Hit!G40,Stand!G40)</f>
        <v>0.12805214364549905</v>
      </c>
      <c r="H40">
        <f>MAX(Hit!H40,Stand!H40)</f>
        <v>5.3823463716116654E-2</v>
      </c>
      <c r="I40">
        <f>MAX(Hit!I40,Stand!I40)</f>
        <v>-7.2915398729642075E-2</v>
      </c>
      <c r="J40">
        <f>MAX(Hit!J40,Stand!J40)</f>
        <v>-0.1497868921821332</v>
      </c>
      <c r="K40">
        <f>MAX(Hit!K40,Stand!K40)</f>
        <v>-0.19686697623363469</v>
      </c>
      <c r="N40" s="31">
        <v>17</v>
      </c>
      <c r="O40" s="31" t="str">
        <f>IF(B40=Stand!B40,"S","H")</f>
        <v>H</v>
      </c>
      <c r="P40" s="31" t="str">
        <f>IF(C40=Stand!C40,"S","H")</f>
        <v>H</v>
      </c>
      <c r="Q40" s="31" t="str">
        <f>IF(D40=Stand!D40,"S","H")</f>
        <v>H</v>
      </c>
      <c r="R40" s="31" t="str">
        <f>IF(E40=Stand!E40,"S","H")</f>
        <v>H</v>
      </c>
      <c r="S40" s="31" t="str">
        <f>IF(F40=Stand!F40,"S","H")</f>
        <v>H</v>
      </c>
      <c r="T40" s="31" t="str">
        <f>IF(G40=Stand!G40,"S","H")</f>
        <v>H</v>
      </c>
      <c r="U40" s="31" t="str">
        <f>IF(H40=Stand!H40,"S","H")</f>
        <v>H</v>
      </c>
      <c r="V40" s="31" t="str">
        <f>IF(I40=Stand!I40,"S","H")</f>
        <v>H</v>
      </c>
      <c r="W40" s="31" t="str">
        <f>IF(J40=Stand!J40,"S","H")</f>
        <v>H</v>
      </c>
      <c r="X40" s="31" t="str">
        <f>IF(K40=Stand!K40,"S","H")</f>
        <v>H</v>
      </c>
    </row>
    <row r="41" spans="1:24" x14ac:dyDescent="0.2">
      <c r="A41">
        <v>18</v>
      </c>
      <c r="B41">
        <f>MAX(Hit!B41,Stand!B41)</f>
        <v>-9.2935491769284034E-2</v>
      </c>
      <c r="C41">
        <f>MAX(Hit!C41,Stand!C41)</f>
        <v>0.12174190222088771</v>
      </c>
      <c r="D41">
        <f>MAX(Hit!D41,Stand!D41)</f>
        <v>0.14830007284131119</v>
      </c>
      <c r="E41">
        <f>MAX(Hit!E41,Stand!E41)</f>
        <v>0.17585443719748528</v>
      </c>
      <c r="F41">
        <f>MAX(Hit!F41,Stand!F41)</f>
        <v>0.19956119497617719</v>
      </c>
      <c r="G41">
        <f>MAX(Hit!G41,Stand!G41)</f>
        <v>0.28344391604689856</v>
      </c>
      <c r="H41">
        <f>MAX(Hit!H41,Stand!H41)</f>
        <v>0.3995541673365518</v>
      </c>
      <c r="I41">
        <f>MAX(Hit!I41,Stand!I41)</f>
        <v>0.10595134861912359</v>
      </c>
      <c r="J41">
        <f>MAX(Hit!J41,Stand!J41)</f>
        <v>-0.10074430758041522</v>
      </c>
      <c r="K41">
        <f>MAX(Hit!K41,Stand!K41)</f>
        <v>-0.14380812317405353</v>
      </c>
      <c r="N41" s="31">
        <v>18</v>
      </c>
      <c r="O41" s="31" t="str">
        <f>IF(B41=Stand!B41,"S","H")</f>
        <v>H</v>
      </c>
      <c r="P41" s="31" t="str">
        <f>IF(C41=Stand!C41,"S","H")</f>
        <v>S</v>
      </c>
      <c r="Q41" s="31" t="str">
        <f>IF(D41=Stand!D41,"S","H")</f>
        <v>S</v>
      </c>
      <c r="R41" s="31" t="str">
        <f>IF(E41=Stand!E41,"S","H")</f>
        <v>S</v>
      </c>
      <c r="S41" s="31" t="str">
        <f>IF(F41=Stand!F41,"S","H")</f>
        <v>S</v>
      </c>
      <c r="T41" s="31" t="str">
        <f>IF(G41=Stand!G41,"S","H")</f>
        <v>S</v>
      </c>
      <c r="U41" s="31" t="str">
        <f>IF(H41=Stand!H41,"S","H")</f>
        <v>S</v>
      </c>
      <c r="V41" s="31" t="str">
        <f>IF(I41=Stand!I41,"S","H")</f>
        <v>S</v>
      </c>
      <c r="W41" s="31" t="str">
        <f>IF(J41=Stand!J41,"S","H")</f>
        <v>H</v>
      </c>
      <c r="X41" s="31" t="str">
        <f>IF(K41=Stand!K41,"S","H")</f>
        <v>H</v>
      </c>
    </row>
    <row r="42" spans="1:24" x14ac:dyDescent="0.2">
      <c r="A42">
        <v>19</v>
      </c>
      <c r="B42">
        <f>MAX(Hit!B42,Stand!B42)</f>
        <v>0.27763572376835594</v>
      </c>
      <c r="C42">
        <f>MAX(Hit!C42,Stand!C42)</f>
        <v>0.38630468602058993</v>
      </c>
      <c r="D42">
        <f>MAX(Hit!D42,Stand!D42)</f>
        <v>0.4043629365977599</v>
      </c>
      <c r="E42">
        <f>MAX(Hit!E42,Stand!E42)</f>
        <v>0.42317892482749653</v>
      </c>
      <c r="F42">
        <f>MAX(Hit!F42,Stand!F42)</f>
        <v>0.43951210416088371</v>
      </c>
      <c r="G42">
        <f>MAX(Hit!G42,Stand!G42)</f>
        <v>0.49597707378731914</v>
      </c>
      <c r="H42">
        <f>MAX(Hit!H42,Stand!H42)</f>
        <v>0.6159764957534315</v>
      </c>
      <c r="I42">
        <f>MAX(Hit!I42,Stand!I42)</f>
        <v>0.59385366828669439</v>
      </c>
      <c r="J42">
        <f>MAX(Hit!J42,Stand!J42)</f>
        <v>0.28759675706758148</v>
      </c>
      <c r="K42">
        <f>MAX(Hit!K42,Stand!K42)</f>
        <v>6.3118166335840831E-2</v>
      </c>
      <c r="N42" s="31">
        <v>19</v>
      </c>
      <c r="O42" s="31" t="str">
        <f>IF(B42=Stand!B42,"S","H")</f>
        <v>S</v>
      </c>
      <c r="P42" s="31" t="str">
        <f>IF(C42=Stand!C42,"S","H")</f>
        <v>S</v>
      </c>
      <c r="Q42" s="31" t="str">
        <f>IF(D42=Stand!D42,"S","H")</f>
        <v>S</v>
      </c>
      <c r="R42" s="31" t="str">
        <f>IF(E42=Stand!E42,"S","H")</f>
        <v>S</v>
      </c>
      <c r="S42" s="31" t="str">
        <f>IF(F42=Stand!F42,"S","H")</f>
        <v>S</v>
      </c>
      <c r="T42" s="31" t="str">
        <f>IF(G42=Stand!G42,"S","H")</f>
        <v>S</v>
      </c>
      <c r="U42" s="31" t="str">
        <f>IF(H42=Stand!H42,"S","H")</f>
        <v>S</v>
      </c>
      <c r="V42" s="31" t="str">
        <f>IF(I42=Stand!I42,"S","H")</f>
        <v>S</v>
      </c>
      <c r="W42" s="31" t="str">
        <f>IF(J42=Stand!J42,"S","H")</f>
        <v>S</v>
      </c>
      <c r="X42" s="31" t="str">
        <f>IF(K42=Stand!K42,"S","H")</f>
        <v>S</v>
      </c>
    </row>
    <row r="43" spans="1:24" x14ac:dyDescent="0.2">
      <c r="A43">
        <v>20</v>
      </c>
      <c r="B43">
        <f>MAX(Hit!B43,Stand!B43)</f>
        <v>0.65547032314990239</v>
      </c>
      <c r="C43">
        <f>MAX(Hit!C43,Stand!C43)</f>
        <v>0.63998657521683877</v>
      </c>
      <c r="D43">
        <f>MAX(Hit!D43,Stand!D43)</f>
        <v>0.65027209425148136</v>
      </c>
      <c r="E43">
        <f>MAX(Hit!E43,Stand!E43)</f>
        <v>0.66104996194807186</v>
      </c>
      <c r="F43">
        <f>MAX(Hit!F43,Stand!F43)</f>
        <v>0.67035969063279999</v>
      </c>
      <c r="G43">
        <f>MAX(Hit!G43,Stand!G43)</f>
        <v>0.70395857017134467</v>
      </c>
      <c r="H43">
        <f>MAX(Hit!H43,Stand!H43)</f>
        <v>0.77322722653717491</v>
      </c>
      <c r="I43">
        <f>MAX(Hit!I43,Stand!I43)</f>
        <v>0.79181515955189841</v>
      </c>
      <c r="J43">
        <f>MAX(Hit!J43,Stand!J43)</f>
        <v>0.75835687080859626</v>
      </c>
      <c r="K43">
        <f>MAX(Hit!K43,Stand!K43)</f>
        <v>0.55453756646817121</v>
      </c>
      <c r="N43" s="31">
        <v>20</v>
      </c>
      <c r="O43" s="31" t="str">
        <f>IF(B43=Stand!B43,"S","H")</f>
        <v>S</v>
      </c>
      <c r="P43" s="31" t="str">
        <f>IF(C43=Stand!C43,"S","H")</f>
        <v>S</v>
      </c>
      <c r="Q43" s="31" t="str">
        <f>IF(D43=Stand!D43,"S","H")</f>
        <v>S</v>
      </c>
      <c r="R43" s="31" t="str">
        <f>IF(E43=Stand!E43,"S","H")</f>
        <v>S</v>
      </c>
      <c r="S43" s="31" t="str">
        <f>IF(F43=Stand!F43,"S","H")</f>
        <v>S</v>
      </c>
      <c r="T43" s="31" t="str">
        <f>IF(G43=Stand!G43,"S","H")</f>
        <v>S</v>
      </c>
      <c r="U43" s="31" t="str">
        <f>IF(H43=Stand!H43,"S","H")</f>
        <v>S</v>
      </c>
      <c r="V43" s="31" t="str">
        <f>IF(I43=Stand!I43,"S","H")</f>
        <v>S</v>
      </c>
      <c r="W43" s="31" t="str">
        <f>IF(J43=Stand!J43,"S","H")</f>
        <v>S</v>
      </c>
      <c r="X43" s="31" t="str">
        <f>IF(K43=Stand!K43,"S","H")</f>
        <v>S</v>
      </c>
    </row>
    <row r="44" spans="1:24" x14ac:dyDescent="0.2">
      <c r="A44">
        <v>21</v>
      </c>
      <c r="B44">
        <f>MAX(Hit!B44,Stand!B44)</f>
        <v>0.92219381142033785</v>
      </c>
      <c r="C44">
        <f>MAX(Hit!C44,Stand!C44)</f>
        <v>0.88200651549403997</v>
      </c>
      <c r="D44">
        <f>MAX(Hit!D44,Stand!D44)</f>
        <v>0.88530035730174927</v>
      </c>
      <c r="E44">
        <f>MAX(Hit!E44,Stand!E44)</f>
        <v>0.88876729296591961</v>
      </c>
      <c r="F44">
        <f>MAX(Hit!F44,Stand!F44)</f>
        <v>0.89175382659528035</v>
      </c>
      <c r="G44">
        <f>MAX(Hit!G44,Stand!G44)</f>
        <v>0.90283674384257995</v>
      </c>
      <c r="H44">
        <f>MAX(Hit!H44,Stand!H44)</f>
        <v>0.92592629596452325</v>
      </c>
      <c r="I44">
        <f>MAX(Hit!I44,Stand!I44)</f>
        <v>0.93060505318396614</v>
      </c>
      <c r="J44">
        <f>MAX(Hit!J44,Stand!J44)</f>
        <v>0.93917615614724415</v>
      </c>
      <c r="K44">
        <f>MAX(Hit!K44,Stand!K44)</f>
        <v>0.96262363326716827</v>
      </c>
      <c r="N44" s="31">
        <v>21</v>
      </c>
      <c r="O44" s="31" t="str">
        <f>IF(B44=Stand!B44,"S","H")</f>
        <v>S</v>
      </c>
      <c r="P44" s="31" t="str">
        <f>IF(C44=Stand!C44,"S","H")</f>
        <v>S</v>
      </c>
      <c r="Q44" s="31" t="str">
        <f>IF(D44=Stand!D44,"S","H")</f>
        <v>S</v>
      </c>
      <c r="R44" s="31" t="str">
        <f>IF(E44=Stand!E44,"S","H")</f>
        <v>S</v>
      </c>
      <c r="S44" s="31" t="str">
        <f>IF(F44=Stand!F44,"S","H")</f>
        <v>S</v>
      </c>
      <c r="T44" s="31" t="str">
        <f>IF(G44=Stand!G44,"S","H")</f>
        <v>S</v>
      </c>
      <c r="U44" s="31" t="str">
        <f>IF(H44=Stand!H44,"S","H")</f>
        <v>S</v>
      </c>
      <c r="V44" s="31" t="str">
        <f>IF(I44=Stand!I44,"S","H")</f>
        <v>S</v>
      </c>
      <c r="W44" s="31" t="str">
        <f>IF(J44=Stand!J44,"S","H")</f>
        <v>S</v>
      </c>
      <c r="X44" s="31" t="str">
        <f>IF(K44=Stand!K44,"S","H")</f>
        <v>S</v>
      </c>
    </row>
    <row r="45" spans="1:24" x14ac:dyDescent="0.2">
      <c r="A45">
        <v>22</v>
      </c>
      <c r="B45">
        <f>MAX(Hit!B45,Stand!B45)</f>
        <v>-0.35054034044008009</v>
      </c>
      <c r="C45">
        <f>MAX(Hit!C45,Stand!C45)</f>
        <v>-0.25338998596663809</v>
      </c>
      <c r="D45">
        <f>MAX(Hit!D45,Stand!D45)</f>
        <v>-0.2336908997980866</v>
      </c>
      <c r="E45">
        <f>MAX(Hit!E45,Stand!E45)</f>
        <v>-0.21106310899491437</v>
      </c>
      <c r="F45">
        <f>MAX(Hit!F45,Stand!F45)</f>
        <v>-0.16719266083547524</v>
      </c>
      <c r="G45">
        <f>MAX(Hit!G45,Stand!G45)</f>
        <v>-0.1536990158300045</v>
      </c>
      <c r="H45">
        <f>MAX(Hit!H45,Stand!H45)</f>
        <v>-0.21284771451731424</v>
      </c>
      <c r="I45">
        <f>MAX(Hit!I45,Stand!I45)</f>
        <v>-0.27157480502428616</v>
      </c>
      <c r="J45">
        <f>MAX(Hit!J45,Stand!J45)</f>
        <v>-0.3400132806089356</v>
      </c>
      <c r="K45">
        <f>MAX(Hit!K45,Stand!K45)</f>
        <v>-0.38104299284808768</v>
      </c>
      <c r="N45" s="31">
        <v>22</v>
      </c>
      <c r="O45" s="31" t="str">
        <f>IF(B45=Stand!B45,"S","H")</f>
        <v>H</v>
      </c>
      <c r="P45" s="31" t="str">
        <f>IF(C45=Stand!C45,"S","H")</f>
        <v>H</v>
      </c>
      <c r="Q45" s="31" t="str">
        <f>IF(D45=Stand!D45,"S","H")</f>
        <v>H</v>
      </c>
      <c r="R45" s="31" t="str">
        <f>IF(E45=Stand!E45,"S","H")</f>
        <v>S</v>
      </c>
      <c r="S45" s="31" t="str">
        <f>IF(F45=Stand!F45,"S","H")</f>
        <v>S</v>
      </c>
      <c r="T45" s="31" t="str">
        <f>IF(G45=Stand!G45,"S","H")</f>
        <v>S</v>
      </c>
      <c r="U45" s="31" t="str">
        <f>IF(H45=Stand!H45,"S","H")</f>
        <v>H</v>
      </c>
      <c r="V45" s="31" t="str">
        <f>IF(I45=Stand!I45,"S","H")</f>
        <v>H</v>
      </c>
      <c r="W45" s="31" t="str">
        <f>IF(J45=Stand!J45,"S","H")</f>
        <v>H</v>
      </c>
      <c r="X45" s="31" t="str">
        <f>IF(K45=Stand!K45,"S","H")</f>
        <v>H</v>
      </c>
    </row>
    <row r="46" spans="1:24" x14ac:dyDescent="0.2">
      <c r="A46">
        <v>23</v>
      </c>
      <c r="B46">
        <f>MAX(Hit!B46,Stand!B46)</f>
        <v>-0.3969303161229315</v>
      </c>
      <c r="C46">
        <f>MAX(Hit!C46,Stand!C46)</f>
        <v>-0.29278372720927726</v>
      </c>
      <c r="D46">
        <f>MAX(Hit!D46,Stand!D46)</f>
        <v>-0.2522502292357135</v>
      </c>
      <c r="E46">
        <f>MAX(Hit!E46,Stand!E46)</f>
        <v>-0.21106310899491437</v>
      </c>
      <c r="F46">
        <f>MAX(Hit!F46,Stand!F46)</f>
        <v>-0.16719266083547524</v>
      </c>
      <c r="G46">
        <f>MAX(Hit!G46,Stand!G46)</f>
        <v>-0.1536990158300045</v>
      </c>
      <c r="H46">
        <f>MAX(Hit!H46,Stand!H46)</f>
        <v>-0.26907287776607752</v>
      </c>
      <c r="I46">
        <f>MAX(Hit!I46,Stand!I46)</f>
        <v>-0.32360517609397998</v>
      </c>
      <c r="J46">
        <f>MAX(Hit!J46,Stand!J46)</f>
        <v>-0.38715518913686875</v>
      </c>
      <c r="K46">
        <f>MAX(Hit!K46,Stand!K46)</f>
        <v>-0.42525420764465277</v>
      </c>
      <c r="N46" s="31">
        <v>23</v>
      </c>
      <c r="O46" s="31" t="str">
        <f>IF(B46=Stand!B46,"S","H")</f>
        <v>H</v>
      </c>
      <c r="P46" s="31" t="str">
        <f>IF(C46=Stand!C46,"S","H")</f>
        <v>S</v>
      </c>
      <c r="Q46" s="31" t="str">
        <f>IF(D46=Stand!D46,"S","H")</f>
        <v>S</v>
      </c>
      <c r="R46" s="31" t="str">
        <f>IF(E46=Stand!E46,"S","H")</f>
        <v>S</v>
      </c>
      <c r="S46" s="31" t="str">
        <f>IF(F46=Stand!F46,"S","H")</f>
        <v>S</v>
      </c>
      <c r="T46" s="31" t="str">
        <f>IF(G46=Stand!G46,"S","H")</f>
        <v>S</v>
      </c>
      <c r="U46" s="31" t="str">
        <f>IF(H46=Stand!H46,"S","H")</f>
        <v>H</v>
      </c>
      <c r="V46" s="31" t="str">
        <f>IF(I46=Stand!I46,"S","H")</f>
        <v>H</v>
      </c>
      <c r="W46" s="31" t="str">
        <f>IF(J46=Stand!J46,"S","H")</f>
        <v>H</v>
      </c>
      <c r="X46" s="31" t="str">
        <f>IF(K46=Stand!K46,"S","H")</f>
        <v>H</v>
      </c>
    </row>
    <row r="47" spans="1:24" x14ac:dyDescent="0.2">
      <c r="A47">
        <v>24</v>
      </c>
      <c r="B47">
        <f>MAX(Hit!B47,Stand!B47)</f>
        <v>-0.44000672211415065</v>
      </c>
      <c r="C47">
        <f>MAX(Hit!C47,Stand!C47)</f>
        <v>-0.29278372720927726</v>
      </c>
      <c r="D47">
        <f>MAX(Hit!D47,Stand!D47)</f>
        <v>-0.2522502292357135</v>
      </c>
      <c r="E47">
        <f>MAX(Hit!E47,Stand!E47)</f>
        <v>-0.21106310899491437</v>
      </c>
      <c r="F47">
        <f>MAX(Hit!F47,Stand!F47)</f>
        <v>-0.16719266083547524</v>
      </c>
      <c r="G47">
        <f>MAX(Hit!G47,Stand!G47)</f>
        <v>-0.1536990158300045</v>
      </c>
      <c r="H47">
        <f>MAX(Hit!H47,Stand!H47)</f>
        <v>-0.3212819579256434</v>
      </c>
      <c r="I47">
        <f>MAX(Hit!I47,Stand!I47)</f>
        <v>-0.37191909208726714</v>
      </c>
      <c r="J47">
        <f>MAX(Hit!J47,Stand!J47)</f>
        <v>-0.43092981848423528</v>
      </c>
      <c r="K47">
        <f>MAX(Hit!K47,Stand!K47)</f>
        <v>-0.46630747852717758</v>
      </c>
      <c r="N47" s="31">
        <v>24</v>
      </c>
      <c r="O47" s="31" t="str">
        <f>IF(B47=Stand!B47,"S","H")</f>
        <v>H</v>
      </c>
      <c r="P47" s="31" t="str">
        <f>IF(C47=Stand!C47,"S","H")</f>
        <v>S</v>
      </c>
      <c r="Q47" s="31" t="str">
        <f>IF(D47=Stand!D47,"S","H")</f>
        <v>S</v>
      </c>
      <c r="R47" s="31" t="str">
        <f>IF(E47=Stand!E47,"S","H")</f>
        <v>S</v>
      </c>
      <c r="S47" s="31" t="str">
        <f>IF(F47=Stand!F47,"S","H")</f>
        <v>S</v>
      </c>
      <c r="T47" s="31" t="str">
        <f>IF(G47=Stand!G47,"S","H")</f>
        <v>S</v>
      </c>
      <c r="U47" s="31" t="str">
        <f>IF(H47=Stand!H47,"S","H")</f>
        <v>H</v>
      </c>
      <c r="V47" s="31" t="str">
        <f>IF(I47=Stand!I47,"S","H")</f>
        <v>H</v>
      </c>
      <c r="W47" s="31" t="str">
        <f>IF(J47=Stand!J47,"S","H")</f>
        <v>H</v>
      </c>
      <c r="X47" s="31" t="str">
        <f>IF(K47=Stand!K47,"S","H")</f>
        <v>H</v>
      </c>
    </row>
    <row r="48" spans="1:24" x14ac:dyDescent="0.2">
      <c r="A48">
        <v>25</v>
      </c>
      <c r="B48">
        <f>MAX(Hit!B48,Stand!B48)</f>
        <v>-0.4800062419631399</v>
      </c>
      <c r="C48">
        <f>MAX(Hit!C48,Stand!C48)</f>
        <v>-0.29278372720927726</v>
      </c>
      <c r="D48">
        <f>MAX(Hit!D48,Stand!D48)</f>
        <v>-0.2522502292357135</v>
      </c>
      <c r="E48">
        <f>MAX(Hit!E48,Stand!E48)</f>
        <v>-0.21106310899491437</v>
      </c>
      <c r="F48">
        <f>MAX(Hit!F48,Stand!F48)</f>
        <v>-0.16719266083547524</v>
      </c>
      <c r="G48">
        <f>MAX(Hit!G48,Stand!G48)</f>
        <v>-0.1536990158300045</v>
      </c>
      <c r="H48">
        <f>MAX(Hit!H48,Stand!H48)</f>
        <v>-0.36976181807381175</v>
      </c>
      <c r="I48">
        <f>MAX(Hit!I48,Stand!I48)</f>
        <v>-0.41678201408103371</v>
      </c>
      <c r="J48">
        <f>MAX(Hit!J48,Stand!J48)</f>
        <v>-0.47157768859250415</v>
      </c>
      <c r="K48">
        <f>MAX(Hit!K48,Stand!K48)</f>
        <v>-0.5044283729180935</v>
      </c>
      <c r="N48" s="31">
        <v>25</v>
      </c>
      <c r="O48" s="31" t="str">
        <f>IF(B48=Stand!B48,"S","H")</f>
        <v>H</v>
      </c>
      <c r="P48" s="31" t="str">
        <f>IF(C48=Stand!C48,"S","H")</f>
        <v>S</v>
      </c>
      <c r="Q48" s="31" t="str">
        <f>IF(D48=Stand!D48,"S","H")</f>
        <v>S</v>
      </c>
      <c r="R48" s="31" t="str">
        <f>IF(E48=Stand!E48,"S","H")</f>
        <v>S</v>
      </c>
      <c r="S48" s="31" t="str">
        <f>IF(F48=Stand!F48,"S","H")</f>
        <v>S</v>
      </c>
      <c r="T48" s="31" t="str">
        <f>IF(G48=Stand!G48,"S","H")</f>
        <v>S</v>
      </c>
      <c r="U48" s="31" t="str">
        <f>IF(H48=Stand!H48,"S","H")</f>
        <v>H</v>
      </c>
      <c r="V48" s="31" t="str">
        <f>IF(I48=Stand!I48,"S","H")</f>
        <v>H</v>
      </c>
      <c r="W48" s="31" t="str">
        <f>IF(J48=Stand!J48,"S","H")</f>
        <v>H</v>
      </c>
      <c r="X48" s="31" t="str">
        <f>IF(K48=Stand!K48,"S","H")</f>
        <v>H</v>
      </c>
    </row>
    <row r="49" spans="1:24" x14ac:dyDescent="0.2">
      <c r="A49">
        <v>26</v>
      </c>
      <c r="B49">
        <f>MAX(Hit!B49,Stand!B49)</f>
        <v>-0.51714865325148707</v>
      </c>
      <c r="C49">
        <f>MAX(Hit!C49,Stand!C49)</f>
        <v>-0.29278372720927726</v>
      </c>
      <c r="D49">
        <f>MAX(Hit!D49,Stand!D49)</f>
        <v>-0.2522502292357135</v>
      </c>
      <c r="E49">
        <f>MAX(Hit!E49,Stand!E49)</f>
        <v>-0.21106310899491437</v>
      </c>
      <c r="F49">
        <f>MAX(Hit!F49,Stand!F49)</f>
        <v>-0.16719266083547524</v>
      </c>
      <c r="G49">
        <f>MAX(Hit!G49,Stand!G49)</f>
        <v>-0.1536990158300045</v>
      </c>
      <c r="H49">
        <f>MAX(Hit!H49,Stand!H49)</f>
        <v>-0.41477883106853947</v>
      </c>
      <c r="I49">
        <f>MAX(Hit!I49,Stand!I49)</f>
        <v>-0.45844044164667419</v>
      </c>
      <c r="J49">
        <f>MAX(Hit!J49,Stand!J49)</f>
        <v>-0.50932213940732529</v>
      </c>
      <c r="K49">
        <f>MAX(Hit!K49,Stand!K49)</f>
        <v>-0.53982634628108683</v>
      </c>
      <c r="N49" s="31">
        <v>26</v>
      </c>
      <c r="O49" s="31" t="str">
        <f>IF(B49=Stand!B49,"S","H")</f>
        <v>H</v>
      </c>
      <c r="P49" s="31" t="str">
        <f>IF(C49=Stand!C49,"S","H")</f>
        <v>S</v>
      </c>
      <c r="Q49" s="31" t="str">
        <f>IF(D49=Stand!D49,"S","H")</f>
        <v>S</v>
      </c>
      <c r="R49" s="31" t="str">
        <f>IF(E49=Stand!E49,"S","H")</f>
        <v>S</v>
      </c>
      <c r="S49" s="31" t="str">
        <f>IF(F49=Stand!F49,"S","H")</f>
        <v>S</v>
      </c>
      <c r="T49" s="31" t="str">
        <f>IF(G49=Stand!G49,"S","H")</f>
        <v>S</v>
      </c>
      <c r="U49" s="31" t="str">
        <f>IF(H49=Stand!H49,"S","H")</f>
        <v>H</v>
      </c>
      <c r="V49" s="31" t="str">
        <f>IF(I49=Stand!I49,"S","H")</f>
        <v>H</v>
      </c>
      <c r="W49" s="31" t="str">
        <f>IF(J49=Stand!J49,"S","H")</f>
        <v>H</v>
      </c>
      <c r="X49" s="31" t="str">
        <f>IF(K49=Stand!K49,"S","H")</f>
        <v>H</v>
      </c>
    </row>
    <row r="50" spans="1:24" x14ac:dyDescent="0.2">
      <c r="A50">
        <v>27</v>
      </c>
      <c r="B50">
        <f>MAX(Hit!B50,Stand!B50)</f>
        <v>-0.47803347499473703</v>
      </c>
      <c r="C50">
        <f>MAX(Hit!C50,Stand!C50)</f>
        <v>-0.15297458768154204</v>
      </c>
      <c r="D50">
        <f>MAX(Hit!D50,Stand!D50)</f>
        <v>-0.11721624142457365</v>
      </c>
      <c r="E50">
        <f>MAX(Hit!E50,Stand!E50)</f>
        <v>-8.0573373145316152E-2</v>
      </c>
      <c r="F50">
        <f>MAX(Hit!F50,Stand!F50)</f>
        <v>-4.4941375564924446E-2</v>
      </c>
      <c r="G50">
        <f>MAX(Hit!G50,Stand!G50)</f>
        <v>1.1739160673341853E-2</v>
      </c>
      <c r="H50">
        <f>MAX(Hit!H50,Stand!H50)</f>
        <v>-0.10680898948269468</v>
      </c>
      <c r="I50">
        <f>MAX(Hit!I50,Stand!I50)</f>
        <v>-0.38195097104844711</v>
      </c>
      <c r="J50">
        <f>MAX(Hit!J50,Stand!J50)</f>
        <v>-0.42315423964521737</v>
      </c>
      <c r="K50">
        <f>MAX(Hit!K50,Stand!K50)</f>
        <v>-0.41972063392881986</v>
      </c>
      <c r="N50" s="31">
        <v>27</v>
      </c>
      <c r="O50" s="31" t="str">
        <f>IF(B50=Stand!B50,"S","H")</f>
        <v>S</v>
      </c>
      <c r="P50" s="31" t="str">
        <f>IF(C50=Stand!C50,"S","H")</f>
        <v>S</v>
      </c>
      <c r="Q50" s="31" t="str">
        <f>IF(D50=Stand!D50,"S","H")</f>
        <v>S</v>
      </c>
      <c r="R50" s="31" t="str">
        <f>IF(E50=Stand!E50,"S","H")</f>
        <v>S</v>
      </c>
      <c r="S50" s="31" t="str">
        <f>IF(F50=Stand!F50,"S","H")</f>
        <v>S</v>
      </c>
      <c r="T50" s="31" t="str">
        <f>IF(G50=Stand!G50,"S","H")</f>
        <v>S</v>
      </c>
      <c r="U50" s="31" t="str">
        <f>IF(H50=Stand!H50,"S","H")</f>
        <v>S</v>
      </c>
      <c r="V50" s="31" t="str">
        <f>IF(I50=Stand!I50,"S","H")</f>
        <v>S</v>
      </c>
      <c r="W50" s="31" t="str">
        <f>IF(J50=Stand!J50,"S","H")</f>
        <v>S</v>
      </c>
      <c r="X50" s="31" t="str">
        <f>IF(K50=Stand!K50,"S","H")</f>
        <v>S</v>
      </c>
    </row>
    <row r="51" spans="1:24" x14ac:dyDescent="0.2">
      <c r="A51">
        <v>28</v>
      </c>
      <c r="B51">
        <f>MAX(Hit!B51,Stand!B51)</f>
        <v>-0.10019887561319057</v>
      </c>
      <c r="C51">
        <f>MAX(Hit!C51,Stand!C51)</f>
        <v>0.12174190222088771</v>
      </c>
      <c r="D51">
        <f>MAX(Hit!D51,Stand!D51)</f>
        <v>0.14830007284131119</v>
      </c>
      <c r="E51">
        <f>MAX(Hit!E51,Stand!E51)</f>
        <v>0.17585443719748528</v>
      </c>
      <c r="F51">
        <f>MAX(Hit!F51,Stand!F51)</f>
        <v>0.19956119497617719</v>
      </c>
      <c r="G51">
        <f>MAX(Hit!G51,Stand!G51)</f>
        <v>0.28344391604689856</v>
      </c>
      <c r="H51">
        <f>MAX(Hit!H51,Stand!H51)</f>
        <v>0.3995541673365518</v>
      </c>
      <c r="I51">
        <f>MAX(Hit!I51,Stand!I51)</f>
        <v>0.10595134861912359</v>
      </c>
      <c r="J51">
        <f>MAX(Hit!J51,Stand!J51)</f>
        <v>-0.18316335667343331</v>
      </c>
      <c r="K51">
        <f>MAX(Hit!K51,Stand!K51)</f>
        <v>-0.17830123379648949</v>
      </c>
      <c r="N51" s="31">
        <v>28</v>
      </c>
      <c r="O51" s="31" t="str">
        <f>IF(B51=Stand!B51,"S","H")</f>
        <v>S</v>
      </c>
      <c r="P51" s="31" t="str">
        <f>IF(C51=Stand!C51,"S","H")</f>
        <v>S</v>
      </c>
      <c r="Q51" s="31" t="str">
        <f>IF(D51=Stand!D51,"S","H")</f>
        <v>S</v>
      </c>
      <c r="R51" s="31" t="str">
        <f>IF(E51=Stand!E51,"S","H")</f>
        <v>S</v>
      </c>
      <c r="S51" s="31" t="str">
        <f>IF(F51=Stand!F51,"S","H")</f>
        <v>S</v>
      </c>
      <c r="T51" s="31" t="str">
        <f>IF(G51=Stand!G51,"S","H")</f>
        <v>S</v>
      </c>
      <c r="U51" s="31" t="str">
        <f>IF(H51=Stand!H51,"S","H")</f>
        <v>S</v>
      </c>
      <c r="V51" s="31" t="str">
        <f>IF(I51=Stand!I51,"S","H")</f>
        <v>S</v>
      </c>
      <c r="W51" s="31" t="str">
        <f>IF(J51=Stand!J51,"S","H")</f>
        <v>S</v>
      </c>
      <c r="X51" s="31" t="str">
        <f>IF(K51=Stand!K51,"S","H")</f>
        <v>S</v>
      </c>
    </row>
    <row r="52" spans="1:24" x14ac:dyDescent="0.2">
      <c r="A52">
        <v>29</v>
      </c>
      <c r="B52">
        <f>MAX(Hit!B52,Stand!B52)</f>
        <v>0.27763572376835594</v>
      </c>
      <c r="C52">
        <f>MAX(Hit!C52,Stand!C52)</f>
        <v>0.38630468602058993</v>
      </c>
      <c r="D52">
        <f>MAX(Hit!D52,Stand!D52)</f>
        <v>0.4043629365977599</v>
      </c>
      <c r="E52">
        <f>MAX(Hit!E52,Stand!E52)</f>
        <v>0.42317892482749653</v>
      </c>
      <c r="F52">
        <f>MAX(Hit!F52,Stand!F52)</f>
        <v>0.43951210416088371</v>
      </c>
      <c r="G52">
        <f>MAX(Hit!G52,Stand!G52)</f>
        <v>0.49597707378731914</v>
      </c>
      <c r="H52">
        <f>MAX(Hit!H52,Stand!H52)</f>
        <v>0.6159764957534315</v>
      </c>
      <c r="I52">
        <f>MAX(Hit!I52,Stand!I52)</f>
        <v>0.59385366828669439</v>
      </c>
      <c r="J52">
        <f>MAX(Hit!J52,Stand!J52)</f>
        <v>0.28759675706758148</v>
      </c>
      <c r="K52">
        <f>MAX(Hit!K52,Stand!K52)</f>
        <v>6.3118166335840831E-2</v>
      </c>
      <c r="N52" s="31">
        <v>29</v>
      </c>
      <c r="O52" s="31" t="str">
        <f>IF(B52=Stand!B52,"S","H")</f>
        <v>S</v>
      </c>
      <c r="P52" s="31" t="str">
        <f>IF(C52=Stand!C52,"S","H")</f>
        <v>S</v>
      </c>
      <c r="Q52" s="31" t="str">
        <f>IF(D52=Stand!D52,"S","H")</f>
        <v>S</v>
      </c>
      <c r="R52" s="31" t="str">
        <f>IF(E52=Stand!E52,"S","H")</f>
        <v>S</v>
      </c>
      <c r="S52" s="31" t="str">
        <f>IF(F52=Stand!F52,"S","H")</f>
        <v>S</v>
      </c>
      <c r="T52" s="31" t="str">
        <f>IF(G52=Stand!G52,"S","H")</f>
        <v>S</v>
      </c>
      <c r="U52" s="31" t="str">
        <f>IF(H52=Stand!H52,"S","H")</f>
        <v>S</v>
      </c>
      <c r="V52" s="31" t="str">
        <f>IF(I52=Stand!I52,"S","H")</f>
        <v>S</v>
      </c>
      <c r="W52" s="31" t="str">
        <f>IF(J52=Stand!J52,"S","H")</f>
        <v>S</v>
      </c>
      <c r="X52" s="31" t="str">
        <f>IF(K52=Stand!K52,"S","H")</f>
        <v>S</v>
      </c>
    </row>
    <row r="53" spans="1:24" x14ac:dyDescent="0.2">
      <c r="A53">
        <v>30</v>
      </c>
      <c r="B53">
        <f>MAX(Hit!B53,Stand!B53)</f>
        <v>0.65547032314990239</v>
      </c>
      <c r="C53">
        <f>MAX(Hit!C53,Stand!C53)</f>
        <v>0.63998657521683877</v>
      </c>
      <c r="D53">
        <f>MAX(Hit!D53,Stand!D53)</f>
        <v>0.65027209425148136</v>
      </c>
      <c r="E53">
        <f>MAX(Hit!E53,Stand!E53)</f>
        <v>0.66104996194807186</v>
      </c>
      <c r="F53">
        <f>MAX(Hit!F53,Stand!F53)</f>
        <v>0.67035969063279999</v>
      </c>
      <c r="G53">
        <f>MAX(Hit!G53,Stand!G53)</f>
        <v>0.70395857017134467</v>
      </c>
      <c r="H53">
        <f>MAX(Hit!H53,Stand!H53)</f>
        <v>0.77322722653717491</v>
      </c>
      <c r="I53">
        <f>MAX(Hit!I53,Stand!I53)</f>
        <v>0.79181515955189841</v>
      </c>
      <c r="J53">
        <f>MAX(Hit!J53,Stand!J53)</f>
        <v>0.75835687080859626</v>
      </c>
      <c r="K53">
        <f>MAX(Hit!K53,Stand!K53)</f>
        <v>0.55453756646817121</v>
      </c>
      <c r="N53" s="31">
        <v>30</v>
      </c>
      <c r="O53" s="31" t="str">
        <f>IF(B53=Stand!B53,"S","H")</f>
        <v>S</v>
      </c>
      <c r="P53" s="31" t="str">
        <f>IF(C53=Stand!C53,"S","H")</f>
        <v>S</v>
      </c>
      <c r="Q53" s="31" t="str">
        <f>IF(D53=Stand!D53,"S","H")</f>
        <v>S</v>
      </c>
      <c r="R53" s="31" t="str">
        <f>IF(E53=Stand!E53,"S","H")</f>
        <v>S</v>
      </c>
      <c r="S53" s="31" t="str">
        <f>IF(F53=Stand!F53,"S","H")</f>
        <v>S</v>
      </c>
      <c r="T53" s="31" t="str">
        <f>IF(G53=Stand!G53,"S","H")</f>
        <v>S</v>
      </c>
      <c r="U53" s="31" t="str">
        <f>IF(H53=Stand!H53,"S","H")</f>
        <v>S</v>
      </c>
      <c r="V53" s="31" t="str">
        <f>IF(I53=Stand!I53,"S","H")</f>
        <v>S</v>
      </c>
      <c r="W53" s="31" t="str">
        <f>IF(J53=Stand!J53,"S","H")</f>
        <v>S</v>
      </c>
      <c r="X53" s="31" t="str">
        <f>IF(K53=Stand!K53,"S","H")</f>
        <v>S</v>
      </c>
    </row>
    <row r="54" spans="1:24" x14ac:dyDescent="0.2">
      <c r="A54">
        <v>31</v>
      </c>
      <c r="B54">
        <f>MAX(Hit!B54,Stand!B54)</f>
        <v>0.92219381142033785</v>
      </c>
      <c r="C54">
        <f>MAX(Hit!C54,Stand!C54)</f>
        <v>0.88200651549403997</v>
      </c>
      <c r="D54">
        <f>MAX(Hit!D54,Stand!D54)</f>
        <v>0.88530035730174927</v>
      </c>
      <c r="E54">
        <f>MAX(Hit!E54,Stand!E54)</f>
        <v>0.88876729296591961</v>
      </c>
      <c r="F54">
        <f>MAX(Hit!F54,Stand!F54)</f>
        <v>0.89175382659528035</v>
      </c>
      <c r="G54">
        <f>MAX(Hit!G54,Stand!G54)</f>
        <v>0.90283674384257995</v>
      </c>
      <c r="H54">
        <f>MAX(Hit!H54,Stand!H54)</f>
        <v>0.92592629596452325</v>
      </c>
      <c r="I54">
        <f>MAX(Hit!I54,Stand!I54)</f>
        <v>0.93060505318396614</v>
      </c>
      <c r="J54">
        <f>MAX(Hit!J54,Stand!J54)</f>
        <v>0.93917615614724415</v>
      </c>
      <c r="K54">
        <f>MAX(Hit!K54,Stand!K54)</f>
        <v>0.96262363326716827</v>
      </c>
      <c r="N54" s="31">
        <v>31</v>
      </c>
      <c r="O54" s="31" t="str">
        <f>IF(B54=Stand!B54,"S","H")</f>
        <v>S</v>
      </c>
      <c r="P54" s="31" t="str">
        <f>IF(C54=Stand!C54,"S","H")</f>
        <v>S</v>
      </c>
      <c r="Q54" s="31" t="str">
        <f>IF(D54=Stand!D54,"S","H")</f>
        <v>S</v>
      </c>
      <c r="R54" s="31" t="str">
        <f>IF(E54=Stand!E54,"S","H")</f>
        <v>S</v>
      </c>
      <c r="S54" s="31" t="str">
        <f>IF(F54=Stand!F54,"S","H")</f>
        <v>S</v>
      </c>
      <c r="T54" s="31" t="str">
        <f>IF(G54=Stand!G54,"S","H")</f>
        <v>S</v>
      </c>
      <c r="U54" s="31" t="str">
        <f>IF(H54=Stand!H54,"S","H")</f>
        <v>S</v>
      </c>
      <c r="V54" s="31" t="str">
        <f>IF(I54=Stand!I54,"S","H")</f>
        <v>S</v>
      </c>
      <c r="W54" s="31" t="str">
        <f>IF(J54=Stand!J54,"S","H")</f>
        <v>S</v>
      </c>
      <c r="X54" s="31" t="str">
        <f>IF(K54=Stand!K54,"S","H")</f>
        <v>S</v>
      </c>
    </row>
  </sheetData>
  <sheetProtection sheet="1" objects="1" scenarios="1"/>
  <phoneticPr fontId="14" type="noConversion"/>
  <conditionalFormatting sqref="O2:X31">
    <cfRule type="containsText" dxfId="854" priority="5" operator="containsText" text="S">
      <formula>NOT(ISERROR(SEARCH("S",O2)))</formula>
    </cfRule>
    <cfRule type="containsText" dxfId="853" priority="6" operator="containsText" text="H">
      <formula>NOT(ISERROR(SEARCH("H",O2)))</formula>
    </cfRule>
  </conditionalFormatting>
  <conditionalFormatting sqref="O35:X54">
    <cfRule type="containsText" dxfId="852" priority="3" operator="containsText" text="S">
      <formula>NOT(ISERROR(SEARCH("S",O35)))</formula>
    </cfRule>
    <cfRule type="containsText" dxfId="851" priority="4" operator="containsText" text="H">
      <formula>NOT(ISERROR(SEARCH("H",O35)))</formula>
    </cfRule>
  </conditionalFormatting>
  <conditionalFormatting sqref="O34:X34">
    <cfRule type="containsText" dxfId="850" priority="1" operator="containsText" text="S">
      <formula>NOT(ISERROR(SEARCH("S",O34)))</formula>
    </cfRule>
    <cfRule type="containsText" dxfId="849" priority="2" operator="containsText" text="H">
      <formula>NOT(ISERROR(SEARCH("H",O34)))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IF(Rules!$B$6=Rules!$E$6,2*(SUM(Stand!B4:B11)+Rules!$B$5*Stand!B12+Stand!B36)/(9+Rules!$B$5),HS!B2)</f>
        <v>-1.3339015493710207</v>
      </c>
      <c r="C2">
        <f>IF(Rules!$B$6=Rules!$E$6,2*(SUM(Stand!C4:C11)+Rules!$B$5*Stand!C12+Stand!C36)/(9+Rules!$B$5),HS!C2)</f>
        <v>-0.58556745441855451</v>
      </c>
      <c r="D2">
        <f>IF(Rules!$B$6=Rules!$E$6,2*(SUM(Stand!D4:D11)+Rules!$B$5*Stand!D12+Stand!D36)/(9+Rules!$B$5),HS!D2)</f>
        <v>-0.5045004584714271</v>
      </c>
      <c r="E2">
        <f>IF(Rules!$B$6=Rules!$E$6,2*(SUM(Stand!E4:E11)+Rules!$B$5*Stand!E12+Stand!E36)/(9+Rules!$B$5),HS!E2)</f>
        <v>-0.42212621798982874</v>
      </c>
      <c r="F2">
        <f>IF(Rules!$B$6=Rules!$E$6,2*(SUM(Stand!F4:F11)+Rules!$B$5*Stand!F12+Stand!F36)/(9+Rules!$B$5),HS!F2)</f>
        <v>-0.33438532167095047</v>
      </c>
      <c r="G2">
        <f>IF(Rules!$B$6=Rules!$E$6,2*(SUM(Stand!G4:G11)+Rules!$B$5*Stand!G12+Stand!G36)/(9+Rules!$B$5),HS!G2)</f>
        <v>-0.30739803166000895</v>
      </c>
      <c r="H2">
        <f>IF(Rules!$B$6=Rules!$E$6,2*(SUM(Stand!H4:H11)+Rules!$B$5*Stand!H12+Stand!H36)/(9+Rules!$B$5),HS!H2)</f>
        <v>-0.95075036655386636</v>
      </c>
      <c r="I2">
        <f>IF(Rules!$B$6=Rules!$E$6,2*(SUM(Stand!I4:I11)+Rules!$B$5*Stand!I12+Stand!I36)/(9+Rules!$B$5),HS!I2)</f>
        <v>-1.0210350309952343</v>
      </c>
      <c r="J2">
        <f>IF(Rules!$B$6=Rules!$E$6,2*(SUM(Stand!J4:J11)+Rules!$B$5*Stand!J12+Stand!J36)/(9+Rules!$B$5),HS!J2)</f>
        <v>-1.0862993622622188</v>
      </c>
      <c r="K2">
        <f>IF(Rules!$B$6=Rules!$E$6,2*(SUM(Stand!K4:K11)+Rules!$B$5*Stand!K12+Stand!K36)/(9+Rules!$B$5),HS!K2)</f>
        <v>-1.0808606679899702</v>
      </c>
    </row>
    <row r="3" spans="1:11" x14ac:dyDescent="0.2">
      <c r="A3">
        <v>3</v>
      </c>
      <c r="B3">
        <f>IF(Rules!$B$6=Rules!$E$6,2*(SUM(Stand!B5:B12)+Rules!$B$5*Stand!B13+Stand!B37)/(9+Rules!$B$5),HS!B3)</f>
        <v>-1.3339015493710207</v>
      </c>
      <c r="C3">
        <f>IF(Rules!$B$6=Rules!$E$6,2*(SUM(Stand!C5:C12)+Rules!$B$5*Stand!C13+Stand!C37)/(9+Rules!$B$5),HS!C3)</f>
        <v>-0.58556745441855451</v>
      </c>
      <c r="D3">
        <f>IF(Rules!$B$6=Rules!$E$6,2*(SUM(Stand!D5:D12)+Rules!$B$5*Stand!D13+Stand!D37)/(9+Rules!$B$5),HS!D3)</f>
        <v>-0.5045004584714271</v>
      </c>
      <c r="E3">
        <f>IF(Rules!$B$6=Rules!$E$6,2*(SUM(Stand!E5:E12)+Rules!$B$5*Stand!E13+Stand!E37)/(9+Rules!$B$5),HS!E3)</f>
        <v>-0.42212621798982874</v>
      </c>
      <c r="F3">
        <f>IF(Rules!$B$6=Rules!$E$6,2*(SUM(Stand!F5:F12)+Rules!$B$5*Stand!F13+Stand!F37)/(9+Rules!$B$5),HS!F3)</f>
        <v>-0.33438532167095047</v>
      </c>
      <c r="G3">
        <f>IF(Rules!$B$6=Rules!$E$6,2*(SUM(Stand!G5:G12)+Rules!$B$5*Stand!G13+Stand!G37)/(9+Rules!$B$5),HS!G3)</f>
        <v>-0.30739803166000895</v>
      </c>
      <c r="H3">
        <f>IF(Rules!$B$6=Rules!$E$6,2*(SUM(Stand!H5:H12)+Rules!$B$5*Stand!H13+Stand!H37)/(9+Rules!$B$5),HS!H3)</f>
        <v>-0.95075036655386636</v>
      </c>
      <c r="I3">
        <f>IF(Rules!$B$6=Rules!$E$6,2*(SUM(Stand!I5:I12)+Rules!$B$5*Stand!I13+Stand!I37)/(9+Rules!$B$5),HS!I3)</f>
        <v>-1.0210350309952343</v>
      </c>
      <c r="J3">
        <f>IF(Rules!$B$6=Rules!$E$6,2*(SUM(Stand!J5:J12)+Rules!$B$5*Stand!J13+Stand!J37)/(9+Rules!$B$5),HS!J3)</f>
        <v>-1.0862993622622188</v>
      </c>
      <c r="K3">
        <f>IF(Rules!$B$6=Rules!$E$6,2*(SUM(Stand!K5:K12)+Rules!$B$5*Stand!K13+Stand!K37)/(9+Rules!$B$5),HS!K3)</f>
        <v>-1.0808606679899702</v>
      </c>
    </row>
    <row r="4" spans="1:11" x14ac:dyDescent="0.2">
      <c r="A4">
        <v>4</v>
      </c>
      <c r="B4">
        <f>IF(Rules!$B$6=Rules!$E$6,2*(SUM(Stand!B6:B13)+Rules!$B$5*Stand!B14+Stand!B38)/(9+Rules!$B$5),HS!B4)</f>
        <v>-1.3339015493710207</v>
      </c>
      <c r="C4">
        <f>IF(Rules!$B$6=Rules!$E$6,2*(SUM(Stand!C6:C13)+Rules!$B$5*Stand!C14+Stand!C38)/(9+Rules!$B$5),HS!C4)</f>
        <v>-0.58556745441855451</v>
      </c>
      <c r="D4">
        <f>IF(Rules!$B$6=Rules!$E$6,2*(SUM(Stand!D6:D13)+Rules!$B$5*Stand!D14+Stand!D38)/(9+Rules!$B$5),HS!D4)</f>
        <v>-0.5045004584714271</v>
      </c>
      <c r="E4">
        <f>IF(Rules!$B$6=Rules!$E$6,2*(SUM(Stand!E6:E13)+Rules!$B$5*Stand!E14+Stand!E38)/(9+Rules!$B$5),HS!E4)</f>
        <v>-0.42212621798982874</v>
      </c>
      <c r="F4">
        <f>IF(Rules!$B$6=Rules!$E$6,2*(SUM(Stand!F6:F13)+Rules!$B$5*Stand!F14+Stand!F38)/(9+Rules!$B$5),HS!F4)</f>
        <v>-0.33438532167095047</v>
      </c>
      <c r="G4">
        <f>IF(Rules!$B$6=Rules!$E$6,2*(SUM(Stand!G6:G13)+Rules!$B$5*Stand!G14+Stand!G38)/(9+Rules!$B$5),HS!G4)</f>
        <v>-0.30739803166000895</v>
      </c>
      <c r="H4">
        <f>IF(Rules!$B$6=Rules!$E$6,2*(SUM(Stand!H6:H13)+Rules!$B$5*Stand!H14+Stand!H38)/(9+Rules!$B$5),HS!H4)</f>
        <v>-0.95075036655386636</v>
      </c>
      <c r="I4">
        <f>IF(Rules!$B$6=Rules!$E$6,2*(SUM(Stand!I6:I13)+Rules!$B$5*Stand!I14+Stand!I38)/(9+Rules!$B$5),HS!I4)</f>
        <v>-1.0210350309952343</v>
      </c>
      <c r="J4">
        <f>IF(Rules!$B$6=Rules!$E$6,2*(SUM(Stand!J6:J13)+Rules!$B$5*Stand!J14+Stand!J38)/(9+Rules!$B$5),HS!J4)</f>
        <v>-1.0862993622622188</v>
      </c>
      <c r="K4">
        <f>IF(Rules!$B$6=Rules!$E$6,2*(SUM(Stand!K6:K13)+Rules!$B$5*Stand!K14+Stand!K38)/(9+Rules!$B$5),HS!K4)</f>
        <v>-1.0808606679899702</v>
      </c>
    </row>
    <row r="5" spans="1:11" x14ac:dyDescent="0.2">
      <c r="A5">
        <v>5</v>
      </c>
      <c r="B5">
        <f>IF(Rules!$B$6=Rules!$E$6,2*(SUM(Stand!B7:B14)+Rules!$B$5*Stand!B15+Stand!B39)/(9+Rules!$B$5),HS!B5)</f>
        <v>-1.3339015493710207</v>
      </c>
      <c r="C5">
        <f>IF(Rules!$B$6=Rules!$E$6,2*(SUM(Stand!C7:C14)+Rules!$B$5*Stand!C15+Stand!C39)/(9+Rules!$B$5),HS!C5)</f>
        <v>-0.58556745441855451</v>
      </c>
      <c r="D5">
        <f>IF(Rules!$B$6=Rules!$E$6,2*(SUM(Stand!D7:D14)+Rules!$B$5*Stand!D15+Stand!D39)/(9+Rules!$B$5),HS!D5)</f>
        <v>-0.5045004584714271</v>
      </c>
      <c r="E5">
        <f>IF(Rules!$B$6=Rules!$E$6,2*(SUM(Stand!E7:E14)+Rules!$B$5*Stand!E15+Stand!E39)/(9+Rules!$B$5),HS!E5)</f>
        <v>-0.42212621798982874</v>
      </c>
      <c r="F5">
        <f>IF(Rules!$B$6=Rules!$E$6,2*(SUM(Stand!F7:F14)+Rules!$B$5*Stand!F15+Stand!F39)/(9+Rules!$B$5),HS!F5)</f>
        <v>-0.33438532167095047</v>
      </c>
      <c r="G5">
        <f>IF(Rules!$B$6=Rules!$E$6,2*(SUM(Stand!G7:G14)+Rules!$B$5*Stand!G15+Stand!G39)/(9+Rules!$B$5),HS!G5)</f>
        <v>-0.30739803166000895</v>
      </c>
      <c r="H5">
        <f>IF(Rules!$B$6=Rules!$E$6,2*(SUM(Stand!H7:H14)+Rules!$B$5*Stand!H15+Stand!H39)/(9+Rules!$B$5),HS!H5)</f>
        <v>-0.95075036655386636</v>
      </c>
      <c r="I5">
        <f>IF(Rules!$B$6=Rules!$E$6,2*(SUM(Stand!I7:I14)+Rules!$B$5*Stand!I15+Stand!I39)/(9+Rules!$B$5),HS!I5)</f>
        <v>-1.0210350309952343</v>
      </c>
      <c r="J5">
        <f>IF(Rules!$B$6=Rules!$E$6,2*(SUM(Stand!J7:J14)+Rules!$B$5*Stand!J15+Stand!J39)/(9+Rules!$B$5),HS!J5)</f>
        <v>-1.0862993622622188</v>
      </c>
      <c r="K5">
        <f>IF(Rules!$B$6=Rules!$E$6,2*(SUM(Stand!K7:K14)+Rules!$B$5*Stand!K15+Stand!K39)/(9+Rules!$B$5),HS!K5)</f>
        <v>-1.0808606679899702</v>
      </c>
    </row>
    <row r="6" spans="1:11" x14ac:dyDescent="0.2">
      <c r="A6">
        <v>6</v>
      </c>
      <c r="B6">
        <f>IF(Rules!$B$6=Rules!$E$6,2*(SUM(Stand!B8:B15)+Rules!$B$5*Stand!B16+Stand!B40)/(9+Rules!$B$5),HS!B6)</f>
        <v>-1.3048373494185941</v>
      </c>
      <c r="C6">
        <f>IF(Rules!$B$6=Rules!$E$6,2*(SUM(Stand!C8:C15)+Rules!$B$5*Stand!C16+Stand!C40)/(9+Rules!$B$5),HS!C6)</f>
        <v>-0.56405835602967214</v>
      </c>
      <c r="D6">
        <f>IF(Rules!$B$6=Rules!$E$6,2*(SUM(Stand!D8:D15)+Rules!$B$5*Stand!D16+Stand!D40)/(9+Rules!$B$5),HS!D6)</f>
        <v>-0.4837259988081748</v>
      </c>
      <c r="E6">
        <f>IF(Rules!$B$6=Rules!$E$6,2*(SUM(Stand!E8:E15)+Rules!$B$5*Stand!E16+Stand!E40)/(9+Rules!$B$5),HS!E6)</f>
        <v>-0.40205087401296752</v>
      </c>
      <c r="F6">
        <f>IF(Rules!$B$6=Rules!$E$6,2*(SUM(Stand!F8:F15)+Rules!$B$5*Stand!F16+Stand!F40)/(9+Rules!$B$5),HS!F6)</f>
        <v>-0.31557743162932728</v>
      </c>
      <c r="G6">
        <f>IF(Rules!$B$6=Rules!$E$6,2*(SUM(Stand!G8:G15)+Rules!$B$5*Stand!G16+Stand!G40)/(9+Rules!$B$5),HS!G6)</f>
        <v>-0.281946004505648</v>
      </c>
      <c r="H6">
        <f>IF(Rules!$B$6=Rules!$E$6,2*(SUM(Stand!H8:H15)+Rules!$B$5*Stand!H16+Stand!H40)/(9+Rules!$B$5),HS!H6)</f>
        <v>-0.89404787520090667</v>
      </c>
      <c r="I6">
        <f>IF(Rules!$B$6=Rules!$E$6,2*(SUM(Stand!I8:I15)+Rules!$B$5*Stand!I16+Stand!I40)/(9+Rules!$B$5),HS!I6)</f>
        <v>-1.001255562618439</v>
      </c>
      <c r="J6">
        <f>IF(Rules!$B$6=Rules!$E$6,2*(SUM(Stand!J8:J15)+Rules!$B$5*Stand!J16+Stand!J40)/(9+Rules!$B$5),HS!J6)</f>
        <v>-1.0678385251105431</v>
      </c>
      <c r="K6">
        <f>IF(Rules!$B$6=Rules!$E$6,2*(SUM(Stand!K8:K15)+Rules!$B$5*Stand!K16+Stand!K40)/(9+Rules!$B$5),HS!K6)</f>
        <v>-1.0622899449028678</v>
      </c>
    </row>
    <row r="7" spans="1:11" x14ac:dyDescent="0.2">
      <c r="A7">
        <v>7</v>
      </c>
      <c r="B7">
        <f>IF(Rules!$B$6=Rules!$E$6,2*(SUM(Stand!B9:B16)+Rules!$B$5*Stand!B17+Stand!B41)/(9+Rules!$B$5),HS!B7)</f>
        <v>-1.1304521497040341</v>
      </c>
      <c r="C7">
        <f>IF(Rules!$B$6=Rules!$E$6,2*(SUM(Stand!C9:C16)+Rules!$B$5*Stand!C17+Stand!C41)/(9+Rules!$B$5),HS!C7)</f>
        <v>-0.43575788710453822</v>
      </c>
      <c r="D7">
        <f>IF(Rules!$B$6=Rules!$E$6,2*(SUM(Stand!D9:D16)+Rules!$B$5*Stand!D17+Stand!D41)/(9+Rules!$B$5),HS!D7)</f>
        <v>-0.35977949642195262</v>
      </c>
      <c r="E7">
        <f>IF(Rules!$B$6=Rules!$E$6,2*(SUM(Stand!E9:E16)+Rules!$B$5*Stand!E17+Stand!E41)/(9+Rules!$B$5),HS!E7)</f>
        <v>-0.28229906574509145</v>
      </c>
      <c r="F7">
        <f>IF(Rules!$B$6=Rules!$E$6,2*(SUM(Stand!F9:F16)+Rules!$B$5*Stand!F17+Stand!F41)/(9+Rules!$B$5),HS!F7)</f>
        <v>-0.20273009137958806</v>
      </c>
      <c r="G7">
        <f>IF(Rules!$B$6=Rules!$E$6,2*(SUM(Stand!G9:G16)+Rules!$B$5*Stand!G17+Stand!G41)/(9+Rules!$B$5),HS!G7)</f>
        <v>-0.13833716429227227</v>
      </c>
      <c r="H7">
        <f>IF(Rules!$B$6=Rules!$E$6,2*(SUM(Stand!H9:H16)+Rules!$B$5*Stand!H17+Stand!H41)/(9+Rules!$B$5),HS!H7)</f>
        <v>-0.58933588566302952</v>
      </c>
      <c r="I7">
        <f>IF(Rules!$B$6=Rules!$E$6,2*(SUM(Stand!I9:I16)+Rules!$B$5*Stand!I17+Stand!I41)/(9+Rules!$B$5),HS!I7)</f>
        <v>-0.84707579377778497</v>
      </c>
      <c r="J7">
        <f>IF(Rules!$B$6=Rules!$E$6,2*(SUM(Stand!J9:J16)+Rules!$B$5*Stand!J17+Stand!J41)/(9+Rules!$B$5),HS!J7)</f>
        <v>-0.95707350220048881</v>
      </c>
      <c r="K7">
        <f>IF(Rules!$B$6=Rules!$E$6,2*(SUM(Stand!K9:K16)+Rules!$B$5*Stand!K17+Stand!K41)/(9+Rules!$B$5),HS!K7)</f>
        <v>-0.95086560638025364</v>
      </c>
    </row>
    <row r="8" spans="1:11" x14ac:dyDescent="0.2">
      <c r="A8">
        <v>8</v>
      </c>
      <c r="B8">
        <f>IF(Rules!$B$6=Rules!$E$6,2*(SUM(Stand!B10:B17)+Rules!$B$5*Stand!B18+Stand!B42)/(9+Rules!$B$5),HS!B8)</f>
        <v>-0.81074595022734097</v>
      </c>
      <c r="C8">
        <f>IF(Rules!$B$6=Rules!$E$6,2*(SUM(Stand!C10:C17)+Rules!$B$5*Stand!C18+Stand!C42)/(9+Rules!$B$5),HS!C8)</f>
        <v>-0.20449052049882185</v>
      </c>
      <c r="D8">
        <f>IF(Rules!$B$6=Rules!$E$6,2*(SUM(Stand!D10:D17)+Rules!$B$5*Stand!D18+Stand!D42)/(9+Rules!$B$5),HS!D8)</f>
        <v>-0.13621609509408675</v>
      </c>
      <c r="E8">
        <f>IF(Rules!$B$6=Rules!$E$6,2*(SUM(Stand!E10:E17)+Rules!$B$5*Stand!E18+Stand!E42)/(9+Rules!$B$5),HS!E8)</f>
        <v>-6.6372071152658363E-2</v>
      </c>
      <c r="F8">
        <f>IF(Rules!$B$6=Rules!$E$6,2*(SUM(Stand!F10:F17)+Rules!$B$5*Stand!F18+Stand!F42)/(9+Rules!$B$5),HS!F8)</f>
        <v>3.456443484975604E-3</v>
      </c>
      <c r="G8">
        <f>IF(Rules!$B$6=Rules!$E$6,2*(SUM(Stand!G10:G17)+Rules!$B$5*Stand!G18+Stand!G42)/(9+Rules!$B$5),HS!G8)</f>
        <v>8.7015198128957527E-2</v>
      </c>
      <c r="H8">
        <f>IF(Rules!$B$6=Rules!$E$6,2*(SUM(Stand!H10:H17)+Rules!$B$5*Stand!H18+Stand!H42)/(9+Rules!$B$5),HS!H8)</f>
        <v>-0.18772955497255212</v>
      </c>
      <c r="I8">
        <f>IF(Rules!$B$6=Rules!$E$6,2*(SUM(Stand!I10:I17)+Rules!$B$5*Stand!I18+Stand!I42)/(9+Rules!$B$5),HS!I8)</f>
        <v>-0.45198684873362743</v>
      </c>
      <c r="J8">
        <f>IF(Rules!$B$6=Rules!$E$6,2*(SUM(Stand!J10:J17)+Rules!$B$5*Stand!J18+Stand!J42)/(9+Rules!$B$5),HS!J8)</f>
        <v>-0.7185013349521745</v>
      </c>
      <c r="K8">
        <f>IF(Rules!$B$6=Rules!$E$6,2*(SUM(Stand!K10:K17)+Rules!$B$5*Stand!K18+Stand!K42)/(9+Rules!$B$5),HS!K8)</f>
        <v>-0.7465876524221281</v>
      </c>
    </row>
    <row r="9" spans="1:11" x14ac:dyDescent="0.2">
      <c r="A9">
        <v>9</v>
      </c>
      <c r="B9">
        <f>2*(SUM(Stand!B11:B18)+Rules!$B$5*Stand!B19+Stand!B43)/(9+Rules!$B$5)</f>
        <v>-0.4329113508457943</v>
      </c>
      <c r="C9">
        <f>2*(SUM(Stand!C11:C18)+Rules!$B$5*Stand!C19+Stand!C43)/(9+Rules!$B$5)</f>
        <v>6.1118503166597012E-2</v>
      </c>
      <c r="D9">
        <f>2*(SUM(Stand!D11:D18)+Rules!$B$5*Stand!D19+Stand!D43)/(9+Rules!$B$5)</f>
        <v>0.12081635332999649</v>
      </c>
      <c r="E9">
        <f>2*(SUM(Stand!E11:E18)+Rules!$B$5*Stand!E19+Stand!E43)/(9+Rules!$B$5)</f>
        <v>0.18194893405242166</v>
      </c>
      <c r="F9">
        <f>2*(SUM(Stand!F11:F18)+Rules!$B$5*Stand!F19+Stand!F43)/(9+Rules!$B$5)</f>
        <v>0.24305722487303633</v>
      </c>
      <c r="G9">
        <f>2*(SUM(Stand!G11:G18)+Rules!$B$5*Stand!G19+Stand!G43)/(9+Rules!$B$5)</f>
        <v>0.31705474570166692</v>
      </c>
      <c r="H9">
        <f>2*(SUM(Stand!H11:H18)+Rules!$B$5*Stand!H19+Stand!H43)/(9+Rules!$B$5)</f>
        <v>0.10425035196048602</v>
      </c>
      <c r="I9">
        <f>2*(SUM(Stand!I11:I18)+Rules!$B$5*Stand!I19+Stand!I43)/(9+Rules!$B$5)</f>
        <v>-2.6442289648669331E-2</v>
      </c>
      <c r="J9">
        <f>2*(SUM(Stand!J11:J18)+Rules!$B$5*Stand!J19+Stand!J43)/(9+Rules!$B$5)</f>
        <v>-0.30099565908098225</v>
      </c>
      <c r="K9">
        <f>2*(SUM(Stand!K11:K18)+Rules!$B$5*Stand!K19+Stand!K43)/(9+Rules!$B$5)</f>
        <v>-0.46670671382825923</v>
      </c>
    </row>
    <row r="10" spans="1:11" x14ac:dyDescent="0.2">
      <c r="A10">
        <v>10</v>
      </c>
      <c r="B10">
        <f>2*(SUM(Stand!B12:B19)+Rules!$B$5*Stand!B20+Stand!B44)/(9+Rules!$B$5)</f>
        <v>-1.4042368653411651E-2</v>
      </c>
      <c r="C10">
        <f>2*(SUM(Stand!C12:C19)+Rules!$B$5*Stand!C20+Stand!C44)/(9+Rules!$B$5)</f>
        <v>0.3589394124422991</v>
      </c>
      <c r="D10">
        <f>2*(SUM(Stand!D12:D19)+Rules!$B$5*Stand!D20+Stand!D44)/(9+Rules!$B$5)</f>
        <v>0.40932067017593915</v>
      </c>
      <c r="E10">
        <f>2*(SUM(Stand!E12:E19)+Rules!$B$5*Stand!E20+Stand!E44)/(9+Rules!$B$5)</f>
        <v>0.460940243794354</v>
      </c>
      <c r="F10">
        <f>2*(SUM(Stand!F12:F19)+Rules!$B$5*Stand!F20+Stand!F44)/(9+Rules!$B$5)</f>
        <v>0.51251710900326775</v>
      </c>
      <c r="G10">
        <f>2*(SUM(Stand!G12:G19)+Rules!$B$5*Stand!G20+Stand!G44)/(9+Rules!$B$5)</f>
        <v>0.57559016859776857</v>
      </c>
      <c r="H10">
        <f>2*(SUM(Stand!H12:H19)+Rules!$B$5*Stand!H20+Stand!H44)/(9+Rules!$B$5)</f>
        <v>0.39241245528243773</v>
      </c>
      <c r="I10">
        <f>2*(SUM(Stand!I12:I19)+Rules!$B$5*Stand!I20+Stand!I44)/(9+Rules!$B$5)</f>
        <v>0.28663571688628381</v>
      </c>
      <c r="J10">
        <f>2*(SUM(Stand!J12:J19)+Rules!$B$5*Stand!J20+Stand!J44)/(9+Rules!$B$5)</f>
        <v>0.1443283683807712</v>
      </c>
      <c r="K10">
        <f>2*(SUM(Stand!K12:K19)+Rules!$B$5*Stand!K20+Stand!K44)/(9+Rules!$B$5)</f>
        <v>-8.6586880345447086E-3</v>
      </c>
    </row>
    <row r="11" spans="1:11" x14ac:dyDescent="0.2">
      <c r="A11">
        <v>11</v>
      </c>
      <c r="B11">
        <f>2*(SUM(Stand!B13:B20)+Rules!$B$5*Stand!B21+Stand!B45)/(9+Rules!$B$5)</f>
        <v>0.10906077977909699</v>
      </c>
      <c r="C11">
        <f>2*(SUM(Stand!C13:C20)+Rules!$B$5*Stand!C21+Stand!C45)/(9+Rules!$B$5)</f>
        <v>0.47064092333946889</v>
      </c>
      <c r="D11">
        <f>2*(SUM(Stand!D13:D20)+Rules!$B$5*Stand!D21+Stand!D45)/(9+Rules!$B$5)</f>
        <v>0.51779525312221675</v>
      </c>
      <c r="E11">
        <f>2*(SUM(Stand!E13:E20)+Rules!$B$5*Stand!E21+Stand!E45)/(9+Rules!$B$5)</f>
        <v>0.56604055041797607</v>
      </c>
      <c r="F11">
        <f>2*(SUM(Stand!F13:F20)+Rules!$B$5*Stand!F21+Stand!F45)/(9+Rules!$B$5)</f>
        <v>0.61469901790902803</v>
      </c>
      <c r="G11">
        <f>2*(SUM(Stand!G13:G20)+Rules!$B$5*Stand!G21+Stand!G45)/(9+Rules!$B$5)</f>
        <v>0.66738009490756944</v>
      </c>
      <c r="H11">
        <f>2*(SUM(Stand!H13:H20)+Rules!$B$5*Stand!H21+Stand!H45)/(9+Rules!$B$5)</f>
        <v>0.46288894886429077</v>
      </c>
      <c r="I11">
        <f>2*(SUM(Stand!I13:I20)+Rules!$B$5*Stand!I21+Stand!I45)/(9+Rules!$B$5)</f>
        <v>0.35069259087031501</v>
      </c>
      <c r="J11">
        <f>2*(SUM(Stand!J13:J20)+Rules!$B$5*Stand!J21+Stand!J45)/(9+Rules!$B$5)</f>
        <v>0.22778342315245487</v>
      </c>
      <c r="K11">
        <f>2*(SUM(Stand!K13:K20)+Rules!$B$5*Stand!K21+Stand!K45)/(9+Rules!$B$5)</f>
        <v>0.1796887274111463</v>
      </c>
    </row>
    <row r="12" spans="1:11" x14ac:dyDescent="0.2">
      <c r="A12">
        <v>12</v>
      </c>
      <c r="B12">
        <f>IF(Rules!$B$6=Rules!$E$6,2*(SUM(Stand!B14:B21)+Rules!$B$5*Stand!B22+Stand!B46)/(9+Rules!$B$5),HS!B12)</f>
        <v>-0.82934393707867271</v>
      </c>
      <c r="C12">
        <f>IF(Rules!$B$6=Rules!$E$6,2*(SUM(Stand!C14:C21)+Rules!$B$5*Stand!C22+Stand!C46)/(9+Rules!$B$5),HS!C12)</f>
        <v>-0.50677997193327606</v>
      </c>
      <c r="D12">
        <f>IF(Rules!$B$6=Rules!$E$6,2*(SUM(Stand!D14:D21)+Rules!$B$5*Stand!D22+Stand!D46)/(9+Rules!$B$5),HS!D12)</f>
        <v>-0.46738179959617321</v>
      </c>
      <c r="E12">
        <f>IF(Rules!$B$6=Rules!$E$6,2*(SUM(Stand!E14:E21)+Rules!$B$5*Stand!E22+Stand!E46)/(9+Rules!$B$5),HS!E12)</f>
        <v>-0.4270731064901539</v>
      </c>
      <c r="F12">
        <f>IF(Rules!$B$6=Rules!$E$6,2*(SUM(Stand!F14:F21)+Rules!$B$5*Stand!F22+Stand!F46)/(9+Rules!$B$5),HS!F12)</f>
        <v>-0.38654233885256678</v>
      </c>
      <c r="G12">
        <f>IF(Rules!$B$6=Rules!$E$6,2*(SUM(Stand!G14:G21)+Rules!$B$5*Stand!G22+Stand!G46)/(9+Rules!$B$5),HS!G12)</f>
        <v>-0.34105239981515906</v>
      </c>
      <c r="H12">
        <f>IF(Rules!$B$6=Rules!$E$6,2*(SUM(Stand!H14:H21)+Rules!$B$5*Stand!H22+Stand!H46)/(9+Rules!$B$5),HS!H12)</f>
        <v>-0.50671162107673018</v>
      </c>
      <c r="I12">
        <f>IF(Rules!$B$6=Rules!$E$6,2*(SUM(Stand!I14:I21)+Rules!$B$5*Stand!I22+Stand!I46)/(9+Rules!$B$5),HS!I12)</f>
        <v>-0.61566089283034364</v>
      </c>
      <c r="J12">
        <f>IF(Rules!$B$6=Rules!$E$6,2*(SUM(Stand!J14:J21)+Rules!$B$5*Stand!J22+Stand!J46)/(9+Rules!$B$5),HS!J12)</f>
        <v>-0.73750562104917949</v>
      </c>
      <c r="K12">
        <f>IF(Rules!$B$6=Rules!$E$6,2*(SUM(Stand!K14:K21)+Rules!$B$5*Stand!K22+Stand!K46)/(9+Rules!$B$5),HS!K12)</f>
        <v>-0.79684059040524136</v>
      </c>
    </row>
    <row r="13" spans="1:11" x14ac:dyDescent="0.2">
      <c r="A13">
        <v>13</v>
      </c>
      <c r="B13">
        <f>IF(Rules!$B$6=Rules!$E$6,2*(SUM(Stand!B15:B22)+Rules!$B$5*Stand!B23+Stand!B47)/(9+Rules!$B$5),HS!B13)</f>
        <v>-0.88058227943474798</v>
      </c>
      <c r="C13">
        <f>IF(Rules!$B$6=Rules!$E$6,2*(SUM(Stand!C15:C22)+Rules!$B$5*Stand!C23+Stand!C47)/(9+Rules!$B$5),HS!C13)</f>
        <v>-0.61558247543954125</v>
      </c>
      <c r="D13">
        <f>IF(Rules!$B$6=Rules!$E$6,2*(SUM(Stand!D15:D22)+Rules!$B$5*Stand!D23+Stand!D47)/(9+Rules!$B$5),HS!D13)</f>
        <v>-0.58242022586760189</v>
      </c>
      <c r="E13">
        <f>IF(Rules!$B$6=Rules!$E$6,2*(SUM(Stand!E15:E22)+Rules!$B$5*Stand!E23+Stand!E47)/(9+Rules!$B$5),HS!E13)</f>
        <v>-0.54844801279862854</v>
      </c>
      <c r="F13">
        <f>IF(Rules!$B$6=Rules!$E$6,2*(SUM(Stand!F15:F22)+Rules!$B$5*Stand!F23+Stand!F47)/(9+Rules!$B$5),HS!F13)</f>
        <v>-0.51466654487787822</v>
      </c>
      <c r="G13">
        <f>IF(Rules!$B$6=Rules!$E$6,2*(SUM(Stand!G15:G22)+Rules!$B$5*Stand!G23+Stand!G47)/(9+Rules!$B$5),HS!G13)</f>
        <v>-0.47125255122592757</v>
      </c>
      <c r="H13">
        <f>IF(Rules!$B$6=Rules!$E$6,2*(SUM(Stand!H15:H22)+Rules!$B$5*Stand!H23+Stand!H47)/(9+Rules!$B$5),HS!H13)</f>
        <v>-0.58742313134181745</v>
      </c>
      <c r="I13">
        <f>IF(Rules!$B$6=Rules!$E$6,2*(SUM(Stand!I15:I22)+Rules!$B$5*Stand!I23+Stand!I47)/(9+Rules!$B$5),HS!I13)</f>
        <v>-0.6909658904460948</v>
      </c>
      <c r="J13">
        <f>IF(Rules!$B$6=Rules!$E$6,2*(SUM(Stand!J15:J22)+Rules!$B$5*Stand!J23+Stand!J47)/(9+Rules!$B$5),HS!J13)</f>
        <v>-0.80779028549054732</v>
      </c>
      <c r="K13">
        <f>IF(Rules!$B$6=Rules!$E$6,2*(SUM(Stand!K15:K22)+Rules!$B$5*Stand!K23+Stand!K47)/(9+Rules!$B$5),HS!K13)</f>
        <v>-0.86754361594447438</v>
      </c>
    </row>
    <row r="14" spans="1:11" x14ac:dyDescent="0.2">
      <c r="A14">
        <v>14</v>
      </c>
      <c r="B14">
        <f>IF(Rules!$B$6=Rules!$E$6,2*(SUM(Stand!B16:B23)+Rules!$B$5*Stand!B24+Stand!B48)/(9+Rules!$B$5),HS!B14)</f>
        <v>-0.93182062179082337</v>
      </c>
      <c r="C14">
        <f>IF(Rules!$B$6=Rules!$E$6,2*(SUM(Stand!C16:C23)+Rules!$B$5*Stand!C24+Stand!C48)/(9+Rules!$B$5),HS!C14)</f>
        <v>-0.72438497894580622</v>
      </c>
      <c r="D14">
        <f>IF(Rules!$B$6=Rules!$E$6,2*(SUM(Stand!D16:D23)+Rules!$B$5*Stand!D24+Stand!D48)/(9+Rules!$B$5),HS!D14)</f>
        <v>-0.69745865213903058</v>
      </c>
      <c r="E14">
        <f>IF(Rules!$B$6=Rules!$E$6,2*(SUM(Stand!E16:E23)+Rules!$B$5*Stand!E24+Stand!E48)/(9+Rules!$B$5),HS!E14)</f>
        <v>-0.66982291910710334</v>
      </c>
      <c r="F14">
        <f>IF(Rules!$B$6=Rules!$E$6,2*(SUM(Stand!F16:F23)+Rules!$B$5*Stand!F24+Stand!F48)/(9+Rules!$B$5),HS!F14)</f>
        <v>-0.64279075090318982</v>
      </c>
      <c r="G14">
        <f>IF(Rules!$B$6=Rules!$E$6,2*(SUM(Stand!G16:G23)+Rules!$B$5*Stand!G24+Stand!G48)/(9+Rules!$B$5),HS!G14)</f>
        <v>-0.60145270263669615</v>
      </c>
      <c r="H14">
        <f>IF(Rules!$B$6=Rules!$E$6,2*(SUM(Stand!H16:H23)+Rules!$B$5*Stand!H24+Stand!H48)/(9+Rules!$B$5),HS!H14)</f>
        <v>-0.66813464160690461</v>
      </c>
      <c r="I14">
        <f>IF(Rules!$B$6=Rules!$E$6,2*(SUM(Stand!I16:I23)+Rules!$B$5*Stand!I24+Stand!I48)/(9+Rules!$B$5),HS!I14)</f>
        <v>-0.76627088806184607</v>
      </c>
      <c r="J14">
        <f>IF(Rules!$B$6=Rules!$E$6,2*(SUM(Stand!J16:J23)+Rules!$B$5*Stand!J24+Stand!J48)/(9+Rules!$B$5),HS!J14)</f>
        <v>-0.87807494993191493</v>
      </c>
      <c r="K14">
        <f>IF(Rules!$B$6=Rules!$E$6,2*(SUM(Stand!K16:K23)+Rules!$B$5*Stand!K24+Stand!K48)/(9+Rules!$B$5),HS!K14)</f>
        <v>-0.93824664148370751</v>
      </c>
    </row>
    <row r="15" spans="1:11" x14ac:dyDescent="0.2">
      <c r="A15">
        <v>15</v>
      </c>
      <c r="B15">
        <f>IF(Rules!$B$6=Rules!$E$6,2*(SUM(Stand!B17:B24)+Rules!$B$5*Stand!B25+Stand!B49)/(9+Rules!$B$5),HS!B15)</f>
        <v>-0.98305896414689875</v>
      </c>
      <c r="C15">
        <f>IF(Rules!$B$6=Rules!$E$6,2*(SUM(Stand!C17:C24)+Rules!$B$5*Stand!C25+Stand!C49)/(9+Rules!$B$5),HS!C15)</f>
        <v>-0.83318748245207119</v>
      </c>
      <c r="D15">
        <f>IF(Rules!$B$6=Rules!$E$6,2*(SUM(Stand!D17:D24)+Rules!$B$5*Stand!D25+Stand!D49)/(9+Rules!$B$5),HS!D15)</f>
        <v>-0.81249707841045926</v>
      </c>
      <c r="E15">
        <f>IF(Rules!$B$6=Rules!$E$6,2*(SUM(Stand!E17:E24)+Rules!$B$5*Stand!E25+Stand!E49)/(9+Rules!$B$5),HS!E15)</f>
        <v>-0.79119782541557804</v>
      </c>
      <c r="F15">
        <f>IF(Rules!$B$6=Rules!$E$6,2*(SUM(Stand!F17:F24)+Rules!$B$5*Stand!F25+Stand!F49)/(9+Rules!$B$5),HS!F15)</f>
        <v>-0.77091495692850132</v>
      </c>
      <c r="G15">
        <f>IF(Rules!$B$6=Rules!$E$6,2*(SUM(Stand!G17:G24)+Rules!$B$5*Stand!G25+Stand!G49)/(9+Rules!$B$5),HS!G15)</f>
        <v>-0.73165285404746472</v>
      </c>
      <c r="H15">
        <f>IF(Rules!$B$6=Rules!$E$6,2*(SUM(Stand!H17:H24)+Rules!$B$5*Stand!H25+Stand!H49)/(9+Rules!$B$5),HS!H15)</f>
        <v>-0.74884615187199166</v>
      </c>
      <c r="I15">
        <f>IF(Rules!$B$6=Rules!$E$6,2*(SUM(Stand!I17:I24)+Rules!$B$5*Stand!I25+Stand!I49)/(9+Rules!$B$5),HS!I15)</f>
        <v>-0.84157588567759711</v>
      </c>
      <c r="J15">
        <f>IF(Rules!$B$6=Rules!$E$6,2*(SUM(Stand!J17:J24)+Rules!$B$5*Stand!J25+Stand!J49)/(9+Rules!$B$5),HS!J15)</f>
        <v>-0.94835961437328287</v>
      </c>
      <c r="K15">
        <f>IF(Rules!$B$6=Rules!$E$6,2*(SUM(Stand!K17:K24)+Rules!$B$5*Stand!K25+Stand!K49)/(9+Rules!$B$5),HS!K15)</f>
        <v>-1.0089496670229408</v>
      </c>
    </row>
    <row r="16" spans="1:11" x14ac:dyDescent="0.2">
      <c r="A16">
        <v>16</v>
      </c>
      <c r="B16">
        <f>IF(Rules!$B$6=Rules!$E$6,2*(SUM(Stand!B18:B25)+Rules!$B$5*Stand!B26+Stand!B50)/(9+Rules!$B$5),HS!B16)</f>
        <v>-1.0342973065029741</v>
      </c>
      <c r="C16">
        <f>IF(Rules!$B$6=Rules!$E$6,2*(SUM(Stand!C18:C25)+Rules!$B$5*Stand!C26+Stand!C50)/(9+Rules!$B$5),HS!C16)</f>
        <v>-0.94198998595833627</v>
      </c>
      <c r="D16">
        <f>IF(Rules!$B$6=Rules!$E$6,2*(SUM(Stand!D18:D25)+Rules!$B$5*Stand!D26+Stand!D50)/(9+Rules!$B$5),HS!D16)</f>
        <v>-0.92753550468188806</v>
      </c>
      <c r="E16">
        <f>IF(Rules!$B$6=Rules!$E$6,2*(SUM(Stand!E18:E25)+Rules!$B$5*Stand!E26+Stand!E50)/(9+Rules!$B$5),HS!E16)</f>
        <v>-0.91257273172405273</v>
      </c>
      <c r="F16">
        <f>IF(Rules!$B$6=Rules!$E$6,2*(SUM(Stand!F18:F25)+Rules!$B$5*Stand!F26+Stand!F50)/(9+Rules!$B$5),HS!F16)</f>
        <v>-0.89903916295381292</v>
      </c>
      <c r="G16">
        <f>IF(Rules!$B$6=Rules!$E$6,2*(SUM(Stand!G18:G25)+Rules!$B$5*Stand!G26+Stand!G50)/(9+Rules!$B$5),HS!G16)</f>
        <v>-0.86185300545823318</v>
      </c>
      <c r="H16">
        <f>IF(Rules!$B$6=Rules!$E$6,2*(SUM(Stand!H18:H25)+Rules!$B$5*Stand!H26+Stand!H50)/(9+Rules!$B$5),HS!H16)</f>
        <v>-0.82955766213707893</v>
      </c>
      <c r="I16">
        <f>IF(Rules!$B$6=Rules!$E$6,2*(SUM(Stand!I18:I25)+Rules!$B$5*Stand!I26+Stand!I50)/(9+Rules!$B$5),HS!I16)</f>
        <v>-0.91688088329334838</v>
      </c>
      <c r="J16">
        <f>IF(Rules!$B$6=Rules!$E$6,2*(SUM(Stand!J18:J25)+Rules!$B$5*Stand!J26+Stand!J50)/(9+Rules!$B$5),HS!J16)</f>
        <v>-1.0186442788146506</v>
      </c>
      <c r="K16">
        <f>IF(Rules!$B$6=Rules!$E$6,2*(SUM(Stand!K18:K25)+Rules!$B$5*Stand!K26+Stand!K50)/(9+Rules!$B$5),HS!K16)</f>
        <v>-1.0796526925621737</v>
      </c>
    </row>
    <row r="17" spans="1:11" x14ac:dyDescent="0.2">
      <c r="A17">
        <v>17</v>
      </c>
      <c r="B17">
        <f>IF(Rules!$B$6=Rules!$E$6,2*(SUM(Stand!B19:B26)+Rules!$B$5*Stand!B27+Stand!B51)/(9+Rules!$B$5),HS!B17)</f>
        <v>-1.1145998488114761</v>
      </c>
      <c r="C17">
        <f>IF(Rules!$B$6=Rules!$E$6,2*(SUM(Stand!C19:C26)+Rules!$B$5*Stand!C27+Stand!C51)/(9+Rules!$B$5),HS!C17)</f>
        <v>-1.0723015878534836</v>
      </c>
      <c r="D17">
        <f>IF(Rules!$B$6=Rules!$E$6,2*(SUM(Stand!D19:D26)+Rules!$B$5*Stand!D27+Stand!D51)/(9+Rules!$B$5),HS!D17)</f>
        <v>-1.0633483906165688</v>
      </c>
      <c r="E17">
        <f>IF(Rules!$B$6=Rules!$E$6,2*(SUM(Stand!E19:E26)+Rules!$B$5*Stand!E27+Stand!E51)/(9+Rules!$B$5),HS!E17)</f>
        <v>-1.0540229820093887</v>
      </c>
      <c r="F17">
        <f>IF(Rules!$B$6=Rules!$E$6,2*(SUM(Stand!F19:F26)+Rules!$B$5*Stand!F27+Stand!F51)/(9+Rules!$B$5),HS!F17)</f>
        <v>-1.0459712590207475</v>
      </c>
      <c r="G17">
        <f>IF(Rules!$B$6=Rules!$E$6,2*(SUM(Stand!G19:G26)+Rules!$B$5*Stand!G27+Stand!G51)/(9+Rules!$B$5),HS!G17)</f>
        <v>-1.0175051840233627</v>
      </c>
      <c r="H17">
        <f>IF(Rules!$B$6=Rules!$E$6,2*(SUM(Stand!H19:H26)+Rules!$B$5*Stand!H27+Stand!H51)/(9+Rules!$B$5),HS!H17)</f>
        <v>-0.96697166375512589</v>
      </c>
      <c r="I17">
        <f>IF(Rules!$B$6=Rules!$E$6,2*(SUM(Stand!I19:I26)+Rules!$B$5*Stand!I27+Stand!I51)/(9+Rules!$B$5),HS!I17)</f>
        <v>-1.0119653492858949</v>
      </c>
      <c r="J17">
        <f>IF(Rules!$B$6=Rules!$E$6,2*(SUM(Stand!J19:J26)+Rules!$B$5*Stand!J27+Stand!J51)/(9+Rules!$B$5),HS!J17)</f>
        <v>-1.107389780407694</v>
      </c>
      <c r="K17">
        <f>IF(Rules!$B$6=Rules!$E$6,2*(SUM(Stand!K19:K26)+Rules!$B$5*Stand!K27+Stand!K51)/(9+Rules!$B$5),HS!K17)</f>
        <v>-1.168926441188509</v>
      </c>
    </row>
    <row r="18" spans="1:11" x14ac:dyDescent="0.2">
      <c r="A18">
        <v>18</v>
      </c>
      <c r="B18">
        <f>IF(Rules!$B$6=Rules!$E$6,2*(SUM(Stand!B20:B27)+Rules!$B$5*Stand!B28+Stand!B52)/(9+Rules!$B$5),HS!B18)</f>
        <v>-1.2530307910248315</v>
      </c>
      <c r="C18">
        <f>IF(Rules!$B$6=Rules!$E$6,2*(SUM(Stand!C20:C27)+Rules!$B$5*Stand!C28+Stand!C52)/(9+Rules!$B$5),HS!C18)</f>
        <v>-1.2448772651182354</v>
      </c>
      <c r="D18">
        <f>IF(Rules!$B$6=Rules!$E$6,2*(SUM(Stand!D20:D27)+Rules!$B$5*Stand!D28+Stand!D52)/(9+Rules!$B$5),HS!D18)</f>
        <v>-1.2400099402844629</v>
      </c>
      <c r="E18">
        <f>IF(Rules!$B$6=Rules!$E$6,2*(SUM(Stand!E20:E27)+Rules!$B$5*Stand!E28+Stand!E52)/(9+Rules!$B$5),HS!E18)</f>
        <v>-1.2349236646551558</v>
      </c>
      <c r="F18">
        <f>IF(Rules!$B$6=Rules!$E$6,2*(SUM(Stand!F20:F27)+Rules!$B$5*Stand!F28+Stand!F52)/(9+Rules!$B$5),HS!F18)</f>
        <v>-1.2305191351709284</v>
      </c>
      <c r="G18">
        <f>IF(Rules!$B$6=Rules!$E$6,2*(SUM(Stand!G20:G27)+Rules!$B$5*Stand!G28+Stand!G52)/(9+Rules!$B$5),HS!G18)</f>
        <v>-1.214958094184424</v>
      </c>
      <c r="H18">
        <f>IF(Rules!$B$6=Rules!$E$6,2*(SUM(Stand!H20:H27)+Rules!$B$5*Stand!H28+Stand!H52)/(9+Rules!$B$5),HS!H18)</f>
        <v>-1.1822876894992109</v>
      </c>
      <c r="I18">
        <f>IF(Rules!$B$6=Rules!$E$6,2*(SUM(Stand!I20:I27)+Rules!$B$5*Stand!I28+Stand!I52)/(9+Rules!$B$5),HS!I18)</f>
        <v>-1.1821117106119141</v>
      </c>
      <c r="J18">
        <f>IF(Rules!$B$6=Rules!$E$6,2*(SUM(Stand!J20:J27)+Rules!$B$5*Stand!J28+Stand!J52)/(9+Rules!$B$5),HS!J18)</f>
        <v>-1.2330569563040892</v>
      </c>
      <c r="K18">
        <f>IF(Rules!$B$6=Rules!$E$6,2*(SUM(Stand!K20:K27)+Rules!$B$5*Stand!K28+Stand!K52)/(9+Rules!$B$5),HS!K18)</f>
        <v>-1.2953416359890493</v>
      </c>
    </row>
    <row r="19" spans="1:11" x14ac:dyDescent="0.2">
      <c r="A19">
        <v>19</v>
      </c>
      <c r="B19">
        <f>IF(Rules!$B$6=Rules!$E$6,2*(SUM(Stand!B21:B28)+Rules!$B$5*Stand!B29+Stand!B53)/(9+Rules!$B$5),HS!B19)</f>
        <v>-1.4495901331430399</v>
      </c>
      <c r="C19">
        <f>IF(Rules!$B$6=Rules!$E$6,2*(SUM(Stand!C21:C28)+Rules!$B$5*Stand!C29+Stand!C53)/(9+Rules!$B$5),HS!C19)</f>
        <v>-1.4581549091214032</v>
      </c>
      <c r="D19">
        <f>IF(Rules!$B$6=Rules!$E$6,2*(SUM(Stand!D21:D28)+Rules!$B$5*Stand!D29+Stand!D53)/(9+Rules!$B$5),HS!D19)</f>
        <v>-1.4560657766841187</v>
      </c>
      <c r="E19">
        <f>IF(Rules!$B$6=Rules!$E$6,2*(SUM(Stand!E21:E28)+Rules!$B$5*Stand!E29+Stand!E53)/(9+Rules!$B$5),HS!E19)</f>
        <v>-1.4538742684747705</v>
      </c>
      <c r="F19">
        <f>IF(Rules!$B$6=Rules!$E$6,2*(SUM(Stand!F21:F28)+Rules!$B$5*Stand!F29+Stand!F53)/(9+Rules!$B$5),HS!F19)</f>
        <v>-1.4519825358110645</v>
      </c>
      <c r="G19">
        <f>IF(Rules!$B$6=Rules!$E$6,2*(SUM(Stand!G21:G28)+Rules!$B$5*Stand!G29+Stand!G53)/(9+Rules!$B$5),HS!G19)</f>
        <v>-1.4451084132286267</v>
      </c>
      <c r="H19">
        <f>IF(Rules!$B$6=Rules!$E$6,2*(SUM(Stand!H21:H28)+Rules!$B$5*Stand!H29+Stand!H53)/(9+Rules!$B$5),HS!H19)</f>
        <v>-1.4308994580766619</v>
      </c>
      <c r="I19">
        <f>IF(Rules!$B$6=Rules!$E$6,2*(SUM(Stand!I21:I28)+Rules!$B$5*Stand!I29+Stand!I53)/(9+Rules!$B$5),HS!I19)</f>
        <v>-1.4273199672714054</v>
      </c>
      <c r="J19">
        <f>IF(Rules!$B$6=Rules!$E$6,2*(SUM(Stand!J21:J28)+Rules!$B$5*Stand!J29+Stand!J53)/(9+Rules!$B$5),HS!J19)</f>
        <v>-1.4311487650837169</v>
      </c>
      <c r="K19">
        <f>IF(Rules!$B$6=Rules!$E$6,2*(SUM(Stand!K21:K28)+Rules!$B$5*Stand!K29+Stand!K53)/(9+Rules!$B$5),HS!K19)</f>
        <v>-1.4588982769637939</v>
      </c>
    </row>
    <row r="20" spans="1:11" x14ac:dyDescent="0.2">
      <c r="A20">
        <v>20</v>
      </c>
      <c r="B20">
        <f>IF(Rules!$B$6=Rules!$E$6,2*(SUM(Stand!B22:B29)+Rules!$B$5*Stand!B30+Stand!B54)/(9+Rules!$B$5),HS!B20)</f>
        <v>-1.7042778751661021</v>
      </c>
      <c r="C20">
        <f>IF(Rules!$B$6=Rules!$E$6,2*(SUM(Stand!C22:C29)+Rules!$B$5*Stand!C30+Stand!C54)/(9+Rules!$B$5),HS!C20)</f>
        <v>-1.7104605360778398</v>
      </c>
      <c r="D20">
        <f>IF(Rules!$B$6=Rules!$E$6,2*(SUM(Stand!D22:D29)+Rules!$B$5*Stand!D30+Stand!D54)/(9+Rules!$B$5),HS!D20)</f>
        <v>-1.7099537911843461</v>
      </c>
      <c r="E20">
        <f>IF(Rules!$B$6=Rules!$E$6,2*(SUM(Stand!E22:E29)+Rules!$B$5*Stand!E30+Stand!E54)/(9+Rules!$B$5),HS!E20)</f>
        <v>-1.7094204164667817</v>
      </c>
      <c r="F20">
        <f>IF(Rules!$B$6=Rules!$E$6,2*(SUM(Stand!F22:F29)+Rules!$B$5*Stand!F30+Stand!F54)/(9+Rules!$B$5),HS!F20)</f>
        <v>-1.7089609497545721</v>
      </c>
      <c r="G20">
        <f>IF(Rules!$B$6=Rules!$E$6,2*(SUM(Stand!G22:G29)+Rules!$B$5*Stand!G30+Stand!G54)/(9+Rules!$B$5),HS!G20)</f>
        <v>-1.70725588556268</v>
      </c>
      <c r="H20">
        <f>IF(Rules!$B$6=Rules!$E$6,2*(SUM(Stand!H22:H29)+Rules!$B$5*Stand!H30+Stand!H54)/(9+Rules!$B$5),HS!H20)</f>
        <v>-1.7037036467746889</v>
      </c>
      <c r="I20">
        <f>IF(Rules!$B$6=Rules!$E$6,2*(SUM(Stand!I22:I29)+Rules!$B$5*Stand!I30+Stand!I54)/(9+Rules!$B$5),HS!I20)</f>
        <v>-1.7029838379716975</v>
      </c>
      <c r="J20">
        <f>IF(Rules!$B$6=Rules!$E$6,2*(SUM(Stand!J22:J29)+Rules!$B$5*Stand!J30+Stand!J54)/(9+Rules!$B$5),HS!J20)</f>
        <v>-1.7016652067465778</v>
      </c>
      <c r="K20">
        <f>IF(Rules!$B$6=Rules!$E$6,2*(SUM(Stand!K22:K29)+Rules!$B$5*Stand!K30+Stand!K54)/(9+Rules!$B$5),HS!K20)</f>
        <v>-1.6980579025742819</v>
      </c>
    </row>
    <row r="21" spans="1:11" x14ac:dyDescent="0.2">
      <c r="A21">
        <v>21</v>
      </c>
      <c r="B21">
        <f>IF(Rules!$B$6=Rules!$E$6,2*(SUM(Stand!B23:B30)+Rules!$B$5*Stand!B31+Stand!B55)/(9+Rules!$B$5),HS!B21)</f>
        <v>-1.8461538461538463</v>
      </c>
      <c r="C21">
        <f>IF(Rules!$B$6=Rules!$E$6,2*(SUM(Stand!C23:C30)+Rules!$B$5*Stand!C31+Stand!C55)/(9+Rules!$B$5),HS!C21)</f>
        <v>-1.8461538461538463</v>
      </c>
      <c r="D21">
        <f>IF(Rules!$B$6=Rules!$E$6,2*(SUM(Stand!D23:D30)+Rules!$B$5*Stand!D31+Stand!D55)/(9+Rules!$B$5),HS!D21)</f>
        <v>-1.8461538461538463</v>
      </c>
      <c r="E21">
        <f>IF(Rules!$B$6=Rules!$E$6,2*(SUM(Stand!E23:E30)+Rules!$B$5*Stand!E31+Stand!E55)/(9+Rules!$B$5),HS!E21)</f>
        <v>-1.8461538461538463</v>
      </c>
      <c r="F21">
        <f>IF(Rules!$B$6=Rules!$E$6,2*(SUM(Stand!F23:F30)+Rules!$B$5*Stand!F31+Stand!F55)/(9+Rules!$B$5),HS!F21)</f>
        <v>-1.8461538461538463</v>
      </c>
      <c r="G21">
        <f>IF(Rules!$B$6=Rules!$E$6,2*(SUM(Stand!G23:G30)+Rules!$B$5*Stand!G31+Stand!G55)/(9+Rules!$B$5),HS!G21)</f>
        <v>-1.8461538461538463</v>
      </c>
      <c r="H21">
        <f>IF(Rules!$B$6=Rules!$E$6,2*(SUM(Stand!H23:H30)+Rules!$B$5*Stand!H31+Stand!H55)/(9+Rules!$B$5),HS!H21)</f>
        <v>-1.8461538461538463</v>
      </c>
      <c r="I21">
        <f>IF(Rules!$B$6=Rules!$E$6,2*(SUM(Stand!I23:I30)+Rules!$B$5*Stand!I31+Stand!I55)/(9+Rules!$B$5),HS!I21)</f>
        <v>-1.8461538461538463</v>
      </c>
      <c r="J21">
        <f>IF(Rules!$B$6=Rules!$E$6,2*(SUM(Stand!J23:J30)+Rules!$B$5*Stand!J31+Stand!J55)/(9+Rules!$B$5),HS!J21)</f>
        <v>-1.8461538461538463</v>
      </c>
      <c r="K21">
        <f>IF(Rules!$B$6=Rules!$E$6,2*(SUM(Stand!K23:K30)+Rules!$B$5*Stand!K31+Stand!K55)/(9+Rules!$B$5),HS!K21)</f>
        <v>-1.8461538461538463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IF(Rules!$B$6=Rules!$E$6,2*(SUM(Stand!B35:B43)+Rules!$B$5*Stand!B44)/(9+Rules!$B$5),HS!B34)</f>
        <v>0.10906077977909699</v>
      </c>
      <c r="C34">
        <f>IF(Rules!$B$6=Rules!$E$6,2*(SUM(Stand!C35:C43)+Rules!$B$5*Stand!C44)/(9+Rules!$B$5),HS!C34)</f>
        <v>0.47064092333946894</v>
      </c>
      <c r="D34">
        <f>IF(Rules!$B$6=Rules!$E$6,2*(SUM(Stand!D35:D43)+Rules!$B$5*Stand!D44)/(9+Rules!$B$5),HS!D34)</f>
        <v>0.51779525312221664</v>
      </c>
      <c r="E34">
        <f>IF(Rules!$B$6=Rules!$E$6,2*(SUM(Stand!E35:E43)+Rules!$B$5*Stand!E44)/(9+Rules!$B$5),HS!E34)</f>
        <v>0.56604055041797596</v>
      </c>
      <c r="F34">
        <f>IF(Rules!$B$6=Rules!$E$6,2*(SUM(Stand!F35:F43)+Rules!$B$5*Stand!F44)/(9+Rules!$B$5),HS!F34)</f>
        <v>0.61469901790902803</v>
      </c>
      <c r="G34">
        <f>IF(Rules!$B$6=Rules!$E$6,2*(SUM(Stand!G35:G43)+Rules!$B$5*Stand!G44)/(9+Rules!$B$5),HS!G34)</f>
        <v>0.66738009490756944</v>
      </c>
      <c r="H34">
        <f>IF(Rules!$B$6=Rules!$E$6,2*(SUM(Stand!H35:H43)+Rules!$B$5*Stand!H44)/(9+Rules!$B$5),HS!H34)</f>
        <v>0.46288894886429088</v>
      </c>
      <c r="I34">
        <f>IF(Rules!$B$6=Rules!$E$6,2*(SUM(Stand!I35:I43)+Rules!$B$5*Stand!I44)/(9+Rules!$B$5),HS!I34)</f>
        <v>0.35069259087031512</v>
      </c>
      <c r="J34">
        <f>IF(Rules!$B$6=Rules!$E$6,2*(SUM(Stand!J35:J43)+Rules!$B$5*Stand!J44)/(9+Rules!$B$5),HS!J34)</f>
        <v>0.22778342315245487</v>
      </c>
      <c r="K34">
        <f>IF(Rules!$B$6=Rules!$E$6,2*(SUM(Stand!K35:K43)+Rules!$B$5*Stand!K44)/(9+Rules!$B$5),HS!K34)</f>
        <v>0.17968872741114625</v>
      </c>
    </row>
    <row r="35" spans="1:11" x14ac:dyDescent="0.2">
      <c r="A35">
        <v>12</v>
      </c>
      <c r="B35">
        <f>IF(Rules!$B$6=Rules!$E$6,2*(SUM(Stand!B36:B44)+Rules!$B$5*Stand!B45)/(9+Rules!$B$5),HS!B35)</f>
        <v>-0.6243905676543714</v>
      </c>
      <c r="C35">
        <f>IF(Rules!$B$6=Rules!$E$6,2*(SUM(Stand!C36:C44)+Rules!$B$5*Stand!C45)/(9+Rules!$B$5),HS!C35)</f>
        <v>-7.1569957908215978E-2</v>
      </c>
      <c r="D35">
        <f>IF(Rules!$B$6=Rules!$E$6,2*(SUM(Stand!D36:D44)+Rules!$B$5*Stand!D45)/(9+Rules!$B$5),HS!D35)</f>
        <v>-7.2280945104584455E-3</v>
      </c>
      <c r="E35">
        <f>IF(Rules!$B$6=Rules!$E$6,2*(SUM(Stand!E36:E44)+Rules!$B$5*Stand!E45)/(9+Rules!$B$5),HS!E35)</f>
        <v>5.8426518743744951E-2</v>
      </c>
      <c r="F35">
        <f>IF(Rules!$B$6=Rules!$E$6,2*(SUM(Stand!F36:F44)+Rules!$B$5*Stand!F45)/(9+Rules!$B$5),HS!F35)</f>
        <v>0.12595448524867925</v>
      </c>
      <c r="G35">
        <f>IF(Rules!$B$6=Rules!$E$6,2*(SUM(Stand!G36:G44)+Rules!$B$5*Stand!G45)/(9+Rules!$B$5),HS!G35)</f>
        <v>0.17974820582791512</v>
      </c>
      <c r="H35">
        <f>IF(Rules!$B$6=Rules!$E$6,2*(SUM(Stand!H36:H44)+Rules!$B$5*Stand!H45)/(9+Rules!$B$5),HS!H35)</f>
        <v>-0.1838655800163814</v>
      </c>
      <c r="I35">
        <f>IF(Rules!$B$6=Rules!$E$6,2*(SUM(Stand!I36:I44)+Rules!$B$5*Stand!I45)/(9+Rules!$B$5),HS!I35)</f>
        <v>-0.31444090236733879</v>
      </c>
      <c r="J35">
        <f>IF(Rules!$B$6=Rules!$E$6,2*(SUM(Stand!J36:J44)+Rules!$B$5*Stand!J45)/(9+Rules!$B$5),HS!J35)</f>
        <v>-0.45636696328370829</v>
      </c>
      <c r="K35">
        <f>IF(Rules!$B$6=Rules!$E$6,2*(SUM(Stand!K36:K44)+Rules!$B$5*Stand!K45)/(9+Rules!$B$5),HS!K35)</f>
        <v>-0.51402848824830905</v>
      </c>
    </row>
    <row r="36" spans="1:11" x14ac:dyDescent="0.2">
      <c r="A36">
        <v>13</v>
      </c>
      <c r="B36">
        <f>IF(Rules!$B$6=Rules!$E$6,2*(SUM(Stand!B37:B45)+Rules!$B$5*Stand!B46)/(9+Rules!$B$5),HS!B36)</f>
        <v>-0.6243905676543714</v>
      </c>
      <c r="C36">
        <f>IF(Rules!$B$6=Rules!$E$6,2*(SUM(Stand!C37:C45)+Rules!$B$5*Stand!C46)/(9+Rules!$B$5),HS!C36)</f>
        <v>-7.1569957908215978E-2</v>
      </c>
      <c r="D36">
        <f>IF(Rules!$B$6=Rules!$E$6,2*(SUM(Stand!D37:D45)+Rules!$B$5*Stand!D46)/(9+Rules!$B$5),HS!D36)</f>
        <v>-7.228094510458429E-3</v>
      </c>
      <c r="E36">
        <f>IF(Rules!$B$6=Rules!$E$6,2*(SUM(Stand!E37:E45)+Rules!$B$5*Stand!E46)/(9+Rules!$B$5),HS!E36)</f>
        <v>5.8426518743744923E-2</v>
      </c>
      <c r="F36">
        <f>IF(Rules!$B$6=Rules!$E$6,2*(SUM(Stand!F37:F45)+Rules!$B$5*Stand!F46)/(9+Rules!$B$5),HS!F36)</f>
        <v>0.12595448524867925</v>
      </c>
      <c r="G36">
        <f>IF(Rules!$B$6=Rules!$E$6,2*(SUM(Stand!G37:G45)+Rules!$B$5*Stand!G46)/(9+Rules!$B$5),HS!G36)</f>
        <v>0.17974820582791512</v>
      </c>
      <c r="H36">
        <f>IF(Rules!$B$6=Rules!$E$6,2*(SUM(Stand!H37:H45)+Rules!$B$5*Stand!H46)/(9+Rules!$B$5),HS!H36)</f>
        <v>-0.18386558001638137</v>
      </c>
      <c r="I36">
        <f>IF(Rules!$B$6=Rules!$E$6,2*(SUM(Stand!I37:I45)+Rules!$B$5*Stand!I46)/(9+Rules!$B$5),HS!I36)</f>
        <v>-0.31444090236733879</v>
      </c>
      <c r="J36">
        <f>IF(Rules!$B$6=Rules!$E$6,2*(SUM(Stand!J37:J45)+Rules!$B$5*Stand!J46)/(9+Rules!$B$5),HS!J36)</f>
        <v>-0.45636696328370829</v>
      </c>
      <c r="K36">
        <f>IF(Rules!$B$6=Rules!$E$6,2*(SUM(Stand!K37:K45)+Rules!$B$5*Stand!K46)/(9+Rules!$B$5),HS!K36)</f>
        <v>-0.51402848824830905</v>
      </c>
    </row>
    <row r="37" spans="1:11" x14ac:dyDescent="0.2">
      <c r="A37">
        <v>14</v>
      </c>
      <c r="B37">
        <f>IF(Rules!$B$6=Rules!$E$6,2*(SUM(Stand!B38:B46)+Rules!$B$5*Stand!B47)/(9+Rules!$B$5),HS!B37)</f>
        <v>-0.6243905676543714</v>
      </c>
      <c r="C37">
        <f>IF(Rules!$B$6=Rules!$E$6,2*(SUM(Stand!C38:C46)+Rules!$B$5*Stand!C47)/(9+Rules!$B$5),HS!C37)</f>
        <v>-7.1569957908215978E-2</v>
      </c>
      <c r="D37">
        <f>IF(Rules!$B$6=Rules!$E$6,2*(SUM(Stand!D38:D46)+Rules!$B$5*Stand!D47)/(9+Rules!$B$5),HS!D37)</f>
        <v>-7.228094510458429E-3</v>
      </c>
      <c r="E37">
        <f>IF(Rules!$B$6=Rules!$E$6,2*(SUM(Stand!E38:E46)+Rules!$B$5*Stand!E47)/(9+Rules!$B$5),HS!E37)</f>
        <v>5.8426518743744951E-2</v>
      </c>
      <c r="F37">
        <f>IF(Rules!$B$6=Rules!$E$6,2*(SUM(Stand!F38:F46)+Rules!$B$5*Stand!F47)/(9+Rules!$B$5),HS!F37)</f>
        <v>0.12595448524867925</v>
      </c>
      <c r="G37">
        <f>IF(Rules!$B$6=Rules!$E$6,2*(SUM(Stand!G38:G46)+Rules!$B$5*Stand!G47)/(9+Rules!$B$5),HS!G37)</f>
        <v>0.17974820582791512</v>
      </c>
      <c r="H37">
        <f>IF(Rules!$B$6=Rules!$E$6,2*(SUM(Stand!H38:H46)+Rules!$B$5*Stand!H47)/(9+Rules!$B$5),HS!H37)</f>
        <v>-0.1838655800163814</v>
      </c>
      <c r="I37">
        <f>IF(Rules!$B$6=Rules!$E$6,2*(SUM(Stand!I38:I46)+Rules!$B$5*Stand!I47)/(9+Rules!$B$5),HS!I37)</f>
        <v>-0.31444090236733879</v>
      </c>
      <c r="J37">
        <f>IF(Rules!$B$6=Rules!$E$6,2*(SUM(Stand!J38:J46)+Rules!$B$5*Stand!J47)/(9+Rules!$B$5),HS!J37)</f>
        <v>-0.45636696328370829</v>
      </c>
      <c r="K37">
        <f>IF(Rules!$B$6=Rules!$E$6,2*(SUM(Stand!K38:K46)+Rules!$B$5*Stand!K47)/(9+Rules!$B$5),HS!K37)</f>
        <v>-0.51402848824830905</v>
      </c>
    </row>
    <row r="38" spans="1:11" x14ac:dyDescent="0.2">
      <c r="A38">
        <v>15</v>
      </c>
      <c r="B38">
        <f>IF(Rules!$B$6=Rules!$E$6,2*(SUM(Stand!B39:B47)+Rules!$B$5*Stand!B48)/(9+Rules!$B$5),HS!B38)</f>
        <v>-0.6243905676543714</v>
      </c>
      <c r="C38">
        <f>IF(Rules!$B$6=Rules!$E$6,2*(SUM(Stand!C39:C47)+Rules!$B$5*Stand!C48)/(9+Rules!$B$5),HS!C38)</f>
        <v>-7.1569957908215937E-2</v>
      </c>
      <c r="D38">
        <f>IF(Rules!$B$6=Rules!$E$6,2*(SUM(Stand!D39:D47)+Rules!$B$5*Stand!D48)/(9+Rules!$B$5),HS!D38)</f>
        <v>-7.2280945104584975E-3</v>
      </c>
      <c r="E38">
        <f>IF(Rules!$B$6=Rules!$E$6,2*(SUM(Stand!E39:E47)+Rules!$B$5*Stand!E48)/(9+Rules!$B$5),HS!E38)</f>
        <v>5.8426518743744923E-2</v>
      </c>
      <c r="F38">
        <f>IF(Rules!$B$6=Rules!$E$6,2*(SUM(Stand!F39:F47)+Rules!$B$5*Stand!F48)/(9+Rules!$B$5),HS!F38)</f>
        <v>0.12595448524867925</v>
      </c>
      <c r="G38">
        <f>IF(Rules!$B$6=Rules!$E$6,2*(SUM(Stand!G39:G47)+Rules!$B$5*Stand!G48)/(9+Rules!$B$5),HS!G38)</f>
        <v>0.17974820582791512</v>
      </c>
      <c r="H38">
        <f>IF(Rules!$B$6=Rules!$E$6,2*(SUM(Stand!H39:H47)+Rules!$B$5*Stand!H48)/(9+Rules!$B$5),HS!H38)</f>
        <v>-0.18386558001638142</v>
      </c>
      <c r="I38">
        <f>IF(Rules!$B$6=Rules!$E$6,2*(SUM(Stand!I39:I47)+Rules!$B$5*Stand!I48)/(9+Rules!$B$5),HS!I38)</f>
        <v>-0.31444090236733874</v>
      </c>
      <c r="J38">
        <f>IF(Rules!$B$6=Rules!$E$6,2*(SUM(Stand!J39:J47)+Rules!$B$5*Stand!J48)/(9+Rules!$B$5),HS!J38)</f>
        <v>-0.45636696328370829</v>
      </c>
      <c r="K38">
        <f>IF(Rules!$B$6=Rules!$E$6,2*(SUM(Stand!K39:K47)+Rules!$B$5*Stand!K48)/(9+Rules!$B$5),HS!K38)</f>
        <v>-0.51402848824830905</v>
      </c>
    </row>
    <row r="39" spans="1:11" x14ac:dyDescent="0.2">
      <c r="A39">
        <v>16</v>
      </c>
      <c r="B39">
        <f>IF(Rules!$B$6=Rules!$E$6,2*(SUM(Stand!B40:B48)+Rules!$B$5*Stand!B49)/(9+Rules!$B$5),HS!B39)</f>
        <v>-0.6243905676543714</v>
      </c>
      <c r="C39">
        <f>IF(Rules!$B$6=Rules!$E$6,2*(SUM(Stand!C40:C48)+Rules!$B$5*Stand!C49)/(9+Rules!$B$5),HS!C39)</f>
        <v>-7.1569957908215937E-2</v>
      </c>
      <c r="D39">
        <f>IF(Rules!$B$6=Rules!$E$6,2*(SUM(Stand!D40:D48)+Rules!$B$5*Stand!D49)/(9+Rules!$B$5),HS!D39)</f>
        <v>-7.2280945104584975E-3</v>
      </c>
      <c r="E39">
        <f>IF(Rules!$B$6=Rules!$E$6,2*(SUM(Stand!E40:E48)+Rules!$B$5*Stand!E49)/(9+Rules!$B$5),HS!E39)</f>
        <v>5.8426518743744951E-2</v>
      </c>
      <c r="F39">
        <f>IF(Rules!$B$6=Rules!$E$6,2*(SUM(Stand!F40:F48)+Rules!$B$5*Stand!F49)/(9+Rules!$B$5),HS!F39)</f>
        <v>0.12595448524867925</v>
      </c>
      <c r="G39">
        <f>IF(Rules!$B$6=Rules!$E$6,2*(SUM(Stand!G40:G48)+Rules!$B$5*Stand!G49)/(9+Rules!$B$5),HS!G39)</f>
        <v>0.17974820582791512</v>
      </c>
      <c r="H39">
        <f>IF(Rules!$B$6=Rules!$E$6,2*(SUM(Stand!H40:H48)+Rules!$B$5*Stand!H49)/(9+Rules!$B$5),HS!H39)</f>
        <v>-0.18386558001638142</v>
      </c>
      <c r="I39">
        <f>IF(Rules!$B$6=Rules!$E$6,2*(SUM(Stand!I40:I48)+Rules!$B$5*Stand!I49)/(9+Rules!$B$5),HS!I39)</f>
        <v>-0.31444090236733874</v>
      </c>
      <c r="J39">
        <f>IF(Rules!$B$6=Rules!$E$6,2*(SUM(Stand!J40:J48)+Rules!$B$5*Stand!J49)/(9+Rules!$B$5),HS!J39)</f>
        <v>-0.45636696328370829</v>
      </c>
      <c r="K39">
        <f>IF(Rules!$B$6=Rules!$E$6,2*(SUM(Stand!K40:K48)+Rules!$B$5*Stand!K49)/(9+Rules!$B$5),HS!K39)</f>
        <v>-0.51402848824830905</v>
      </c>
    </row>
    <row r="40" spans="1:11" x14ac:dyDescent="0.2">
      <c r="A40">
        <v>17</v>
      </c>
      <c r="B40">
        <f>IF(Rules!$B$6=Rules!$E$6,2*(SUM(Stand!B41:B49)+Rules!$B$5*Stand!B50)/(9+Rules!$B$5),HS!B40)</f>
        <v>-0.53719796779709139</v>
      </c>
      <c r="C40">
        <f>IF(Rules!$B$6=Rules!$E$6,2*(SUM(Stand!C41:C49)+Rules!$B$5*Stand!C50)/(9+Rules!$B$5),HS!C40)</f>
        <v>-7.0426627415689164E-3</v>
      </c>
      <c r="D40">
        <f>IF(Rules!$B$6=Rules!$E$6,2*(SUM(Stand!D41:D49)+Rules!$B$5*Stand!D50)/(9+Rules!$B$5),HS!D40)</f>
        <v>5.5095284479298338E-2</v>
      </c>
      <c r="E40">
        <f>IF(Rules!$B$6=Rules!$E$6,2*(SUM(Stand!E41:E49)+Rules!$B$5*Stand!E50)/(9+Rules!$B$5),HS!E40)</f>
        <v>0.11865255067432869</v>
      </c>
      <c r="F40">
        <f>IF(Rules!$B$6=Rules!$E$6,2*(SUM(Stand!F41:F49)+Rules!$B$5*Stand!F50)/(9+Rules!$B$5),HS!F40)</f>
        <v>0.18237815537354879</v>
      </c>
      <c r="G40">
        <f>IF(Rules!$B$6=Rules!$E$6,2*(SUM(Stand!G41:G49)+Rules!$B$5*Stand!G50)/(9+Rules!$B$5),HS!G40)</f>
        <v>0.2561042872909981</v>
      </c>
      <c r="H40">
        <f>IF(Rules!$B$6=Rules!$E$6,2*(SUM(Stand!H41:H49)+Rules!$B$5*Stand!H50)/(9+Rules!$B$5),HS!H40)</f>
        <v>-1.3758105957502069E-2</v>
      </c>
      <c r="I40">
        <f>IF(Rules!$B$6=Rules!$E$6,2*(SUM(Stand!I41:I49)+Rules!$B$5*Stand!I50)/(9+Rules!$B$5),HS!I40)</f>
        <v>-0.25510249723695255</v>
      </c>
      <c r="J40">
        <f>IF(Rules!$B$6=Rules!$E$6,2*(SUM(Stand!J41:J49)+Rules!$B$5*Stand!J50)/(9+Rules!$B$5),HS!J40)</f>
        <v>-0.40098445182868125</v>
      </c>
      <c r="K40">
        <f>IF(Rules!$B$6=Rules!$E$6,2*(SUM(Stand!K41:K49)+Rules!$B$5*Stand!K50)/(9+Rules!$B$5),HS!K40)</f>
        <v>-0.45831631898700209</v>
      </c>
    </row>
    <row r="41" spans="1:11" x14ac:dyDescent="0.2">
      <c r="A41">
        <v>18</v>
      </c>
      <c r="B41">
        <f>IF(Rules!$B$6=Rules!$E$6,2*(SUM(Stand!B42:B50)+Rules!$B$5*Stand!B51)/(9+Rules!$B$5),HS!B41)</f>
        <v>-0.36281276808253149</v>
      </c>
      <c r="C41">
        <f>IF(Rules!$B$6=Rules!$E$6,2*(SUM(Stand!C42:C50)+Rules!$B$5*Stand!C51)/(9+Rules!$B$5),HS!C41)</f>
        <v>0.11974956336724479</v>
      </c>
      <c r="D41">
        <f>IF(Rules!$B$6=Rules!$E$6,2*(SUM(Stand!D42:D50)+Rules!$B$5*Stand!D51)/(9+Rules!$B$5),HS!D41)</f>
        <v>0.17764127567893753</v>
      </c>
      <c r="E41">
        <f>IF(Rules!$B$6=Rules!$E$6,2*(SUM(Stand!E42:E50)+Rules!$B$5*Stand!E51)/(9+Rules!$B$5),HS!E41)</f>
        <v>0.23700384775562167</v>
      </c>
      <c r="F41">
        <f>IF(Rules!$B$6=Rules!$E$6,2*(SUM(Stand!F42:F50)+Rules!$B$5*Stand!F51)/(9+Rules!$B$5),HS!F41)</f>
        <v>0.29522549562328804</v>
      </c>
      <c r="G41">
        <f>IF(Rules!$B$6=Rules!$E$6,2*(SUM(Stand!G42:G50)+Rules!$B$5*Stand!G51)/(9+Rules!$B$5),HS!G41)</f>
        <v>0.38150648207879345</v>
      </c>
      <c r="H41">
        <f>IF(Rules!$B$6=Rules!$E$6,2*(SUM(Stand!H42:H50)+Rules!$B$5*Stand!H51)/(9+Rules!$B$5),HS!H41)</f>
        <v>0.21994796642061171</v>
      </c>
      <c r="I41">
        <f>IF(Rules!$B$6=Rules!$E$6,2*(SUM(Stand!I42:I50)+Rules!$B$5*Stand!I51)/(9+Rules!$B$5),HS!I41)</f>
        <v>-2.9916811236535352E-2</v>
      </c>
      <c r="J41">
        <f>IF(Rules!$B$6=Rules!$E$6,2*(SUM(Stand!J42:J50)+Rules!$B$5*Stand!J51)/(9+Rules!$B$5),HS!J41)</f>
        <v>-0.29021942891862701</v>
      </c>
      <c r="K41">
        <f>IF(Rules!$B$6=Rules!$E$6,2*(SUM(Stand!K42:K50)+Rules!$B$5*Stand!K51)/(9+Rules!$B$5),HS!K41)</f>
        <v>-0.34689198046438807</v>
      </c>
    </row>
    <row r="42" spans="1:11" x14ac:dyDescent="0.2">
      <c r="A42">
        <v>19</v>
      </c>
      <c r="B42">
        <f>2*(SUM(Stand!B43:B51)+Rules!$B$5*Stand!B52)/(9+Rules!$B$5)</f>
        <v>-0.18842756836797164</v>
      </c>
      <c r="C42">
        <f>2*(SUM(Stand!C43:C51)+Rules!$B$5*Stand!C52)/(9+Rules!$B$5)</f>
        <v>0.24185546358249196</v>
      </c>
      <c r="D42">
        <f>2*(SUM(Stand!D43:D51)+Rules!$B$5*Stand!D52)/(9+Rules!$B$5)</f>
        <v>0.29582413587422152</v>
      </c>
      <c r="E42">
        <f>2*(SUM(Stand!E43:E51)+Rules!$B$5*Stand!E52)/(9+Rules!$B$5)</f>
        <v>0.35115361127716532</v>
      </c>
      <c r="F42">
        <f>2*(SUM(Stand!F43:F51)+Rules!$B$5*Stand!F52)/(9+Rules!$B$5)</f>
        <v>0.40597206909315264</v>
      </c>
      <c r="G42">
        <f>2*(SUM(Stand!G43:G51)+Rules!$B$5*Stand!G52)/(9+Rules!$B$5)</f>
        <v>0.47959870872821841</v>
      </c>
      <c r="H42">
        <f>2*(SUM(Stand!H43:H51)+Rules!$B$5*Stand!H52)/(9+Rules!$B$5)</f>
        <v>0.31983519492071005</v>
      </c>
      <c r="I42">
        <f>2*(SUM(Stand!I43:I51)+Rules!$B$5*Stand!I52)/(9+Rules!$B$5)</f>
        <v>0.19526887476388194</v>
      </c>
      <c r="J42">
        <f>2*(SUM(Stand!J43:J51)+Rules!$B$5*Stand!J52)/(9+Rules!$B$5)</f>
        <v>-7.294553026892793E-2</v>
      </c>
      <c r="K42">
        <f>2*(SUM(Stand!K43:K51)+Rules!$B$5*Stand!K52)/(9+Rules!$B$5)</f>
        <v>-0.23546764194177403</v>
      </c>
    </row>
    <row r="43" spans="1:11" x14ac:dyDescent="0.2">
      <c r="A43">
        <v>20</v>
      </c>
      <c r="B43">
        <f>2*(SUM(Stand!B44:B52)+Rules!$B$5*Stand!B53)/(9+Rules!$B$5)</f>
        <v>-1.4042368653411618E-2</v>
      </c>
      <c r="C43">
        <f>2*(SUM(Stand!C44:C52)+Rules!$B$5*Stand!C53)/(9+Rules!$B$5)</f>
        <v>0.3589394124422991</v>
      </c>
      <c r="D43">
        <f>2*(SUM(Stand!D44:D52)+Rules!$B$5*Stand!D53)/(9+Rules!$B$5)</f>
        <v>0.40932067017593915</v>
      </c>
      <c r="E43">
        <f>2*(SUM(Stand!E44:E52)+Rules!$B$5*Stand!E53)/(9+Rules!$B$5)</f>
        <v>0.460940243794354</v>
      </c>
      <c r="F43">
        <f>2*(SUM(Stand!F44:F52)+Rules!$B$5*Stand!F53)/(9+Rules!$B$5)</f>
        <v>0.51251710900326775</v>
      </c>
      <c r="G43">
        <f>2*(SUM(Stand!G44:G52)+Rules!$B$5*Stand!G53)/(9+Rules!$B$5)</f>
        <v>0.57559016859776857</v>
      </c>
      <c r="H43">
        <f>2*(SUM(Stand!H44:H52)+Rules!$B$5*Stand!H53)/(9+Rules!$B$5)</f>
        <v>0.39241245528243773</v>
      </c>
      <c r="I43">
        <f>2*(SUM(Stand!I44:I52)+Rules!$B$5*Stand!I53)/(9+Rules!$B$5)</f>
        <v>0.28663571688628375</v>
      </c>
      <c r="J43">
        <f>2*(SUM(Stand!J44:J52)+Rules!$B$5*Stand!J53)/(9+Rules!$B$5)</f>
        <v>0.1443283683807712</v>
      </c>
      <c r="K43">
        <f>2*(SUM(Stand!K44:K52)+Rules!$B$5*Stand!K53)/(9+Rules!$B$5)</f>
        <v>-8.6586880345446409E-3</v>
      </c>
    </row>
    <row r="44" spans="1:11" x14ac:dyDescent="0.2">
      <c r="A44">
        <v>21</v>
      </c>
      <c r="B44">
        <f>2*(SUM(Stand!B45:B53)+Rules!$B$5*Stand!B54)/(9+Rules!$B$5)</f>
        <v>0.10906077977909699</v>
      </c>
      <c r="C44">
        <f>2*(SUM(Stand!C45:C53)+Rules!$B$5*Stand!C54)/(9+Rules!$B$5)</f>
        <v>0.47064092333946894</v>
      </c>
      <c r="D44">
        <f>2*(SUM(Stand!D45:D53)+Rules!$B$5*Stand!D54)/(9+Rules!$B$5)</f>
        <v>0.51779525312221664</v>
      </c>
      <c r="E44">
        <f>2*(SUM(Stand!E45:E53)+Rules!$B$5*Stand!E54)/(9+Rules!$B$5)</f>
        <v>0.56604055041797596</v>
      </c>
      <c r="F44">
        <f>2*(SUM(Stand!F45:F53)+Rules!$B$5*Stand!F54)/(9+Rules!$B$5)</f>
        <v>0.61469901790902803</v>
      </c>
      <c r="G44">
        <f>2*(SUM(Stand!G45:G53)+Rules!$B$5*Stand!G54)/(9+Rules!$B$5)</f>
        <v>0.66738009490756944</v>
      </c>
      <c r="H44">
        <f>2*(SUM(Stand!H45:H53)+Rules!$B$5*Stand!H54)/(9+Rules!$B$5)</f>
        <v>0.46288894886429088</v>
      </c>
      <c r="I44">
        <f>2*(SUM(Stand!I45:I53)+Rules!$B$5*Stand!I54)/(9+Rules!$B$5)</f>
        <v>0.35069259087031512</v>
      </c>
      <c r="J44">
        <f>2*(SUM(Stand!J45:J53)+Rules!$B$5*Stand!J54)/(9+Rules!$B$5)</f>
        <v>0.22778342315245487</v>
      </c>
      <c r="K44">
        <f>2*(SUM(Stand!K45:K53)+Rules!$B$5*Stand!K54)/(9+Rules!$B$5)</f>
        <v>0.17968872741114625</v>
      </c>
    </row>
    <row r="45" spans="1:11" x14ac:dyDescent="0.2">
      <c r="A45">
        <v>22</v>
      </c>
      <c r="B45">
        <f>B12</f>
        <v>-0.82934393707867271</v>
      </c>
      <c r="C45">
        <f t="shared" ref="C45:K45" si="0">C12</f>
        <v>-0.50677997193327606</v>
      </c>
      <c r="D45">
        <f t="shared" si="0"/>
        <v>-0.46738179959617321</v>
      </c>
      <c r="E45">
        <f t="shared" si="0"/>
        <v>-0.4270731064901539</v>
      </c>
      <c r="F45">
        <f t="shared" si="0"/>
        <v>-0.38654233885256678</v>
      </c>
      <c r="G45">
        <f t="shared" si="0"/>
        <v>-0.34105239981515906</v>
      </c>
      <c r="H45">
        <f t="shared" si="0"/>
        <v>-0.50671162107673018</v>
      </c>
      <c r="I45">
        <f t="shared" si="0"/>
        <v>-0.61566089283034364</v>
      </c>
      <c r="J45">
        <f t="shared" si="0"/>
        <v>-0.73750562104917949</v>
      </c>
      <c r="K45">
        <f t="shared" si="0"/>
        <v>-0.79684059040524136</v>
      </c>
    </row>
    <row r="46" spans="1:11" x14ac:dyDescent="0.2">
      <c r="A46">
        <v>23</v>
      </c>
      <c r="B46">
        <f t="shared" ref="B46:K54" si="1">B13</f>
        <v>-0.88058227943474798</v>
      </c>
      <c r="C46">
        <f t="shared" si="1"/>
        <v>-0.61558247543954125</v>
      </c>
      <c r="D46">
        <f t="shared" si="1"/>
        <v>-0.58242022586760189</v>
      </c>
      <c r="E46">
        <f t="shared" si="1"/>
        <v>-0.54844801279862854</v>
      </c>
      <c r="F46">
        <f t="shared" si="1"/>
        <v>-0.51466654487787822</v>
      </c>
      <c r="G46">
        <f t="shared" si="1"/>
        <v>-0.47125255122592757</v>
      </c>
      <c r="H46">
        <f t="shared" si="1"/>
        <v>-0.58742313134181745</v>
      </c>
      <c r="I46">
        <f t="shared" si="1"/>
        <v>-0.6909658904460948</v>
      </c>
      <c r="J46">
        <f t="shared" si="1"/>
        <v>-0.80779028549054732</v>
      </c>
      <c r="K46">
        <f t="shared" si="1"/>
        <v>-0.86754361594447438</v>
      </c>
    </row>
    <row r="47" spans="1:11" x14ac:dyDescent="0.2">
      <c r="A47">
        <v>24</v>
      </c>
      <c r="B47">
        <f t="shared" si="1"/>
        <v>-0.93182062179082337</v>
      </c>
      <c r="C47">
        <f t="shared" si="1"/>
        <v>-0.72438497894580622</v>
      </c>
      <c r="D47">
        <f t="shared" si="1"/>
        <v>-0.69745865213903058</v>
      </c>
      <c r="E47">
        <f t="shared" si="1"/>
        <v>-0.66982291910710334</v>
      </c>
      <c r="F47">
        <f t="shared" si="1"/>
        <v>-0.64279075090318982</v>
      </c>
      <c r="G47">
        <f t="shared" si="1"/>
        <v>-0.60145270263669615</v>
      </c>
      <c r="H47">
        <f t="shared" si="1"/>
        <v>-0.66813464160690461</v>
      </c>
      <c r="I47">
        <f t="shared" si="1"/>
        <v>-0.76627088806184607</v>
      </c>
      <c r="J47">
        <f t="shared" si="1"/>
        <v>-0.87807494993191493</v>
      </c>
      <c r="K47">
        <f t="shared" si="1"/>
        <v>-0.93824664148370751</v>
      </c>
    </row>
    <row r="48" spans="1:11" x14ac:dyDescent="0.2">
      <c r="A48">
        <v>25</v>
      </c>
      <c r="B48">
        <f t="shared" si="1"/>
        <v>-0.98305896414689875</v>
      </c>
      <c r="C48">
        <f t="shared" si="1"/>
        <v>-0.83318748245207119</v>
      </c>
      <c r="D48">
        <f t="shared" si="1"/>
        <v>-0.81249707841045926</v>
      </c>
      <c r="E48">
        <f t="shared" si="1"/>
        <v>-0.79119782541557804</v>
      </c>
      <c r="F48">
        <f t="shared" si="1"/>
        <v>-0.77091495692850132</v>
      </c>
      <c r="G48">
        <f t="shared" si="1"/>
        <v>-0.73165285404746472</v>
      </c>
      <c r="H48">
        <f t="shared" si="1"/>
        <v>-0.74884615187199166</v>
      </c>
      <c r="I48">
        <f t="shared" si="1"/>
        <v>-0.84157588567759711</v>
      </c>
      <c r="J48">
        <f t="shared" si="1"/>
        <v>-0.94835961437328287</v>
      </c>
      <c r="K48">
        <f t="shared" si="1"/>
        <v>-1.0089496670229408</v>
      </c>
    </row>
    <row r="49" spans="1:11" x14ac:dyDescent="0.2">
      <c r="A49">
        <v>26</v>
      </c>
      <c r="B49">
        <f t="shared" si="1"/>
        <v>-1.0342973065029741</v>
      </c>
      <c r="C49">
        <f t="shared" si="1"/>
        <v>-0.94198998595833627</v>
      </c>
      <c r="D49">
        <f t="shared" si="1"/>
        <v>-0.92753550468188806</v>
      </c>
      <c r="E49">
        <f t="shared" si="1"/>
        <v>-0.91257273172405273</v>
      </c>
      <c r="F49">
        <f t="shared" si="1"/>
        <v>-0.89903916295381292</v>
      </c>
      <c r="G49">
        <f t="shared" si="1"/>
        <v>-0.86185300545823318</v>
      </c>
      <c r="H49">
        <f t="shared" si="1"/>
        <v>-0.82955766213707893</v>
      </c>
      <c r="I49">
        <f t="shared" si="1"/>
        <v>-0.91688088329334838</v>
      </c>
      <c r="J49">
        <f t="shared" si="1"/>
        <v>-1.0186442788146506</v>
      </c>
      <c r="K49">
        <f t="shared" si="1"/>
        <v>-1.0796526925621737</v>
      </c>
    </row>
    <row r="50" spans="1:11" x14ac:dyDescent="0.2">
      <c r="A50">
        <v>27</v>
      </c>
      <c r="B50">
        <f t="shared" si="1"/>
        <v>-1.1145998488114761</v>
      </c>
      <c r="C50">
        <f t="shared" si="1"/>
        <v>-1.0723015878534836</v>
      </c>
      <c r="D50">
        <f t="shared" si="1"/>
        <v>-1.0633483906165688</v>
      </c>
      <c r="E50">
        <f t="shared" si="1"/>
        <v>-1.0540229820093887</v>
      </c>
      <c r="F50">
        <f t="shared" si="1"/>
        <v>-1.0459712590207475</v>
      </c>
      <c r="G50">
        <f t="shared" si="1"/>
        <v>-1.0175051840233627</v>
      </c>
      <c r="H50">
        <f t="shared" si="1"/>
        <v>-0.96697166375512589</v>
      </c>
      <c r="I50">
        <f t="shared" si="1"/>
        <v>-1.0119653492858949</v>
      </c>
      <c r="J50">
        <f t="shared" si="1"/>
        <v>-1.107389780407694</v>
      </c>
      <c r="K50">
        <f t="shared" si="1"/>
        <v>-1.168926441188509</v>
      </c>
    </row>
    <row r="51" spans="1:11" x14ac:dyDescent="0.2">
      <c r="A51">
        <v>28</v>
      </c>
      <c r="B51">
        <f t="shared" si="1"/>
        <v>-1.2530307910248315</v>
      </c>
      <c r="C51">
        <f t="shared" si="1"/>
        <v>-1.2448772651182354</v>
      </c>
      <c r="D51">
        <f t="shared" si="1"/>
        <v>-1.2400099402844629</v>
      </c>
      <c r="E51">
        <f t="shared" si="1"/>
        <v>-1.2349236646551558</v>
      </c>
      <c r="F51">
        <f t="shared" si="1"/>
        <v>-1.2305191351709284</v>
      </c>
      <c r="G51">
        <f t="shared" si="1"/>
        <v>-1.214958094184424</v>
      </c>
      <c r="H51">
        <f t="shared" si="1"/>
        <v>-1.1822876894992109</v>
      </c>
      <c r="I51">
        <f t="shared" si="1"/>
        <v>-1.1821117106119141</v>
      </c>
      <c r="J51">
        <f t="shared" si="1"/>
        <v>-1.2330569563040892</v>
      </c>
      <c r="K51">
        <f t="shared" si="1"/>
        <v>-1.2953416359890493</v>
      </c>
    </row>
    <row r="52" spans="1:11" x14ac:dyDescent="0.2">
      <c r="A52">
        <v>29</v>
      </c>
      <c r="B52">
        <f t="shared" si="1"/>
        <v>-1.4495901331430399</v>
      </c>
      <c r="C52">
        <f t="shared" si="1"/>
        <v>-1.4581549091214032</v>
      </c>
      <c r="D52">
        <f t="shared" si="1"/>
        <v>-1.4560657766841187</v>
      </c>
      <c r="E52">
        <f t="shared" si="1"/>
        <v>-1.4538742684747705</v>
      </c>
      <c r="F52">
        <f t="shared" si="1"/>
        <v>-1.4519825358110645</v>
      </c>
      <c r="G52">
        <f t="shared" si="1"/>
        <v>-1.4451084132286267</v>
      </c>
      <c r="H52">
        <f t="shared" si="1"/>
        <v>-1.4308994580766619</v>
      </c>
      <c r="I52">
        <f t="shared" si="1"/>
        <v>-1.4273199672714054</v>
      </c>
      <c r="J52">
        <f t="shared" si="1"/>
        <v>-1.4311487650837169</v>
      </c>
      <c r="K52">
        <f t="shared" si="1"/>
        <v>-1.4588982769637939</v>
      </c>
    </row>
    <row r="53" spans="1:11" x14ac:dyDescent="0.2">
      <c r="A53">
        <v>30</v>
      </c>
      <c r="B53">
        <f t="shared" si="1"/>
        <v>-1.7042778751661021</v>
      </c>
      <c r="C53">
        <f t="shared" si="1"/>
        <v>-1.7104605360778398</v>
      </c>
      <c r="D53">
        <f t="shared" si="1"/>
        <v>-1.7099537911843461</v>
      </c>
      <c r="E53">
        <f t="shared" si="1"/>
        <v>-1.7094204164667817</v>
      </c>
      <c r="F53">
        <f t="shared" si="1"/>
        <v>-1.7089609497545721</v>
      </c>
      <c r="G53">
        <f t="shared" si="1"/>
        <v>-1.70725588556268</v>
      </c>
      <c r="H53">
        <f t="shared" si="1"/>
        <v>-1.7037036467746889</v>
      </c>
      <c r="I53">
        <f t="shared" si="1"/>
        <v>-1.7029838379716975</v>
      </c>
      <c r="J53">
        <f t="shared" si="1"/>
        <v>-1.7016652067465778</v>
      </c>
      <c r="K53">
        <f t="shared" si="1"/>
        <v>-1.6980579025742819</v>
      </c>
    </row>
    <row r="54" spans="1:11" x14ac:dyDescent="0.2">
      <c r="A54">
        <v>31</v>
      </c>
      <c r="B54">
        <f t="shared" si="1"/>
        <v>-1.8461538461538463</v>
      </c>
      <c r="C54">
        <f t="shared" si="1"/>
        <v>-1.8461538461538463</v>
      </c>
      <c r="D54">
        <f t="shared" si="1"/>
        <v>-1.8461538461538463</v>
      </c>
      <c r="E54">
        <f t="shared" si="1"/>
        <v>-1.8461538461538463</v>
      </c>
      <c r="F54">
        <f t="shared" si="1"/>
        <v>-1.8461538461538463</v>
      </c>
      <c r="G54">
        <f t="shared" si="1"/>
        <v>-1.8461538461538463</v>
      </c>
      <c r="H54">
        <f t="shared" si="1"/>
        <v>-1.8461538461538463</v>
      </c>
      <c r="I54">
        <f t="shared" si="1"/>
        <v>-1.8461538461538463</v>
      </c>
      <c r="J54">
        <f t="shared" si="1"/>
        <v>-1.8461538461538463</v>
      </c>
      <c r="K54">
        <f t="shared" si="1"/>
        <v>-1.8461538461538463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54"/>
  <sheetViews>
    <sheetView topLeftCell="A31" workbookViewId="0">
      <selection activeCell="K9" sqref="K9"/>
    </sheetView>
  </sheetViews>
  <sheetFormatPr baseColWidth="10" defaultColWidth="8.83203125" defaultRowHeight="16" x14ac:dyDescent="0.2"/>
  <cols>
    <col min="12" max="12" width="4.83203125" customWidth="1"/>
    <col min="13" max="13" width="4.6640625" customWidth="1"/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MAX(Hit!B2,Stand!B2,Double!B2)</f>
        <v>-0.20335368314889377</v>
      </c>
      <c r="C2">
        <f>MAX(Hit!C2,Stand!C2,Double!C2)</f>
        <v>-7.5884358318949102E-2</v>
      </c>
      <c r="D2">
        <f>MAX(Hit!D2,Stand!D2,Double!D2)</f>
        <v>-4.9750706146412048E-2</v>
      </c>
      <c r="E2">
        <f>MAX(Hit!E2,Stand!E2,Double!E2)</f>
        <v>-2.2100412135834389E-2</v>
      </c>
      <c r="F2">
        <f>MAX(Hit!F2,Stand!F2,Double!F2)</f>
        <v>1.3730032284783571E-2</v>
      </c>
      <c r="G2">
        <f>MAX(Hit!G2,Stand!G2,Double!G2)</f>
        <v>3.8883411946301231E-2</v>
      </c>
      <c r="H2">
        <f>MAX(Hit!H2,Stand!H2,Double!H2)</f>
        <v>-2.7257021375862247E-2</v>
      </c>
      <c r="I2">
        <f>MAX(Hit!I2,Stand!I2,Double!I2)</f>
        <v>-0.10316172777512726</v>
      </c>
      <c r="J2">
        <f>MAX(Hit!J2,Stand!J2,Double!J2)</f>
        <v>-0.19004714305350842</v>
      </c>
      <c r="K2">
        <f>MAX(Hit!K2,Stand!K2,Double!K2)</f>
        <v>-0.24199803315764098</v>
      </c>
      <c r="N2" s="31">
        <v>2</v>
      </c>
      <c r="O2" s="31" t="str">
        <f>IF(B2=HS!B2,HS!O2,"D")</f>
        <v>H</v>
      </c>
      <c r="P2" s="31" t="str">
        <f>IF(C2=HS!C2,HS!P2,"D")</f>
        <v>H</v>
      </c>
      <c r="Q2" s="31" t="str">
        <f>IF(D2=HS!D2,HS!Q2,"D")</f>
        <v>H</v>
      </c>
      <c r="R2" s="31" t="str">
        <f>IF(E2=HS!E2,HS!R2,"D")</f>
        <v>H</v>
      </c>
      <c r="S2" s="31" t="str">
        <f>IF(F2=HS!F2,HS!S2,"D")</f>
        <v>H</v>
      </c>
      <c r="T2" s="31" t="str">
        <f>IF(G2=HS!G2,HS!T2,"D")</f>
        <v>H</v>
      </c>
      <c r="U2" s="31" t="str">
        <f>IF(H2=HS!H2,HS!U2,"D")</f>
        <v>H</v>
      </c>
      <c r="V2" s="31" t="str">
        <f>IF(I2=HS!I2,HS!V2,"D")</f>
        <v>H</v>
      </c>
      <c r="W2" s="31" t="str">
        <f>IF(J2=HS!J2,HS!W2,"D")</f>
        <v>H</v>
      </c>
      <c r="X2" s="31" t="str">
        <f>IF(K2=HS!K2,HS!X2,"D")</f>
        <v>H</v>
      </c>
    </row>
    <row r="3" spans="1:24" x14ac:dyDescent="0.2">
      <c r="A3">
        <v>3</v>
      </c>
      <c r="B3">
        <f>MAX(Hit!B3,Stand!B3,Double!B3)</f>
        <v>-0.22793749290805351</v>
      </c>
      <c r="C3">
        <f>MAX(Hit!C3,Stand!C3,Double!C3)</f>
        <v>-0.10052250439785246</v>
      </c>
      <c r="D3">
        <f>MAX(Hit!D3,Stand!D3,Double!D3)</f>
        <v>-6.8875858278897514E-2</v>
      </c>
      <c r="E3">
        <f>MAX(Hit!E3,Stand!E3,Double!E3)</f>
        <v>-3.6261290708905339E-2</v>
      </c>
      <c r="F3">
        <f>MAX(Hit!F3,Stand!F3,Double!F3)</f>
        <v>1.6995712139687808E-4</v>
      </c>
      <c r="G3">
        <f>MAX(Hit!G3,Stand!G3,Double!G3)</f>
        <v>2.447130320655936E-2</v>
      </c>
      <c r="H3">
        <f>MAX(Hit!H3,Stand!H3,Double!H3)</f>
        <v>-5.7437588540356667E-2</v>
      </c>
      <c r="I3">
        <f>MAX(Hit!I3,Stand!I3,Double!I3)</f>
        <v>-0.13094188065020101</v>
      </c>
      <c r="J3">
        <f>MAX(Hit!J3,Stand!J3,Double!J3)</f>
        <v>-0.21507662281362433</v>
      </c>
      <c r="K3">
        <f>MAX(Hit!K3,Stand!K3,Double!K3)</f>
        <v>-0.26532921479747562</v>
      </c>
      <c r="N3" s="31">
        <v>3</v>
      </c>
      <c r="O3" s="31" t="str">
        <f>IF(B3=HS!B3,HS!O3,"D")</f>
        <v>H</v>
      </c>
      <c r="P3" s="31" t="str">
        <f>IF(C3=HS!C3,HS!P3,"D")</f>
        <v>H</v>
      </c>
      <c r="Q3" s="31" t="str">
        <f>IF(D3=HS!D3,HS!Q3,"D")</f>
        <v>H</v>
      </c>
      <c r="R3" s="31" t="str">
        <f>IF(E3=HS!E3,HS!R3,"D")</f>
        <v>H</v>
      </c>
      <c r="S3" s="31" t="str">
        <f>IF(F3=HS!F3,HS!S3,"D")</f>
        <v>H</v>
      </c>
      <c r="T3" s="31" t="str">
        <f>IF(G3=HS!G3,HS!T3,"D")</f>
        <v>H</v>
      </c>
      <c r="U3" s="31" t="str">
        <f>IF(H3=HS!H3,HS!U3,"D")</f>
        <v>H</v>
      </c>
      <c r="V3" s="31" t="str">
        <f>IF(I3=HS!I3,HS!V3,"D")</f>
        <v>H</v>
      </c>
      <c r="W3" s="31" t="str">
        <f>IF(J3=HS!J3,HS!W3,"D")</f>
        <v>H</v>
      </c>
      <c r="X3" s="31" t="str">
        <f>IF(K3=HS!K3,HS!X3,"D")</f>
        <v>H</v>
      </c>
    </row>
    <row r="4" spans="1:24" x14ac:dyDescent="0.2">
      <c r="A4">
        <v>4</v>
      </c>
      <c r="B4">
        <f>MAX(Hit!B4,Stand!B4,Double!B4)</f>
        <v>-0.25307699440390863</v>
      </c>
      <c r="C4">
        <f>MAX(Hit!C4,Stand!C4,Double!C4)</f>
        <v>-0.11491332761892134</v>
      </c>
      <c r="D4">
        <f>MAX(Hit!D4,Stand!D4,Double!D4)</f>
        <v>-8.2613314299744361E-2</v>
      </c>
      <c r="E4">
        <f>MAX(Hit!E4,Stand!E4,Double!E4)</f>
        <v>-4.9367420106916922E-2</v>
      </c>
      <c r="F4">
        <f>MAX(Hit!F4,Stand!F4,Double!F4)</f>
        <v>-1.2379926519926384E-2</v>
      </c>
      <c r="G4">
        <f>MAX(Hit!G4,Stand!G4,Double!G4)</f>
        <v>1.1130417280979797E-2</v>
      </c>
      <c r="H4">
        <f>MAX(Hit!H4,Stand!H4,Double!H4)</f>
        <v>-8.8279201058463722E-2</v>
      </c>
      <c r="I4">
        <f>MAX(Hit!I4,Stand!I4,Double!I4)</f>
        <v>-0.15933415266020512</v>
      </c>
      <c r="J4">
        <f>MAX(Hit!J4,Stand!J4,Double!J4)</f>
        <v>-0.24066617915336547</v>
      </c>
      <c r="K4">
        <f>MAX(Hit!K4,Stand!K4,Double!K4)</f>
        <v>-0.28919791448567511</v>
      </c>
      <c r="N4" s="31">
        <v>4</v>
      </c>
      <c r="O4" s="31" t="str">
        <f>IF(B4=HS!B4,HS!O4,"D")</f>
        <v>H</v>
      </c>
      <c r="P4" s="31" t="str">
        <f>IF(C4=HS!C4,HS!P4,"D")</f>
        <v>H</v>
      </c>
      <c r="Q4" s="31" t="str">
        <f>IF(D4=HS!D4,HS!Q4,"D")</f>
        <v>H</v>
      </c>
      <c r="R4" s="31" t="str">
        <f>IF(E4=HS!E4,HS!R4,"D")</f>
        <v>H</v>
      </c>
      <c r="S4" s="31" t="str">
        <f>IF(F4=HS!F4,HS!S4,"D")</f>
        <v>H</v>
      </c>
      <c r="T4" s="31" t="str">
        <f>IF(G4=HS!G4,HS!T4,"D")</f>
        <v>H</v>
      </c>
      <c r="U4" s="31" t="str">
        <f>IF(H4=HS!H4,HS!U4,"D")</f>
        <v>H</v>
      </c>
      <c r="V4" s="31" t="str">
        <f>IF(I4=HS!I4,HS!V4,"D")</f>
        <v>H</v>
      </c>
      <c r="W4" s="31" t="str">
        <f>IF(J4=HS!J4,HS!W4,"D")</f>
        <v>H</v>
      </c>
      <c r="X4" s="31" t="str">
        <f>IF(K4=HS!K4,HS!X4,"D")</f>
        <v>H</v>
      </c>
    </row>
    <row r="5" spans="1:24" x14ac:dyDescent="0.2">
      <c r="A5">
        <v>5</v>
      </c>
      <c r="B5">
        <f>MAX(Hit!B5,Stand!B5,Double!B5)</f>
        <v>-0.27857459755181968</v>
      </c>
      <c r="C5">
        <f>MAX(Hit!C5,Stand!C5,Double!C5)</f>
        <v>-0.12821556706374745</v>
      </c>
      <c r="D5">
        <f>MAX(Hit!D5,Stand!D5,Double!D5)</f>
        <v>-9.5310227261489883E-2</v>
      </c>
      <c r="E5">
        <f>MAX(Hit!E5,Stand!E5,Double!E5)</f>
        <v>-6.1479464199694238E-2</v>
      </c>
      <c r="F5">
        <f>MAX(Hit!F5,Stand!F5,Double!F5)</f>
        <v>-2.397897039185962E-2</v>
      </c>
      <c r="G5">
        <f>MAX(Hit!G5,Stand!G5,Double!G5)</f>
        <v>-1.1863378384401623E-3</v>
      </c>
      <c r="H5">
        <f>MAX(Hit!H5,Stand!H5,Double!H5)</f>
        <v>-0.11944744188414852</v>
      </c>
      <c r="I5">
        <f>MAX(Hit!I5,Stand!I5,Double!I5)</f>
        <v>-0.18809330390318524</v>
      </c>
      <c r="J5">
        <f>MAX(Hit!J5,Stand!J5,Double!J5)</f>
        <v>-0.26661505335795899</v>
      </c>
      <c r="K5">
        <f>MAX(Hit!K5,Stand!K5,Double!K5)</f>
        <v>-0.31341164336497107</v>
      </c>
      <c r="N5" s="31">
        <v>5</v>
      </c>
      <c r="O5" s="31" t="str">
        <f>IF(B5=HS!B5,HS!O5,"D")</f>
        <v>H</v>
      </c>
      <c r="P5" s="31" t="str">
        <f>IF(C5=HS!C5,HS!P5,"D")</f>
        <v>H</v>
      </c>
      <c r="Q5" s="31" t="str">
        <f>IF(D5=HS!D5,HS!Q5,"D")</f>
        <v>H</v>
      </c>
      <c r="R5" s="31" t="str">
        <f>IF(E5=HS!E5,HS!R5,"D")</f>
        <v>H</v>
      </c>
      <c r="S5" s="31" t="str">
        <f>IF(F5=HS!F5,HS!S5,"D")</f>
        <v>H</v>
      </c>
      <c r="T5" s="31" t="str">
        <f>IF(G5=HS!G5,HS!T5,"D")</f>
        <v>H</v>
      </c>
      <c r="U5" s="31" t="str">
        <f>IF(H5=HS!H5,HS!U5,"D")</f>
        <v>H</v>
      </c>
      <c r="V5" s="31" t="str">
        <f>IF(I5=HS!I5,HS!V5,"D")</f>
        <v>H</v>
      </c>
      <c r="W5" s="31" t="str">
        <f>IF(J5=HS!J5,HS!W5,"D")</f>
        <v>H</v>
      </c>
      <c r="X5" s="31" t="str">
        <f>IF(K5=HS!K5,HS!X5,"D")</f>
        <v>H</v>
      </c>
    </row>
    <row r="6" spans="1:24" x14ac:dyDescent="0.2">
      <c r="A6">
        <v>6</v>
      </c>
      <c r="B6">
        <f>MAX(Hit!B6,Stand!B6,Double!B6)</f>
        <v>-0.30414663097569933</v>
      </c>
      <c r="C6">
        <f>MAX(Hit!C6,Stand!C6,Double!C6)</f>
        <v>-0.14075911746001987</v>
      </c>
      <c r="D6">
        <f>MAX(Hit!D6,Stand!D6,Double!D6)</f>
        <v>-0.10729107800860836</v>
      </c>
      <c r="E6">
        <f>MAX(Hit!E6,Stand!E6,Double!E6)</f>
        <v>-7.2917141926387305E-2</v>
      </c>
      <c r="F6">
        <f>MAX(Hit!F6,Stand!F6,Double!F6)</f>
        <v>-3.4915973330102178E-2</v>
      </c>
      <c r="G6">
        <f>MAX(Hit!G6,Stand!G6,Double!G6)</f>
        <v>-1.3005835529874294E-2</v>
      </c>
      <c r="H6">
        <f>MAX(Hit!H6,Stand!H6,Double!H6)</f>
        <v>-0.15193270723669944</v>
      </c>
      <c r="I6">
        <f>MAX(Hit!I6,Stand!I6,Double!I6)</f>
        <v>-0.21724188132078476</v>
      </c>
      <c r="J6">
        <f>MAX(Hit!J6,Stand!J6,Double!J6)</f>
        <v>-0.29264070019772598</v>
      </c>
      <c r="K6">
        <f>MAX(Hit!K6,Stand!K6,Double!K6)</f>
        <v>-0.33774944037840804</v>
      </c>
      <c r="N6" s="31">
        <v>6</v>
      </c>
      <c r="O6" s="31" t="str">
        <f>IF(B6=HS!B6,HS!O6,"D")</f>
        <v>H</v>
      </c>
      <c r="P6" s="31" t="str">
        <f>IF(C6=HS!C6,HS!P6,"D")</f>
        <v>H</v>
      </c>
      <c r="Q6" s="31" t="str">
        <f>IF(D6=HS!D6,HS!Q6,"D")</f>
        <v>H</v>
      </c>
      <c r="R6" s="31" t="str">
        <f>IF(E6=HS!E6,HS!R6,"D")</f>
        <v>H</v>
      </c>
      <c r="S6" s="31" t="str">
        <f>IF(F6=HS!F6,HS!S6,"D")</f>
        <v>H</v>
      </c>
      <c r="T6" s="31" t="str">
        <f>IF(G6=HS!G6,HS!T6,"D")</f>
        <v>H</v>
      </c>
      <c r="U6" s="31" t="str">
        <f>IF(H6=HS!H6,HS!U6,"D")</f>
        <v>H</v>
      </c>
      <c r="V6" s="31" t="str">
        <f>IF(I6=HS!I6,HS!V6,"D")</f>
        <v>H</v>
      </c>
      <c r="W6" s="31" t="str">
        <f>IF(J6=HS!J6,HS!W6,"D")</f>
        <v>H</v>
      </c>
      <c r="X6" s="31" t="str">
        <f>IF(K6=HS!K6,HS!X6,"D")</f>
        <v>H</v>
      </c>
    </row>
    <row r="7" spans="1:24" x14ac:dyDescent="0.2">
      <c r="A7">
        <v>7</v>
      </c>
      <c r="B7">
        <f>MAX(Hit!B7,Stand!B7,Double!B7)</f>
        <v>-0.31007165033163697</v>
      </c>
      <c r="C7">
        <f>MAX(Hit!C7,Stand!C7,Double!C7)</f>
        <v>-0.10918342786661633</v>
      </c>
      <c r="D7">
        <f>MAX(Hit!D7,Stand!D7,Double!D7)</f>
        <v>-7.658298190446361E-2</v>
      </c>
      <c r="E7">
        <f>MAX(Hit!E7,Stand!E7,Double!E7)</f>
        <v>-4.3021794004341876E-2</v>
      </c>
      <c r="F7">
        <f>MAX(Hit!F7,Stand!F7,Double!F7)</f>
        <v>-7.2713609029408845E-3</v>
      </c>
      <c r="G7">
        <f>MAX(Hit!G7,Stand!G7,Double!G7)</f>
        <v>2.9185342353860864E-2</v>
      </c>
      <c r="H7">
        <f>MAX(Hit!H7,Stand!H7,Double!H7)</f>
        <v>-6.8807799580427764E-2</v>
      </c>
      <c r="I7">
        <f>MAX(Hit!I7,Stand!I7,Double!I7)</f>
        <v>-0.21060476872434969</v>
      </c>
      <c r="J7">
        <f>MAX(Hit!J7,Stand!J7,Double!J7)</f>
        <v>-0.28536544048687656</v>
      </c>
      <c r="K7">
        <f>MAX(Hit!K7,Stand!K7,Double!K7)</f>
        <v>-0.31905479139833842</v>
      </c>
      <c r="N7" s="31">
        <v>7</v>
      </c>
      <c r="O7" s="31" t="str">
        <f>IF(B7=HS!B7,HS!O7,"D")</f>
        <v>H</v>
      </c>
      <c r="P7" s="31" t="str">
        <f>IF(C7=HS!C7,HS!P7,"D")</f>
        <v>H</v>
      </c>
      <c r="Q7" s="31" t="str">
        <f>IF(D7=HS!D7,HS!Q7,"D")</f>
        <v>H</v>
      </c>
      <c r="R7" s="31" t="str">
        <f>IF(E7=HS!E7,HS!R7,"D")</f>
        <v>H</v>
      </c>
      <c r="S7" s="31" t="str">
        <f>IF(F7=HS!F7,HS!S7,"D")</f>
        <v>H</v>
      </c>
      <c r="T7" s="31" t="str">
        <f>IF(G7=HS!G7,HS!T7,"D")</f>
        <v>H</v>
      </c>
      <c r="U7" s="31" t="str">
        <f>IF(H7=HS!H7,HS!U7,"D")</f>
        <v>H</v>
      </c>
      <c r="V7" s="31" t="str">
        <f>IF(I7=HS!I7,HS!V7,"D")</f>
        <v>H</v>
      </c>
      <c r="W7" s="31" t="str">
        <f>IF(J7=HS!J7,HS!W7,"D")</f>
        <v>H</v>
      </c>
      <c r="X7" s="31" t="str">
        <f>IF(K7=HS!K7,HS!X7,"D")</f>
        <v>H</v>
      </c>
    </row>
    <row r="8" spans="1:24" x14ac:dyDescent="0.2">
      <c r="A8">
        <v>8</v>
      </c>
      <c r="B8">
        <f>MAX(Hit!B8,Stand!B8,Double!B8)</f>
        <v>-0.1970288105741636</v>
      </c>
      <c r="C8">
        <f>MAX(Hit!C8,Stand!C8,Double!C8)</f>
        <v>-2.1798188008805668E-2</v>
      </c>
      <c r="D8">
        <f>MAX(Hit!D8,Stand!D8,Double!D8)</f>
        <v>8.0052625306546825E-3</v>
      </c>
      <c r="E8">
        <f>MAX(Hit!E8,Stand!E8,Double!E8)</f>
        <v>3.8784473277208811E-2</v>
      </c>
      <c r="F8">
        <f>MAX(Hit!F8,Stand!F8,Double!F8)</f>
        <v>7.0804635983033826E-2</v>
      </c>
      <c r="G8">
        <f>MAX(Hit!G8,Stand!G8,Double!G8)</f>
        <v>0.11496015009622321</v>
      </c>
      <c r="H8">
        <f>MAX(Hit!H8,Stand!H8,Double!H8)</f>
        <v>8.2207439363742862E-2</v>
      </c>
      <c r="I8">
        <f>MAX(Hit!I8,Stand!I8,Double!I8)</f>
        <v>-5.9898275658656304E-2</v>
      </c>
      <c r="J8">
        <f>MAX(Hit!J8,Stand!J8,Double!J8)</f>
        <v>-0.21018633199821757</v>
      </c>
      <c r="K8">
        <f>MAX(Hit!K8,Stand!K8,Double!K8)</f>
        <v>-0.24937508055334259</v>
      </c>
      <c r="N8" s="31">
        <v>8</v>
      </c>
      <c r="O8" s="31" t="str">
        <f>IF(B8=HS!B8,HS!O8,"D")</f>
        <v>H</v>
      </c>
      <c r="P8" s="31" t="str">
        <f>IF(C8=HS!C8,HS!P8,"D")</f>
        <v>H</v>
      </c>
      <c r="Q8" s="31" t="str">
        <f>IF(D8=HS!D8,HS!Q8,"D")</f>
        <v>H</v>
      </c>
      <c r="R8" s="31" t="str">
        <f>IF(E8=HS!E8,HS!R8,"D")</f>
        <v>H</v>
      </c>
      <c r="S8" s="31" t="str">
        <f>IF(F8=HS!F8,HS!S8,"D")</f>
        <v>H</v>
      </c>
      <c r="T8" s="31" t="str">
        <f>IF(G8=HS!G8,HS!T8,"D")</f>
        <v>H</v>
      </c>
      <c r="U8" s="31" t="str">
        <f>IF(H8=HS!H8,HS!U8,"D")</f>
        <v>H</v>
      </c>
      <c r="V8" s="31" t="str">
        <f>IF(I8=HS!I8,HS!V8,"D")</f>
        <v>H</v>
      </c>
      <c r="W8" s="31" t="str">
        <f>IF(J8=HS!J8,HS!W8,"D")</f>
        <v>H</v>
      </c>
      <c r="X8" s="31" t="str">
        <f>IF(K8=HS!K8,HS!X8,"D")</f>
        <v>H</v>
      </c>
    </row>
    <row r="9" spans="1:24" x14ac:dyDescent="0.2">
      <c r="A9">
        <v>9</v>
      </c>
      <c r="B9">
        <f>MAX(Hit!B9,Stand!B9,Double!B9)</f>
        <v>-6.5680778778066204E-2</v>
      </c>
      <c r="C9">
        <f>MAX(Hit!C9,Stand!C9,Double!C9)</f>
        <v>7.4446037576340524E-2</v>
      </c>
      <c r="D9">
        <f>MAX(Hit!D9,Stand!D9,Double!D9)</f>
        <v>0.12081635332999649</v>
      </c>
      <c r="E9">
        <f>MAX(Hit!E9,Stand!E9,Double!E9)</f>
        <v>0.18194893405242166</v>
      </c>
      <c r="F9">
        <f>MAX(Hit!F9,Stand!F9,Double!F9)</f>
        <v>0.24305722487303633</v>
      </c>
      <c r="G9">
        <f>MAX(Hit!G9,Stand!G9,Double!G9)</f>
        <v>0.31705474570166692</v>
      </c>
      <c r="H9">
        <f>MAX(Hit!H9,Stand!H9,Double!H9)</f>
        <v>0.17186785993695267</v>
      </c>
      <c r="I9">
        <f>MAX(Hit!I9,Stand!I9,Double!I9)</f>
        <v>9.8376217435392516E-2</v>
      </c>
      <c r="J9">
        <f>MAX(Hit!J9,Stand!J9,Double!J9)</f>
        <v>-5.2178053462651669E-2</v>
      </c>
      <c r="K9">
        <f>MAX(Hit!K9,Stand!K9,Double!K9)</f>
        <v>-0.15295298487455075</v>
      </c>
      <c r="N9" s="31">
        <v>9</v>
      </c>
      <c r="O9" s="31" t="str">
        <f>IF(B9=HS!B9,HS!O9,"D")</f>
        <v>H</v>
      </c>
      <c r="P9" s="31" t="str">
        <f>IF(C9=HS!C9,HS!P9,"D")</f>
        <v>H</v>
      </c>
      <c r="Q9" s="31" t="str">
        <f>IF(D9=HS!D9,HS!Q9,"D")</f>
        <v>D</v>
      </c>
      <c r="R9" s="31" t="str">
        <f>IF(E9=HS!E9,HS!R9,"D")</f>
        <v>D</v>
      </c>
      <c r="S9" s="31" t="str">
        <f>IF(F9=HS!F9,HS!S9,"D")</f>
        <v>D</v>
      </c>
      <c r="T9" s="31" t="str">
        <f>IF(G9=HS!G9,HS!T9,"D")</f>
        <v>D</v>
      </c>
      <c r="U9" s="31" t="str">
        <f>IF(H9=HS!H9,HS!U9,"D")</f>
        <v>H</v>
      </c>
      <c r="V9" s="31" t="str">
        <f>IF(I9=HS!I9,HS!V9,"D")</f>
        <v>H</v>
      </c>
      <c r="W9" s="31" t="str">
        <f>IF(J9=HS!J9,HS!W9,"D")</f>
        <v>H</v>
      </c>
      <c r="X9" s="31" t="str">
        <f>IF(K9=HS!K9,HS!X9,"D")</f>
        <v>H</v>
      </c>
    </row>
    <row r="10" spans="1:24" x14ac:dyDescent="0.2">
      <c r="A10">
        <v>10</v>
      </c>
      <c r="B10">
        <f>MAX(Hit!B10,Stand!B10,Double!B10)</f>
        <v>8.1449707945275923E-2</v>
      </c>
      <c r="C10">
        <f>MAX(Hit!C10,Stand!C10,Double!C10)</f>
        <v>0.3589394124422991</v>
      </c>
      <c r="D10">
        <f>MAX(Hit!D10,Stand!D10,Double!D10)</f>
        <v>0.40932067017593915</v>
      </c>
      <c r="E10">
        <f>MAX(Hit!E10,Stand!E10,Double!E10)</f>
        <v>0.460940243794354</v>
      </c>
      <c r="F10">
        <f>MAX(Hit!F10,Stand!F10,Double!F10)</f>
        <v>0.51251710900326775</v>
      </c>
      <c r="G10">
        <f>MAX(Hit!G10,Stand!G10,Double!G10)</f>
        <v>0.57559016859776857</v>
      </c>
      <c r="H10">
        <f>MAX(Hit!H10,Stand!H10,Double!H10)</f>
        <v>0.39241245528243773</v>
      </c>
      <c r="I10">
        <f>MAX(Hit!I10,Stand!I10,Double!I10)</f>
        <v>0.28663571688628381</v>
      </c>
      <c r="J10">
        <f>MAX(Hit!J10,Stand!J10,Double!J10)</f>
        <v>0.1443283683807712</v>
      </c>
      <c r="K10">
        <f>MAX(Hit!K10,Stand!K10,Double!K10)</f>
        <v>2.5308523040868145E-2</v>
      </c>
      <c r="N10" s="31">
        <v>10</v>
      </c>
      <c r="O10" s="31" t="str">
        <f>IF(B10=HS!B10,HS!O10,"D")</f>
        <v>H</v>
      </c>
      <c r="P10" s="31" t="str">
        <f>IF(C10=HS!C10,HS!P10,"D")</f>
        <v>D</v>
      </c>
      <c r="Q10" s="31" t="str">
        <f>IF(D10=HS!D10,HS!Q10,"D")</f>
        <v>D</v>
      </c>
      <c r="R10" s="31" t="str">
        <f>IF(E10=HS!E10,HS!R10,"D")</f>
        <v>D</v>
      </c>
      <c r="S10" s="31" t="str">
        <f>IF(F10=HS!F10,HS!S10,"D")</f>
        <v>D</v>
      </c>
      <c r="T10" s="31" t="str">
        <f>IF(G10=HS!G10,HS!T10,"D")</f>
        <v>D</v>
      </c>
      <c r="U10" s="31" t="str">
        <f>IF(H10=HS!H10,HS!U10,"D")</f>
        <v>D</v>
      </c>
      <c r="V10" s="31" t="str">
        <f>IF(I10=HS!I10,HS!V10,"D")</f>
        <v>D</v>
      </c>
      <c r="W10" s="31" t="str">
        <f>IF(J10=HS!J10,HS!W10,"D")</f>
        <v>D</v>
      </c>
      <c r="X10" s="31" t="str">
        <f>IF(K10=HS!K10,HS!X10,"D")</f>
        <v>H</v>
      </c>
    </row>
    <row r="11" spans="1:24" x14ac:dyDescent="0.2">
      <c r="A11">
        <v>11</v>
      </c>
      <c r="B11">
        <f>MAX(Hit!B11,Stand!B11,Double!B11)</f>
        <v>0.14300128216153027</v>
      </c>
      <c r="C11">
        <f>MAX(Hit!C11,Stand!C11,Double!C11)</f>
        <v>0.47064092333946889</v>
      </c>
      <c r="D11">
        <f>MAX(Hit!D11,Stand!D11,Double!D11)</f>
        <v>0.51779525312221675</v>
      </c>
      <c r="E11">
        <f>MAX(Hit!E11,Stand!E11,Double!E11)</f>
        <v>0.56604055041797607</v>
      </c>
      <c r="F11">
        <f>MAX(Hit!F11,Stand!F11,Double!F11)</f>
        <v>0.61469901790902803</v>
      </c>
      <c r="G11">
        <f>MAX(Hit!G11,Stand!G11,Double!G11)</f>
        <v>0.66738009490756944</v>
      </c>
      <c r="H11">
        <f>MAX(Hit!H11,Stand!H11,Double!H11)</f>
        <v>0.46288894886429077</v>
      </c>
      <c r="I11">
        <f>MAX(Hit!I11,Stand!I11,Double!I11)</f>
        <v>0.35069259087031501</v>
      </c>
      <c r="J11">
        <f>MAX(Hit!J11,Stand!J11,Double!J11)</f>
        <v>0.22778342315245487</v>
      </c>
      <c r="K11">
        <f>MAX(Hit!K11,Stand!K11,Double!K11)</f>
        <v>0.1796887274111463</v>
      </c>
      <c r="N11" s="31">
        <v>11</v>
      </c>
      <c r="O11" s="31" t="str">
        <f>IF(B11=HS!B11,HS!O11,"D")</f>
        <v>H</v>
      </c>
      <c r="P11" s="31" t="str">
        <f>IF(C11=HS!C11,HS!P11,"D")</f>
        <v>D</v>
      </c>
      <c r="Q11" s="31" t="str">
        <f>IF(D11=HS!D11,HS!Q11,"D")</f>
        <v>D</v>
      </c>
      <c r="R11" s="31" t="str">
        <f>IF(E11=HS!E11,HS!R11,"D")</f>
        <v>D</v>
      </c>
      <c r="S11" s="31" t="str">
        <f>IF(F11=HS!F11,HS!S11,"D")</f>
        <v>D</v>
      </c>
      <c r="T11" s="31" t="str">
        <f>IF(G11=HS!G11,HS!T11,"D")</f>
        <v>D</v>
      </c>
      <c r="U11" s="31" t="str">
        <f>IF(H11=HS!H11,HS!U11,"D")</f>
        <v>D</v>
      </c>
      <c r="V11" s="31" t="str">
        <f>IF(I11=HS!I11,HS!V11,"D")</f>
        <v>D</v>
      </c>
      <c r="W11" s="31" t="str">
        <f>IF(J11=HS!J11,HS!W11,"D")</f>
        <v>D</v>
      </c>
      <c r="X11" s="31" t="str">
        <f>IF(K11=HS!K11,HS!X11,"D")</f>
        <v>D</v>
      </c>
    </row>
    <row r="12" spans="1:24" x14ac:dyDescent="0.2">
      <c r="A12">
        <v>12</v>
      </c>
      <c r="B12">
        <f>MAX(Hit!B12,Stand!B12,Double!B12)</f>
        <v>-0.35054034044008009</v>
      </c>
      <c r="C12">
        <f>MAX(Hit!C12,Stand!C12,Double!C12)</f>
        <v>-0.25338998596663809</v>
      </c>
      <c r="D12">
        <f>MAX(Hit!D12,Stand!D12,Double!D12)</f>
        <v>-0.2336908997980866</v>
      </c>
      <c r="E12">
        <f>MAX(Hit!E12,Stand!E12,Double!E12)</f>
        <v>-0.21106310899491437</v>
      </c>
      <c r="F12">
        <f>MAX(Hit!F12,Stand!F12,Double!F12)</f>
        <v>-0.16719266083547524</v>
      </c>
      <c r="G12">
        <f>MAX(Hit!G12,Stand!G12,Double!G12)</f>
        <v>-0.1536990158300045</v>
      </c>
      <c r="H12">
        <f>MAX(Hit!H12,Stand!H12,Double!H12)</f>
        <v>-0.21284771451731424</v>
      </c>
      <c r="I12">
        <f>MAX(Hit!I12,Stand!I12,Double!I12)</f>
        <v>-0.27157480502428616</v>
      </c>
      <c r="J12">
        <f>MAX(Hit!J12,Stand!J12,Double!J12)</f>
        <v>-0.3400132806089356</v>
      </c>
      <c r="K12">
        <f>MAX(Hit!K12,Stand!K12,Double!K12)</f>
        <v>-0.38104299284808768</v>
      </c>
      <c r="N12" s="31">
        <v>12</v>
      </c>
      <c r="O12" s="31" t="str">
        <f>IF(B12=HS!B12,HS!O12,"D")</f>
        <v>H</v>
      </c>
      <c r="P12" s="31" t="str">
        <f>IF(C12=HS!C12,HS!P12,"D")</f>
        <v>H</v>
      </c>
      <c r="Q12" s="31" t="str">
        <f>IF(D12=HS!D12,HS!Q12,"D")</f>
        <v>H</v>
      </c>
      <c r="R12" s="31" t="str">
        <f>IF(E12=HS!E12,HS!R12,"D")</f>
        <v>S</v>
      </c>
      <c r="S12" s="31" t="str">
        <f>IF(F12=HS!F12,HS!S12,"D")</f>
        <v>S</v>
      </c>
      <c r="T12" s="31" t="str">
        <f>IF(G12=HS!G12,HS!T12,"D")</f>
        <v>S</v>
      </c>
      <c r="U12" s="31" t="str">
        <f>IF(H12=HS!H12,HS!U12,"D")</f>
        <v>H</v>
      </c>
      <c r="V12" s="31" t="str">
        <f>IF(I12=HS!I12,HS!V12,"D")</f>
        <v>H</v>
      </c>
      <c r="W12" s="31" t="str">
        <f>IF(J12=HS!J12,HS!W12,"D")</f>
        <v>H</v>
      </c>
      <c r="X12" s="31" t="str">
        <f>IF(K12=HS!K12,HS!X12,"D")</f>
        <v>H</v>
      </c>
    </row>
    <row r="13" spans="1:24" x14ac:dyDescent="0.2">
      <c r="A13">
        <v>13</v>
      </c>
      <c r="B13">
        <f>MAX(Hit!B13,Stand!B13,Double!B13)</f>
        <v>-0.3969303161229315</v>
      </c>
      <c r="C13">
        <f>MAX(Hit!C13,Stand!C13,Double!C13)</f>
        <v>-0.29278372720927726</v>
      </c>
      <c r="D13">
        <f>MAX(Hit!D13,Stand!D13,Double!D13)</f>
        <v>-0.2522502292357135</v>
      </c>
      <c r="E13">
        <f>MAX(Hit!E13,Stand!E13,Double!E13)</f>
        <v>-0.21106310899491437</v>
      </c>
      <c r="F13">
        <f>MAX(Hit!F13,Stand!F13,Double!F13)</f>
        <v>-0.16719266083547524</v>
      </c>
      <c r="G13">
        <f>MAX(Hit!G13,Stand!G13,Double!G13)</f>
        <v>-0.1536990158300045</v>
      </c>
      <c r="H13">
        <f>MAX(Hit!H13,Stand!H13,Double!H13)</f>
        <v>-0.26907287776607752</v>
      </c>
      <c r="I13">
        <f>MAX(Hit!I13,Stand!I13,Double!I13)</f>
        <v>-0.32360517609397998</v>
      </c>
      <c r="J13">
        <f>MAX(Hit!J13,Stand!J13,Double!J13)</f>
        <v>-0.38715518913686875</v>
      </c>
      <c r="K13">
        <f>MAX(Hit!K13,Stand!K13,Double!K13)</f>
        <v>-0.42525420764465277</v>
      </c>
      <c r="N13" s="31">
        <v>13</v>
      </c>
      <c r="O13" s="31" t="str">
        <f>IF(B13=HS!B13,HS!O13,"D")</f>
        <v>H</v>
      </c>
      <c r="P13" s="31" t="str">
        <f>IF(C13=HS!C13,HS!P13,"D")</f>
        <v>S</v>
      </c>
      <c r="Q13" s="31" t="str">
        <f>IF(D13=HS!D13,HS!Q13,"D")</f>
        <v>S</v>
      </c>
      <c r="R13" s="31" t="str">
        <f>IF(E13=HS!E13,HS!R13,"D")</f>
        <v>S</v>
      </c>
      <c r="S13" s="31" t="str">
        <f>IF(F13=HS!F13,HS!S13,"D")</f>
        <v>S</v>
      </c>
      <c r="T13" s="31" t="str">
        <f>IF(G13=HS!G13,HS!T13,"D")</f>
        <v>S</v>
      </c>
      <c r="U13" s="31" t="str">
        <f>IF(H13=HS!H13,HS!U13,"D")</f>
        <v>H</v>
      </c>
      <c r="V13" s="31" t="str">
        <f>IF(I13=HS!I13,HS!V13,"D")</f>
        <v>H</v>
      </c>
      <c r="W13" s="31" t="str">
        <f>IF(J13=HS!J13,HS!W13,"D")</f>
        <v>H</v>
      </c>
      <c r="X13" s="31" t="str">
        <f>IF(K13=HS!K13,HS!X13,"D")</f>
        <v>H</v>
      </c>
    </row>
    <row r="14" spans="1:24" x14ac:dyDescent="0.2">
      <c r="A14">
        <v>14</v>
      </c>
      <c r="B14">
        <f>MAX(Hit!B14,Stand!B14,Double!B14)</f>
        <v>-0.44000672211415065</v>
      </c>
      <c r="C14">
        <f>MAX(Hit!C14,Stand!C14,Double!C14)</f>
        <v>-0.29278372720927726</v>
      </c>
      <c r="D14">
        <f>MAX(Hit!D14,Stand!D14,Double!D14)</f>
        <v>-0.2522502292357135</v>
      </c>
      <c r="E14">
        <f>MAX(Hit!E14,Stand!E14,Double!E14)</f>
        <v>-0.21106310899491437</v>
      </c>
      <c r="F14">
        <f>MAX(Hit!F14,Stand!F14,Double!F14)</f>
        <v>-0.16719266083547524</v>
      </c>
      <c r="G14">
        <f>MAX(Hit!G14,Stand!G14,Double!G14)</f>
        <v>-0.1536990158300045</v>
      </c>
      <c r="H14">
        <f>MAX(Hit!H14,Stand!H14,Double!H14)</f>
        <v>-0.3212819579256434</v>
      </c>
      <c r="I14">
        <f>MAX(Hit!I14,Stand!I14,Double!I14)</f>
        <v>-0.37191909208726714</v>
      </c>
      <c r="J14">
        <f>MAX(Hit!J14,Stand!J14,Double!J14)</f>
        <v>-0.43092981848423528</v>
      </c>
      <c r="K14">
        <f>MAX(Hit!K14,Stand!K14,Double!K14)</f>
        <v>-0.46630747852717758</v>
      </c>
      <c r="N14" s="31">
        <v>14</v>
      </c>
      <c r="O14" s="31" t="str">
        <f>IF(B14=HS!B14,HS!O14,"D")</f>
        <v>H</v>
      </c>
      <c r="P14" s="31" t="str">
        <f>IF(C14=HS!C14,HS!P14,"D")</f>
        <v>S</v>
      </c>
      <c r="Q14" s="31" t="str">
        <f>IF(D14=HS!D14,HS!Q14,"D")</f>
        <v>S</v>
      </c>
      <c r="R14" s="31" t="str">
        <f>IF(E14=HS!E14,HS!R14,"D")</f>
        <v>S</v>
      </c>
      <c r="S14" s="31" t="str">
        <f>IF(F14=HS!F14,HS!S14,"D")</f>
        <v>S</v>
      </c>
      <c r="T14" s="31" t="str">
        <f>IF(G14=HS!G14,HS!T14,"D")</f>
        <v>S</v>
      </c>
      <c r="U14" s="31" t="str">
        <f>IF(H14=HS!H14,HS!U14,"D")</f>
        <v>H</v>
      </c>
      <c r="V14" s="31" t="str">
        <f>IF(I14=HS!I14,HS!V14,"D")</f>
        <v>H</v>
      </c>
      <c r="W14" s="31" t="str">
        <f>IF(J14=HS!J14,HS!W14,"D")</f>
        <v>H</v>
      </c>
      <c r="X14" s="31" t="str">
        <f>IF(K14=HS!K14,HS!X14,"D")</f>
        <v>H</v>
      </c>
    </row>
    <row r="15" spans="1:24" x14ac:dyDescent="0.2">
      <c r="A15">
        <v>15</v>
      </c>
      <c r="B15">
        <f>MAX(Hit!B15,Stand!B15,Double!B15)</f>
        <v>-0.4800062419631399</v>
      </c>
      <c r="C15">
        <f>MAX(Hit!C15,Stand!C15,Double!C15)</f>
        <v>-0.29278372720927726</v>
      </c>
      <c r="D15">
        <f>MAX(Hit!D15,Stand!D15,Double!D15)</f>
        <v>-0.2522502292357135</v>
      </c>
      <c r="E15">
        <f>MAX(Hit!E15,Stand!E15,Double!E15)</f>
        <v>-0.21106310899491437</v>
      </c>
      <c r="F15">
        <f>MAX(Hit!F15,Stand!F15,Double!F15)</f>
        <v>-0.16719266083547524</v>
      </c>
      <c r="G15">
        <f>MAX(Hit!G15,Stand!G15,Double!G15)</f>
        <v>-0.1536990158300045</v>
      </c>
      <c r="H15">
        <f>MAX(Hit!H15,Stand!H15,Double!H15)</f>
        <v>-0.36976181807381175</v>
      </c>
      <c r="I15">
        <f>MAX(Hit!I15,Stand!I15,Double!I15)</f>
        <v>-0.41678201408103371</v>
      </c>
      <c r="J15">
        <f>MAX(Hit!J15,Stand!J15,Double!J15)</f>
        <v>-0.47157768859250415</v>
      </c>
      <c r="K15">
        <f>MAX(Hit!K15,Stand!K15,Double!K15)</f>
        <v>-0.5044283729180935</v>
      </c>
      <c r="N15" s="31">
        <v>15</v>
      </c>
      <c r="O15" s="31" t="str">
        <f>IF(B15=HS!B15,HS!O15,"D")</f>
        <v>H</v>
      </c>
      <c r="P15" s="31" t="str">
        <f>IF(C15=HS!C15,HS!P15,"D")</f>
        <v>S</v>
      </c>
      <c r="Q15" s="31" t="str">
        <f>IF(D15=HS!D15,HS!Q15,"D")</f>
        <v>S</v>
      </c>
      <c r="R15" s="31" t="str">
        <f>IF(E15=HS!E15,HS!R15,"D")</f>
        <v>S</v>
      </c>
      <c r="S15" s="31" t="str">
        <f>IF(F15=HS!F15,HS!S15,"D")</f>
        <v>S</v>
      </c>
      <c r="T15" s="31" t="str">
        <f>IF(G15=HS!G15,HS!T15,"D")</f>
        <v>S</v>
      </c>
      <c r="U15" s="31" t="str">
        <f>IF(H15=HS!H15,HS!U15,"D")</f>
        <v>H</v>
      </c>
      <c r="V15" s="31" t="str">
        <f>IF(I15=HS!I15,HS!V15,"D")</f>
        <v>H</v>
      </c>
      <c r="W15" s="31" t="str">
        <f>IF(J15=HS!J15,HS!W15,"D")</f>
        <v>H</v>
      </c>
      <c r="X15" s="31" t="str">
        <f>IF(K15=HS!K15,HS!X15,"D")</f>
        <v>H</v>
      </c>
    </row>
    <row r="16" spans="1:24" x14ac:dyDescent="0.2">
      <c r="A16">
        <v>16</v>
      </c>
      <c r="B16">
        <f>MAX(Hit!B16,Stand!B16,Double!B16)</f>
        <v>-0.51714865325148707</v>
      </c>
      <c r="C16">
        <f>MAX(Hit!C16,Stand!C16,Double!C16)</f>
        <v>-0.29278372720927726</v>
      </c>
      <c r="D16">
        <f>MAX(Hit!D16,Stand!D16,Double!D16)</f>
        <v>-0.2522502292357135</v>
      </c>
      <c r="E16">
        <f>MAX(Hit!E16,Stand!E16,Double!E16)</f>
        <v>-0.21106310899491437</v>
      </c>
      <c r="F16">
        <f>MAX(Hit!F16,Stand!F16,Double!F16)</f>
        <v>-0.16719266083547524</v>
      </c>
      <c r="G16">
        <f>MAX(Hit!G16,Stand!G16,Double!G16)</f>
        <v>-0.1536990158300045</v>
      </c>
      <c r="H16">
        <f>MAX(Hit!H16,Stand!H16,Double!H16)</f>
        <v>-0.41477883106853947</v>
      </c>
      <c r="I16">
        <f>MAX(Hit!I16,Stand!I16,Double!I16)</f>
        <v>-0.45844044164667419</v>
      </c>
      <c r="J16">
        <f>MAX(Hit!J16,Stand!J16,Double!J16)</f>
        <v>-0.50932213940732529</v>
      </c>
      <c r="K16">
        <f>MAX(Hit!K16,Stand!K16,Double!K16)</f>
        <v>-0.53982634628108683</v>
      </c>
      <c r="N16" s="31">
        <v>16</v>
      </c>
      <c r="O16" s="31" t="str">
        <f>IF(B16=HS!B16,HS!O16,"D")</f>
        <v>H</v>
      </c>
      <c r="P16" s="31" t="str">
        <f>IF(C16=HS!C16,HS!P16,"D")</f>
        <v>S</v>
      </c>
      <c r="Q16" s="31" t="str">
        <f>IF(D16=HS!D16,HS!Q16,"D")</f>
        <v>S</v>
      </c>
      <c r="R16" s="31" t="str">
        <f>IF(E16=HS!E16,HS!R16,"D")</f>
        <v>S</v>
      </c>
      <c r="S16" s="31" t="str">
        <f>IF(F16=HS!F16,HS!S16,"D")</f>
        <v>S</v>
      </c>
      <c r="T16" s="31" t="str">
        <f>IF(G16=HS!G16,HS!T16,"D")</f>
        <v>S</v>
      </c>
      <c r="U16" s="31" t="str">
        <f>IF(H16=HS!H16,HS!U16,"D")</f>
        <v>H</v>
      </c>
      <c r="V16" s="31" t="str">
        <f>IF(I16=HS!I16,HS!V16,"D")</f>
        <v>H</v>
      </c>
      <c r="W16" s="31" t="str">
        <f>IF(J16=HS!J16,HS!W16,"D")</f>
        <v>H</v>
      </c>
      <c r="X16" s="31" t="str">
        <f>IF(K16=HS!K16,HS!X16,"D")</f>
        <v>H</v>
      </c>
    </row>
    <row r="17" spans="1:24" x14ac:dyDescent="0.2">
      <c r="A17">
        <v>17</v>
      </c>
      <c r="B17">
        <f>MAX(Hit!B17,Stand!B17,Double!B17)</f>
        <v>-0.47803347499473703</v>
      </c>
      <c r="C17">
        <f>MAX(Hit!C17,Stand!C17,Double!C17)</f>
        <v>-0.15297458768154204</v>
      </c>
      <c r="D17">
        <f>MAX(Hit!D17,Stand!D17,Double!D17)</f>
        <v>-0.11721624142457365</v>
      </c>
      <c r="E17">
        <f>MAX(Hit!E17,Stand!E17,Double!E17)</f>
        <v>-8.0573373145316152E-2</v>
      </c>
      <c r="F17">
        <f>MAX(Hit!F17,Stand!F17,Double!F17)</f>
        <v>-4.4941375564924446E-2</v>
      </c>
      <c r="G17">
        <f>MAX(Hit!G17,Stand!G17,Double!G17)</f>
        <v>1.1739160673341853E-2</v>
      </c>
      <c r="H17">
        <f>MAX(Hit!H17,Stand!H17,Double!H17)</f>
        <v>-0.10680898948269468</v>
      </c>
      <c r="I17">
        <f>MAX(Hit!I17,Stand!I17,Double!I17)</f>
        <v>-0.38195097104844711</v>
      </c>
      <c r="J17">
        <f>MAX(Hit!J17,Stand!J17,Double!J17)</f>
        <v>-0.42315423964521737</v>
      </c>
      <c r="K17">
        <f>MAX(Hit!K17,Stand!K17,Double!K17)</f>
        <v>-0.41972063392881986</v>
      </c>
      <c r="N17" s="31">
        <v>17</v>
      </c>
      <c r="O17" s="31" t="str">
        <f>IF(B17=HS!B17,HS!O17,"D")</f>
        <v>S</v>
      </c>
      <c r="P17" s="31" t="str">
        <f>IF(C17=HS!C17,HS!P17,"D")</f>
        <v>S</v>
      </c>
      <c r="Q17" s="31" t="str">
        <f>IF(D17=HS!D17,HS!Q17,"D")</f>
        <v>S</v>
      </c>
      <c r="R17" s="31" t="str">
        <f>IF(E17=HS!E17,HS!R17,"D")</f>
        <v>S</v>
      </c>
      <c r="S17" s="31" t="str">
        <f>IF(F17=HS!F17,HS!S17,"D")</f>
        <v>S</v>
      </c>
      <c r="T17" s="31" t="str">
        <f>IF(G17=HS!G17,HS!T17,"D")</f>
        <v>S</v>
      </c>
      <c r="U17" s="31" t="str">
        <f>IF(H17=HS!H17,HS!U17,"D")</f>
        <v>S</v>
      </c>
      <c r="V17" s="31" t="str">
        <f>IF(I17=HS!I17,HS!V17,"D")</f>
        <v>S</v>
      </c>
      <c r="W17" s="31" t="str">
        <f>IF(J17=HS!J17,HS!W17,"D")</f>
        <v>S</v>
      </c>
      <c r="X17" s="31" t="str">
        <f>IF(K17=HS!K17,HS!X17,"D")</f>
        <v>S</v>
      </c>
    </row>
    <row r="18" spans="1:24" x14ac:dyDescent="0.2">
      <c r="A18">
        <v>18</v>
      </c>
      <c r="B18">
        <f>MAX(Hit!B18,Stand!B18,Double!B18)</f>
        <v>-0.10019887561319057</v>
      </c>
      <c r="C18">
        <f>MAX(Hit!C18,Stand!C18,Double!C18)</f>
        <v>0.12174190222088771</v>
      </c>
      <c r="D18">
        <f>MAX(Hit!D18,Stand!D18,Double!D18)</f>
        <v>0.14830007284131119</v>
      </c>
      <c r="E18">
        <f>MAX(Hit!E18,Stand!E18,Double!E18)</f>
        <v>0.17585443719748528</v>
      </c>
      <c r="F18">
        <f>MAX(Hit!F18,Stand!F18,Double!F18)</f>
        <v>0.19956119497617719</v>
      </c>
      <c r="G18">
        <f>MAX(Hit!G18,Stand!G18,Double!G18)</f>
        <v>0.28344391604689856</v>
      </c>
      <c r="H18">
        <f>MAX(Hit!H18,Stand!H18,Double!H18)</f>
        <v>0.3995541673365518</v>
      </c>
      <c r="I18">
        <f>MAX(Hit!I18,Stand!I18,Double!I18)</f>
        <v>0.10595134861912359</v>
      </c>
      <c r="J18">
        <f>MAX(Hit!J18,Stand!J18,Double!J18)</f>
        <v>-0.18316335667343331</v>
      </c>
      <c r="K18">
        <f>MAX(Hit!K18,Stand!K18,Double!K18)</f>
        <v>-0.17830123379648949</v>
      </c>
      <c r="N18" s="31">
        <v>18</v>
      </c>
      <c r="O18" s="31" t="str">
        <f>IF(B18=HS!B18,HS!O18,"D")</f>
        <v>S</v>
      </c>
      <c r="P18" s="31" t="str">
        <f>IF(C18=HS!C18,HS!P18,"D")</f>
        <v>S</v>
      </c>
      <c r="Q18" s="31" t="str">
        <f>IF(D18=HS!D18,HS!Q18,"D")</f>
        <v>S</v>
      </c>
      <c r="R18" s="31" t="str">
        <f>IF(E18=HS!E18,HS!R18,"D")</f>
        <v>S</v>
      </c>
      <c r="S18" s="31" t="str">
        <f>IF(F18=HS!F18,HS!S18,"D")</f>
        <v>S</v>
      </c>
      <c r="T18" s="31" t="str">
        <f>IF(G18=HS!G18,HS!T18,"D")</f>
        <v>S</v>
      </c>
      <c r="U18" s="31" t="str">
        <f>IF(H18=HS!H18,HS!U18,"D")</f>
        <v>S</v>
      </c>
      <c r="V18" s="31" t="str">
        <f>IF(I18=HS!I18,HS!V18,"D")</f>
        <v>S</v>
      </c>
      <c r="W18" s="31" t="str">
        <f>IF(J18=HS!J18,HS!W18,"D")</f>
        <v>S</v>
      </c>
      <c r="X18" s="31" t="str">
        <f>IF(K18=HS!K18,HS!X18,"D")</f>
        <v>S</v>
      </c>
    </row>
    <row r="19" spans="1:24" x14ac:dyDescent="0.2">
      <c r="A19">
        <v>19</v>
      </c>
      <c r="B19">
        <f>MAX(Hit!B19,Stand!B19,Double!B19)</f>
        <v>0.27763572376835594</v>
      </c>
      <c r="C19">
        <f>MAX(Hit!C19,Stand!C19,Double!C19)</f>
        <v>0.38630468602058993</v>
      </c>
      <c r="D19">
        <f>MAX(Hit!D19,Stand!D19,Double!D19)</f>
        <v>0.4043629365977599</v>
      </c>
      <c r="E19">
        <f>MAX(Hit!E19,Stand!E19,Double!E19)</f>
        <v>0.42317892482749653</v>
      </c>
      <c r="F19">
        <f>MAX(Hit!F19,Stand!F19,Double!F19)</f>
        <v>0.43951210416088371</v>
      </c>
      <c r="G19">
        <f>MAX(Hit!G19,Stand!G19,Double!G19)</f>
        <v>0.49597707378731914</v>
      </c>
      <c r="H19">
        <f>MAX(Hit!H19,Stand!H19,Double!H19)</f>
        <v>0.6159764957534315</v>
      </c>
      <c r="I19">
        <f>MAX(Hit!I19,Stand!I19,Double!I19)</f>
        <v>0.59385366828669439</v>
      </c>
      <c r="J19">
        <f>MAX(Hit!J19,Stand!J19,Double!J19)</f>
        <v>0.28759675706758148</v>
      </c>
      <c r="K19">
        <f>MAX(Hit!K19,Stand!K19,Double!K19)</f>
        <v>6.3118166335840831E-2</v>
      </c>
      <c r="N19" s="31">
        <v>19</v>
      </c>
      <c r="O19" s="31" t="str">
        <f>IF(B19=HS!B19,HS!O19,"D")</f>
        <v>S</v>
      </c>
      <c r="P19" s="31" t="str">
        <f>IF(C19=HS!C19,HS!P19,"D")</f>
        <v>S</v>
      </c>
      <c r="Q19" s="31" t="str">
        <f>IF(D19=HS!D19,HS!Q19,"D")</f>
        <v>S</v>
      </c>
      <c r="R19" s="31" t="str">
        <f>IF(E19=HS!E19,HS!R19,"D")</f>
        <v>S</v>
      </c>
      <c r="S19" s="31" t="str">
        <f>IF(F19=HS!F19,HS!S19,"D")</f>
        <v>S</v>
      </c>
      <c r="T19" s="31" t="str">
        <f>IF(G19=HS!G19,HS!T19,"D")</f>
        <v>S</v>
      </c>
      <c r="U19" s="31" t="str">
        <f>IF(H19=HS!H19,HS!U19,"D")</f>
        <v>S</v>
      </c>
      <c r="V19" s="31" t="str">
        <f>IF(I19=HS!I19,HS!V19,"D")</f>
        <v>S</v>
      </c>
      <c r="W19" s="31" t="str">
        <f>IF(J19=HS!J19,HS!W19,"D")</f>
        <v>S</v>
      </c>
      <c r="X19" s="31" t="str">
        <f>IF(K19=HS!K19,HS!X19,"D")</f>
        <v>S</v>
      </c>
    </row>
    <row r="20" spans="1:24" x14ac:dyDescent="0.2">
      <c r="A20">
        <v>20</v>
      </c>
      <c r="B20">
        <f>MAX(Hit!B20,Stand!B20,Double!B20)</f>
        <v>0.65547032314990239</v>
      </c>
      <c r="C20">
        <f>MAX(Hit!C20,Stand!C20,Double!C20)</f>
        <v>0.63998657521683877</v>
      </c>
      <c r="D20">
        <f>MAX(Hit!D20,Stand!D20,Double!D20)</f>
        <v>0.65027209425148136</v>
      </c>
      <c r="E20">
        <f>MAX(Hit!E20,Stand!E20,Double!E20)</f>
        <v>0.66104996194807186</v>
      </c>
      <c r="F20">
        <f>MAX(Hit!F20,Stand!F20,Double!F20)</f>
        <v>0.67035969063279999</v>
      </c>
      <c r="G20">
        <f>MAX(Hit!G20,Stand!G20,Double!G20)</f>
        <v>0.70395857017134467</v>
      </c>
      <c r="H20">
        <f>MAX(Hit!H20,Stand!H20,Double!H20)</f>
        <v>0.77322722653717491</v>
      </c>
      <c r="I20">
        <f>MAX(Hit!I20,Stand!I20,Double!I20)</f>
        <v>0.79181515955189841</v>
      </c>
      <c r="J20">
        <f>MAX(Hit!J20,Stand!J20,Double!J20)</f>
        <v>0.75835687080859626</v>
      </c>
      <c r="K20">
        <f>MAX(Hit!K20,Stand!K20,Double!K20)</f>
        <v>0.55453756646817121</v>
      </c>
      <c r="N20" s="31">
        <v>20</v>
      </c>
      <c r="O20" s="31" t="str">
        <f>IF(B20=HS!B20,HS!O20,"D")</f>
        <v>S</v>
      </c>
      <c r="P20" s="31" t="str">
        <f>IF(C20=HS!C20,HS!P20,"D")</f>
        <v>S</v>
      </c>
      <c r="Q20" s="31" t="str">
        <f>IF(D20=HS!D20,HS!Q20,"D")</f>
        <v>S</v>
      </c>
      <c r="R20" s="31" t="str">
        <f>IF(E20=HS!E20,HS!R20,"D")</f>
        <v>S</v>
      </c>
      <c r="S20" s="31" t="str">
        <f>IF(F20=HS!F20,HS!S20,"D")</f>
        <v>S</v>
      </c>
      <c r="T20" s="31" t="str">
        <f>IF(G20=HS!G20,HS!T20,"D")</f>
        <v>S</v>
      </c>
      <c r="U20" s="31" t="str">
        <f>IF(H20=HS!H20,HS!U20,"D")</f>
        <v>S</v>
      </c>
      <c r="V20" s="31" t="str">
        <f>IF(I20=HS!I20,HS!V20,"D")</f>
        <v>S</v>
      </c>
      <c r="W20" s="31" t="str">
        <f>IF(J20=HS!J20,HS!W20,"D")</f>
        <v>S</v>
      </c>
      <c r="X20" s="31" t="str">
        <f>IF(K20=HS!K20,HS!X20,"D")</f>
        <v>S</v>
      </c>
    </row>
    <row r="21" spans="1:24" x14ac:dyDescent="0.2">
      <c r="A21">
        <v>21</v>
      </c>
      <c r="B21">
        <f>MAX(Hit!B21,Stand!B21,Double!B21)</f>
        <v>0.92219381142033785</v>
      </c>
      <c r="C21">
        <f>MAX(Hit!C21,Stand!C21,Double!C21)</f>
        <v>0.88200651549403997</v>
      </c>
      <c r="D21">
        <f>MAX(Hit!D21,Stand!D21,Double!D21)</f>
        <v>0.88530035730174927</v>
      </c>
      <c r="E21">
        <f>MAX(Hit!E21,Stand!E21,Double!E21)</f>
        <v>0.88876729296591961</v>
      </c>
      <c r="F21">
        <f>MAX(Hit!F21,Stand!F21,Double!F21)</f>
        <v>0.89175382659528035</v>
      </c>
      <c r="G21">
        <f>MAX(Hit!G21,Stand!G21,Double!G21)</f>
        <v>0.90283674384257995</v>
      </c>
      <c r="H21">
        <f>MAX(Hit!H21,Stand!H21,Double!H21)</f>
        <v>0.92592629596452325</v>
      </c>
      <c r="I21">
        <f>MAX(Hit!I21,Stand!I21,Double!I21)</f>
        <v>0.93060505318396614</v>
      </c>
      <c r="J21">
        <f>MAX(Hit!J21,Stand!J21,Double!J21)</f>
        <v>0.93917615614724415</v>
      </c>
      <c r="K21">
        <f>MAX(Hit!K21,Stand!K21,Double!K21)</f>
        <v>0.96262363326716827</v>
      </c>
      <c r="N21" s="31">
        <v>21</v>
      </c>
      <c r="O21" s="31" t="str">
        <f>IF(B21=HS!B21,HS!O21,"D")</f>
        <v>S</v>
      </c>
      <c r="P21" s="31" t="str">
        <f>IF(C21=HS!C21,HS!P21,"D")</f>
        <v>S</v>
      </c>
      <c r="Q21" s="31" t="str">
        <f>IF(D21=HS!D21,HS!Q21,"D")</f>
        <v>S</v>
      </c>
      <c r="R21" s="31" t="str">
        <f>IF(E21=HS!E21,HS!R21,"D")</f>
        <v>S</v>
      </c>
      <c r="S21" s="31" t="str">
        <f>IF(F21=HS!F21,HS!S21,"D")</f>
        <v>S</v>
      </c>
      <c r="T21" s="31" t="str">
        <f>IF(G21=HS!G21,HS!T21,"D")</f>
        <v>S</v>
      </c>
      <c r="U21" s="31" t="str">
        <f>IF(H21=HS!H21,HS!U21,"D")</f>
        <v>S</v>
      </c>
      <c r="V21" s="31" t="str">
        <f>IF(I21=HS!I21,HS!V21,"D")</f>
        <v>S</v>
      </c>
      <c r="W21" s="31" t="str">
        <f>IF(J21=HS!J21,HS!W21,"D")</f>
        <v>S</v>
      </c>
      <c r="X21" s="31" t="str">
        <f>IF(K21=HS!K21,HS!X21,"D")</f>
        <v>S</v>
      </c>
    </row>
    <row r="22" spans="1:24" x14ac:dyDescent="0.2">
      <c r="A22">
        <v>22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31">
        <v>22</v>
      </c>
      <c r="O22" s="31" t="str">
        <f>IF(B22=HS!B22,HS!O22,"D")</f>
        <v>S</v>
      </c>
      <c r="P22" s="31" t="str">
        <f>IF(C22=HS!C22,HS!P22,"D")</f>
        <v>S</v>
      </c>
      <c r="Q22" s="31" t="str">
        <f>IF(D22=HS!D22,HS!Q22,"D")</f>
        <v>S</v>
      </c>
      <c r="R22" s="31" t="str">
        <f>IF(E22=HS!E22,HS!R22,"D")</f>
        <v>S</v>
      </c>
      <c r="S22" s="31" t="str">
        <f>IF(F22=HS!F22,HS!S22,"D")</f>
        <v>S</v>
      </c>
      <c r="T22" s="31" t="str">
        <f>IF(G22=HS!G22,HS!T22,"D")</f>
        <v>S</v>
      </c>
      <c r="U22" s="31" t="str">
        <f>IF(H22=HS!H22,HS!U22,"D")</f>
        <v>S</v>
      </c>
      <c r="V22" s="31" t="str">
        <f>IF(I22=HS!I22,HS!V22,"D")</f>
        <v>S</v>
      </c>
      <c r="W22" s="31" t="str">
        <f>IF(J22=HS!J22,HS!W22,"D")</f>
        <v>S</v>
      </c>
      <c r="X22" s="31" t="str">
        <f>IF(K22=HS!K22,HS!X22,"D")</f>
        <v>S</v>
      </c>
    </row>
    <row r="23" spans="1:24" x14ac:dyDescent="0.2">
      <c r="A23">
        <v>23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31">
        <v>23</v>
      </c>
      <c r="O23" s="31" t="str">
        <f>IF(B23=HS!B23,HS!O23,"D")</f>
        <v>S</v>
      </c>
      <c r="P23" s="31" t="str">
        <f>IF(C23=HS!C23,HS!P23,"D")</f>
        <v>S</v>
      </c>
      <c r="Q23" s="31" t="str">
        <f>IF(D23=HS!D23,HS!Q23,"D")</f>
        <v>S</v>
      </c>
      <c r="R23" s="31" t="str">
        <f>IF(E23=HS!E23,HS!R23,"D")</f>
        <v>S</v>
      </c>
      <c r="S23" s="31" t="str">
        <f>IF(F23=HS!F23,HS!S23,"D")</f>
        <v>S</v>
      </c>
      <c r="T23" s="31" t="str">
        <f>IF(G23=HS!G23,HS!T23,"D")</f>
        <v>S</v>
      </c>
      <c r="U23" s="31" t="str">
        <f>IF(H23=HS!H23,HS!U23,"D")</f>
        <v>S</v>
      </c>
      <c r="V23" s="31" t="str">
        <f>IF(I23=HS!I23,HS!V23,"D")</f>
        <v>S</v>
      </c>
      <c r="W23" s="31" t="str">
        <f>IF(J23=HS!J23,HS!W23,"D")</f>
        <v>S</v>
      </c>
      <c r="X23" s="31" t="str">
        <f>IF(K23=HS!K23,HS!X23,"D")</f>
        <v>S</v>
      </c>
    </row>
    <row r="24" spans="1:24" x14ac:dyDescent="0.2">
      <c r="A24">
        <v>24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31">
        <v>24</v>
      </c>
      <c r="O24" s="31" t="str">
        <f>IF(B24=HS!B24,HS!O24,"D")</f>
        <v>S</v>
      </c>
      <c r="P24" s="31" t="str">
        <f>IF(C24=HS!C24,HS!P24,"D")</f>
        <v>S</v>
      </c>
      <c r="Q24" s="31" t="str">
        <f>IF(D24=HS!D24,HS!Q24,"D")</f>
        <v>S</v>
      </c>
      <c r="R24" s="31" t="str">
        <f>IF(E24=HS!E24,HS!R24,"D")</f>
        <v>S</v>
      </c>
      <c r="S24" s="31" t="str">
        <f>IF(F24=HS!F24,HS!S24,"D")</f>
        <v>S</v>
      </c>
      <c r="T24" s="31" t="str">
        <f>IF(G24=HS!G24,HS!T24,"D")</f>
        <v>S</v>
      </c>
      <c r="U24" s="31" t="str">
        <f>IF(H24=HS!H24,HS!U24,"D")</f>
        <v>S</v>
      </c>
      <c r="V24" s="31" t="str">
        <f>IF(I24=HS!I24,HS!V24,"D")</f>
        <v>S</v>
      </c>
      <c r="W24" s="31" t="str">
        <f>IF(J24=HS!J24,HS!W24,"D")</f>
        <v>S</v>
      </c>
      <c r="X24" s="31" t="str">
        <f>IF(K24=HS!K24,HS!X24,"D")</f>
        <v>S</v>
      </c>
    </row>
    <row r="25" spans="1:24" x14ac:dyDescent="0.2">
      <c r="A25">
        <v>25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31">
        <v>25</v>
      </c>
      <c r="O25" s="31" t="str">
        <f>IF(B25=HS!B25,HS!O25,"D")</f>
        <v>S</v>
      </c>
      <c r="P25" s="31" t="str">
        <f>IF(C25=HS!C25,HS!P25,"D")</f>
        <v>S</v>
      </c>
      <c r="Q25" s="31" t="str">
        <f>IF(D25=HS!D25,HS!Q25,"D")</f>
        <v>S</v>
      </c>
      <c r="R25" s="31" t="str">
        <f>IF(E25=HS!E25,HS!R25,"D")</f>
        <v>S</v>
      </c>
      <c r="S25" s="31" t="str">
        <f>IF(F25=HS!F25,HS!S25,"D")</f>
        <v>S</v>
      </c>
      <c r="T25" s="31" t="str">
        <f>IF(G25=HS!G25,HS!T25,"D")</f>
        <v>S</v>
      </c>
      <c r="U25" s="31" t="str">
        <f>IF(H25=HS!H25,HS!U25,"D")</f>
        <v>S</v>
      </c>
      <c r="V25" s="31" t="str">
        <f>IF(I25=HS!I25,HS!V25,"D")</f>
        <v>S</v>
      </c>
      <c r="W25" s="31" t="str">
        <f>IF(J25=HS!J25,HS!W25,"D")</f>
        <v>S</v>
      </c>
      <c r="X25" s="31" t="str">
        <f>IF(K25=HS!K25,HS!X25,"D")</f>
        <v>S</v>
      </c>
    </row>
    <row r="26" spans="1:24" x14ac:dyDescent="0.2">
      <c r="A26">
        <v>26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31">
        <v>26</v>
      </c>
      <c r="O26" s="31" t="str">
        <f>IF(B26=HS!B26,HS!O26,"D")</f>
        <v>S</v>
      </c>
      <c r="P26" s="31" t="str">
        <f>IF(C26=HS!C26,HS!P26,"D")</f>
        <v>S</v>
      </c>
      <c r="Q26" s="31" t="str">
        <f>IF(D26=HS!D26,HS!Q26,"D")</f>
        <v>S</v>
      </c>
      <c r="R26" s="31" t="str">
        <f>IF(E26=HS!E26,HS!R26,"D")</f>
        <v>S</v>
      </c>
      <c r="S26" s="31" t="str">
        <f>IF(F26=HS!F26,HS!S26,"D")</f>
        <v>S</v>
      </c>
      <c r="T26" s="31" t="str">
        <f>IF(G26=HS!G26,HS!T26,"D")</f>
        <v>S</v>
      </c>
      <c r="U26" s="31" t="str">
        <f>IF(H26=HS!H26,HS!U26,"D")</f>
        <v>S</v>
      </c>
      <c r="V26" s="31" t="str">
        <f>IF(I26=HS!I26,HS!V26,"D")</f>
        <v>S</v>
      </c>
      <c r="W26" s="31" t="str">
        <f>IF(J26=HS!J26,HS!W26,"D")</f>
        <v>S</v>
      </c>
      <c r="X26" s="31" t="str">
        <f>IF(K26=HS!K26,HS!X26,"D")</f>
        <v>S</v>
      </c>
    </row>
    <row r="27" spans="1:24" x14ac:dyDescent="0.2">
      <c r="A27">
        <v>27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31">
        <v>27</v>
      </c>
      <c r="O27" s="31" t="str">
        <f>IF(B27=HS!B27,HS!O27,"D")</f>
        <v>S</v>
      </c>
      <c r="P27" s="31" t="str">
        <f>IF(C27=HS!C27,HS!P27,"D")</f>
        <v>S</v>
      </c>
      <c r="Q27" s="31" t="str">
        <f>IF(D27=HS!D27,HS!Q27,"D")</f>
        <v>S</v>
      </c>
      <c r="R27" s="31" t="str">
        <f>IF(E27=HS!E27,HS!R27,"D")</f>
        <v>S</v>
      </c>
      <c r="S27" s="31" t="str">
        <f>IF(F27=HS!F27,HS!S27,"D")</f>
        <v>S</v>
      </c>
      <c r="T27" s="31" t="str">
        <f>IF(G27=HS!G27,HS!T27,"D")</f>
        <v>S</v>
      </c>
      <c r="U27" s="31" t="str">
        <f>IF(H27=HS!H27,HS!U27,"D")</f>
        <v>S</v>
      </c>
      <c r="V27" s="31" t="str">
        <f>IF(I27=HS!I27,HS!V27,"D")</f>
        <v>S</v>
      </c>
      <c r="W27" s="31" t="str">
        <f>IF(J27=HS!J27,HS!W27,"D")</f>
        <v>S</v>
      </c>
      <c r="X27" s="31" t="str">
        <f>IF(K27=HS!K27,HS!X27,"D")</f>
        <v>S</v>
      </c>
    </row>
    <row r="28" spans="1:24" x14ac:dyDescent="0.2">
      <c r="A28">
        <v>28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31">
        <v>28</v>
      </c>
      <c r="O28" s="31" t="str">
        <f>IF(B28=HS!B28,HS!O28,"D")</f>
        <v>S</v>
      </c>
      <c r="P28" s="31" t="str">
        <f>IF(C28=HS!C28,HS!P28,"D")</f>
        <v>S</v>
      </c>
      <c r="Q28" s="31" t="str">
        <f>IF(D28=HS!D28,HS!Q28,"D")</f>
        <v>S</v>
      </c>
      <c r="R28" s="31" t="str">
        <f>IF(E28=HS!E28,HS!R28,"D")</f>
        <v>S</v>
      </c>
      <c r="S28" s="31" t="str">
        <f>IF(F28=HS!F28,HS!S28,"D")</f>
        <v>S</v>
      </c>
      <c r="T28" s="31" t="str">
        <f>IF(G28=HS!G28,HS!T28,"D")</f>
        <v>S</v>
      </c>
      <c r="U28" s="31" t="str">
        <f>IF(H28=HS!H28,HS!U28,"D")</f>
        <v>S</v>
      </c>
      <c r="V28" s="31" t="str">
        <f>IF(I28=HS!I28,HS!V28,"D")</f>
        <v>S</v>
      </c>
      <c r="W28" s="31" t="str">
        <f>IF(J28=HS!J28,HS!W28,"D")</f>
        <v>S</v>
      </c>
      <c r="X28" s="31" t="str">
        <f>IF(K28=HS!K28,HS!X28,"D")</f>
        <v>S</v>
      </c>
    </row>
    <row r="29" spans="1:24" x14ac:dyDescent="0.2">
      <c r="A29">
        <v>29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31">
        <v>29</v>
      </c>
      <c r="O29" s="31" t="str">
        <f>IF(B29=HS!B29,HS!O29,"D")</f>
        <v>S</v>
      </c>
      <c r="P29" s="31" t="str">
        <f>IF(C29=HS!C29,HS!P29,"D")</f>
        <v>S</v>
      </c>
      <c r="Q29" s="31" t="str">
        <f>IF(D29=HS!D29,HS!Q29,"D")</f>
        <v>S</v>
      </c>
      <c r="R29" s="31" t="str">
        <f>IF(E29=HS!E29,HS!R29,"D")</f>
        <v>S</v>
      </c>
      <c r="S29" s="31" t="str">
        <f>IF(F29=HS!F29,HS!S29,"D")</f>
        <v>S</v>
      </c>
      <c r="T29" s="31" t="str">
        <f>IF(G29=HS!G29,HS!T29,"D")</f>
        <v>S</v>
      </c>
      <c r="U29" s="31" t="str">
        <f>IF(H29=HS!H29,HS!U29,"D")</f>
        <v>S</v>
      </c>
      <c r="V29" s="31" t="str">
        <f>IF(I29=HS!I29,HS!V29,"D")</f>
        <v>S</v>
      </c>
      <c r="W29" s="31" t="str">
        <f>IF(J29=HS!J29,HS!W29,"D")</f>
        <v>S</v>
      </c>
      <c r="X29" s="31" t="str">
        <f>IF(K29=HS!K29,HS!X29,"D")</f>
        <v>S</v>
      </c>
    </row>
    <row r="30" spans="1:24" x14ac:dyDescent="0.2">
      <c r="A30">
        <v>30</v>
      </c>
      <c r="B30">
        <f>MAX(Hit!B30,Stand!B30,Double!B30)</f>
        <v>-1</v>
      </c>
      <c r="C30">
        <f>MAX(Hit!C30,Stand!C30,Double!C30)</f>
        <v>-1</v>
      </c>
      <c r="D30">
        <f>MAX(Hit!D30,Stand!D30,Double!D30)</f>
        <v>-1</v>
      </c>
      <c r="E30">
        <f>MAX(Hit!E30,Stand!E30,Double!E30)</f>
        <v>-1</v>
      </c>
      <c r="F30">
        <f>MAX(Hit!F30,Stand!F30,Double!F30)</f>
        <v>-1</v>
      </c>
      <c r="G30">
        <f>MAX(Hit!G30,Stand!G30,Double!G30)</f>
        <v>-1</v>
      </c>
      <c r="H30">
        <f>MAX(Hit!H30,Stand!H30,Double!H30)</f>
        <v>-1</v>
      </c>
      <c r="I30">
        <f>MAX(Hit!I30,Stand!I30,Double!I30)</f>
        <v>-1</v>
      </c>
      <c r="J30">
        <f>MAX(Hit!J30,Stand!J30,Double!J30)</f>
        <v>-1</v>
      </c>
      <c r="K30">
        <f>MAX(Hit!K30,Stand!K30,Double!K30)</f>
        <v>-1</v>
      </c>
      <c r="N30" s="31">
        <v>30</v>
      </c>
      <c r="O30" s="31" t="str">
        <f>IF(B30=HS!B30,HS!O30,"D")</f>
        <v>S</v>
      </c>
      <c r="P30" s="31" t="str">
        <f>IF(C30=HS!C30,HS!P30,"D")</f>
        <v>S</v>
      </c>
      <c r="Q30" s="31" t="str">
        <f>IF(D30=HS!D30,HS!Q30,"D")</f>
        <v>S</v>
      </c>
      <c r="R30" s="31" t="str">
        <f>IF(E30=HS!E30,HS!R30,"D")</f>
        <v>S</v>
      </c>
      <c r="S30" s="31" t="str">
        <f>IF(F30=HS!F30,HS!S30,"D")</f>
        <v>S</v>
      </c>
      <c r="T30" s="31" t="str">
        <f>IF(G30=HS!G30,HS!T30,"D")</f>
        <v>S</v>
      </c>
      <c r="U30" s="31" t="str">
        <f>IF(H30=HS!H30,HS!U30,"D")</f>
        <v>S</v>
      </c>
      <c r="V30" s="31" t="str">
        <f>IF(I30=HS!I30,HS!V30,"D")</f>
        <v>S</v>
      </c>
      <c r="W30" s="31" t="str">
        <f>IF(J30=HS!J30,HS!W30,"D")</f>
        <v>S</v>
      </c>
      <c r="X30" s="31" t="str">
        <f>IF(K30=HS!K30,HS!X30,"D")</f>
        <v>S</v>
      </c>
    </row>
    <row r="31" spans="1:24" x14ac:dyDescent="0.2">
      <c r="A31">
        <v>31</v>
      </c>
      <c r="B31">
        <f>MAX(Hit!B31,Stand!B31,Double!B31)</f>
        <v>-1</v>
      </c>
      <c r="C31">
        <f>MAX(Hit!C31,Stand!C31,Double!C31)</f>
        <v>-1</v>
      </c>
      <c r="D31">
        <f>MAX(Hit!D31,Stand!D31,Double!D31)</f>
        <v>-1</v>
      </c>
      <c r="E31">
        <f>MAX(Hit!E31,Stand!E31,Double!E31)</f>
        <v>-1</v>
      </c>
      <c r="F31">
        <f>MAX(Hit!F31,Stand!F31,Double!F31)</f>
        <v>-1</v>
      </c>
      <c r="G31">
        <f>MAX(Hit!G31,Stand!G31,Double!G31)</f>
        <v>-1</v>
      </c>
      <c r="H31">
        <f>MAX(Hit!H31,Stand!H31,Double!H31)</f>
        <v>-1</v>
      </c>
      <c r="I31">
        <f>MAX(Hit!I31,Stand!I31,Double!I31)</f>
        <v>-1</v>
      </c>
      <c r="J31">
        <f>MAX(Hit!J31,Stand!J31,Double!J31)</f>
        <v>-1</v>
      </c>
      <c r="K31">
        <f>MAX(Hit!K31,Stand!K31,Double!K31)</f>
        <v>-1</v>
      </c>
      <c r="N31" s="31">
        <v>31</v>
      </c>
      <c r="O31" s="31" t="str">
        <f>IF(B31=HS!B31,HS!O31,"D")</f>
        <v>S</v>
      </c>
      <c r="P31" s="31" t="str">
        <f>IF(C31=HS!C31,HS!P31,"D")</f>
        <v>S</v>
      </c>
      <c r="Q31" s="31" t="str">
        <f>IF(D31=HS!D31,HS!Q31,"D")</f>
        <v>S</v>
      </c>
      <c r="R31" s="31" t="str">
        <f>IF(E31=HS!E31,HS!R31,"D")</f>
        <v>S</v>
      </c>
      <c r="S31" s="31" t="str">
        <f>IF(F31=HS!F31,HS!S31,"D")</f>
        <v>S</v>
      </c>
      <c r="T31" s="31" t="str">
        <f>IF(G31=HS!G31,HS!T31,"D")</f>
        <v>S</v>
      </c>
      <c r="U31" s="31" t="str">
        <f>IF(H31=HS!H31,HS!U31,"D")</f>
        <v>S</v>
      </c>
      <c r="V31" s="31" t="str">
        <f>IF(I31=HS!I31,HS!V31,"D")</f>
        <v>S</v>
      </c>
      <c r="W31" s="31" t="str">
        <f>IF(J31=HS!J31,HS!W31,"D")</f>
        <v>S</v>
      </c>
      <c r="X31" s="31" t="str">
        <f>IF(K31=HS!K31,HS!X31,"D")</f>
        <v>S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MAX(Hit!B34,Stand!B34,Double!B34)</f>
        <v>0.29861942370404337</v>
      </c>
      <c r="C34">
        <f>MAX(Hit!C34,Stand!C34,Double!C34)</f>
        <v>0.47064092333946894</v>
      </c>
      <c r="D34">
        <f>MAX(Hit!D34,Stand!D34,Double!D34)</f>
        <v>0.51779525312221664</v>
      </c>
      <c r="E34">
        <f>MAX(Hit!E34,Stand!E34,Double!E34)</f>
        <v>0.56604055041797596</v>
      </c>
      <c r="F34">
        <f>MAX(Hit!F34,Stand!F34,Double!F34)</f>
        <v>0.61469901790902803</v>
      </c>
      <c r="G34">
        <f>MAX(Hit!G34,Stand!G34,Double!G34)</f>
        <v>0.66738009490756944</v>
      </c>
      <c r="H34">
        <f>MAX(Hit!H34,Stand!H34,Double!H34)</f>
        <v>0.46288894886429088</v>
      </c>
      <c r="I34">
        <f>MAX(Hit!I34,Stand!I34,Double!I34)</f>
        <v>0.40074805174057648</v>
      </c>
      <c r="J34">
        <f>MAX(Hit!J34,Stand!J34,Double!J34)</f>
        <v>0.32142328174266549</v>
      </c>
      <c r="K34">
        <f>MAX(Hit!K34,Stand!K34,Double!K34)</f>
        <v>0.26400071601402691</v>
      </c>
      <c r="N34" s="31">
        <v>11</v>
      </c>
      <c r="O34" s="31" t="str">
        <f>IF(B34=HS!B34,HS!O34,"D")</f>
        <v>H</v>
      </c>
      <c r="P34" s="31" t="str">
        <f>IF(C34=HS!C34,HS!P34,"D")</f>
        <v>D</v>
      </c>
      <c r="Q34" s="31" t="str">
        <f>IF(D34=HS!D34,HS!Q34,"D")</f>
        <v>D</v>
      </c>
      <c r="R34" s="31" t="str">
        <f>IF(E34=HS!E34,HS!R34,"D")</f>
        <v>D</v>
      </c>
      <c r="S34" s="31" t="str">
        <f>IF(F34=HS!F34,HS!S34,"D")</f>
        <v>D</v>
      </c>
      <c r="T34" s="31" t="str">
        <f>IF(G34=HS!G34,HS!T34,"D")</f>
        <v>D</v>
      </c>
      <c r="U34" s="31" t="str">
        <f>IF(H34=HS!H34,HS!U34,"D")</f>
        <v>D</v>
      </c>
      <c r="V34" s="31" t="str">
        <f>IF(I34=HS!I34,HS!V34,"D")</f>
        <v>H</v>
      </c>
      <c r="W34" s="31" t="str">
        <f>IF(J34=HS!J34,HS!W34,"D")</f>
        <v>H</v>
      </c>
      <c r="X34" s="31" t="str">
        <f>IF(K34=HS!K34,HS!X34,"D")</f>
        <v>H</v>
      </c>
    </row>
    <row r="35" spans="1:24" x14ac:dyDescent="0.2">
      <c r="A35">
        <v>12</v>
      </c>
      <c r="B35">
        <f>MAX(Hit!B35,Stand!B35,Double!B35)</f>
        <v>-2.0477877704912145E-2</v>
      </c>
      <c r="C35">
        <f>MAX(Hit!C35,Stand!C35,Double!C35)</f>
        <v>8.1836216051656044E-2</v>
      </c>
      <c r="D35">
        <f>MAX(Hit!D35,Stand!D35,Double!D35)</f>
        <v>0.10350704654207775</v>
      </c>
      <c r="E35">
        <f>MAX(Hit!E35,Stand!E35,Double!E35)</f>
        <v>0.12659562809256977</v>
      </c>
      <c r="F35">
        <f>MAX(Hit!F35,Stand!F35,Double!F35)</f>
        <v>0.15648238458465519</v>
      </c>
      <c r="G35">
        <f>MAX(Hit!G35,Stand!G35,Double!G35)</f>
        <v>0.18595361333225549</v>
      </c>
      <c r="H35">
        <f>MAX(Hit!H35,Stand!H35,Double!H35)</f>
        <v>0.16547293077063496</v>
      </c>
      <c r="I35">
        <f>MAX(Hit!I35,Stand!I35,Double!I35)</f>
        <v>9.5115020927032265E-2</v>
      </c>
      <c r="J35">
        <f>MAX(Hit!J35,Stand!J35,Double!J35)</f>
        <v>6.5790841226914386E-5</v>
      </c>
      <c r="K35">
        <f>MAX(Hit!K35,Stand!K35,Double!K35)</f>
        <v>-7.0002397357964694E-2</v>
      </c>
      <c r="N35" s="31">
        <v>12</v>
      </c>
      <c r="O35" s="31" t="str">
        <f>IF(B35=HS!B35,HS!O35,"D")</f>
        <v>H</v>
      </c>
      <c r="P35" s="31" t="str">
        <f>IF(C35=HS!C35,HS!P35,"D")</f>
        <v>H</v>
      </c>
      <c r="Q35" s="31" t="str">
        <f>IF(D35=HS!D35,HS!Q35,"D")</f>
        <v>H</v>
      </c>
      <c r="R35" s="31" t="str">
        <f>IF(E35=HS!E35,HS!R35,"D")</f>
        <v>H</v>
      </c>
      <c r="S35" s="31" t="str">
        <f>IF(F35=HS!F35,HS!S35,"D")</f>
        <v>H</v>
      </c>
      <c r="T35" s="31" t="str">
        <f>IF(G35=HS!G35,HS!T35,"D")</f>
        <v>H</v>
      </c>
      <c r="U35" s="31" t="str">
        <f>IF(H35=HS!H35,HS!U35,"D")</f>
        <v>H</v>
      </c>
      <c r="V35" s="31" t="str">
        <f>IF(I35=HS!I35,HS!V35,"D")</f>
        <v>H</v>
      </c>
      <c r="W35" s="31" t="str">
        <f>IF(J35=HS!J35,HS!W35,"D")</f>
        <v>H</v>
      </c>
      <c r="X35" s="31" t="str">
        <f>IF(K35=HS!K35,HS!X35,"D")</f>
        <v>H</v>
      </c>
    </row>
    <row r="36" spans="1:24" x14ac:dyDescent="0.2">
      <c r="A36">
        <v>13</v>
      </c>
      <c r="B36">
        <f>MAX(Hit!B36,Stand!B36,Double!B36)</f>
        <v>-5.7308046666810254E-2</v>
      </c>
      <c r="C36">
        <f>MAX(Hit!C36,Stand!C36,Double!C36)</f>
        <v>4.6636132695309578E-2</v>
      </c>
      <c r="D36">
        <f>MAX(Hit!D36,Stand!D36,Double!D36)</f>
        <v>7.4118813392744051E-2</v>
      </c>
      <c r="E36">
        <f>MAX(Hit!E36,Stand!E36,Double!E36)</f>
        <v>0.10247714687203523</v>
      </c>
      <c r="F36">
        <f>MAX(Hit!F36,Stand!F36,Double!F36)</f>
        <v>0.13336273848321728</v>
      </c>
      <c r="G36">
        <f>MAX(Hit!G36,Stand!G36,Double!G36)</f>
        <v>0.17974820582791512</v>
      </c>
      <c r="H36">
        <f>MAX(Hit!H36,Stand!H36,Double!H36)</f>
        <v>0.12238569517899196</v>
      </c>
      <c r="I36">
        <f>MAX(Hit!I36,Stand!I36,Double!I36)</f>
        <v>5.4057070196311299E-2</v>
      </c>
      <c r="J36">
        <f>MAX(Hit!J36,Stand!J36,Double!J36)</f>
        <v>-3.7694688127479885E-2</v>
      </c>
      <c r="K36">
        <f>MAX(Hit!K36,Stand!K36,Double!K36)</f>
        <v>-0.10485135840627779</v>
      </c>
      <c r="N36" s="31">
        <v>13</v>
      </c>
      <c r="O36" s="31" t="str">
        <f>IF(B36=HS!B36,HS!O36,"D")</f>
        <v>H</v>
      </c>
      <c r="P36" s="31" t="str">
        <f>IF(C36=HS!C36,HS!P36,"D")</f>
        <v>H</v>
      </c>
      <c r="Q36" s="31" t="str">
        <f>IF(D36=HS!D36,HS!Q36,"D")</f>
        <v>H</v>
      </c>
      <c r="R36" s="31" t="str">
        <f>IF(E36=HS!E36,HS!R36,"D")</f>
        <v>H</v>
      </c>
      <c r="S36" s="31" t="str">
        <f>IF(F36=HS!F36,HS!S36,"D")</f>
        <v>H</v>
      </c>
      <c r="T36" s="31" t="str">
        <f>IF(G36=HS!G36,HS!T36,"D")</f>
        <v>D</v>
      </c>
      <c r="U36" s="31" t="str">
        <f>IF(H36=HS!H36,HS!U36,"D")</f>
        <v>H</v>
      </c>
      <c r="V36" s="31" t="str">
        <f>IF(I36=HS!I36,HS!V36,"D")</f>
        <v>H</v>
      </c>
      <c r="W36" s="31" t="str">
        <f>IF(J36=HS!J36,HS!W36,"D")</f>
        <v>H</v>
      </c>
      <c r="X36" s="31" t="str">
        <f>IF(K36=HS!K36,HS!X36,"D")</f>
        <v>H</v>
      </c>
    </row>
    <row r="37" spans="1:24" x14ac:dyDescent="0.2">
      <c r="A37">
        <v>14</v>
      </c>
      <c r="B37">
        <f>MAX(Hit!B37,Stand!B37,Double!B37)</f>
        <v>-9.3874324768310105E-2</v>
      </c>
      <c r="C37">
        <f>MAX(Hit!C37,Stand!C37,Double!C37)</f>
        <v>2.2391856987839083E-2</v>
      </c>
      <c r="D37">
        <f>MAX(Hit!D37,Stand!D37,Double!D37)</f>
        <v>5.0806738919282814E-2</v>
      </c>
      <c r="E37">
        <f>MAX(Hit!E37,Stand!E37,Double!E37)</f>
        <v>8.0081414310110233E-2</v>
      </c>
      <c r="F37">
        <f>MAX(Hit!F37,Stand!F37,Double!F37)</f>
        <v>0.12595448524867925</v>
      </c>
      <c r="G37">
        <f>MAX(Hit!G37,Stand!G37,Double!G37)</f>
        <v>0.17974820582791512</v>
      </c>
      <c r="H37">
        <f>MAX(Hit!H37,Stand!H37,Double!H37)</f>
        <v>7.9507488494468148E-2</v>
      </c>
      <c r="I37">
        <f>MAX(Hit!I37,Stand!I37,Double!I37)</f>
        <v>1.3277219463208444E-2</v>
      </c>
      <c r="J37">
        <f>MAX(Hit!J37,Stand!J37,Double!J37)</f>
        <v>-7.516318944168382E-2</v>
      </c>
      <c r="K37">
        <f>MAX(Hit!K37,Stand!K37,Double!K37)</f>
        <v>-0.13946678217545452</v>
      </c>
      <c r="N37" s="31">
        <v>14</v>
      </c>
      <c r="O37" s="31" t="str">
        <f>IF(B37=HS!B37,HS!O37,"D")</f>
        <v>H</v>
      </c>
      <c r="P37" s="31" t="str">
        <f>IF(C37=HS!C37,HS!P37,"D")</f>
        <v>H</v>
      </c>
      <c r="Q37" s="31" t="str">
        <f>IF(D37=HS!D37,HS!Q37,"D")</f>
        <v>H</v>
      </c>
      <c r="R37" s="31" t="str">
        <f>IF(E37=HS!E37,HS!R37,"D")</f>
        <v>H</v>
      </c>
      <c r="S37" s="31" t="str">
        <f>IF(F37=HS!F37,HS!S37,"D")</f>
        <v>D</v>
      </c>
      <c r="T37" s="31" t="str">
        <f>IF(G37=HS!G37,HS!T37,"D")</f>
        <v>D</v>
      </c>
      <c r="U37" s="31" t="str">
        <f>IF(H37=HS!H37,HS!U37,"D")</f>
        <v>H</v>
      </c>
      <c r="V37" s="31" t="str">
        <f>IF(I37=HS!I37,HS!V37,"D")</f>
        <v>H</v>
      </c>
      <c r="W37" s="31" t="str">
        <f>IF(J37=HS!J37,HS!W37,"D")</f>
        <v>H</v>
      </c>
      <c r="X37" s="31" t="str">
        <f>IF(K37=HS!K37,HS!X37,"D")</f>
        <v>H</v>
      </c>
    </row>
    <row r="38" spans="1:24" x14ac:dyDescent="0.2">
      <c r="A38">
        <v>15</v>
      </c>
      <c r="B38">
        <f>MAX(Hit!B38,Stand!B38,Double!B38)</f>
        <v>-0.13002650167843849</v>
      </c>
      <c r="C38">
        <f>MAX(Hit!C38,Stand!C38,Double!C38)</f>
        <v>-1.2068474052636583E-4</v>
      </c>
      <c r="D38">
        <f>MAX(Hit!D38,Stand!D38,Double!D38)</f>
        <v>2.9159812622497363E-2</v>
      </c>
      <c r="E38">
        <f>MAX(Hit!E38,Stand!E38,Double!E38)</f>
        <v>5.9285376931179926E-2</v>
      </c>
      <c r="F38">
        <f>MAX(Hit!F38,Stand!F38,Double!F38)</f>
        <v>0.12595448524867925</v>
      </c>
      <c r="G38">
        <f>MAX(Hit!G38,Stand!G38,Double!G38)</f>
        <v>0.17974820582791512</v>
      </c>
      <c r="H38">
        <f>MAX(Hit!H38,Stand!H38,Double!H38)</f>
        <v>3.7028282279269235E-2</v>
      </c>
      <c r="I38">
        <f>MAX(Hit!I38,Stand!I38,Double!I38)</f>
        <v>-2.7054780502901672E-2</v>
      </c>
      <c r="J38">
        <f>MAX(Hit!J38,Stand!J38,Double!J38)</f>
        <v>-0.11218876868994289</v>
      </c>
      <c r="K38">
        <f>MAX(Hit!K38,Stand!K38,Double!K38)</f>
        <v>-0.17370423031226784</v>
      </c>
      <c r="N38" s="31">
        <v>15</v>
      </c>
      <c r="O38" s="31" t="str">
        <f>IF(B38=HS!B38,HS!O38,"D")</f>
        <v>H</v>
      </c>
      <c r="P38" s="31" t="str">
        <f>IF(C38=HS!C38,HS!P38,"D")</f>
        <v>H</v>
      </c>
      <c r="Q38" s="31" t="str">
        <f>IF(D38=HS!D38,HS!Q38,"D")</f>
        <v>H</v>
      </c>
      <c r="R38" s="31" t="str">
        <f>IF(E38=HS!E38,HS!R38,"D")</f>
        <v>H</v>
      </c>
      <c r="S38" s="31" t="str">
        <f>IF(F38=HS!F38,HS!S38,"D")</f>
        <v>D</v>
      </c>
      <c r="T38" s="31" t="str">
        <f>IF(G38=HS!G38,HS!T38,"D")</f>
        <v>D</v>
      </c>
      <c r="U38" s="31" t="str">
        <f>IF(H38=HS!H38,HS!U38,"D")</f>
        <v>H</v>
      </c>
      <c r="V38" s="31" t="str">
        <f>IF(I38=HS!I38,HS!V38,"D")</f>
        <v>H</v>
      </c>
      <c r="W38" s="31" t="str">
        <f>IF(J38=HS!J38,HS!W38,"D")</f>
        <v>H</v>
      </c>
      <c r="X38" s="31" t="str">
        <f>IF(K38=HS!K38,HS!X38,"D")</f>
        <v>H</v>
      </c>
    </row>
    <row r="39" spans="1:24" x14ac:dyDescent="0.2">
      <c r="A39">
        <v>16</v>
      </c>
      <c r="B39">
        <f>MAX(Hit!B39,Stand!B39,Double!B39)</f>
        <v>-0.16563717206687348</v>
      </c>
      <c r="C39">
        <f>MAX(Hit!C39,Stand!C39,Double!C39)</f>
        <v>-2.1025187774008566E-2</v>
      </c>
      <c r="D39">
        <f>MAX(Hit!D39,Stand!D39,Double!D39)</f>
        <v>9.0590953469108244E-3</v>
      </c>
      <c r="E39">
        <f>MAX(Hit!E39,Stand!E39,Double!E39)</f>
        <v>5.8426518743744951E-2</v>
      </c>
      <c r="F39">
        <f>MAX(Hit!F39,Stand!F39,Double!F39)</f>
        <v>0.12595448524867925</v>
      </c>
      <c r="G39">
        <f>MAX(Hit!G39,Stand!G39,Double!G39)</f>
        <v>0.17974820582791512</v>
      </c>
      <c r="H39">
        <f>MAX(Hit!H39,Stand!H39,Double!H39)</f>
        <v>-4.8901571730158942E-3</v>
      </c>
      <c r="I39">
        <f>MAX(Hit!I39,Stand!I39,Double!I39)</f>
        <v>-6.6794847920094103E-2</v>
      </c>
      <c r="J39">
        <f>MAX(Hit!J39,Stand!J39,Double!J39)</f>
        <v>-0.14864353463007471</v>
      </c>
      <c r="K39">
        <f>MAX(Hit!K39,Stand!K39,Double!K39)</f>
        <v>-0.20744109003068206</v>
      </c>
      <c r="N39" s="31">
        <v>16</v>
      </c>
      <c r="O39" s="31" t="str">
        <f>IF(B39=HS!B39,HS!O39,"D")</f>
        <v>H</v>
      </c>
      <c r="P39" s="31" t="str">
        <f>IF(C39=HS!C39,HS!P39,"D")</f>
        <v>H</v>
      </c>
      <c r="Q39" s="31" t="str">
        <f>IF(D39=HS!D39,HS!Q39,"D")</f>
        <v>H</v>
      </c>
      <c r="R39" s="31" t="str">
        <f>IF(E39=HS!E39,HS!R39,"D")</f>
        <v>D</v>
      </c>
      <c r="S39" s="31" t="str">
        <f>IF(F39=HS!F39,HS!S39,"D")</f>
        <v>D</v>
      </c>
      <c r="T39" s="31" t="str">
        <f>IF(G39=HS!G39,HS!T39,"D")</f>
        <v>D</v>
      </c>
      <c r="U39" s="31" t="str">
        <f>IF(H39=HS!H39,HS!U39,"D")</f>
        <v>H</v>
      </c>
      <c r="V39" s="31" t="str">
        <f>IF(I39=HS!I39,HS!V39,"D")</f>
        <v>H</v>
      </c>
      <c r="W39" s="31" t="str">
        <f>IF(J39=HS!J39,HS!W39,"D")</f>
        <v>H</v>
      </c>
      <c r="X39" s="31" t="str">
        <f>IF(K39=HS!K39,HS!X39,"D")</f>
        <v>H</v>
      </c>
    </row>
    <row r="40" spans="1:24" x14ac:dyDescent="0.2">
      <c r="A40">
        <v>17</v>
      </c>
      <c r="B40">
        <f>MAX(Hit!B40,Stand!B40,Double!B40)</f>
        <v>-0.17956936979241733</v>
      </c>
      <c r="C40">
        <f>MAX(Hit!C40,Stand!C40,Double!C40)</f>
        <v>-4.9104358288912882E-4</v>
      </c>
      <c r="D40">
        <f>MAX(Hit!D40,Stand!D40,Double!D40)</f>
        <v>5.5095284479298338E-2</v>
      </c>
      <c r="E40">
        <f>MAX(Hit!E40,Stand!E40,Double!E40)</f>
        <v>0.11865255067432869</v>
      </c>
      <c r="F40">
        <f>MAX(Hit!F40,Stand!F40,Double!F40)</f>
        <v>0.18237815537354879</v>
      </c>
      <c r="G40">
        <f>MAX(Hit!G40,Stand!G40,Double!G40)</f>
        <v>0.2561042872909981</v>
      </c>
      <c r="H40">
        <f>MAX(Hit!H40,Stand!H40,Double!H40)</f>
        <v>5.3823463716116654E-2</v>
      </c>
      <c r="I40">
        <f>MAX(Hit!I40,Stand!I40,Double!I40)</f>
        <v>-7.2915398729642075E-2</v>
      </c>
      <c r="J40">
        <f>MAX(Hit!J40,Stand!J40,Double!J40)</f>
        <v>-0.1497868921821332</v>
      </c>
      <c r="K40">
        <f>MAX(Hit!K40,Stand!K40,Double!K40)</f>
        <v>-0.19686697623363469</v>
      </c>
      <c r="N40" s="31">
        <v>17</v>
      </c>
      <c r="O40" s="31" t="str">
        <f>IF(B40=HS!B40,HS!O40,"D")</f>
        <v>H</v>
      </c>
      <c r="P40" s="31" t="str">
        <f>IF(C40=HS!C40,HS!P40,"D")</f>
        <v>H</v>
      </c>
      <c r="Q40" s="31" t="str">
        <f>IF(D40=HS!D40,HS!Q40,"D")</f>
        <v>D</v>
      </c>
      <c r="R40" s="31" t="str">
        <f>IF(E40=HS!E40,HS!R40,"D")</f>
        <v>D</v>
      </c>
      <c r="S40" s="31" t="str">
        <f>IF(F40=HS!F40,HS!S40,"D")</f>
        <v>D</v>
      </c>
      <c r="T40" s="31" t="str">
        <f>IF(G40=HS!G40,HS!T40,"D")</f>
        <v>D</v>
      </c>
      <c r="U40" s="31" t="str">
        <f>IF(H40=HS!H40,HS!U40,"D")</f>
        <v>H</v>
      </c>
      <c r="V40" s="31" t="str">
        <f>IF(I40=HS!I40,HS!V40,"D")</f>
        <v>H</v>
      </c>
      <c r="W40" s="31" t="str">
        <f>IF(J40=HS!J40,HS!W40,"D")</f>
        <v>H</v>
      </c>
      <c r="X40" s="31" t="str">
        <f>IF(K40=HS!K40,HS!X40,"D")</f>
        <v>H</v>
      </c>
    </row>
    <row r="41" spans="1:24" x14ac:dyDescent="0.2">
      <c r="A41">
        <v>18</v>
      </c>
      <c r="B41">
        <f>MAX(Hit!B41,Stand!B41,Double!B41)</f>
        <v>-9.2935491769284034E-2</v>
      </c>
      <c r="C41">
        <f>MAX(Hit!C41,Stand!C41,Double!C41)</f>
        <v>0.12174190222088771</v>
      </c>
      <c r="D41">
        <f>MAX(Hit!D41,Stand!D41,Double!D41)</f>
        <v>0.17764127567893753</v>
      </c>
      <c r="E41">
        <f>MAX(Hit!E41,Stand!E41,Double!E41)</f>
        <v>0.23700384775562167</v>
      </c>
      <c r="F41">
        <f>MAX(Hit!F41,Stand!F41,Double!F41)</f>
        <v>0.29522549562328804</v>
      </c>
      <c r="G41">
        <f>MAX(Hit!G41,Stand!G41,Double!G41)</f>
        <v>0.38150648207879345</v>
      </c>
      <c r="H41">
        <f>MAX(Hit!H41,Stand!H41,Double!H41)</f>
        <v>0.3995541673365518</v>
      </c>
      <c r="I41">
        <f>MAX(Hit!I41,Stand!I41,Double!I41)</f>
        <v>0.10595134861912359</v>
      </c>
      <c r="J41">
        <f>MAX(Hit!J41,Stand!J41,Double!J41)</f>
        <v>-0.10074430758041522</v>
      </c>
      <c r="K41">
        <f>MAX(Hit!K41,Stand!K41,Double!K41)</f>
        <v>-0.14380812317405353</v>
      </c>
      <c r="N41" s="31">
        <v>18</v>
      </c>
      <c r="O41" s="31" t="str">
        <f>IF(B41=HS!B41,HS!O41,"D")</f>
        <v>H</v>
      </c>
      <c r="P41" s="31" t="str">
        <f>IF(C41=HS!C41,HS!P41,"D")</f>
        <v>S</v>
      </c>
      <c r="Q41" s="31" t="str">
        <f>IF(D41=HS!D41,HS!Q41,"D")</f>
        <v>D</v>
      </c>
      <c r="R41" s="31" t="str">
        <f>IF(E41=HS!E41,HS!R41,"D")</f>
        <v>D</v>
      </c>
      <c r="S41" s="31" t="str">
        <f>IF(F41=HS!F41,HS!S41,"D")</f>
        <v>D</v>
      </c>
      <c r="T41" s="31" t="str">
        <f>IF(G41=HS!G41,HS!T41,"D")</f>
        <v>D</v>
      </c>
      <c r="U41" s="31" t="str">
        <f>IF(H41=HS!H41,HS!U41,"D")</f>
        <v>S</v>
      </c>
      <c r="V41" s="31" t="str">
        <f>IF(I41=HS!I41,HS!V41,"D")</f>
        <v>S</v>
      </c>
      <c r="W41" s="31" t="str">
        <f>IF(J41=HS!J41,HS!W41,"D")</f>
        <v>H</v>
      </c>
      <c r="X41" s="31" t="str">
        <f>IF(K41=HS!K41,HS!X41,"D")</f>
        <v>H</v>
      </c>
    </row>
    <row r="42" spans="1:24" x14ac:dyDescent="0.2">
      <c r="A42">
        <v>19</v>
      </c>
      <c r="B42">
        <f>MAX(Hit!B42,Stand!B42,Double!B42)</f>
        <v>0.27763572376835594</v>
      </c>
      <c r="C42">
        <f>MAX(Hit!C42,Stand!C42,Double!C42)</f>
        <v>0.38630468602058993</v>
      </c>
      <c r="D42">
        <f>MAX(Hit!D42,Stand!D42,Double!D42)</f>
        <v>0.4043629365977599</v>
      </c>
      <c r="E42">
        <f>MAX(Hit!E42,Stand!E42,Double!E42)</f>
        <v>0.42317892482749653</v>
      </c>
      <c r="F42">
        <f>MAX(Hit!F42,Stand!F42,Double!F42)</f>
        <v>0.43951210416088371</v>
      </c>
      <c r="G42">
        <f>MAX(Hit!G42,Stand!G42,Double!G42)</f>
        <v>0.49597707378731914</v>
      </c>
      <c r="H42">
        <f>MAX(Hit!H42,Stand!H42,Double!H42)</f>
        <v>0.6159764957534315</v>
      </c>
      <c r="I42">
        <f>MAX(Hit!I42,Stand!I42,Double!I42)</f>
        <v>0.59385366828669439</v>
      </c>
      <c r="J42">
        <f>MAX(Hit!J42,Stand!J42,Double!J42)</f>
        <v>0.28759675706758148</v>
      </c>
      <c r="K42">
        <f>MAX(Hit!K42,Stand!K42,Double!K42)</f>
        <v>6.3118166335840831E-2</v>
      </c>
      <c r="N42" s="31">
        <v>19</v>
      </c>
      <c r="O42" s="31" t="str">
        <f>IF(B42=HS!B42,HS!O42,"D")</f>
        <v>S</v>
      </c>
      <c r="P42" s="31" t="str">
        <f>IF(C42=HS!C42,HS!P42,"D")</f>
        <v>S</v>
      </c>
      <c r="Q42" s="31" t="str">
        <f>IF(D42=HS!D42,HS!Q42,"D")</f>
        <v>S</v>
      </c>
      <c r="R42" s="31" t="str">
        <f>IF(E42=HS!E42,HS!R42,"D")</f>
        <v>S</v>
      </c>
      <c r="S42" s="31" t="str">
        <f>IF(F42=HS!F42,HS!S42,"D")</f>
        <v>S</v>
      </c>
      <c r="T42" s="31" t="str">
        <f>IF(G42=HS!G42,HS!T42,"D")</f>
        <v>S</v>
      </c>
      <c r="U42" s="31" t="str">
        <f>IF(H42=HS!H42,HS!U42,"D")</f>
        <v>S</v>
      </c>
      <c r="V42" s="31" t="str">
        <f>IF(I42=HS!I42,HS!V42,"D")</f>
        <v>S</v>
      </c>
      <c r="W42" s="31" t="str">
        <f>IF(J42=HS!J42,HS!W42,"D")</f>
        <v>S</v>
      </c>
      <c r="X42" s="31" t="str">
        <f>IF(K42=HS!K42,HS!X42,"D")</f>
        <v>S</v>
      </c>
    </row>
    <row r="43" spans="1:24" x14ac:dyDescent="0.2">
      <c r="A43">
        <v>20</v>
      </c>
      <c r="B43">
        <f>MAX(Hit!B43,Stand!B43,Double!B43)</f>
        <v>0.65547032314990239</v>
      </c>
      <c r="C43">
        <f>MAX(Hit!C43,Stand!C43,Double!C43)</f>
        <v>0.63998657521683877</v>
      </c>
      <c r="D43">
        <f>MAX(Hit!D43,Stand!D43,Double!D43)</f>
        <v>0.65027209425148136</v>
      </c>
      <c r="E43">
        <f>MAX(Hit!E43,Stand!E43,Double!E43)</f>
        <v>0.66104996194807186</v>
      </c>
      <c r="F43">
        <f>MAX(Hit!F43,Stand!F43,Double!F43)</f>
        <v>0.67035969063279999</v>
      </c>
      <c r="G43">
        <f>MAX(Hit!G43,Stand!G43,Double!G43)</f>
        <v>0.70395857017134467</v>
      </c>
      <c r="H43">
        <f>MAX(Hit!H43,Stand!H43,Double!H43)</f>
        <v>0.77322722653717491</v>
      </c>
      <c r="I43">
        <f>MAX(Hit!I43,Stand!I43,Double!I43)</f>
        <v>0.79181515955189841</v>
      </c>
      <c r="J43">
        <f>MAX(Hit!J43,Stand!J43,Double!J43)</f>
        <v>0.75835687080859626</v>
      </c>
      <c r="K43">
        <f>MAX(Hit!K43,Stand!K43,Double!K43)</f>
        <v>0.55453756646817121</v>
      </c>
      <c r="N43" s="31">
        <v>20</v>
      </c>
      <c r="O43" s="31" t="str">
        <f>IF(B43=HS!B43,HS!O43,"D")</f>
        <v>S</v>
      </c>
      <c r="P43" s="31" t="str">
        <f>IF(C43=HS!C43,HS!P43,"D")</f>
        <v>S</v>
      </c>
      <c r="Q43" s="31" t="str">
        <f>IF(D43=HS!D43,HS!Q43,"D")</f>
        <v>S</v>
      </c>
      <c r="R43" s="31" t="str">
        <f>IF(E43=HS!E43,HS!R43,"D")</f>
        <v>S</v>
      </c>
      <c r="S43" s="31" t="str">
        <f>IF(F43=HS!F43,HS!S43,"D")</f>
        <v>S</v>
      </c>
      <c r="T43" s="31" t="str">
        <f>IF(G43=HS!G43,HS!T43,"D")</f>
        <v>S</v>
      </c>
      <c r="U43" s="31" t="str">
        <f>IF(H43=HS!H43,HS!U43,"D")</f>
        <v>S</v>
      </c>
      <c r="V43" s="31" t="str">
        <f>IF(I43=HS!I43,HS!V43,"D")</f>
        <v>S</v>
      </c>
      <c r="W43" s="31" t="str">
        <f>IF(J43=HS!J43,HS!W43,"D")</f>
        <v>S</v>
      </c>
      <c r="X43" s="31" t="str">
        <f>IF(K43=HS!K43,HS!X43,"D")</f>
        <v>S</v>
      </c>
    </row>
    <row r="44" spans="1:24" x14ac:dyDescent="0.2">
      <c r="A44">
        <v>21</v>
      </c>
      <c r="B44">
        <f>MAX(Hit!B44,Stand!B44,Double!B44)</f>
        <v>0.92219381142033785</v>
      </c>
      <c r="C44">
        <f>MAX(Hit!C44,Stand!C44,Double!C44)</f>
        <v>0.88200651549403997</v>
      </c>
      <c r="D44">
        <f>MAX(Hit!D44,Stand!D44,Double!D44)</f>
        <v>0.88530035730174927</v>
      </c>
      <c r="E44">
        <f>MAX(Hit!E44,Stand!E44,Double!E44)</f>
        <v>0.88876729296591961</v>
      </c>
      <c r="F44">
        <f>MAX(Hit!F44,Stand!F44,Double!F44)</f>
        <v>0.89175382659528035</v>
      </c>
      <c r="G44">
        <f>MAX(Hit!G44,Stand!G44,Double!G44)</f>
        <v>0.90283674384257995</v>
      </c>
      <c r="H44">
        <f>MAX(Hit!H44,Stand!H44,Double!H44)</f>
        <v>0.92592629596452325</v>
      </c>
      <c r="I44">
        <f>MAX(Hit!I44,Stand!I44,Double!I44)</f>
        <v>0.93060505318396614</v>
      </c>
      <c r="J44">
        <f>MAX(Hit!J44,Stand!J44,Double!J44)</f>
        <v>0.93917615614724415</v>
      </c>
      <c r="K44">
        <f>MAX(Hit!K44,Stand!K44,Double!K44)</f>
        <v>0.96262363326716827</v>
      </c>
      <c r="N44" s="31">
        <v>21</v>
      </c>
      <c r="O44" s="31" t="str">
        <f>IF(B44=HS!B44,HS!O44,"D")</f>
        <v>S</v>
      </c>
      <c r="P44" s="31" t="str">
        <f>IF(C44=HS!C44,HS!P44,"D")</f>
        <v>S</v>
      </c>
      <c r="Q44" s="31" t="str">
        <f>IF(D44=HS!D44,HS!Q44,"D")</f>
        <v>S</v>
      </c>
      <c r="R44" s="31" t="str">
        <f>IF(E44=HS!E44,HS!R44,"D")</f>
        <v>S</v>
      </c>
      <c r="S44" s="31" t="str">
        <f>IF(F44=HS!F44,HS!S44,"D")</f>
        <v>S</v>
      </c>
      <c r="T44" s="31" t="str">
        <f>IF(G44=HS!G44,HS!T44,"D")</f>
        <v>S</v>
      </c>
      <c r="U44" s="31" t="str">
        <f>IF(H44=HS!H44,HS!U44,"D")</f>
        <v>S</v>
      </c>
      <c r="V44" s="31" t="str">
        <f>IF(I44=HS!I44,HS!V44,"D")</f>
        <v>S</v>
      </c>
      <c r="W44" s="31" t="str">
        <f>IF(J44=HS!J44,HS!W44,"D")</f>
        <v>S</v>
      </c>
      <c r="X44" s="31" t="str">
        <f>IF(K44=HS!K44,HS!X44,"D")</f>
        <v>S</v>
      </c>
    </row>
    <row r="45" spans="1:24" x14ac:dyDescent="0.2">
      <c r="A45">
        <v>22</v>
      </c>
      <c r="B45">
        <f>MAX(Hit!B45,Stand!B45,Double!B45)</f>
        <v>-0.35054034044008009</v>
      </c>
      <c r="C45">
        <f>MAX(Hit!C45,Stand!C45,Double!C45)</f>
        <v>-0.25338998596663809</v>
      </c>
      <c r="D45">
        <f>MAX(Hit!D45,Stand!D45,Double!D45)</f>
        <v>-0.2336908997980866</v>
      </c>
      <c r="E45">
        <f>MAX(Hit!E45,Stand!E45,Double!E45)</f>
        <v>-0.21106310899491437</v>
      </c>
      <c r="F45">
        <f>MAX(Hit!F45,Stand!F45,Double!F45)</f>
        <v>-0.16719266083547524</v>
      </c>
      <c r="G45">
        <f>MAX(Hit!G45,Stand!G45,Double!G45)</f>
        <v>-0.1536990158300045</v>
      </c>
      <c r="H45">
        <f>MAX(Hit!H45,Stand!H45,Double!H45)</f>
        <v>-0.21284771451731424</v>
      </c>
      <c r="I45">
        <f>MAX(Hit!I45,Stand!I45,Double!I45)</f>
        <v>-0.27157480502428616</v>
      </c>
      <c r="J45">
        <f>MAX(Hit!J45,Stand!J45,Double!J45)</f>
        <v>-0.3400132806089356</v>
      </c>
      <c r="K45">
        <f>MAX(Hit!K45,Stand!K45,Double!K45)</f>
        <v>-0.38104299284808768</v>
      </c>
      <c r="N45" s="31">
        <v>22</v>
      </c>
      <c r="O45" s="31" t="str">
        <f>IF(B45=HS!B45,HS!O45,"D")</f>
        <v>H</v>
      </c>
      <c r="P45" s="31" t="str">
        <f>IF(C45=HS!C45,HS!P45,"D")</f>
        <v>H</v>
      </c>
      <c r="Q45" s="31" t="str">
        <f>IF(D45=HS!D45,HS!Q45,"D")</f>
        <v>H</v>
      </c>
      <c r="R45" s="31" t="str">
        <f>IF(E45=HS!E45,HS!R45,"D")</f>
        <v>S</v>
      </c>
      <c r="S45" s="31" t="str">
        <f>IF(F45=HS!F45,HS!S45,"D")</f>
        <v>S</v>
      </c>
      <c r="T45" s="31" t="str">
        <f>IF(G45=HS!G45,HS!T45,"D")</f>
        <v>S</v>
      </c>
      <c r="U45" s="31" t="str">
        <f>IF(H45=HS!H45,HS!U45,"D")</f>
        <v>H</v>
      </c>
      <c r="V45" s="31" t="str">
        <f>IF(I45=HS!I45,HS!V45,"D")</f>
        <v>H</v>
      </c>
      <c r="W45" s="31" t="str">
        <f>IF(J45=HS!J45,HS!W45,"D")</f>
        <v>H</v>
      </c>
      <c r="X45" s="31" t="str">
        <f>IF(K45=HS!K45,HS!X45,"D")</f>
        <v>H</v>
      </c>
    </row>
    <row r="46" spans="1:24" x14ac:dyDescent="0.2">
      <c r="A46">
        <v>23</v>
      </c>
      <c r="B46">
        <f>MAX(Hit!B46,Stand!B46,Double!B46)</f>
        <v>-0.3969303161229315</v>
      </c>
      <c r="C46">
        <f>MAX(Hit!C46,Stand!C46,Double!C46)</f>
        <v>-0.29278372720927726</v>
      </c>
      <c r="D46">
        <f>MAX(Hit!D46,Stand!D46,Double!D46)</f>
        <v>-0.2522502292357135</v>
      </c>
      <c r="E46">
        <f>MAX(Hit!E46,Stand!E46,Double!E46)</f>
        <v>-0.21106310899491437</v>
      </c>
      <c r="F46">
        <f>MAX(Hit!F46,Stand!F46,Double!F46)</f>
        <v>-0.16719266083547524</v>
      </c>
      <c r="G46">
        <f>MAX(Hit!G46,Stand!G46,Double!G46)</f>
        <v>-0.1536990158300045</v>
      </c>
      <c r="H46">
        <f>MAX(Hit!H46,Stand!H46,Double!H46)</f>
        <v>-0.26907287776607752</v>
      </c>
      <c r="I46">
        <f>MAX(Hit!I46,Stand!I46,Double!I46)</f>
        <v>-0.32360517609397998</v>
      </c>
      <c r="J46">
        <f>MAX(Hit!J46,Stand!J46,Double!J46)</f>
        <v>-0.38715518913686875</v>
      </c>
      <c r="K46">
        <f>MAX(Hit!K46,Stand!K46,Double!K46)</f>
        <v>-0.42525420764465277</v>
      </c>
      <c r="N46" s="31">
        <v>23</v>
      </c>
      <c r="O46" s="31" t="str">
        <f>IF(B46=HS!B46,HS!O46,"D")</f>
        <v>H</v>
      </c>
      <c r="P46" s="31" t="str">
        <f>IF(C46=HS!C46,HS!P46,"D")</f>
        <v>S</v>
      </c>
      <c r="Q46" s="31" t="str">
        <f>IF(D46=HS!D46,HS!Q46,"D")</f>
        <v>S</v>
      </c>
      <c r="R46" s="31" t="str">
        <f>IF(E46=HS!E46,HS!R46,"D")</f>
        <v>S</v>
      </c>
      <c r="S46" s="31" t="str">
        <f>IF(F46=HS!F46,HS!S46,"D")</f>
        <v>S</v>
      </c>
      <c r="T46" s="31" t="str">
        <f>IF(G46=HS!G46,HS!T46,"D")</f>
        <v>S</v>
      </c>
      <c r="U46" s="31" t="str">
        <f>IF(H46=HS!H46,HS!U46,"D")</f>
        <v>H</v>
      </c>
      <c r="V46" s="31" t="str">
        <f>IF(I46=HS!I46,HS!V46,"D")</f>
        <v>H</v>
      </c>
      <c r="W46" s="31" t="str">
        <f>IF(J46=HS!J46,HS!W46,"D")</f>
        <v>H</v>
      </c>
      <c r="X46" s="31" t="str">
        <f>IF(K46=HS!K46,HS!X46,"D")</f>
        <v>H</v>
      </c>
    </row>
    <row r="47" spans="1:24" x14ac:dyDescent="0.2">
      <c r="A47">
        <v>24</v>
      </c>
      <c r="B47">
        <f>MAX(Hit!B47,Stand!B47,Double!B47)</f>
        <v>-0.44000672211415065</v>
      </c>
      <c r="C47">
        <f>MAX(Hit!C47,Stand!C47,Double!C47)</f>
        <v>-0.29278372720927726</v>
      </c>
      <c r="D47">
        <f>MAX(Hit!D47,Stand!D47,Double!D47)</f>
        <v>-0.2522502292357135</v>
      </c>
      <c r="E47">
        <f>MAX(Hit!E47,Stand!E47,Double!E47)</f>
        <v>-0.21106310899491437</v>
      </c>
      <c r="F47">
        <f>MAX(Hit!F47,Stand!F47,Double!F47)</f>
        <v>-0.16719266083547524</v>
      </c>
      <c r="G47">
        <f>MAX(Hit!G47,Stand!G47,Double!G47)</f>
        <v>-0.1536990158300045</v>
      </c>
      <c r="H47">
        <f>MAX(Hit!H47,Stand!H47,Double!H47)</f>
        <v>-0.3212819579256434</v>
      </c>
      <c r="I47">
        <f>MAX(Hit!I47,Stand!I47,Double!I47)</f>
        <v>-0.37191909208726714</v>
      </c>
      <c r="J47">
        <f>MAX(Hit!J47,Stand!J47,Double!J47)</f>
        <v>-0.43092981848423528</v>
      </c>
      <c r="K47">
        <f>MAX(Hit!K47,Stand!K47,Double!K47)</f>
        <v>-0.46630747852717758</v>
      </c>
      <c r="N47" s="31">
        <v>24</v>
      </c>
      <c r="O47" s="31" t="str">
        <f>IF(B47=HS!B47,HS!O47,"D")</f>
        <v>H</v>
      </c>
      <c r="P47" s="31" t="str">
        <f>IF(C47=HS!C47,HS!P47,"D")</f>
        <v>S</v>
      </c>
      <c r="Q47" s="31" t="str">
        <f>IF(D47=HS!D47,HS!Q47,"D")</f>
        <v>S</v>
      </c>
      <c r="R47" s="31" t="str">
        <f>IF(E47=HS!E47,HS!R47,"D")</f>
        <v>S</v>
      </c>
      <c r="S47" s="31" t="str">
        <f>IF(F47=HS!F47,HS!S47,"D")</f>
        <v>S</v>
      </c>
      <c r="T47" s="31" t="str">
        <f>IF(G47=HS!G47,HS!T47,"D")</f>
        <v>S</v>
      </c>
      <c r="U47" s="31" t="str">
        <f>IF(H47=HS!H47,HS!U47,"D")</f>
        <v>H</v>
      </c>
      <c r="V47" s="31" t="str">
        <f>IF(I47=HS!I47,HS!V47,"D")</f>
        <v>H</v>
      </c>
      <c r="W47" s="31" t="str">
        <f>IF(J47=HS!J47,HS!W47,"D")</f>
        <v>H</v>
      </c>
      <c r="X47" s="31" t="str">
        <f>IF(K47=HS!K47,HS!X47,"D")</f>
        <v>H</v>
      </c>
    </row>
    <row r="48" spans="1:24" x14ac:dyDescent="0.2">
      <c r="A48">
        <v>25</v>
      </c>
      <c r="B48">
        <f>MAX(Hit!B48,Stand!B48,Double!B48)</f>
        <v>-0.4800062419631399</v>
      </c>
      <c r="C48">
        <f>MAX(Hit!C48,Stand!C48,Double!C48)</f>
        <v>-0.29278372720927726</v>
      </c>
      <c r="D48">
        <f>MAX(Hit!D48,Stand!D48,Double!D48)</f>
        <v>-0.2522502292357135</v>
      </c>
      <c r="E48">
        <f>MAX(Hit!E48,Stand!E48,Double!E48)</f>
        <v>-0.21106310899491437</v>
      </c>
      <c r="F48">
        <f>MAX(Hit!F48,Stand!F48,Double!F48)</f>
        <v>-0.16719266083547524</v>
      </c>
      <c r="G48">
        <f>MAX(Hit!G48,Stand!G48,Double!G48)</f>
        <v>-0.1536990158300045</v>
      </c>
      <c r="H48">
        <f>MAX(Hit!H48,Stand!H48,Double!H48)</f>
        <v>-0.36976181807381175</v>
      </c>
      <c r="I48">
        <f>MAX(Hit!I48,Stand!I48,Double!I48)</f>
        <v>-0.41678201408103371</v>
      </c>
      <c r="J48">
        <f>MAX(Hit!J48,Stand!J48,Double!J48)</f>
        <v>-0.47157768859250415</v>
      </c>
      <c r="K48">
        <f>MAX(Hit!K48,Stand!K48,Double!K48)</f>
        <v>-0.5044283729180935</v>
      </c>
      <c r="N48" s="31">
        <v>25</v>
      </c>
      <c r="O48" s="31" t="str">
        <f>IF(B48=HS!B48,HS!O48,"D")</f>
        <v>H</v>
      </c>
      <c r="P48" s="31" t="str">
        <f>IF(C48=HS!C48,HS!P48,"D")</f>
        <v>S</v>
      </c>
      <c r="Q48" s="31" t="str">
        <f>IF(D48=HS!D48,HS!Q48,"D")</f>
        <v>S</v>
      </c>
      <c r="R48" s="31" t="str">
        <f>IF(E48=HS!E48,HS!R48,"D")</f>
        <v>S</v>
      </c>
      <c r="S48" s="31" t="str">
        <f>IF(F48=HS!F48,HS!S48,"D")</f>
        <v>S</v>
      </c>
      <c r="T48" s="31" t="str">
        <f>IF(G48=HS!G48,HS!T48,"D")</f>
        <v>S</v>
      </c>
      <c r="U48" s="31" t="str">
        <f>IF(H48=HS!H48,HS!U48,"D")</f>
        <v>H</v>
      </c>
      <c r="V48" s="31" t="str">
        <f>IF(I48=HS!I48,HS!V48,"D")</f>
        <v>H</v>
      </c>
      <c r="W48" s="31" t="str">
        <f>IF(J48=HS!J48,HS!W48,"D")</f>
        <v>H</v>
      </c>
      <c r="X48" s="31" t="str">
        <f>IF(K48=HS!K48,HS!X48,"D")</f>
        <v>H</v>
      </c>
    </row>
    <row r="49" spans="1:24" x14ac:dyDescent="0.2">
      <c r="A49">
        <v>26</v>
      </c>
      <c r="B49">
        <f>MAX(Hit!B49,Stand!B49,Double!B49)</f>
        <v>-0.51714865325148707</v>
      </c>
      <c r="C49">
        <f>MAX(Hit!C49,Stand!C49,Double!C49)</f>
        <v>-0.29278372720927726</v>
      </c>
      <c r="D49">
        <f>MAX(Hit!D49,Stand!D49,Double!D49)</f>
        <v>-0.2522502292357135</v>
      </c>
      <c r="E49">
        <f>MAX(Hit!E49,Stand!E49,Double!E49)</f>
        <v>-0.21106310899491437</v>
      </c>
      <c r="F49">
        <f>MAX(Hit!F49,Stand!F49,Double!F49)</f>
        <v>-0.16719266083547524</v>
      </c>
      <c r="G49">
        <f>MAX(Hit!G49,Stand!G49,Double!G49)</f>
        <v>-0.1536990158300045</v>
      </c>
      <c r="H49">
        <f>MAX(Hit!H49,Stand!H49,Double!H49)</f>
        <v>-0.41477883106853947</v>
      </c>
      <c r="I49">
        <f>MAX(Hit!I49,Stand!I49,Double!I49)</f>
        <v>-0.45844044164667419</v>
      </c>
      <c r="J49">
        <f>MAX(Hit!J49,Stand!J49,Double!J49)</f>
        <v>-0.50932213940732529</v>
      </c>
      <c r="K49">
        <f>MAX(Hit!K49,Stand!K49,Double!K49)</f>
        <v>-0.53982634628108683</v>
      </c>
      <c r="N49" s="31">
        <v>26</v>
      </c>
      <c r="O49" s="31" t="str">
        <f>IF(B49=HS!B49,HS!O49,"D")</f>
        <v>H</v>
      </c>
      <c r="P49" s="31" t="str">
        <f>IF(C49=HS!C49,HS!P49,"D")</f>
        <v>S</v>
      </c>
      <c r="Q49" s="31" t="str">
        <f>IF(D49=HS!D49,HS!Q49,"D")</f>
        <v>S</v>
      </c>
      <c r="R49" s="31" t="str">
        <f>IF(E49=HS!E49,HS!R49,"D")</f>
        <v>S</v>
      </c>
      <c r="S49" s="31" t="str">
        <f>IF(F49=HS!F49,HS!S49,"D")</f>
        <v>S</v>
      </c>
      <c r="T49" s="31" t="str">
        <f>IF(G49=HS!G49,HS!T49,"D")</f>
        <v>S</v>
      </c>
      <c r="U49" s="31" t="str">
        <f>IF(H49=HS!H49,HS!U49,"D")</f>
        <v>H</v>
      </c>
      <c r="V49" s="31" t="str">
        <f>IF(I49=HS!I49,HS!V49,"D")</f>
        <v>H</v>
      </c>
      <c r="W49" s="31" t="str">
        <f>IF(J49=HS!J49,HS!W49,"D")</f>
        <v>H</v>
      </c>
      <c r="X49" s="31" t="str">
        <f>IF(K49=HS!K49,HS!X49,"D")</f>
        <v>H</v>
      </c>
    </row>
    <row r="50" spans="1:24" x14ac:dyDescent="0.2">
      <c r="A50">
        <v>27</v>
      </c>
      <c r="B50">
        <f>MAX(Hit!B50,Stand!B50,Double!B50)</f>
        <v>-0.47803347499473703</v>
      </c>
      <c r="C50">
        <f>MAX(Hit!C50,Stand!C50,Double!C50)</f>
        <v>-0.15297458768154204</v>
      </c>
      <c r="D50">
        <f>MAX(Hit!D50,Stand!D50,Double!D50)</f>
        <v>-0.11721624142457365</v>
      </c>
      <c r="E50">
        <f>MAX(Hit!E50,Stand!E50,Double!E50)</f>
        <v>-8.0573373145316152E-2</v>
      </c>
      <c r="F50">
        <f>MAX(Hit!F50,Stand!F50,Double!F50)</f>
        <v>-4.4941375564924446E-2</v>
      </c>
      <c r="G50">
        <f>MAX(Hit!G50,Stand!G50,Double!G50)</f>
        <v>1.1739160673341853E-2</v>
      </c>
      <c r="H50">
        <f>MAX(Hit!H50,Stand!H50,Double!H50)</f>
        <v>-0.10680898948269468</v>
      </c>
      <c r="I50">
        <f>MAX(Hit!I50,Stand!I50,Double!I50)</f>
        <v>-0.38195097104844711</v>
      </c>
      <c r="J50">
        <f>MAX(Hit!J50,Stand!J50,Double!J50)</f>
        <v>-0.42315423964521737</v>
      </c>
      <c r="K50">
        <f>MAX(Hit!K50,Stand!K50,Double!K50)</f>
        <v>-0.41972063392881986</v>
      </c>
      <c r="N50" s="31">
        <v>27</v>
      </c>
      <c r="O50" s="31" t="str">
        <f>IF(B50=HS!B50,HS!O50,"D")</f>
        <v>S</v>
      </c>
      <c r="P50" s="31" t="str">
        <f>IF(C50=HS!C50,HS!P50,"D")</f>
        <v>S</v>
      </c>
      <c r="Q50" s="31" t="str">
        <f>IF(D50=HS!D50,HS!Q50,"D")</f>
        <v>S</v>
      </c>
      <c r="R50" s="31" t="str">
        <f>IF(E50=HS!E50,HS!R50,"D")</f>
        <v>S</v>
      </c>
      <c r="S50" s="31" t="str">
        <f>IF(F50=HS!F50,HS!S50,"D")</f>
        <v>S</v>
      </c>
      <c r="T50" s="31" t="str">
        <f>IF(G50=HS!G50,HS!T50,"D")</f>
        <v>S</v>
      </c>
      <c r="U50" s="31" t="str">
        <f>IF(H50=HS!H50,HS!U50,"D")</f>
        <v>S</v>
      </c>
      <c r="V50" s="31" t="str">
        <f>IF(I50=HS!I50,HS!V50,"D")</f>
        <v>S</v>
      </c>
      <c r="W50" s="31" t="str">
        <f>IF(J50=HS!J50,HS!W50,"D")</f>
        <v>S</v>
      </c>
      <c r="X50" s="31" t="str">
        <f>IF(K50=HS!K50,HS!X50,"D")</f>
        <v>S</v>
      </c>
    </row>
    <row r="51" spans="1:24" x14ac:dyDescent="0.2">
      <c r="A51">
        <v>28</v>
      </c>
      <c r="B51">
        <f>MAX(Hit!B51,Stand!B51,Double!B51)</f>
        <v>-0.10019887561319057</v>
      </c>
      <c r="C51">
        <f>MAX(Hit!C51,Stand!C51,Double!C51)</f>
        <v>0.12174190222088771</v>
      </c>
      <c r="D51">
        <f>MAX(Hit!D51,Stand!D51,Double!D51)</f>
        <v>0.14830007284131119</v>
      </c>
      <c r="E51">
        <f>MAX(Hit!E51,Stand!E51,Double!E51)</f>
        <v>0.17585443719748528</v>
      </c>
      <c r="F51">
        <f>MAX(Hit!F51,Stand!F51,Double!F51)</f>
        <v>0.19956119497617719</v>
      </c>
      <c r="G51">
        <f>MAX(Hit!G51,Stand!G51,Double!G51)</f>
        <v>0.28344391604689856</v>
      </c>
      <c r="H51">
        <f>MAX(Hit!H51,Stand!H51,Double!H51)</f>
        <v>0.3995541673365518</v>
      </c>
      <c r="I51">
        <f>MAX(Hit!I51,Stand!I51,Double!I51)</f>
        <v>0.10595134861912359</v>
      </c>
      <c r="J51">
        <f>MAX(Hit!J51,Stand!J51,Double!J51)</f>
        <v>-0.18316335667343331</v>
      </c>
      <c r="K51">
        <f>MAX(Hit!K51,Stand!K51,Double!K51)</f>
        <v>-0.17830123379648949</v>
      </c>
      <c r="N51" s="31">
        <v>28</v>
      </c>
      <c r="O51" s="31" t="str">
        <f>IF(B51=HS!B51,HS!O51,"D")</f>
        <v>S</v>
      </c>
      <c r="P51" s="31" t="str">
        <f>IF(C51=HS!C51,HS!P51,"D")</f>
        <v>S</v>
      </c>
      <c r="Q51" s="31" t="str">
        <f>IF(D51=HS!D51,HS!Q51,"D")</f>
        <v>S</v>
      </c>
      <c r="R51" s="31" t="str">
        <f>IF(E51=HS!E51,HS!R51,"D")</f>
        <v>S</v>
      </c>
      <c r="S51" s="31" t="str">
        <f>IF(F51=HS!F51,HS!S51,"D")</f>
        <v>S</v>
      </c>
      <c r="T51" s="31" t="str">
        <f>IF(G51=HS!G51,HS!T51,"D")</f>
        <v>S</v>
      </c>
      <c r="U51" s="31" t="str">
        <f>IF(H51=HS!H51,HS!U51,"D")</f>
        <v>S</v>
      </c>
      <c r="V51" s="31" t="str">
        <f>IF(I51=HS!I51,HS!V51,"D")</f>
        <v>S</v>
      </c>
      <c r="W51" s="31" t="str">
        <f>IF(J51=HS!J51,HS!W51,"D")</f>
        <v>S</v>
      </c>
      <c r="X51" s="31" t="str">
        <f>IF(K51=HS!K51,HS!X51,"D")</f>
        <v>S</v>
      </c>
    </row>
    <row r="52" spans="1:24" x14ac:dyDescent="0.2">
      <c r="A52">
        <v>29</v>
      </c>
      <c r="B52">
        <f>MAX(Hit!B52,Stand!B52,Double!B52)</f>
        <v>0.27763572376835594</v>
      </c>
      <c r="C52">
        <f>MAX(Hit!C52,Stand!C52,Double!C52)</f>
        <v>0.38630468602058993</v>
      </c>
      <c r="D52">
        <f>MAX(Hit!D52,Stand!D52,Double!D52)</f>
        <v>0.4043629365977599</v>
      </c>
      <c r="E52">
        <f>MAX(Hit!E52,Stand!E52,Double!E52)</f>
        <v>0.42317892482749653</v>
      </c>
      <c r="F52">
        <f>MAX(Hit!F52,Stand!F52,Double!F52)</f>
        <v>0.43951210416088371</v>
      </c>
      <c r="G52">
        <f>MAX(Hit!G52,Stand!G52,Double!G52)</f>
        <v>0.49597707378731914</v>
      </c>
      <c r="H52">
        <f>MAX(Hit!H52,Stand!H52,Double!H52)</f>
        <v>0.6159764957534315</v>
      </c>
      <c r="I52">
        <f>MAX(Hit!I52,Stand!I52,Double!I52)</f>
        <v>0.59385366828669439</v>
      </c>
      <c r="J52">
        <f>MAX(Hit!J52,Stand!J52,Double!J52)</f>
        <v>0.28759675706758148</v>
      </c>
      <c r="K52">
        <f>MAX(Hit!K52,Stand!K52,Double!K52)</f>
        <v>6.3118166335840831E-2</v>
      </c>
      <c r="N52" s="31">
        <v>29</v>
      </c>
      <c r="O52" s="31" t="str">
        <f>IF(B52=HS!B52,HS!O52,"D")</f>
        <v>S</v>
      </c>
      <c r="P52" s="31" t="str">
        <f>IF(C52=HS!C52,HS!P52,"D")</f>
        <v>S</v>
      </c>
      <c r="Q52" s="31" t="str">
        <f>IF(D52=HS!D52,HS!Q52,"D")</f>
        <v>S</v>
      </c>
      <c r="R52" s="31" t="str">
        <f>IF(E52=HS!E52,HS!R52,"D")</f>
        <v>S</v>
      </c>
      <c r="S52" s="31" t="str">
        <f>IF(F52=HS!F52,HS!S52,"D")</f>
        <v>S</v>
      </c>
      <c r="T52" s="31" t="str">
        <f>IF(G52=HS!G52,HS!T52,"D")</f>
        <v>S</v>
      </c>
      <c r="U52" s="31" t="str">
        <f>IF(H52=HS!H52,HS!U52,"D")</f>
        <v>S</v>
      </c>
      <c r="V52" s="31" t="str">
        <f>IF(I52=HS!I52,HS!V52,"D")</f>
        <v>S</v>
      </c>
      <c r="W52" s="31" t="str">
        <f>IF(J52=HS!J52,HS!W52,"D")</f>
        <v>S</v>
      </c>
      <c r="X52" s="31" t="str">
        <f>IF(K52=HS!K52,HS!X52,"D")</f>
        <v>S</v>
      </c>
    </row>
    <row r="53" spans="1:24" x14ac:dyDescent="0.2">
      <c r="A53">
        <v>30</v>
      </c>
      <c r="B53">
        <f>MAX(Hit!B53,Stand!B53,Double!B53)</f>
        <v>0.65547032314990239</v>
      </c>
      <c r="C53">
        <f>MAX(Hit!C53,Stand!C53,Double!C53)</f>
        <v>0.63998657521683877</v>
      </c>
      <c r="D53">
        <f>MAX(Hit!D53,Stand!D53,Double!D53)</f>
        <v>0.65027209425148136</v>
      </c>
      <c r="E53">
        <f>MAX(Hit!E53,Stand!E53,Double!E53)</f>
        <v>0.66104996194807186</v>
      </c>
      <c r="F53">
        <f>MAX(Hit!F53,Stand!F53,Double!F53)</f>
        <v>0.67035969063279999</v>
      </c>
      <c r="G53">
        <f>MAX(Hit!G53,Stand!G53,Double!G53)</f>
        <v>0.70395857017134467</v>
      </c>
      <c r="H53">
        <f>MAX(Hit!H53,Stand!H53,Double!H53)</f>
        <v>0.77322722653717491</v>
      </c>
      <c r="I53">
        <f>MAX(Hit!I53,Stand!I53,Double!I53)</f>
        <v>0.79181515955189841</v>
      </c>
      <c r="J53">
        <f>MAX(Hit!J53,Stand!J53,Double!J53)</f>
        <v>0.75835687080859626</v>
      </c>
      <c r="K53">
        <f>MAX(Hit!K53,Stand!K53,Double!K53)</f>
        <v>0.55453756646817121</v>
      </c>
      <c r="N53" s="31">
        <v>30</v>
      </c>
      <c r="O53" s="31" t="str">
        <f>IF(B53=HS!B53,HS!O53,"D")</f>
        <v>S</v>
      </c>
      <c r="P53" s="31" t="str">
        <f>IF(C53=HS!C53,HS!P53,"D")</f>
        <v>S</v>
      </c>
      <c r="Q53" s="31" t="str">
        <f>IF(D53=HS!D53,HS!Q53,"D")</f>
        <v>S</v>
      </c>
      <c r="R53" s="31" t="str">
        <f>IF(E53=HS!E53,HS!R53,"D")</f>
        <v>S</v>
      </c>
      <c r="S53" s="31" t="str">
        <f>IF(F53=HS!F53,HS!S53,"D")</f>
        <v>S</v>
      </c>
      <c r="T53" s="31" t="str">
        <f>IF(G53=HS!G53,HS!T53,"D")</f>
        <v>S</v>
      </c>
      <c r="U53" s="31" t="str">
        <f>IF(H53=HS!H53,HS!U53,"D")</f>
        <v>S</v>
      </c>
      <c r="V53" s="31" t="str">
        <f>IF(I53=HS!I53,HS!V53,"D")</f>
        <v>S</v>
      </c>
      <c r="W53" s="31" t="str">
        <f>IF(J53=HS!J53,HS!W53,"D")</f>
        <v>S</v>
      </c>
      <c r="X53" s="31" t="str">
        <f>IF(K53=HS!K53,HS!X53,"D")</f>
        <v>S</v>
      </c>
    </row>
    <row r="54" spans="1:24" x14ac:dyDescent="0.2">
      <c r="A54">
        <v>31</v>
      </c>
      <c r="B54">
        <f>MAX(Hit!B54,Stand!B54,Double!B54)</f>
        <v>0.92219381142033785</v>
      </c>
      <c r="C54">
        <f>MAX(Hit!C54,Stand!C54,Double!C54)</f>
        <v>0.88200651549403997</v>
      </c>
      <c r="D54">
        <f>MAX(Hit!D54,Stand!D54,Double!D54)</f>
        <v>0.88530035730174927</v>
      </c>
      <c r="E54">
        <f>MAX(Hit!E54,Stand!E54,Double!E54)</f>
        <v>0.88876729296591961</v>
      </c>
      <c r="F54">
        <f>MAX(Hit!F54,Stand!F54,Double!F54)</f>
        <v>0.89175382659528035</v>
      </c>
      <c r="G54">
        <f>MAX(Hit!G54,Stand!G54,Double!G54)</f>
        <v>0.90283674384257995</v>
      </c>
      <c r="H54">
        <f>MAX(Hit!H54,Stand!H54,Double!H54)</f>
        <v>0.92592629596452325</v>
      </c>
      <c r="I54">
        <f>MAX(Hit!I54,Stand!I54,Double!I54)</f>
        <v>0.93060505318396614</v>
      </c>
      <c r="J54">
        <f>MAX(Hit!J54,Stand!J54,Double!J54)</f>
        <v>0.93917615614724415</v>
      </c>
      <c r="K54">
        <f>MAX(Hit!K54,Stand!K54,Double!K54)</f>
        <v>0.96262363326716827</v>
      </c>
      <c r="N54" s="31">
        <v>31</v>
      </c>
      <c r="O54" s="31" t="str">
        <f>IF(B54=HS!B54,HS!O54,"D")</f>
        <v>S</v>
      </c>
      <c r="P54" s="31" t="str">
        <f>IF(C54=HS!C54,HS!P54,"D")</f>
        <v>S</v>
      </c>
      <c r="Q54" s="31" t="str">
        <f>IF(D54=HS!D54,HS!Q54,"D")</f>
        <v>S</v>
      </c>
      <c r="R54" s="31" t="str">
        <f>IF(E54=HS!E54,HS!R54,"D")</f>
        <v>S</v>
      </c>
      <c r="S54" s="31" t="str">
        <f>IF(F54=HS!F54,HS!S54,"D")</f>
        <v>S</v>
      </c>
      <c r="T54" s="31" t="str">
        <f>IF(G54=HS!G54,HS!T54,"D")</f>
        <v>S</v>
      </c>
      <c r="U54" s="31" t="str">
        <f>IF(H54=HS!H54,HS!U54,"D")</f>
        <v>S</v>
      </c>
      <c r="V54" s="31" t="str">
        <f>IF(I54=HS!I54,HS!V54,"D")</f>
        <v>S</v>
      </c>
      <c r="W54" s="31" t="str">
        <f>IF(J54=HS!J54,HS!W54,"D")</f>
        <v>S</v>
      </c>
      <c r="X54" s="31" t="str">
        <f>IF(K54=HS!K54,HS!X54,"D")</f>
        <v>S</v>
      </c>
    </row>
  </sheetData>
  <sheetProtection sheet="1" objects="1" scenarios="1"/>
  <phoneticPr fontId="14" type="noConversion"/>
  <conditionalFormatting sqref="O2:X31">
    <cfRule type="containsText" dxfId="848" priority="16" operator="containsText" text="S">
      <formula>NOT(ISERROR(SEARCH("S",O2)))</formula>
    </cfRule>
    <cfRule type="containsText" dxfId="847" priority="17" operator="containsText" text="H">
      <formula>NOT(ISERROR(SEARCH("H",O2)))</formula>
    </cfRule>
  </conditionalFormatting>
  <conditionalFormatting sqref="O2:X31">
    <cfRule type="containsText" dxfId="846" priority="13" operator="containsText" text="D">
      <formula>NOT(ISERROR(SEARCH("D",O2)))</formula>
    </cfRule>
  </conditionalFormatting>
  <conditionalFormatting sqref="O34:X54">
    <cfRule type="containsText" dxfId="845" priority="2" operator="containsText" text="S">
      <formula>NOT(ISERROR(SEARCH("S",O34)))</formula>
    </cfRule>
    <cfRule type="containsText" dxfId="844" priority="3" operator="containsText" text="H">
      <formula>NOT(ISERROR(SEARCH("H",O34)))</formula>
    </cfRule>
  </conditionalFormatting>
  <conditionalFormatting sqref="O34:X54">
    <cfRule type="containsText" dxfId="843" priority="1" operator="containsText" text="D">
      <formula>NOT(ISERROR(SEARCH("D",O34)))</formula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v>-0.5</v>
      </c>
      <c r="C2">
        <v>-0.5</v>
      </c>
      <c r="D2">
        <v>-0.5</v>
      </c>
      <c r="E2">
        <v>-0.5</v>
      </c>
      <c r="F2">
        <v>-0.5</v>
      </c>
      <c r="G2">
        <v>-0.5</v>
      </c>
      <c r="H2">
        <v>-0.5</v>
      </c>
      <c r="I2">
        <v>-0.5</v>
      </c>
      <c r="J2">
        <v>-0.5</v>
      </c>
      <c r="K2">
        <v>-0.5</v>
      </c>
    </row>
    <row r="3" spans="1:11" x14ac:dyDescent="0.2">
      <c r="A3">
        <v>3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</row>
    <row r="4" spans="1:11" x14ac:dyDescent="0.2">
      <c r="A4">
        <v>4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</row>
    <row r="5" spans="1:11" x14ac:dyDescent="0.2">
      <c r="A5">
        <v>5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</row>
    <row r="6" spans="1:11" x14ac:dyDescent="0.2">
      <c r="A6">
        <v>6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</row>
    <row r="7" spans="1:11" x14ac:dyDescent="0.2">
      <c r="A7">
        <v>7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</row>
    <row r="8" spans="1:11" x14ac:dyDescent="0.2">
      <c r="A8">
        <v>8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</row>
    <row r="9" spans="1:11" x14ac:dyDescent="0.2">
      <c r="A9">
        <v>9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</row>
    <row r="10" spans="1:11" x14ac:dyDescent="0.2">
      <c r="A10">
        <v>10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</row>
    <row r="11" spans="1:11" x14ac:dyDescent="0.2">
      <c r="A11">
        <v>11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</row>
    <row r="12" spans="1:11" x14ac:dyDescent="0.2">
      <c r="A12">
        <v>12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</row>
    <row r="13" spans="1:11" x14ac:dyDescent="0.2">
      <c r="A13">
        <v>13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</row>
    <row r="14" spans="1:11" x14ac:dyDescent="0.2">
      <c r="A14">
        <v>14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</row>
    <row r="15" spans="1:11" x14ac:dyDescent="0.2">
      <c r="A15">
        <v>15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</row>
    <row r="16" spans="1:11" x14ac:dyDescent="0.2">
      <c r="A16">
        <v>16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</row>
    <row r="17" spans="1:11" x14ac:dyDescent="0.2">
      <c r="A17">
        <v>17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</row>
    <row r="18" spans="1:11" x14ac:dyDescent="0.2">
      <c r="A18">
        <v>18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</row>
    <row r="19" spans="1:11" x14ac:dyDescent="0.2">
      <c r="A19">
        <v>19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</row>
    <row r="20" spans="1:11" x14ac:dyDescent="0.2">
      <c r="A20">
        <v>20</v>
      </c>
      <c r="B20">
        <v>-0.5</v>
      </c>
      <c r="C20">
        <v>-0.5</v>
      </c>
      <c r="D20">
        <v>-0.5</v>
      </c>
      <c r="E20">
        <v>-0.5</v>
      </c>
      <c r="F20">
        <v>-0.5</v>
      </c>
      <c r="G20">
        <v>-0.5</v>
      </c>
      <c r="H20">
        <v>-0.5</v>
      </c>
      <c r="I20">
        <v>-0.5</v>
      </c>
      <c r="J20">
        <v>-0.5</v>
      </c>
      <c r="K20">
        <v>-0.5</v>
      </c>
    </row>
    <row r="21" spans="1:11" x14ac:dyDescent="0.2">
      <c r="A21">
        <v>21</v>
      </c>
      <c r="B21">
        <v>-0.5</v>
      </c>
      <c r="C21">
        <v>-0.5</v>
      </c>
      <c r="D21">
        <v>-0.5</v>
      </c>
      <c r="E21">
        <v>-0.5</v>
      </c>
      <c r="F21">
        <v>-0.5</v>
      </c>
      <c r="G21">
        <v>-0.5</v>
      </c>
      <c r="H21">
        <v>-0.5</v>
      </c>
      <c r="I21">
        <v>-0.5</v>
      </c>
      <c r="J21">
        <v>-0.5</v>
      </c>
      <c r="K21">
        <v>-0.5</v>
      </c>
    </row>
    <row r="22" spans="1:11" x14ac:dyDescent="0.2">
      <c r="A22">
        <v>22</v>
      </c>
      <c r="B22">
        <v>-0.5</v>
      </c>
      <c r="C22">
        <v>-0.5</v>
      </c>
      <c r="D22">
        <v>-0.5</v>
      </c>
      <c r="E22">
        <v>-0.5</v>
      </c>
      <c r="F22">
        <v>-0.5</v>
      </c>
      <c r="G22">
        <v>-0.5</v>
      </c>
      <c r="H22">
        <v>-0.5</v>
      </c>
      <c r="I22">
        <v>-0.5</v>
      </c>
      <c r="J22">
        <v>-0.5</v>
      </c>
      <c r="K22">
        <v>-0.5</v>
      </c>
    </row>
    <row r="23" spans="1:11" x14ac:dyDescent="0.2">
      <c r="A23">
        <v>23</v>
      </c>
      <c r="B23">
        <v>-0.5</v>
      </c>
      <c r="C23">
        <v>-0.5</v>
      </c>
      <c r="D23">
        <v>-0.5</v>
      </c>
      <c r="E23">
        <v>-0.5</v>
      </c>
      <c r="F23">
        <v>-0.5</v>
      </c>
      <c r="G23">
        <v>-0.5</v>
      </c>
      <c r="H23">
        <v>-0.5</v>
      </c>
      <c r="I23">
        <v>-0.5</v>
      </c>
      <c r="J23">
        <v>-0.5</v>
      </c>
      <c r="K23">
        <v>-0.5</v>
      </c>
    </row>
    <row r="24" spans="1:11" x14ac:dyDescent="0.2">
      <c r="A24">
        <v>24</v>
      </c>
      <c r="B24">
        <v>-0.5</v>
      </c>
      <c r="C24">
        <v>-0.5</v>
      </c>
      <c r="D24">
        <v>-0.5</v>
      </c>
      <c r="E24">
        <v>-0.5</v>
      </c>
      <c r="F24">
        <v>-0.5</v>
      </c>
      <c r="G24">
        <v>-0.5</v>
      </c>
      <c r="H24">
        <v>-0.5</v>
      </c>
      <c r="I24">
        <v>-0.5</v>
      </c>
      <c r="J24">
        <v>-0.5</v>
      </c>
      <c r="K24">
        <v>-0.5</v>
      </c>
    </row>
    <row r="25" spans="1:11" x14ac:dyDescent="0.2">
      <c r="A25">
        <v>25</v>
      </c>
      <c r="B25">
        <v>-0.5</v>
      </c>
      <c r="C25">
        <v>-0.5</v>
      </c>
      <c r="D25">
        <v>-0.5</v>
      </c>
      <c r="E25">
        <v>-0.5</v>
      </c>
      <c r="F25">
        <v>-0.5</v>
      </c>
      <c r="G25">
        <v>-0.5</v>
      </c>
      <c r="H25">
        <v>-0.5</v>
      </c>
      <c r="I25">
        <v>-0.5</v>
      </c>
      <c r="J25">
        <v>-0.5</v>
      </c>
      <c r="K25">
        <v>-0.5</v>
      </c>
    </row>
    <row r="26" spans="1:11" x14ac:dyDescent="0.2">
      <c r="A26">
        <v>26</v>
      </c>
      <c r="B26">
        <v>-0.5</v>
      </c>
      <c r="C26">
        <v>-0.5</v>
      </c>
      <c r="D26">
        <v>-0.5</v>
      </c>
      <c r="E26">
        <v>-0.5</v>
      </c>
      <c r="F26">
        <v>-0.5</v>
      </c>
      <c r="G26">
        <v>-0.5</v>
      </c>
      <c r="H26">
        <v>-0.5</v>
      </c>
      <c r="I26">
        <v>-0.5</v>
      </c>
      <c r="J26">
        <v>-0.5</v>
      </c>
      <c r="K26">
        <v>-0.5</v>
      </c>
    </row>
    <row r="27" spans="1:11" x14ac:dyDescent="0.2">
      <c r="A27">
        <v>27</v>
      </c>
      <c r="B27">
        <v>-0.5</v>
      </c>
      <c r="C27">
        <v>-0.5</v>
      </c>
      <c r="D27">
        <v>-0.5</v>
      </c>
      <c r="E27">
        <v>-0.5</v>
      </c>
      <c r="F27">
        <v>-0.5</v>
      </c>
      <c r="G27">
        <v>-0.5</v>
      </c>
      <c r="H27">
        <v>-0.5</v>
      </c>
      <c r="I27">
        <v>-0.5</v>
      </c>
      <c r="J27">
        <v>-0.5</v>
      </c>
      <c r="K27">
        <v>-0.5</v>
      </c>
    </row>
    <row r="28" spans="1:11" x14ac:dyDescent="0.2">
      <c r="A28">
        <v>28</v>
      </c>
      <c r="B28">
        <v>-0.5</v>
      </c>
      <c r="C28">
        <v>-0.5</v>
      </c>
      <c r="D28">
        <v>-0.5</v>
      </c>
      <c r="E28">
        <v>-0.5</v>
      </c>
      <c r="F28">
        <v>-0.5</v>
      </c>
      <c r="G28">
        <v>-0.5</v>
      </c>
      <c r="H28">
        <v>-0.5</v>
      </c>
      <c r="I28">
        <v>-0.5</v>
      </c>
      <c r="J28">
        <v>-0.5</v>
      </c>
      <c r="K28">
        <v>-0.5</v>
      </c>
    </row>
    <row r="29" spans="1:11" x14ac:dyDescent="0.2">
      <c r="A29">
        <v>29</v>
      </c>
      <c r="B29">
        <v>-0.5</v>
      </c>
      <c r="C29">
        <v>-0.5</v>
      </c>
      <c r="D29">
        <v>-0.5</v>
      </c>
      <c r="E29">
        <v>-0.5</v>
      </c>
      <c r="F29">
        <v>-0.5</v>
      </c>
      <c r="G29">
        <v>-0.5</v>
      </c>
      <c r="H29">
        <v>-0.5</v>
      </c>
      <c r="I29">
        <v>-0.5</v>
      </c>
      <c r="J29">
        <v>-0.5</v>
      </c>
      <c r="K29">
        <v>-0.5</v>
      </c>
    </row>
    <row r="30" spans="1:11" x14ac:dyDescent="0.2">
      <c r="A30">
        <v>30</v>
      </c>
      <c r="B30">
        <v>-0.5</v>
      </c>
      <c r="C30">
        <v>-0.5</v>
      </c>
      <c r="D30">
        <v>-0.5</v>
      </c>
      <c r="E30">
        <v>-0.5</v>
      </c>
      <c r="F30">
        <v>-0.5</v>
      </c>
      <c r="G30">
        <v>-0.5</v>
      </c>
      <c r="H30">
        <v>-0.5</v>
      </c>
      <c r="I30">
        <v>-0.5</v>
      </c>
      <c r="J30">
        <v>-0.5</v>
      </c>
      <c r="K30">
        <v>-0.5</v>
      </c>
    </row>
    <row r="31" spans="1:11" x14ac:dyDescent="0.2">
      <c r="A31">
        <v>31</v>
      </c>
      <c r="B31">
        <v>-0.5</v>
      </c>
      <c r="C31">
        <v>-0.5</v>
      </c>
      <c r="D31">
        <v>-0.5</v>
      </c>
      <c r="E31">
        <v>-0.5</v>
      </c>
      <c r="F31">
        <v>-0.5</v>
      </c>
      <c r="G31">
        <v>-0.5</v>
      </c>
      <c r="H31">
        <v>-0.5</v>
      </c>
      <c r="I31">
        <v>-0.5</v>
      </c>
      <c r="J31">
        <v>-0.5</v>
      </c>
      <c r="K31">
        <v>-0.5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v>-0.5</v>
      </c>
      <c r="C34">
        <v>-0.5</v>
      </c>
      <c r="D34">
        <v>-0.5</v>
      </c>
      <c r="E34">
        <v>-0.5</v>
      </c>
      <c r="F34">
        <v>-0.5</v>
      </c>
      <c r="G34">
        <v>-0.5</v>
      </c>
      <c r="H34">
        <v>-0.5</v>
      </c>
      <c r="I34">
        <v>-0.5</v>
      </c>
      <c r="J34">
        <v>-0.5</v>
      </c>
      <c r="K34">
        <v>-0.5</v>
      </c>
    </row>
    <row r="35" spans="1:11" x14ac:dyDescent="0.2">
      <c r="A35">
        <v>12</v>
      </c>
      <c r="B35">
        <v>-0.5</v>
      </c>
      <c r="C35">
        <v>-0.5</v>
      </c>
      <c r="D35">
        <v>-0.5</v>
      </c>
      <c r="E35">
        <v>-0.5</v>
      </c>
      <c r="F35">
        <v>-0.5</v>
      </c>
      <c r="G35">
        <v>-0.5</v>
      </c>
      <c r="H35">
        <v>-0.5</v>
      </c>
      <c r="I35">
        <v>-0.5</v>
      </c>
      <c r="J35">
        <v>-0.5</v>
      </c>
      <c r="K35">
        <v>-0.5</v>
      </c>
    </row>
    <row r="36" spans="1:11" x14ac:dyDescent="0.2">
      <c r="A36">
        <v>13</v>
      </c>
      <c r="B36">
        <v>-0.5</v>
      </c>
      <c r="C36">
        <v>-0.5</v>
      </c>
      <c r="D36">
        <v>-0.5</v>
      </c>
      <c r="E36">
        <v>-0.5</v>
      </c>
      <c r="F36">
        <v>-0.5</v>
      </c>
      <c r="G36">
        <v>-0.5</v>
      </c>
      <c r="H36">
        <v>-0.5</v>
      </c>
      <c r="I36">
        <v>-0.5</v>
      </c>
      <c r="J36">
        <v>-0.5</v>
      </c>
      <c r="K36">
        <v>-0.5</v>
      </c>
    </row>
    <row r="37" spans="1:11" x14ac:dyDescent="0.2">
      <c r="A37">
        <v>14</v>
      </c>
      <c r="B37">
        <v>-0.5</v>
      </c>
      <c r="C37">
        <v>-0.5</v>
      </c>
      <c r="D37">
        <v>-0.5</v>
      </c>
      <c r="E37">
        <v>-0.5</v>
      </c>
      <c r="F37">
        <v>-0.5</v>
      </c>
      <c r="G37">
        <v>-0.5</v>
      </c>
      <c r="H37">
        <v>-0.5</v>
      </c>
      <c r="I37">
        <v>-0.5</v>
      </c>
      <c r="J37">
        <v>-0.5</v>
      </c>
      <c r="K37">
        <v>-0.5</v>
      </c>
    </row>
    <row r="38" spans="1:11" x14ac:dyDescent="0.2">
      <c r="A38">
        <v>15</v>
      </c>
      <c r="B38">
        <v>-0.5</v>
      </c>
      <c r="C38">
        <v>-0.5</v>
      </c>
      <c r="D38">
        <v>-0.5</v>
      </c>
      <c r="E38">
        <v>-0.5</v>
      </c>
      <c r="F38">
        <v>-0.5</v>
      </c>
      <c r="G38">
        <v>-0.5</v>
      </c>
      <c r="H38">
        <v>-0.5</v>
      </c>
      <c r="I38">
        <v>-0.5</v>
      </c>
      <c r="J38">
        <v>-0.5</v>
      </c>
      <c r="K38">
        <v>-0.5</v>
      </c>
    </row>
    <row r="39" spans="1:11" x14ac:dyDescent="0.2">
      <c r="A39">
        <v>16</v>
      </c>
      <c r="B39">
        <v>-0.5</v>
      </c>
      <c r="C39">
        <v>-0.5</v>
      </c>
      <c r="D39">
        <v>-0.5</v>
      </c>
      <c r="E39">
        <v>-0.5</v>
      </c>
      <c r="F39">
        <v>-0.5</v>
      </c>
      <c r="G39">
        <v>-0.5</v>
      </c>
      <c r="H39">
        <v>-0.5</v>
      </c>
      <c r="I39">
        <v>-0.5</v>
      </c>
      <c r="J39">
        <v>-0.5</v>
      </c>
      <c r="K39">
        <v>-0.5</v>
      </c>
    </row>
    <row r="40" spans="1:11" x14ac:dyDescent="0.2">
      <c r="A40">
        <v>17</v>
      </c>
      <c r="B40">
        <v>-0.5</v>
      </c>
      <c r="C40">
        <v>-0.5</v>
      </c>
      <c r="D40">
        <v>-0.5</v>
      </c>
      <c r="E40">
        <v>-0.5</v>
      </c>
      <c r="F40">
        <v>-0.5</v>
      </c>
      <c r="G40">
        <v>-0.5</v>
      </c>
      <c r="H40">
        <v>-0.5</v>
      </c>
      <c r="I40">
        <v>-0.5</v>
      </c>
      <c r="J40">
        <v>-0.5</v>
      </c>
      <c r="K40">
        <v>-0.5</v>
      </c>
    </row>
    <row r="41" spans="1:11" x14ac:dyDescent="0.2">
      <c r="A41">
        <v>18</v>
      </c>
      <c r="B41">
        <v>-0.5</v>
      </c>
      <c r="C41">
        <v>-0.5</v>
      </c>
      <c r="D41">
        <v>-0.5</v>
      </c>
      <c r="E41">
        <v>-0.5</v>
      </c>
      <c r="F41">
        <v>-0.5</v>
      </c>
      <c r="G41">
        <v>-0.5</v>
      </c>
      <c r="H41">
        <v>-0.5</v>
      </c>
      <c r="I41">
        <v>-0.5</v>
      </c>
      <c r="J41">
        <v>-0.5</v>
      </c>
      <c r="K41">
        <v>-0.5</v>
      </c>
    </row>
    <row r="42" spans="1:11" x14ac:dyDescent="0.2">
      <c r="A42">
        <v>19</v>
      </c>
      <c r="B42">
        <v>-0.5</v>
      </c>
      <c r="C42">
        <v>-0.5</v>
      </c>
      <c r="D42">
        <v>-0.5</v>
      </c>
      <c r="E42">
        <v>-0.5</v>
      </c>
      <c r="F42">
        <v>-0.5</v>
      </c>
      <c r="G42">
        <v>-0.5</v>
      </c>
      <c r="H42">
        <v>-0.5</v>
      </c>
      <c r="I42">
        <v>-0.5</v>
      </c>
      <c r="J42">
        <v>-0.5</v>
      </c>
      <c r="K42">
        <v>-0.5</v>
      </c>
    </row>
    <row r="43" spans="1:11" x14ac:dyDescent="0.2">
      <c r="A43">
        <v>20</v>
      </c>
      <c r="B43">
        <v>-0.5</v>
      </c>
      <c r="C43">
        <v>-0.5</v>
      </c>
      <c r="D43">
        <v>-0.5</v>
      </c>
      <c r="E43">
        <v>-0.5</v>
      </c>
      <c r="F43">
        <v>-0.5</v>
      </c>
      <c r="G43">
        <v>-0.5</v>
      </c>
      <c r="H43">
        <v>-0.5</v>
      </c>
      <c r="I43">
        <v>-0.5</v>
      </c>
      <c r="J43">
        <v>-0.5</v>
      </c>
      <c r="K43">
        <v>-0.5</v>
      </c>
    </row>
    <row r="44" spans="1:11" x14ac:dyDescent="0.2">
      <c r="A44">
        <v>21</v>
      </c>
      <c r="B44">
        <v>-0.5</v>
      </c>
      <c r="C44">
        <v>-0.5</v>
      </c>
      <c r="D44">
        <v>-0.5</v>
      </c>
      <c r="E44">
        <v>-0.5</v>
      </c>
      <c r="F44">
        <v>-0.5</v>
      </c>
      <c r="G44">
        <v>-0.5</v>
      </c>
      <c r="H44">
        <v>-0.5</v>
      </c>
      <c r="I44">
        <v>-0.5</v>
      </c>
      <c r="J44">
        <v>-0.5</v>
      </c>
      <c r="K44">
        <v>-0.5</v>
      </c>
    </row>
    <row r="45" spans="1:11" x14ac:dyDescent="0.2">
      <c r="A45">
        <v>22</v>
      </c>
      <c r="B45">
        <v>-0.5</v>
      </c>
      <c r="C45">
        <v>-0.5</v>
      </c>
      <c r="D45">
        <v>-0.5</v>
      </c>
      <c r="E45">
        <v>-0.5</v>
      </c>
      <c r="F45">
        <v>-0.5</v>
      </c>
      <c r="G45">
        <v>-0.5</v>
      </c>
      <c r="H45">
        <v>-0.5</v>
      </c>
      <c r="I45">
        <v>-0.5</v>
      </c>
      <c r="J45">
        <v>-0.5</v>
      </c>
      <c r="K45">
        <v>-0.5</v>
      </c>
    </row>
    <row r="46" spans="1:11" x14ac:dyDescent="0.2">
      <c r="A46">
        <v>23</v>
      </c>
      <c r="B46">
        <v>-0.5</v>
      </c>
      <c r="C46">
        <v>-0.5</v>
      </c>
      <c r="D46">
        <v>-0.5</v>
      </c>
      <c r="E46">
        <v>-0.5</v>
      </c>
      <c r="F46">
        <v>-0.5</v>
      </c>
      <c r="G46">
        <v>-0.5</v>
      </c>
      <c r="H46">
        <v>-0.5</v>
      </c>
      <c r="I46">
        <v>-0.5</v>
      </c>
      <c r="J46">
        <v>-0.5</v>
      </c>
      <c r="K46">
        <v>-0.5</v>
      </c>
    </row>
    <row r="47" spans="1:11" x14ac:dyDescent="0.2">
      <c r="A47">
        <v>24</v>
      </c>
      <c r="B47">
        <v>-0.5</v>
      </c>
      <c r="C47">
        <v>-0.5</v>
      </c>
      <c r="D47">
        <v>-0.5</v>
      </c>
      <c r="E47">
        <v>-0.5</v>
      </c>
      <c r="F47">
        <v>-0.5</v>
      </c>
      <c r="G47">
        <v>-0.5</v>
      </c>
      <c r="H47">
        <v>-0.5</v>
      </c>
      <c r="I47">
        <v>-0.5</v>
      </c>
      <c r="J47">
        <v>-0.5</v>
      </c>
      <c r="K47">
        <v>-0.5</v>
      </c>
    </row>
    <row r="48" spans="1:11" x14ac:dyDescent="0.2">
      <c r="A48">
        <v>25</v>
      </c>
      <c r="B48">
        <v>-0.5</v>
      </c>
      <c r="C48">
        <v>-0.5</v>
      </c>
      <c r="D48">
        <v>-0.5</v>
      </c>
      <c r="E48">
        <v>-0.5</v>
      </c>
      <c r="F48">
        <v>-0.5</v>
      </c>
      <c r="G48">
        <v>-0.5</v>
      </c>
      <c r="H48">
        <v>-0.5</v>
      </c>
      <c r="I48">
        <v>-0.5</v>
      </c>
      <c r="J48">
        <v>-0.5</v>
      </c>
      <c r="K48">
        <v>-0.5</v>
      </c>
    </row>
    <row r="49" spans="1:11" x14ac:dyDescent="0.2">
      <c r="A49">
        <v>26</v>
      </c>
      <c r="B49">
        <v>-0.5</v>
      </c>
      <c r="C49">
        <v>-0.5</v>
      </c>
      <c r="D49">
        <v>-0.5</v>
      </c>
      <c r="E49">
        <v>-0.5</v>
      </c>
      <c r="F49">
        <v>-0.5</v>
      </c>
      <c r="G49">
        <v>-0.5</v>
      </c>
      <c r="H49">
        <v>-0.5</v>
      </c>
      <c r="I49">
        <v>-0.5</v>
      </c>
      <c r="J49">
        <v>-0.5</v>
      </c>
      <c r="K49">
        <v>-0.5</v>
      </c>
    </row>
    <row r="50" spans="1:11" x14ac:dyDescent="0.2">
      <c r="A50">
        <v>27</v>
      </c>
      <c r="B50">
        <v>-0.5</v>
      </c>
      <c r="C50">
        <v>-0.5</v>
      </c>
      <c r="D50">
        <v>-0.5</v>
      </c>
      <c r="E50">
        <v>-0.5</v>
      </c>
      <c r="F50">
        <v>-0.5</v>
      </c>
      <c r="G50">
        <v>-0.5</v>
      </c>
      <c r="H50">
        <v>-0.5</v>
      </c>
      <c r="I50">
        <v>-0.5</v>
      </c>
      <c r="J50">
        <v>-0.5</v>
      </c>
      <c r="K50">
        <v>-0.5</v>
      </c>
    </row>
    <row r="51" spans="1:11" x14ac:dyDescent="0.2">
      <c r="A51">
        <v>28</v>
      </c>
      <c r="B51">
        <v>-0.5</v>
      </c>
      <c r="C51">
        <v>-0.5</v>
      </c>
      <c r="D51">
        <v>-0.5</v>
      </c>
      <c r="E51">
        <v>-0.5</v>
      </c>
      <c r="F51">
        <v>-0.5</v>
      </c>
      <c r="G51">
        <v>-0.5</v>
      </c>
      <c r="H51">
        <v>-0.5</v>
      </c>
      <c r="I51">
        <v>-0.5</v>
      </c>
      <c r="J51">
        <v>-0.5</v>
      </c>
      <c r="K51">
        <v>-0.5</v>
      </c>
    </row>
    <row r="52" spans="1:11" x14ac:dyDescent="0.2">
      <c r="A52">
        <v>29</v>
      </c>
      <c r="B52">
        <v>-0.5</v>
      </c>
      <c r="C52">
        <v>-0.5</v>
      </c>
      <c r="D52">
        <v>-0.5</v>
      </c>
      <c r="E52">
        <v>-0.5</v>
      </c>
      <c r="F52">
        <v>-0.5</v>
      </c>
      <c r="G52">
        <v>-0.5</v>
      </c>
      <c r="H52">
        <v>-0.5</v>
      </c>
      <c r="I52">
        <v>-0.5</v>
      </c>
      <c r="J52">
        <v>-0.5</v>
      </c>
      <c r="K52">
        <v>-0.5</v>
      </c>
    </row>
    <row r="53" spans="1:11" x14ac:dyDescent="0.2">
      <c r="A53">
        <v>30</v>
      </c>
      <c r="B53">
        <v>-0.5</v>
      </c>
      <c r="C53">
        <v>-0.5</v>
      </c>
      <c r="D53">
        <v>-0.5</v>
      </c>
      <c r="E53">
        <v>-0.5</v>
      </c>
      <c r="F53">
        <v>-0.5</v>
      </c>
      <c r="G53">
        <v>-0.5</v>
      </c>
      <c r="H53">
        <v>-0.5</v>
      </c>
      <c r="I53">
        <v>-0.5</v>
      </c>
      <c r="J53">
        <v>-0.5</v>
      </c>
      <c r="K53">
        <v>-0.5</v>
      </c>
    </row>
    <row r="54" spans="1:11" x14ac:dyDescent="0.2">
      <c r="A54">
        <v>31</v>
      </c>
      <c r="B54">
        <v>-0.5</v>
      </c>
      <c r="C54">
        <v>-0.5</v>
      </c>
      <c r="D54">
        <v>-0.5</v>
      </c>
      <c r="E54">
        <v>-0.5</v>
      </c>
      <c r="F54">
        <v>-0.5</v>
      </c>
      <c r="G54">
        <v>-0.5</v>
      </c>
      <c r="H54">
        <v>-0.5</v>
      </c>
      <c r="I54">
        <v>-0.5</v>
      </c>
      <c r="J54">
        <v>-0.5</v>
      </c>
      <c r="K54">
        <v>-0.5</v>
      </c>
    </row>
  </sheetData>
  <sheetProtection sheet="1" objects="1" scenarios="1"/>
  <phoneticPr fontId="14" type="noConversion"/>
  <pageMargins left="0.7" right="0.7" top="0.75" bottom="0.75" header="0.3" footer="0.3"/>
  <pageSetup paperSize="9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54"/>
  <sheetViews>
    <sheetView topLeftCell="A16" workbookViewId="0">
      <selection activeCell="K9" sqref="K9"/>
    </sheetView>
  </sheetViews>
  <sheetFormatPr baseColWidth="10" defaultColWidth="8.83203125" defaultRowHeight="16" x14ac:dyDescent="0.2"/>
  <cols>
    <col min="12" max="12" width="4.83203125" customWidth="1"/>
    <col min="13" max="13" width="4.6640625" customWidth="1"/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IF(AND(Rules!$B$8=Rules!$E$8,Rules!$B$7=Rules!$E$7),MAX(Hit!B2,Stand!B2,Double!B2,Surrender!B2),MAX(Hit!B2,Stand!B2,Double!B2))</f>
        <v>-0.20335368314889377</v>
      </c>
      <c r="C2">
        <f>IF(Rules!$B$7=Rules!$E$7,MAX(Hit!C2,Stand!C2,Double!C2,Surrender!C2),MAX(Hit!C2,Stand!C2,Double!C2))</f>
        <v>-7.5884358318949102E-2</v>
      </c>
      <c r="D2">
        <f>IF(Rules!$B$7=Rules!$E$7,MAX(Hit!D2,Stand!D2,Double!D2,Surrender!D2),MAX(Hit!D2,Stand!D2,Double!D2))</f>
        <v>-4.9750706146412048E-2</v>
      </c>
      <c r="E2">
        <f>IF(Rules!$B$7=Rules!$E$7,MAX(Hit!E2,Stand!E2,Double!E2,Surrender!E2),MAX(Hit!E2,Stand!E2,Double!E2))</f>
        <v>-2.2100412135834389E-2</v>
      </c>
      <c r="F2">
        <f>IF(Rules!$B$7=Rules!$E$7,MAX(Hit!F2,Stand!F2,Double!F2,Surrender!F2),MAX(Hit!F2,Stand!F2,Double!F2))</f>
        <v>1.3730032284783571E-2</v>
      </c>
      <c r="G2">
        <f>IF(Rules!$B$7=Rules!$E$7,MAX(Hit!G2,Stand!G2,Double!G2,Surrender!G2),MAX(Hit!G2,Stand!G2,Double!G2))</f>
        <v>3.8883411946301231E-2</v>
      </c>
      <c r="H2">
        <f>IF(Rules!$B$7=Rules!$E$7,MAX(Hit!H2,Stand!H2,Double!H2,Surrender!H2),MAX(Hit!H2,Stand!H2,Double!H2))</f>
        <v>-2.7257021375862247E-2</v>
      </c>
      <c r="I2">
        <f>IF(Rules!$B$7=Rules!$E$7,MAX(Hit!I2,Stand!I2,Double!I2,Surrender!I2),MAX(Hit!I2,Stand!I2,Double!I2))</f>
        <v>-0.10316172777512726</v>
      </c>
      <c r="J2">
        <f>IF(Rules!$B$7=Rules!$E$7,MAX(Hit!J2,Stand!J2,Double!J2,Surrender!J2),MAX(Hit!J2,Stand!J2,Double!J2))</f>
        <v>-0.19004714305350842</v>
      </c>
      <c r="K2">
        <f>IF(Rules!$B$7=Rules!$E$7,MAX(Hit!K2,Stand!K2,Double!K2,Surrender!K2),MAX(Hit!K2,Stand!K2,Double!K2))</f>
        <v>-0.24199803315764098</v>
      </c>
      <c r="N2" s="31">
        <v>2</v>
      </c>
      <c r="O2" s="31" t="str">
        <f>IF(B2=Surrender!B2,"R",HSD!O2)</f>
        <v>H</v>
      </c>
      <c r="P2" s="31" t="str">
        <f>IF(C2=Surrender!C2,"R",HSD!P2)</f>
        <v>H</v>
      </c>
      <c r="Q2" s="31" t="str">
        <f>IF(D2=Surrender!D2,"R",HSD!Q2)</f>
        <v>H</v>
      </c>
      <c r="R2" s="31" t="str">
        <f>IF(E2=Surrender!E2,"R",HSD!R2)</f>
        <v>H</v>
      </c>
      <c r="S2" s="31" t="str">
        <f>IF(F2=Surrender!F2,"R",HSD!S2)</f>
        <v>H</v>
      </c>
      <c r="T2" s="31" t="str">
        <f>IF(G2=Surrender!G2,"R",HSD!T2)</f>
        <v>H</v>
      </c>
      <c r="U2" s="31" t="str">
        <f>IF(H2=Surrender!H2,"R",HSD!U2)</f>
        <v>H</v>
      </c>
      <c r="V2" s="31" t="str">
        <f>IF(I2=Surrender!I2,"R",HSD!V2)</f>
        <v>H</v>
      </c>
      <c r="W2" s="31" t="str">
        <f>IF(J2=Surrender!J2,"R",HSD!W2)</f>
        <v>H</v>
      </c>
      <c r="X2" s="31" t="str">
        <f>IF(K2=Surrender!K2,"R",HSD!X2)</f>
        <v>H</v>
      </c>
    </row>
    <row r="3" spans="1:24" x14ac:dyDescent="0.2">
      <c r="A3">
        <v>3</v>
      </c>
      <c r="B3">
        <f>IF(AND(Rules!$B$8=Rules!$E$8,Rules!$B$7=Rules!$E$7),MAX(Hit!B3,Stand!B3,Double!B3,Surrender!B3),MAX(Hit!B3,Stand!B3,Double!B3))</f>
        <v>-0.22793749290805351</v>
      </c>
      <c r="C3">
        <f>IF(Rules!$B$7=Rules!$E$7,MAX(Hit!C3,Stand!C3,Double!C3,Surrender!C3),MAX(Hit!C3,Stand!C3,Double!C3))</f>
        <v>-0.10052250439785246</v>
      </c>
      <c r="D3">
        <f>IF(Rules!$B$7=Rules!$E$7,MAX(Hit!D3,Stand!D3,Double!D3,Surrender!D3),MAX(Hit!D3,Stand!D3,Double!D3))</f>
        <v>-6.8875858278897514E-2</v>
      </c>
      <c r="E3">
        <f>IF(Rules!$B$7=Rules!$E$7,MAX(Hit!E3,Stand!E3,Double!E3,Surrender!E3),MAX(Hit!E3,Stand!E3,Double!E3))</f>
        <v>-3.6261290708905339E-2</v>
      </c>
      <c r="F3">
        <f>IF(Rules!$B$7=Rules!$E$7,MAX(Hit!F3,Stand!F3,Double!F3,Surrender!F3),MAX(Hit!F3,Stand!F3,Double!F3))</f>
        <v>1.6995712139687808E-4</v>
      </c>
      <c r="G3">
        <f>IF(Rules!$B$7=Rules!$E$7,MAX(Hit!G3,Stand!G3,Double!G3,Surrender!G3),MAX(Hit!G3,Stand!G3,Double!G3))</f>
        <v>2.447130320655936E-2</v>
      </c>
      <c r="H3">
        <f>IF(Rules!$B$7=Rules!$E$7,MAX(Hit!H3,Stand!H3,Double!H3,Surrender!H3),MAX(Hit!H3,Stand!H3,Double!H3))</f>
        <v>-5.7437588540356667E-2</v>
      </c>
      <c r="I3">
        <f>IF(Rules!$B$7=Rules!$E$7,MAX(Hit!I3,Stand!I3,Double!I3,Surrender!I3),MAX(Hit!I3,Stand!I3,Double!I3))</f>
        <v>-0.13094188065020101</v>
      </c>
      <c r="J3">
        <f>IF(Rules!$B$7=Rules!$E$7,MAX(Hit!J3,Stand!J3,Double!J3,Surrender!J3),MAX(Hit!J3,Stand!J3,Double!J3))</f>
        <v>-0.21507662281362433</v>
      </c>
      <c r="K3">
        <f>IF(Rules!$B$7=Rules!$E$7,MAX(Hit!K3,Stand!K3,Double!K3,Surrender!K3),MAX(Hit!K3,Stand!K3,Double!K3))</f>
        <v>-0.26532921479747562</v>
      </c>
      <c r="N3" s="31">
        <v>3</v>
      </c>
      <c r="O3" s="31" t="str">
        <f>IF(B3=Surrender!B3,"R",HSD!O3)</f>
        <v>H</v>
      </c>
      <c r="P3" s="31" t="str">
        <f>IF(C3=Surrender!C3,"R",HSD!P3)</f>
        <v>H</v>
      </c>
      <c r="Q3" s="31" t="str">
        <f>IF(D3=Surrender!D3,"R",HSD!Q3)</f>
        <v>H</v>
      </c>
      <c r="R3" s="31" t="str">
        <f>IF(E3=Surrender!E3,"R",HSD!R3)</f>
        <v>H</v>
      </c>
      <c r="S3" s="31" t="str">
        <f>IF(F3=Surrender!F3,"R",HSD!S3)</f>
        <v>H</v>
      </c>
      <c r="T3" s="31" t="str">
        <f>IF(G3=Surrender!G3,"R",HSD!T3)</f>
        <v>H</v>
      </c>
      <c r="U3" s="31" t="str">
        <f>IF(H3=Surrender!H3,"R",HSD!U3)</f>
        <v>H</v>
      </c>
      <c r="V3" s="31" t="str">
        <f>IF(I3=Surrender!I3,"R",HSD!V3)</f>
        <v>H</v>
      </c>
      <c r="W3" s="31" t="str">
        <f>IF(J3=Surrender!J3,"R",HSD!W3)</f>
        <v>H</v>
      </c>
      <c r="X3" s="31" t="str">
        <f>IF(K3=Surrender!K3,"R",HSD!X3)</f>
        <v>H</v>
      </c>
    </row>
    <row r="4" spans="1:24" x14ac:dyDescent="0.2">
      <c r="A4">
        <v>4</v>
      </c>
      <c r="B4">
        <f>IF(AND(Rules!$B$8=Rules!$E$8,Rules!$B$7=Rules!$E$7),MAX(Hit!B4,Stand!B4,Double!B4,Surrender!B4),MAX(Hit!B4,Stand!B4,Double!B4))</f>
        <v>-0.25307699440390863</v>
      </c>
      <c r="C4">
        <f>IF(Rules!$B$7=Rules!$E$7,MAX(Hit!C4,Stand!C4,Double!C4,Surrender!C4),MAX(Hit!C4,Stand!C4,Double!C4))</f>
        <v>-0.11491332761892134</v>
      </c>
      <c r="D4">
        <f>IF(Rules!$B$7=Rules!$E$7,MAX(Hit!D4,Stand!D4,Double!D4,Surrender!D4),MAX(Hit!D4,Stand!D4,Double!D4))</f>
        <v>-8.2613314299744361E-2</v>
      </c>
      <c r="E4">
        <f>IF(Rules!$B$7=Rules!$E$7,MAX(Hit!E4,Stand!E4,Double!E4,Surrender!E4),MAX(Hit!E4,Stand!E4,Double!E4))</f>
        <v>-4.9367420106916922E-2</v>
      </c>
      <c r="F4">
        <f>IF(Rules!$B$7=Rules!$E$7,MAX(Hit!F4,Stand!F4,Double!F4,Surrender!F4),MAX(Hit!F4,Stand!F4,Double!F4))</f>
        <v>-1.2379926519926384E-2</v>
      </c>
      <c r="G4">
        <f>IF(Rules!$B$7=Rules!$E$7,MAX(Hit!G4,Stand!G4,Double!G4,Surrender!G4),MAX(Hit!G4,Stand!G4,Double!G4))</f>
        <v>1.1130417280979797E-2</v>
      </c>
      <c r="H4">
        <f>IF(Rules!$B$7=Rules!$E$7,MAX(Hit!H4,Stand!H4,Double!H4,Surrender!H4),MAX(Hit!H4,Stand!H4,Double!H4))</f>
        <v>-8.8279201058463722E-2</v>
      </c>
      <c r="I4">
        <f>IF(Rules!$B$7=Rules!$E$7,MAX(Hit!I4,Stand!I4,Double!I4,Surrender!I4),MAX(Hit!I4,Stand!I4,Double!I4))</f>
        <v>-0.15933415266020512</v>
      </c>
      <c r="J4">
        <f>IF(Rules!$B$7=Rules!$E$7,MAX(Hit!J4,Stand!J4,Double!J4,Surrender!J4),MAX(Hit!J4,Stand!J4,Double!J4))</f>
        <v>-0.24066617915336547</v>
      </c>
      <c r="K4">
        <f>IF(Rules!$B$7=Rules!$E$7,MAX(Hit!K4,Stand!K4,Double!K4,Surrender!K4),MAX(Hit!K4,Stand!K4,Double!K4))</f>
        <v>-0.28919791448567511</v>
      </c>
      <c r="N4" s="31">
        <v>4</v>
      </c>
      <c r="O4" s="31" t="str">
        <f>IF(B4=Surrender!B4,"R",HSD!O4)</f>
        <v>H</v>
      </c>
      <c r="P4" s="31" t="str">
        <f>IF(C4=Surrender!C4,"R",HSD!P4)</f>
        <v>H</v>
      </c>
      <c r="Q4" s="31" t="str">
        <f>IF(D4=Surrender!D4,"R",HSD!Q4)</f>
        <v>H</v>
      </c>
      <c r="R4" s="31" t="str">
        <f>IF(E4=Surrender!E4,"R",HSD!R4)</f>
        <v>H</v>
      </c>
      <c r="S4" s="31" t="str">
        <f>IF(F4=Surrender!F4,"R",HSD!S4)</f>
        <v>H</v>
      </c>
      <c r="T4" s="31" t="str">
        <f>IF(G4=Surrender!G4,"R",HSD!T4)</f>
        <v>H</v>
      </c>
      <c r="U4" s="31" t="str">
        <f>IF(H4=Surrender!H4,"R",HSD!U4)</f>
        <v>H</v>
      </c>
      <c r="V4" s="31" t="str">
        <f>IF(I4=Surrender!I4,"R",HSD!V4)</f>
        <v>H</v>
      </c>
      <c r="W4" s="31" t="str">
        <f>IF(J4=Surrender!J4,"R",HSD!W4)</f>
        <v>H</v>
      </c>
      <c r="X4" s="31" t="str">
        <f>IF(K4=Surrender!K4,"R",HSD!X4)</f>
        <v>H</v>
      </c>
    </row>
    <row r="5" spans="1:24" x14ac:dyDescent="0.2">
      <c r="A5">
        <v>5</v>
      </c>
      <c r="B5">
        <f>IF(AND(Rules!$B$8=Rules!$E$8,Rules!$B$7=Rules!$E$7),MAX(Hit!B5,Stand!B5,Double!B5,Surrender!B5),MAX(Hit!B5,Stand!B5,Double!B5))</f>
        <v>-0.27857459755181968</v>
      </c>
      <c r="C5">
        <f>IF(Rules!$B$7=Rules!$E$7,MAX(Hit!C5,Stand!C5,Double!C5,Surrender!C5),MAX(Hit!C5,Stand!C5,Double!C5))</f>
        <v>-0.12821556706374745</v>
      </c>
      <c r="D5">
        <f>IF(Rules!$B$7=Rules!$E$7,MAX(Hit!D5,Stand!D5,Double!D5,Surrender!D5),MAX(Hit!D5,Stand!D5,Double!D5))</f>
        <v>-9.5310227261489883E-2</v>
      </c>
      <c r="E5">
        <f>IF(Rules!$B$7=Rules!$E$7,MAX(Hit!E5,Stand!E5,Double!E5,Surrender!E5),MAX(Hit!E5,Stand!E5,Double!E5))</f>
        <v>-6.1479464199694238E-2</v>
      </c>
      <c r="F5">
        <f>IF(Rules!$B$7=Rules!$E$7,MAX(Hit!F5,Stand!F5,Double!F5,Surrender!F5),MAX(Hit!F5,Stand!F5,Double!F5))</f>
        <v>-2.397897039185962E-2</v>
      </c>
      <c r="G5">
        <f>IF(Rules!$B$7=Rules!$E$7,MAX(Hit!G5,Stand!G5,Double!G5,Surrender!G5),MAX(Hit!G5,Stand!G5,Double!G5))</f>
        <v>-1.1863378384401623E-3</v>
      </c>
      <c r="H5">
        <f>IF(Rules!$B$7=Rules!$E$7,MAX(Hit!H5,Stand!H5,Double!H5,Surrender!H5),MAX(Hit!H5,Stand!H5,Double!H5))</f>
        <v>-0.11944744188414852</v>
      </c>
      <c r="I5">
        <f>IF(Rules!$B$7=Rules!$E$7,MAX(Hit!I5,Stand!I5,Double!I5,Surrender!I5),MAX(Hit!I5,Stand!I5,Double!I5))</f>
        <v>-0.18809330390318524</v>
      </c>
      <c r="J5">
        <f>IF(Rules!$B$7=Rules!$E$7,MAX(Hit!J5,Stand!J5,Double!J5,Surrender!J5),MAX(Hit!J5,Stand!J5,Double!J5))</f>
        <v>-0.26661505335795899</v>
      </c>
      <c r="K5">
        <f>IF(Rules!$B$7=Rules!$E$7,MAX(Hit!K5,Stand!K5,Double!K5,Surrender!K5),MAX(Hit!K5,Stand!K5,Double!K5))</f>
        <v>-0.31341164336497107</v>
      </c>
      <c r="N5" s="31">
        <v>5</v>
      </c>
      <c r="O5" s="31" t="str">
        <f>IF(B5=Surrender!B5,"R",HSD!O5)</f>
        <v>H</v>
      </c>
      <c r="P5" s="31" t="str">
        <f>IF(C5=Surrender!C5,"R",HSD!P5)</f>
        <v>H</v>
      </c>
      <c r="Q5" s="31" t="str">
        <f>IF(D5=Surrender!D5,"R",HSD!Q5)</f>
        <v>H</v>
      </c>
      <c r="R5" s="31" t="str">
        <f>IF(E5=Surrender!E5,"R",HSD!R5)</f>
        <v>H</v>
      </c>
      <c r="S5" s="31" t="str">
        <f>IF(F5=Surrender!F5,"R",HSD!S5)</f>
        <v>H</v>
      </c>
      <c r="T5" s="31" t="str">
        <f>IF(G5=Surrender!G5,"R",HSD!T5)</f>
        <v>H</v>
      </c>
      <c r="U5" s="31" t="str">
        <f>IF(H5=Surrender!H5,"R",HSD!U5)</f>
        <v>H</v>
      </c>
      <c r="V5" s="31" t="str">
        <f>IF(I5=Surrender!I5,"R",HSD!V5)</f>
        <v>H</v>
      </c>
      <c r="W5" s="31" t="str">
        <f>IF(J5=Surrender!J5,"R",HSD!W5)</f>
        <v>H</v>
      </c>
      <c r="X5" s="31" t="str">
        <f>IF(K5=Surrender!K5,"R",HSD!X5)</f>
        <v>H</v>
      </c>
    </row>
    <row r="6" spans="1:24" x14ac:dyDescent="0.2">
      <c r="A6">
        <v>6</v>
      </c>
      <c r="B6">
        <f>IF(AND(Rules!$B$8=Rules!$E$8,Rules!$B$7=Rules!$E$7),MAX(Hit!B6,Stand!B6,Double!B6,Surrender!B6),MAX(Hit!B6,Stand!B6,Double!B6))</f>
        <v>-0.30414663097569933</v>
      </c>
      <c r="C6">
        <f>IF(Rules!$B$7=Rules!$E$7,MAX(Hit!C6,Stand!C6,Double!C6,Surrender!C6),MAX(Hit!C6,Stand!C6,Double!C6))</f>
        <v>-0.14075911746001987</v>
      </c>
      <c r="D6">
        <f>IF(Rules!$B$7=Rules!$E$7,MAX(Hit!D6,Stand!D6,Double!D6,Surrender!D6),MAX(Hit!D6,Stand!D6,Double!D6))</f>
        <v>-0.10729107800860836</v>
      </c>
      <c r="E6">
        <f>IF(Rules!$B$7=Rules!$E$7,MAX(Hit!E6,Stand!E6,Double!E6,Surrender!E6),MAX(Hit!E6,Stand!E6,Double!E6))</f>
        <v>-7.2917141926387305E-2</v>
      </c>
      <c r="F6">
        <f>IF(Rules!$B$7=Rules!$E$7,MAX(Hit!F6,Stand!F6,Double!F6,Surrender!F6),MAX(Hit!F6,Stand!F6,Double!F6))</f>
        <v>-3.4915973330102178E-2</v>
      </c>
      <c r="G6">
        <f>IF(Rules!$B$7=Rules!$E$7,MAX(Hit!G6,Stand!G6,Double!G6,Surrender!G6),MAX(Hit!G6,Stand!G6,Double!G6))</f>
        <v>-1.3005835529874294E-2</v>
      </c>
      <c r="H6">
        <f>IF(Rules!$B$7=Rules!$E$7,MAX(Hit!H6,Stand!H6,Double!H6,Surrender!H6),MAX(Hit!H6,Stand!H6,Double!H6))</f>
        <v>-0.15193270723669944</v>
      </c>
      <c r="I6">
        <f>IF(Rules!$B$7=Rules!$E$7,MAX(Hit!I6,Stand!I6,Double!I6,Surrender!I6),MAX(Hit!I6,Stand!I6,Double!I6))</f>
        <v>-0.21724188132078476</v>
      </c>
      <c r="J6">
        <f>IF(Rules!$B$7=Rules!$E$7,MAX(Hit!J6,Stand!J6,Double!J6,Surrender!J6),MAX(Hit!J6,Stand!J6,Double!J6))</f>
        <v>-0.29264070019772598</v>
      </c>
      <c r="K6">
        <f>IF(Rules!$B$7=Rules!$E$7,MAX(Hit!K6,Stand!K6,Double!K6,Surrender!K6),MAX(Hit!K6,Stand!K6,Double!K6))</f>
        <v>-0.33774944037840804</v>
      </c>
      <c r="N6" s="31">
        <v>6</v>
      </c>
      <c r="O6" s="31" t="str">
        <f>IF(B6=Surrender!B6,"R",HSD!O6)</f>
        <v>H</v>
      </c>
      <c r="P6" s="31" t="str">
        <f>IF(C6=Surrender!C6,"R",HSD!P6)</f>
        <v>H</v>
      </c>
      <c r="Q6" s="31" t="str">
        <f>IF(D6=Surrender!D6,"R",HSD!Q6)</f>
        <v>H</v>
      </c>
      <c r="R6" s="31" t="str">
        <f>IF(E6=Surrender!E6,"R",HSD!R6)</f>
        <v>H</v>
      </c>
      <c r="S6" s="31" t="str">
        <f>IF(F6=Surrender!F6,"R",HSD!S6)</f>
        <v>H</v>
      </c>
      <c r="T6" s="31" t="str">
        <f>IF(G6=Surrender!G6,"R",HSD!T6)</f>
        <v>H</v>
      </c>
      <c r="U6" s="31" t="str">
        <f>IF(H6=Surrender!H6,"R",HSD!U6)</f>
        <v>H</v>
      </c>
      <c r="V6" s="31" t="str">
        <f>IF(I6=Surrender!I6,"R",HSD!V6)</f>
        <v>H</v>
      </c>
      <c r="W6" s="31" t="str">
        <f>IF(J6=Surrender!J6,"R",HSD!W6)</f>
        <v>H</v>
      </c>
      <c r="X6" s="31" t="str">
        <f>IF(K6=Surrender!K6,"R",HSD!X6)</f>
        <v>H</v>
      </c>
    </row>
    <row r="7" spans="1:24" x14ac:dyDescent="0.2">
      <c r="A7">
        <v>7</v>
      </c>
      <c r="B7">
        <f>IF(AND(Rules!$B$8=Rules!$E$8,Rules!$B$7=Rules!$E$7),MAX(Hit!B7,Stand!B7,Double!B7,Surrender!B7),MAX(Hit!B7,Stand!B7,Double!B7))</f>
        <v>-0.31007165033163697</v>
      </c>
      <c r="C7">
        <f>IF(Rules!$B$7=Rules!$E$7,MAX(Hit!C7,Stand!C7,Double!C7,Surrender!C7),MAX(Hit!C7,Stand!C7,Double!C7))</f>
        <v>-0.10918342786661633</v>
      </c>
      <c r="D7">
        <f>IF(Rules!$B$7=Rules!$E$7,MAX(Hit!D7,Stand!D7,Double!D7,Surrender!D7),MAX(Hit!D7,Stand!D7,Double!D7))</f>
        <v>-7.658298190446361E-2</v>
      </c>
      <c r="E7">
        <f>IF(Rules!$B$7=Rules!$E$7,MAX(Hit!E7,Stand!E7,Double!E7,Surrender!E7),MAX(Hit!E7,Stand!E7,Double!E7))</f>
        <v>-4.3021794004341876E-2</v>
      </c>
      <c r="F7">
        <f>IF(Rules!$B$7=Rules!$E$7,MAX(Hit!F7,Stand!F7,Double!F7,Surrender!F7),MAX(Hit!F7,Stand!F7,Double!F7))</f>
        <v>-7.2713609029408845E-3</v>
      </c>
      <c r="G7">
        <f>IF(Rules!$B$7=Rules!$E$7,MAX(Hit!G7,Stand!G7,Double!G7,Surrender!G7),MAX(Hit!G7,Stand!G7,Double!G7))</f>
        <v>2.9185342353860864E-2</v>
      </c>
      <c r="H7">
        <f>IF(Rules!$B$7=Rules!$E$7,MAX(Hit!H7,Stand!H7,Double!H7,Surrender!H7),MAX(Hit!H7,Stand!H7,Double!H7))</f>
        <v>-6.8807799580427764E-2</v>
      </c>
      <c r="I7">
        <f>IF(Rules!$B$7=Rules!$E$7,MAX(Hit!I7,Stand!I7,Double!I7,Surrender!I7),MAX(Hit!I7,Stand!I7,Double!I7))</f>
        <v>-0.21060476872434969</v>
      </c>
      <c r="J7">
        <f>IF(Rules!$B$7=Rules!$E$7,MAX(Hit!J7,Stand!J7,Double!J7,Surrender!J7),MAX(Hit!J7,Stand!J7,Double!J7))</f>
        <v>-0.28536544048687656</v>
      </c>
      <c r="K7">
        <f>IF(Rules!$B$7=Rules!$E$7,MAX(Hit!K7,Stand!K7,Double!K7,Surrender!K7),MAX(Hit!K7,Stand!K7,Double!K7))</f>
        <v>-0.31905479139833842</v>
      </c>
      <c r="N7" s="31">
        <v>7</v>
      </c>
      <c r="O7" s="31" t="str">
        <f>IF(B7=Surrender!B7,"R",HSD!O7)</f>
        <v>H</v>
      </c>
      <c r="P7" s="31" t="str">
        <f>IF(C7=Surrender!C7,"R",HSD!P7)</f>
        <v>H</v>
      </c>
      <c r="Q7" s="31" t="str">
        <f>IF(D7=Surrender!D7,"R",HSD!Q7)</f>
        <v>H</v>
      </c>
      <c r="R7" s="31" t="str">
        <f>IF(E7=Surrender!E7,"R",HSD!R7)</f>
        <v>H</v>
      </c>
      <c r="S7" s="31" t="str">
        <f>IF(F7=Surrender!F7,"R",HSD!S7)</f>
        <v>H</v>
      </c>
      <c r="T7" s="31" t="str">
        <f>IF(G7=Surrender!G7,"R",HSD!T7)</f>
        <v>H</v>
      </c>
      <c r="U7" s="31" t="str">
        <f>IF(H7=Surrender!H7,"R",HSD!U7)</f>
        <v>H</v>
      </c>
      <c r="V7" s="31" t="str">
        <f>IF(I7=Surrender!I7,"R",HSD!V7)</f>
        <v>H</v>
      </c>
      <c r="W7" s="31" t="str">
        <f>IF(J7=Surrender!J7,"R",HSD!W7)</f>
        <v>H</v>
      </c>
      <c r="X7" s="31" t="str">
        <f>IF(K7=Surrender!K7,"R",HSD!X7)</f>
        <v>H</v>
      </c>
    </row>
    <row r="8" spans="1:24" x14ac:dyDescent="0.2">
      <c r="A8">
        <v>8</v>
      </c>
      <c r="B8">
        <f>IF(AND(Rules!$B$8=Rules!$E$8,Rules!$B$7=Rules!$E$7),MAX(Hit!B8,Stand!B8,Double!B8,Surrender!B8),MAX(Hit!B8,Stand!B8,Double!B8))</f>
        <v>-0.1970288105741636</v>
      </c>
      <c r="C8">
        <f>IF(Rules!$B$7=Rules!$E$7,MAX(Hit!C8,Stand!C8,Double!C8,Surrender!C8),MAX(Hit!C8,Stand!C8,Double!C8))</f>
        <v>-2.1798188008805668E-2</v>
      </c>
      <c r="D8">
        <f>IF(Rules!$B$7=Rules!$E$7,MAX(Hit!D8,Stand!D8,Double!D8,Surrender!D8),MAX(Hit!D8,Stand!D8,Double!D8))</f>
        <v>8.0052625306546825E-3</v>
      </c>
      <c r="E8">
        <f>IF(Rules!$B$7=Rules!$E$7,MAX(Hit!E8,Stand!E8,Double!E8,Surrender!E8),MAX(Hit!E8,Stand!E8,Double!E8))</f>
        <v>3.8784473277208811E-2</v>
      </c>
      <c r="F8">
        <f>IF(Rules!$B$7=Rules!$E$7,MAX(Hit!F8,Stand!F8,Double!F8,Surrender!F8),MAX(Hit!F8,Stand!F8,Double!F8))</f>
        <v>7.0804635983033826E-2</v>
      </c>
      <c r="G8">
        <f>IF(Rules!$B$7=Rules!$E$7,MAX(Hit!G8,Stand!G8,Double!G8,Surrender!G8),MAX(Hit!G8,Stand!G8,Double!G8))</f>
        <v>0.11496015009622321</v>
      </c>
      <c r="H8">
        <f>IF(Rules!$B$7=Rules!$E$7,MAX(Hit!H8,Stand!H8,Double!H8,Surrender!H8),MAX(Hit!H8,Stand!H8,Double!H8))</f>
        <v>8.2207439363742862E-2</v>
      </c>
      <c r="I8">
        <f>IF(Rules!$B$7=Rules!$E$7,MAX(Hit!I8,Stand!I8,Double!I8,Surrender!I8),MAX(Hit!I8,Stand!I8,Double!I8))</f>
        <v>-5.9898275658656304E-2</v>
      </c>
      <c r="J8">
        <f>IF(Rules!$B$7=Rules!$E$7,MAX(Hit!J8,Stand!J8,Double!J8,Surrender!J8),MAX(Hit!J8,Stand!J8,Double!J8))</f>
        <v>-0.21018633199821757</v>
      </c>
      <c r="K8">
        <f>IF(Rules!$B$7=Rules!$E$7,MAX(Hit!K8,Stand!K8,Double!K8,Surrender!K8),MAX(Hit!K8,Stand!K8,Double!K8))</f>
        <v>-0.24937508055334259</v>
      </c>
      <c r="N8" s="31">
        <v>8</v>
      </c>
      <c r="O8" s="31" t="str">
        <f>IF(B8=Surrender!B8,"R",HSD!O8)</f>
        <v>H</v>
      </c>
      <c r="P8" s="31" t="str">
        <f>IF(C8=Surrender!C8,"R",HSD!P8)</f>
        <v>H</v>
      </c>
      <c r="Q8" s="31" t="str">
        <f>IF(D8=Surrender!D8,"R",HSD!Q8)</f>
        <v>H</v>
      </c>
      <c r="R8" s="31" t="str">
        <f>IF(E8=Surrender!E8,"R",HSD!R8)</f>
        <v>H</v>
      </c>
      <c r="S8" s="31" t="str">
        <f>IF(F8=Surrender!F8,"R",HSD!S8)</f>
        <v>H</v>
      </c>
      <c r="T8" s="31" t="str">
        <f>IF(G8=Surrender!G8,"R",HSD!T8)</f>
        <v>H</v>
      </c>
      <c r="U8" s="31" t="str">
        <f>IF(H8=Surrender!H8,"R",HSD!U8)</f>
        <v>H</v>
      </c>
      <c r="V8" s="31" t="str">
        <f>IF(I8=Surrender!I8,"R",HSD!V8)</f>
        <v>H</v>
      </c>
      <c r="W8" s="31" t="str">
        <f>IF(J8=Surrender!J8,"R",HSD!W8)</f>
        <v>H</v>
      </c>
      <c r="X8" s="31" t="str">
        <f>IF(K8=Surrender!K8,"R",HSD!X8)</f>
        <v>H</v>
      </c>
    </row>
    <row r="9" spans="1:24" x14ac:dyDescent="0.2">
      <c r="A9">
        <v>9</v>
      </c>
      <c r="B9">
        <f>IF(AND(Rules!$B$8=Rules!$E$8,Rules!$B$7=Rules!$E$7),MAX(Hit!B9,Stand!B9,Double!B9,Surrender!B9),MAX(Hit!B9,Stand!B9,Double!B9))</f>
        <v>-6.5680778778066204E-2</v>
      </c>
      <c r="C9">
        <f>IF(Rules!$B$7=Rules!$E$7,MAX(Hit!C9,Stand!C9,Double!C9,Surrender!C9),MAX(Hit!C9,Stand!C9,Double!C9))</f>
        <v>7.4446037576340524E-2</v>
      </c>
      <c r="D9">
        <f>IF(Rules!$B$7=Rules!$E$7,MAX(Hit!D9,Stand!D9,Double!D9,Surrender!D9),MAX(Hit!D9,Stand!D9,Double!D9))</f>
        <v>0.12081635332999649</v>
      </c>
      <c r="E9">
        <f>IF(Rules!$B$7=Rules!$E$7,MAX(Hit!E9,Stand!E9,Double!E9,Surrender!E9),MAX(Hit!E9,Stand!E9,Double!E9))</f>
        <v>0.18194893405242166</v>
      </c>
      <c r="F9">
        <f>IF(Rules!$B$7=Rules!$E$7,MAX(Hit!F9,Stand!F9,Double!F9,Surrender!F9),MAX(Hit!F9,Stand!F9,Double!F9))</f>
        <v>0.24305722487303633</v>
      </c>
      <c r="G9">
        <f>IF(Rules!$B$7=Rules!$E$7,MAX(Hit!G9,Stand!G9,Double!G9,Surrender!G9),MAX(Hit!G9,Stand!G9,Double!G9))</f>
        <v>0.31705474570166692</v>
      </c>
      <c r="H9">
        <f>IF(Rules!$B$7=Rules!$E$7,MAX(Hit!H9,Stand!H9,Double!H9,Surrender!H9),MAX(Hit!H9,Stand!H9,Double!H9))</f>
        <v>0.17186785993695267</v>
      </c>
      <c r="I9">
        <f>IF(Rules!$B$7=Rules!$E$7,MAX(Hit!I9,Stand!I9,Double!I9,Surrender!I9),MAX(Hit!I9,Stand!I9,Double!I9))</f>
        <v>9.8376217435392516E-2</v>
      </c>
      <c r="J9">
        <f>IF(Rules!$B$7=Rules!$E$7,MAX(Hit!J9,Stand!J9,Double!J9,Surrender!J9),MAX(Hit!J9,Stand!J9,Double!J9))</f>
        <v>-5.2178053462651669E-2</v>
      </c>
      <c r="K9">
        <f>IF(Rules!$B$7=Rules!$E$7,MAX(Hit!K9,Stand!K9,Double!K9,Surrender!K9),MAX(Hit!K9,Stand!K9,Double!K9))</f>
        <v>-0.15295298487455075</v>
      </c>
      <c r="N9" s="31">
        <v>9</v>
      </c>
      <c r="O9" s="31" t="str">
        <f>IF(B9=Surrender!B9,"R",HSD!O9)</f>
        <v>H</v>
      </c>
      <c r="P9" s="31" t="str">
        <f>IF(C9=Surrender!C9,"R",HSD!P9)</f>
        <v>H</v>
      </c>
      <c r="Q9" s="31" t="str">
        <f>IF(D9=Surrender!D9,"R",HSD!Q9)</f>
        <v>D</v>
      </c>
      <c r="R9" s="31" t="str">
        <f>IF(E9=Surrender!E9,"R",HSD!R9)</f>
        <v>D</v>
      </c>
      <c r="S9" s="31" t="str">
        <f>IF(F9=Surrender!F9,"R",HSD!S9)</f>
        <v>D</v>
      </c>
      <c r="T9" s="31" t="str">
        <f>IF(G9=Surrender!G9,"R",HSD!T9)</f>
        <v>D</v>
      </c>
      <c r="U9" s="31" t="str">
        <f>IF(H9=Surrender!H9,"R",HSD!U9)</f>
        <v>H</v>
      </c>
      <c r="V9" s="31" t="str">
        <f>IF(I9=Surrender!I9,"R",HSD!V9)</f>
        <v>H</v>
      </c>
      <c r="W9" s="31" t="str">
        <f>IF(J9=Surrender!J9,"R",HSD!W9)</f>
        <v>H</v>
      </c>
      <c r="X9" s="31" t="str">
        <f>IF(K9=Surrender!K9,"R",HSD!X9)</f>
        <v>H</v>
      </c>
    </row>
    <row r="10" spans="1:24" x14ac:dyDescent="0.2">
      <c r="A10">
        <v>10</v>
      </c>
      <c r="B10">
        <f>IF(AND(Rules!$B$8=Rules!$E$8,Rules!$B$7=Rules!$E$7),MAX(Hit!B10,Stand!B10,Double!B10,Surrender!B10),MAX(Hit!B10,Stand!B10,Double!B10))</f>
        <v>8.1449707945275923E-2</v>
      </c>
      <c r="C10">
        <f>IF(Rules!$B$7=Rules!$E$7,MAX(Hit!C10,Stand!C10,Double!C10,Surrender!C10),MAX(Hit!C10,Stand!C10,Double!C10))</f>
        <v>0.3589394124422991</v>
      </c>
      <c r="D10">
        <f>IF(Rules!$B$7=Rules!$E$7,MAX(Hit!D10,Stand!D10,Double!D10,Surrender!D10),MAX(Hit!D10,Stand!D10,Double!D10))</f>
        <v>0.40932067017593915</v>
      </c>
      <c r="E10">
        <f>IF(Rules!$B$7=Rules!$E$7,MAX(Hit!E10,Stand!E10,Double!E10,Surrender!E10),MAX(Hit!E10,Stand!E10,Double!E10))</f>
        <v>0.460940243794354</v>
      </c>
      <c r="F10">
        <f>IF(Rules!$B$7=Rules!$E$7,MAX(Hit!F10,Stand!F10,Double!F10,Surrender!F10),MAX(Hit!F10,Stand!F10,Double!F10))</f>
        <v>0.51251710900326775</v>
      </c>
      <c r="G10">
        <f>IF(Rules!$B$7=Rules!$E$7,MAX(Hit!G10,Stand!G10,Double!G10,Surrender!G10),MAX(Hit!G10,Stand!G10,Double!G10))</f>
        <v>0.57559016859776857</v>
      </c>
      <c r="H10">
        <f>IF(Rules!$B$7=Rules!$E$7,MAX(Hit!H10,Stand!H10,Double!H10,Surrender!H10),MAX(Hit!H10,Stand!H10,Double!H10))</f>
        <v>0.39241245528243773</v>
      </c>
      <c r="I10">
        <f>IF(Rules!$B$7=Rules!$E$7,MAX(Hit!I10,Stand!I10,Double!I10,Surrender!I10),MAX(Hit!I10,Stand!I10,Double!I10))</f>
        <v>0.28663571688628381</v>
      </c>
      <c r="J10">
        <f>IF(Rules!$B$7=Rules!$E$7,MAX(Hit!J10,Stand!J10,Double!J10,Surrender!J10),MAX(Hit!J10,Stand!J10,Double!J10))</f>
        <v>0.1443283683807712</v>
      </c>
      <c r="K10">
        <f>IF(Rules!$B$7=Rules!$E$7,MAX(Hit!K10,Stand!K10,Double!K10,Surrender!K10),MAX(Hit!K10,Stand!K10,Double!K10))</f>
        <v>2.5308523040868145E-2</v>
      </c>
      <c r="N10" s="31">
        <v>10</v>
      </c>
      <c r="O10" s="31" t="str">
        <f>IF(B10=Surrender!B10,"R",HSD!O10)</f>
        <v>H</v>
      </c>
      <c r="P10" s="31" t="str">
        <f>IF(C10=Surrender!C10,"R",HSD!P10)</f>
        <v>D</v>
      </c>
      <c r="Q10" s="31" t="str">
        <f>IF(D10=Surrender!D10,"R",HSD!Q10)</f>
        <v>D</v>
      </c>
      <c r="R10" s="31" t="str">
        <f>IF(E10=Surrender!E10,"R",HSD!R10)</f>
        <v>D</v>
      </c>
      <c r="S10" s="31" t="str">
        <f>IF(F10=Surrender!F10,"R",HSD!S10)</f>
        <v>D</v>
      </c>
      <c r="T10" s="31" t="str">
        <f>IF(G10=Surrender!G10,"R",HSD!T10)</f>
        <v>D</v>
      </c>
      <c r="U10" s="31" t="str">
        <f>IF(H10=Surrender!H10,"R",HSD!U10)</f>
        <v>D</v>
      </c>
      <c r="V10" s="31" t="str">
        <f>IF(I10=Surrender!I10,"R",HSD!V10)</f>
        <v>D</v>
      </c>
      <c r="W10" s="31" t="str">
        <f>IF(J10=Surrender!J10,"R",HSD!W10)</f>
        <v>D</v>
      </c>
      <c r="X10" s="31" t="str">
        <f>IF(K10=Surrender!K10,"R",HSD!X10)</f>
        <v>H</v>
      </c>
    </row>
    <row r="11" spans="1:24" x14ac:dyDescent="0.2">
      <c r="A11">
        <v>11</v>
      </c>
      <c r="B11">
        <f>IF(AND(Rules!$B$8=Rules!$E$8,Rules!$B$7=Rules!$E$7),MAX(Hit!B11,Stand!B11,Double!B11,Surrender!B11),MAX(Hit!B11,Stand!B11,Double!B11))</f>
        <v>0.14300128216153027</v>
      </c>
      <c r="C11">
        <f>IF(Rules!$B$7=Rules!$E$7,MAX(Hit!C11,Stand!C11,Double!C11,Surrender!C11),MAX(Hit!C11,Stand!C11,Double!C11))</f>
        <v>0.47064092333946889</v>
      </c>
      <c r="D11">
        <f>IF(Rules!$B$7=Rules!$E$7,MAX(Hit!D11,Stand!D11,Double!D11,Surrender!D11),MAX(Hit!D11,Stand!D11,Double!D11))</f>
        <v>0.51779525312221675</v>
      </c>
      <c r="E11">
        <f>IF(Rules!$B$7=Rules!$E$7,MAX(Hit!E11,Stand!E11,Double!E11,Surrender!E11),MAX(Hit!E11,Stand!E11,Double!E11))</f>
        <v>0.56604055041797607</v>
      </c>
      <c r="F11">
        <f>IF(Rules!$B$7=Rules!$E$7,MAX(Hit!F11,Stand!F11,Double!F11,Surrender!F11),MAX(Hit!F11,Stand!F11,Double!F11))</f>
        <v>0.61469901790902803</v>
      </c>
      <c r="G11">
        <f>IF(Rules!$B$7=Rules!$E$7,MAX(Hit!G11,Stand!G11,Double!G11,Surrender!G11),MAX(Hit!G11,Stand!G11,Double!G11))</f>
        <v>0.66738009490756944</v>
      </c>
      <c r="H11">
        <f>IF(Rules!$B$7=Rules!$E$7,MAX(Hit!H11,Stand!H11,Double!H11,Surrender!H11),MAX(Hit!H11,Stand!H11,Double!H11))</f>
        <v>0.46288894886429077</v>
      </c>
      <c r="I11">
        <f>IF(Rules!$B$7=Rules!$E$7,MAX(Hit!I11,Stand!I11,Double!I11,Surrender!I11),MAX(Hit!I11,Stand!I11,Double!I11))</f>
        <v>0.35069259087031501</v>
      </c>
      <c r="J11">
        <f>IF(Rules!$B$7=Rules!$E$7,MAX(Hit!J11,Stand!J11,Double!J11,Surrender!J11),MAX(Hit!J11,Stand!J11,Double!J11))</f>
        <v>0.22778342315245487</v>
      </c>
      <c r="K11">
        <f>IF(Rules!$B$7=Rules!$E$7,MAX(Hit!K11,Stand!K11,Double!K11,Surrender!K11),MAX(Hit!K11,Stand!K11,Double!K11))</f>
        <v>0.1796887274111463</v>
      </c>
      <c r="N11" s="31">
        <v>11</v>
      </c>
      <c r="O11" s="31" t="str">
        <f>IF(B11=Surrender!B11,"R",HSD!O11)</f>
        <v>H</v>
      </c>
      <c r="P11" s="31" t="str">
        <f>IF(C11=Surrender!C11,"R",HSD!P11)</f>
        <v>D</v>
      </c>
      <c r="Q11" s="31" t="str">
        <f>IF(D11=Surrender!D11,"R",HSD!Q11)</f>
        <v>D</v>
      </c>
      <c r="R11" s="31" t="str">
        <f>IF(E11=Surrender!E11,"R",HSD!R11)</f>
        <v>D</v>
      </c>
      <c r="S11" s="31" t="str">
        <f>IF(F11=Surrender!F11,"R",HSD!S11)</f>
        <v>D</v>
      </c>
      <c r="T11" s="31" t="str">
        <f>IF(G11=Surrender!G11,"R",HSD!T11)</f>
        <v>D</v>
      </c>
      <c r="U11" s="31" t="str">
        <f>IF(H11=Surrender!H11,"R",HSD!U11)</f>
        <v>D</v>
      </c>
      <c r="V11" s="31" t="str">
        <f>IF(I11=Surrender!I11,"R",HSD!V11)</f>
        <v>D</v>
      </c>
      <c r="W11" s="31" t="str">
        <f>IF(J11=Surrender!J11,"R",HSD!W11)</f>
        <v>D</v>
      </c>
      <c r="X11" s="31" t="str">
        <f>IF(K11=Surrender!K11,"R",HSD!X11)</f>
        <v>D</v>
      </c>
    </row>
    <row r="12" spans="1:24" x14ac:dyDescent="0.2">
      <c r="A12">
        <v>12</v>
      </c>
      <c r="B12">
        <f>IF(AND(Rules!$B$8=Rules!$E$8,Rules!$B$7=Rules!$E$7),MAX(Hit!B12,Stand!B12,Double!B12,Surrender!B12),MAX(Hit!B12,Stand!B12,Double!B12))</f>
        <v>-0.35054034044008009</v>
      </c>
      <c r="C12">
        <f>IF(Rules!$B$7=Rules!$E$7,MAX(Hit!C12,Stand!C12,Double!C12,Surrender!C12),MAX(Hit!C12,Stand!C12,Double!C12))</f>
        <v>-0.25338998596663809</v>
      </c>
      <c r="D12">
        <f>IF(Rules!$B$7=Rules!$E$7,MAX(Hit!D12,Stand!D12,Double!D12,Surrender!D12),MAX(Hit!D12,Stand!D12,Double!D12))</f>
        <v>-0.2336908997980866</v>
      </c>
      <c r="E12">
        <f>IF(Rules!$B$7=Rules!$E$7,MAX(Hit!E12,Stand!E12,Double!E12,Surrender!E12),MAX(Hit!E12,Stand!E12,Double!E12))</f>
        <v>-0.21106310899491437</v>
      </c>
      <c r="F12">
        <f>IF(Rules!$B$7=Rules!$E$7,MAX(Hit!F12,Stand!F12,Double!F12,Surrender!F12),MAX(Hit!F12,Stand!F12,Double!F12))</f>
        <v>-0.16719266083547524</v>
      </c>
      <c r="G12">
        <f>IF(Rules!$B$7=Rules!$E$7,MAX(Hit!G12,Stand!G12,Double!G12,Surrender!G12),MAX(Hit!G12,Stand!G12,Double!G12))</f>
        <v>-0.1536990158300045</v>
      </c>
      <c r="H12">
        <f>IF(Rules!$B$7=Rules!$E$7,MAX(Hit!H12,Stand!H12,Double!H12,Surrender!H12),MAX(Hit!H12,Stand!H12,Double!H12))</f>
        <v>-0.21284771451731424</v>
      </c>
      <c r="I12">
        <f>IF(Rules!$B$7=Rules!$E$7,MAX(Hit!I12,Stand!I12,Double!I12,Surrender!I12),MAX(Hit!I12,Stand!I12,Double!I12))</f>
        <v>-0.27157480502428616</v>
      </c>
      <c r="J12">
        <f>IF(Rules!$B$7=Rules!$E$7,MAX(Hit!J12,Stand!J12,Double!J12,Surrender!J12),MAX(Hit!J12,Stand!J12,Double!J12))</f>
        <v>-0.3400132806089356</v>
      </c>
      <c r="K12">
        <f>IF(Rules!$B$7=Rules!$E$7,MAX(Hit!K12,Stand!K12,Double!K12,Surrender!K12),MAX(Hit!K12,Stand!K12,Double!K12))</f>
        <v>-0.38104299284808768</v>
      </c>
      <c r="N12" s="31">
        <v>12</v>
      </c>
      <c r="O12" s="31" t="str">
        <f>IF(B12=Surrender!B12,"R",HSD!O12)</f>
        <v>H</v>
      </c>
      <c r="P12" s="31" t="str">
        <f>IF(C12=Surrender!C12,"R",HSD!P12)</f>
        <v>H</v>
      </c>
      <c r="Q12" s="31" t="str">
        <f>IF(D12=Surrender!D12,"R",HSD!Q12)</f>
        <v>H</v>
      </c>
      <c r="R12" s="31" t="str">
        <f>IF(E12=Surrender!E12,"R",HSD!R12)</f>
        <v>S</v>
      </c>
      <c r="S12" s="31" t="str">
        <f>IF(F12=Surrender!F12,"R",HSD!S12)</f>
        <v>S</v>
      </c>
      <c r="T12" s="31" t="str">
        <f>IF(G12=Surrender!G12,"R",HSD!T12)</f>
        <v>S</v>
      </c>
      <c r="U12" s="31" t="str">
        <f>IF(H12=Surrender!H12,"R",HSD!U12)</f>
        <v>H</v>
      </c>
      <c r="V12" s="31" t="str">
        <f>IF(I12=Surrender!I12,"R",HSD!V12)</f>
        <v>H</v>
      </c>
      <c r="W12" s="31" t="str">
        <f>IF(J12=Surrender!J12,"R",HSD!W12)</f>
        <v>H</v>
      </c>
      <c r="X12" s="31" t="str">
        <f>IF(K12=Surrender!K12,"R",HSD!X12)</f>
        <v>H</v>
      </c>
    </row>
    <row r="13" spans="1:24" x14ac:dyDescent="0.2">
      <c r="A13">
        <v>13</v>
      </c>
      <c r="B13">
        <f>IF(AND(Rules!$B$8=Rules!$E$8,Rules!$B$7=Rules!$E$7),MAX(Hit!B13,Stand!B13,Double!B13,Surrender!B13),MAX(Hit!B13,Stand!B13,Double!B13))</f>
        <v>-0.3969303161229315</v>
      </c>
      <c r="C13">
        <f>IF(Rules!$B$7=Rules!$E$7,MAX(Hit!C13,Stand!C13,Double!C13,Surrender!C13),MAX(Hit!C13,Stand!C13,Double!C13))</f>
        <v>-0.29278372720927726</v>
      </c>
      <c r="D13">
        <f>IF(Rules!$B$7=Rules!$E$7,MAX(Hit!D13,Stand!D13,Double!D13,Surrender!D13),MAX(Hit!D13,Stand!D13,Double!D13))</f>
        <v>-0.2522502292357135</v>
      </c>
      <c r="E13">
        <f>IF(Rules!$B$7=Rules!$E$7,MAX(Hit!E13,Stand!E13,Double!E13,Surrender!E13),MAX(Hit!E13,Stand!E13,Double!E13))</f>
        <v>-0.21106310899491437</v>
      </c>
      <c r="F13">
        <f>IF(Rules!$B$7=Rules!$E$7,MAX(Hit!F13,Stand!F13,Double!F13,Surrender!F13),MAX(Hit!F13,Stand!F13,Double!F13))</f>
        <v>-0.16719266083547524</v>
      </c>
      <c r="G13">
        <f>IF(Rules!$B$7=Rules!$E$7,MAX(Hit!G13,Stand!G13,Double!G13,Surrender!G13),MAX(Hit!G13,Stand!G13,Double!G13))</f>
        <v>-0.1536990158300045</v>
      </c>
      <c r="H13">
        <f>IF(Rules!$B$7=Rules!$E$7,MAX(Hit!H13,Stand!H13,Double!H13,Surrender!H13),MAX(Hit!H13,Stand!H13,Double!H13))</f>
        <v>-0.26907287776607752</v>
      </c>
      <c r="I13">
        <f>IF(Rules!$B$7=Rules!$E$7,MAX(Hit!I13,Stand!I13,Double!I13,Surrender!I13),MAX(Hit!I13,Stand!I13,Double!I13))</f>
        <v>-0.32360517609397998</v>
      </c>
      <c r="J13">
        <f>IF(Rules!$B$7=Rules!$E$7,MAX(Hit!J13,Stand!J13,Double!J13,Surrender!J13),MAX(Hit!J13,Stand!J13,Double!J13))</f>
        <v>-0.38715518913686875</v>
      </c>
      <c r="K13">
        <f>IF(Rules!$B$7=Rules!$E$7,MAX(Hit!K13,Stand!K13,Double!K13,Surrender!K13),MAX(Hit!K13,Stand!K13,Double!K13))</f>
        <v>-0.42525420764465277</v>
      </c>
      <c r="N13" s="31">
        <v>13</v>
      </c>
      <c r="O13" s="31" t="str">
        <f>IF(B13=Surrender!B13,"R",HSD!O13)</f>
        <v>H</v>
      </c>
      <c r="P13" s="31" t="str">
        <f>IF(C13=Surrender!C13,"R",HSD!P13)</f>
        <v>S</v>
      </c>
      <c r="Q13" s="31" t="str">
        <f>IF(D13=Surrender!D13,"R",HSD!Q13)</f>
        <v>S</v>
      </c>
      <c r="R13" s="31" t="str">
        <f>IF(E13=Surrender!E13,"R",HSD!R13)</f>
        <v>S</v>
      </c>
      <c r="S13" s="31" t="str">
        <f>IF(F13=Surrender!F13,"R",HSD!S13)</f>
        <v>S</v>
      </c>
      <c r="T13" s="31" t="str">
        <f>IF(G13=Surrender!G13,"R",HSD!T13)</f>
        <v>S</v>
      </c>
      <c r="U13" s="31" t="str">
        <f>IF(H13=Surrender!H13,"R",HSD!U13)</f>
        <v>H</v>
      </c>
      <c r="V13" s="31" t="str">
        <f>IF(I13=Surrender!I13,"R",HSD!V13)</f>
        <v>H</v>
      </c>
      <c r="W13" s="31" t="str">
        <f>IF(J13=Surrender!J13,"R",HSD!W13)</f>
        <v>H</v>
      </c>
      <c r="X13" s="31" t="str">
        <f>IF(K13=Surrender!K13,"R",HSD!X13)</f>
        <v>H</v>
      </c>
    </row>
    <row r="14" spans="1:24" x14ac:dyDescent="0.2">
      <c r="A14">
        <v>14</v>
      </c>
      <c r="B14">
        <f>IF(AND(Rules!$B$8=Rules!$E$8,Rules!$B$7=Rules!$E$7),MAX(Hit!B14,Stand!B14,Double!B14,Surrender!B14),MAX(Hit!B14,Stand!B14,Double!B14))</f>
        <v>-0.44000672211415065</v>
      </c>
      <c r="C14">
        <f>IF(Rules!$B$7=Rules!$E$7,MAX(Hit!C14,Stand!C14,Double!C14,Surrender!C14),MAX(Hit!C14,Stand!C14,Double!C14))</f>
        <v>-0.29278372720927726</v>
      </c>
      <c r="D14">
        <f>IF(Rules!$B$7=Rules!$E$7,MAX(Hit!D14,Stand!D14,Double!D14,Surrender!D14),MAX(Hit!D14,Stand!D14,Double!D14))</f>
        <v>-0.2522502292357135</v>
      </c>
      <c r="E14">
        <f>IF(Rules!$B$7=Rules!$E$7,MAX(Hit!E14,Stand!E14,Double!E14,Surrender!E14),MAX(Hit!E14,Stand!E14,Double!E14))</f>
        <v>-0.21106310899491437</v>
      </c>
      <c r="F14">
        <f>IF(Rules!$B$7=Rules!$E$7,MAX(Hit!F14,Stand!F14,Double!F14,Surrender!F14),MAX(Hit!F14,Stand!F14,Double!F14))</f>
        <v>-0.16719266083547524</v>
      </c>
      <c r="G14">
        <f>IF(Rules!$B$7=Rules!$E$7,MAX(Hit!G14,Stand!G14,Double!G14,Surrender!G14),MAX(Hit!G14,Stand!G14,Double!G14))</f>
        <v>-0.1536990158300045</v>
      </c>
      <c r="H14">
        <f>IF(Rules!$B$7=Rules!$E$7,MAX(Hit!H14,Stand!H14,Double!H14,Surrender!H14),MAX(Hit!H14,Stand!H14,Double!H14))</f>
        <v>-0.3212819579256434</v>
      </c>
      <c r="I14">
        <f>IF(Rules!$B$7=Rules!$E$7,MAX(Hit!I14,Stand!I14,Double!I14,Surrender!I14),MAX(Hit!I14,Stand!I14,Double!I14))</f>
        <v>-0.37191909208726714</v>
      </c>
      <c r="J14">
        <f>IF(Rules!$B$7=Rules!$E$7,MAX(Hit!J14,Stand!J14,Double!J14,Surrender!J14),MAX(Hit!J14,Stand!J14,Double!J14))</f>
        <v>-0.43092981848423528</v>
      </c>
      <c r="K14">
        <f>IF(Rules!$B$7=Rules!$E$7,MAX(Hit!K14,Stand!K14,Double!K14,Surrender!K14),MAX(Hit!K14,Stand!K14,Double!K14))</f>
        <v>-0.46630747852717758</v>
      </c>
      <c r="N14" s="31">
        <v>14</v>
      </c>
      <c r="O14" s="31" t="str">
        <f>IF(B14=Surrender!B14,"R",HSD!O14)</f>
        <v>H</v>
      </c>
      <c r="P14" s="31" t="str">
        <f>IF(C14=Surrender!C14,"R",HSD!P14)</f>
        <v>S</v>
      </c>
      <c r="Q14" s="31" t="str">
        <f>IF(D14=Surrender!D14,"R",HSD!Q14)</f>
        <v>S</v>
      </c>
      <c r="R14" s="31" t="str">
        <f>IF(E14=Surrender!E14,"R",HSD!R14)</f>
        <v>S</v>
      </c>
      <c r="S14" s="31" t="str">
        <f>IF(F14=Surrender!F14,"R",HSD!S14)</f>
        <v>S</v>
      </c>
      <c r="T14" s="31" t="str">
        <f>IF(G14=Surrender!G14,"R",HSD!T14)</f>
        <v>S</v>
      </c>
      <c r="U14" s="31" t="str">
        <f>IF(H14=Surrender!H14,"R",HSD!U14)</f>
        <v>H</v>
      </c>
      <c r="V14" s="31" t="str">
        <f>IF(I14=Surrender!I14,"R",HSD!V14)</f>
        <v>H</v>
      </c>
      <c r="W14" s="31" t="str">
        <f>IF(J14=Surrender!J14,"R",HSD!W14)</f>
        <v>H</v>
      </c>
      <c r="X14" s="31" t="str">
        <f>IF(K14=Surrender!K14,"R",HSD!X14)</f>
        <v>H</v>
      </c>
    </row>
    <row r="15" spans="1:24" x14ac:dyDescent="0.2">
      <c r="A15">
        <v>15</v>
      </c>
      <c r="B15">
        <f>IF(AND(Rules!$B$8=Rules!$E$8,Rules!$B$7=Rules!$E$7),MAX(Hit!B15,Stand!B15,Double!B15,Surrender!B15),MAX(Hit!B15,Stand!B15,Double!B15))</f>
        <v>-0.4800062419631399</v>
      </c>
      <c r="C15">
        <f>IF(Rules!$B$7=Rules!$E$7,MAX(Hit!C15,Stand!C15,Double!C15,Surrender!C15),MAX(Hit!C15,Stand!C15,Double!C15))</f>
        <v>-0.29278372720927726</v>
      </c>
      <c r="D15">
        <f>IF(Rules!$B$7=Rules!$E$7,MAX(Hit!D15,Stand!D15,Double!D15,Surrender!D15),MAX(Hit!D15,Stand!D15,Double!D15))</f>
        <v>-0.2522502292357135</v>
      </c>
      <c r="E15">
        <f>IF(Rules!$B$7=Rules!$E$7,MAX(Hit!E15,Stand!E15,Double!E15,Surrender!E15),MAX(Hit!E15,Stand!E15,Double!E15))</f>
        <v>-0.21106310899491437</v>
      </c>
      <c r="F15">
        <f>IF(Rules!$B$7=Rules!$E$7,MAX(Hit!F15,Stand!F15,Double!F15,Surrender!F15),MAX(Hit!F15,Stand!F15,Double!F15))</f>
        <v>-0.16719266083547524</v>
      </c>
      <c r="G15">
        <f>IF(Rules!$B$7=Rules!$E$7,MAX(Hit!G15,Stand!G15,Double!G15,Surrender!G15),MAX(Hit!G15,Stand!G15,Double!G15))</f>
        <v>-0.1536990158300045</v>
      </c>
      <c r="H15">
        <f>IF(Rules!$B$7=Rules!$E$7,MAX(Hit!H15,Stand!H15,Double!H15,Surrender!H15),MAX(Hit!H15,Stand!H15,Double!H15))</f>
        <v>-0.36976181807381175</v>
      </c>
      <c r="I15">
        <f>IF(Rules!$B$7=Rules!$E$7,MAX(Hit!I15,Stand!I15,Double!I15,Surrender!I15),MAX(Hit!I15,Stand!I15,Double!I15))</f>
        <v>-0.41678201408103371</v>
      </c>
      <c r="J15">
        <f>IF(Rules!$B$7=Rules!$E$7,MAX(Hit!J15,Stand!J15,Double!J15,Surrender!J15),MAX(Hit!J15,Stand!J15,Double!J15))</f>
        <v>-0.47157768859250415</v>
      </c>
      <c r="K15">
        <f>IF(Rules!$B$7=Rules!$E$7,MAX(Hit!K15,Stand!K15,Double!K15,Surrender!K15),MAX(Hit!K15,Stand!K15,Double!K15))</f>
        <v>-0.5</v>
      </c>
      <c r="N15" s="31">
        <v>15</v>
      </c>
      <c r="O15" s="31" t="str">
        <f>IF(B15=Surrender!B15,"R",HSD!O15)</f>
        <v>H</v>
      </c>
      <c r="P15" s="31" t="str">
        <f>IF(C15=Surrender!C15,"R",HSD!P15)</f>
        <v>S</v>
      </c>
      <c r="Q15" s="31" t="str">
        <f>IF(D15=Surrender!D15,"R",HSD!Q15)</f>
        <v>S</v>
      </c>
      <c r="R15" s="31" t="str">
        <f>IF(E15=Surrender!E15,"R",HSD!R15)</f>
        <v>S</v>
      </c>
      <c r="S15" s="31" t="str">
        <f>IF(F15=Surrender!F15,"R",HSD!S15)</f>
        <v>S</v>
      </c>
      <c r="T15" s="31" t="str">
        <f>IF(G15=Surrender!G15,"R",HSD!T15)</f>
        <v>S</v>
      </c>
      <c r="U15" s="31" t="str">
        <f>IF(H15=Surrender!H15,"R",HSD!U15)</f>
        <v>H</v>
      </c>
      <c r="V15" s="31" t="str">
        <f>IF(I15=Surrender!I15,"R",HSD!V15)</f>
        <v>H</v>
      </c>
      <c r="W15" s="31" t="str">
        <f>IF(J15=Surrender!J15,"R",HSD!W15)</f>
        <v>H</v>
      </c>
      <c r="X15" s="31" t="str">
        <f>IF(K15=Surrender!K15,"R",HSD!X15)</f>
        <v>R</v>
      </c>
    </row>
    <row r="16" spans="1:24" x14ac:dyDescent="0.2">
      <c r="A16">
        <v>16</v>
      </c>
      <c r="B16">
        <f>IF(AND(Rules!$B$8=Rules!$E$8,Rules!$B$7=Rules!$E$7),MAX(Hit!B16,Stand!B16,Double!B16,Surrender!B16),MAX(Hit!B16,Stand!B16,Double!B16))</f>
        <v>-0.51714865325148707</v>
      </c>
      <c r="C16">
        <f>IF(Rules!$B$7=Rules!$E$7,MAX(Hit!C16,Stand!C16,Double!C16,Surrender!C16),MAX(Hit!C16,Stand!C16,Double!C16))</f>
        <v>-0.29278372720927726</v>
      </c>
      <c r="D16">
        <f>IF(Rules!$B$7=Rules!$E$7,MAX(Hit!D16,Stand!D16,Double!D16,Surrender!D16),MAX(Hit!D16,Stand!D16,Double!D16))</f>
        <v>-0.2522502292357135</v>
      </c>
      <c r="E16">
        <f>IF(Rules!$B$7=Rules!$E$7,MAX(Hit!E16,Stand!E16,Double!E16,Surrender!E16),MAX(Hit!E16,Stand!E16,Double!E16))</f>
        <v>-0.21106310899491437</v>
      </c>
      <c r="F16">
        <f>IF(Rules!$B$7=Rules!$E$7,MAX(Hit!F16,Stand!F16,Double!F16,Surrender!F16),MAX(Hit!F16,Stand!F16,Double!F16))</f>
        <v>-0.16719266083547524</v>
      </c>
      <c r="G16">
        <f>IF(Rules!$B$7=Rules!$E$7,MAX(Hit!G16,Stand!G16,Double!G16,Surrender!G16),MAX(Hit!G16,Stand!G16,Double!G16))</f>
        <v>-0.1536990158300045</v>
      </c>
      <c r="H16">
        <f>IF(Rules!$B$7=Rules!$E$7,MAX(Hit!H16,Stand!H16,Double!H16,Surrender!H16),MAX(Hit!H16,Stand!H16,Double!H16))</f>
        <v>-0.41477883106853947</v>
      </c>
      <c r="I16">
        <f>IF(Rules!$B$7=Rules!$E$7,MAX(Hit!I16,Stand!I16,Double!I16,Surrender!I16),MAX(Hit!I16,Stand!I16,Double!I16))</f>
        <v>-0.45844044164667419</v>
      </c>
      <c r="J16">
        <f>IF(Rules!$B$7=Rules!$E$7,MAX(Hit!J16,Stand!J16,Double!J16,Surrender!J16),MAX(Hit!J16,Stand!J16,Double!J16))</f>
        <v>-0.5</v>
      </c>
      <c r="K16">
        <f>IF(Rules!$B$7=Rules!$E$7,MAX(Hit!K16,Stand!K16,Double!K16,Surrender!K16),MAX(Hit!K16,Stand!K16,Double!K16))</f>
        <v>-0.5</v>
      </c>
      <c r="N16" s="31">
        <v>16</v>
      </c>
      <c r="O16" s="31" t="str">
        <f>IF(B16=Surrender!B16,"R",HSD!O16)</f>
        <v>H</v>
      </c>
      <c r="P16" s="31" t="str">
        <f>IF(C16=Surrender!C16,"R",HSD!P16)</f>
        <v>S</v>
      </c>
      <c r="Q16" s="31" t="str">
        <f>IF(D16=Surrender!D16,"R",HSD!Q16)</f>
        <v>S</v>
      </c>
      <c r="R16" s="31" t="str">
        <f>IF(E16=Surrender!E16,"R",HSD!R16)</f>
        <v>S</v>
      </c>
      <c r="S16" s="31" t="str">
        <f>IF(F16=Surrender!F16,"R",HSD!S16)</f>
        <v>S</v>
      </c>
      <c r="T16" s="31" t="str">
        <f>IF(G16=Surrender!G16,"R",HSD!T16)</f>
        <v>S</v>
      </c>
      <c r="U16" s="31" t="str">
        <f>IF(H16=Surrender!H16,"R",HSD!U16)</f>
        <v>H</v>
      </c>
      <c r="V16" s="31" t="str">
        <f>IF(I16=Surrender!I16,"R",HSD!V16)</f>
        <v>H</v>
      </c>
      <c r="W16" s="31" t="str">
        <f>IF(J16=Surrender!J16,"R",HSD!W16)</f>
        <v>R</v>
      </c>
      <c r="X16" s="31" t="str">
        <f>IF(K16=Surrender!K16,"R",HSD!X16)</f>
        <v>R</v>
      </c>
    </row>
    <row r="17" spans="1:24" x14ac:dyDescent="0.2">
      <c r="A17">
        <v>17</v>
      </c>
      <c r="B17">
        <f>IF(AND(Rules!$B$8=Rules!$E$8,Rules!$B$7=Rules!$E$7),MAX(Hit!B17,Stand!B17,Double!B17,Surrender!B17),MAX(Hit!B17,Stand!B17,Double!B17))</f>
        <v>-0.47803347499473703</v>
      </c>
      <c r="C17">
        <f>IF(Rules!$B$7=Rules!$E$7,MAX(Hit!C17,Stand!C17,Double!C17,Surrender!C17),MAX(Hit!C17,Stand!C17,Double!C17))</f>
        <v>-0.15297458768154204</v>
      </c>
      <c r="D17">
        <f>IF(Rules!$B$7=Rules!$E$7,MAX(Hit!D17,Stand!D17,Double!D17,Surrender!D17),MAX(Hit!D17,Stand!D17,Double!D17))</f>
        <v>-0.11721624142457365</v>
      </c>
      <c r="E17">
        <f>IF(Rules!$B$7=Rules!$E$7,MAX(Hit!E17,Stand!E17,Double!E17,Surrender!E17),MAX(Hit!E17,Stand!E17,Double!E17))</f>
        <v>-8.0573373145316152E-2</v>
      </c>
      <c r="F17">
        <f>IF(Rules!$B$7=Rules!$E$7,MAX(Hit!F17,Stand!F17,Double!F17,Surrender!F17),MAX(Hit!F17,Stand!F17,Double!F17))</f>
        <v>-4.4941375564924446E-2</v>
      </c>
      <c r="G17">
        <f>IF(Rules!$B$7=Rules!$E$7,MAX(Hit!G17,Stand!G17,Double!G17,Surrender!G17),MAX(Hit!G17,Stand!G17,Double!G17))</f>
        <v>1.1739160673341853E-2</v>
      </c>
      <c r="H17">
        <f>IF(Rules!$B$7=Rules!$E$7,MAX(Hit!H17,Stand!H17,Double!H17,Surrender!H17),MAX(Hit!H17,Stand!H17,Double!H17))</f>
        <v>-0.10680898948269468</v>
      </c>
      <c r="I17">
        <f>IF(Rules!$B$7=Rules!$E$7,MAX(Hit!I17,Stand!I17,Double!I17,Surrender!I17),MAX(Hit!I17,Stand!I17,Double!I17))</f>
        <v>-0.38195097104844711</v>
      </c>
      <c r="J17">
        <f>IF(Rules!$B$7=Rules!$E$7,MAX(Hit!J17,Stand!J17,Double!J17,Surrender!J17),MAX(Hit!J17,Stand!J17,Double!J17))</f>
        <v>-0.42315423964521737</v>
      </c>
      <c r="K17">
        <f>IF(Rules!$B$7=Rules!$E$7,MAX(Hit!K17,Stand!K17,Double!K17,Surrender!K17),MAX(Hit!K17,Stand!K17,Double!K17))</f>
        <v>-0.41972063392881986</v>
      </c>
      <c r="N17" s="31">
        <v>17</v>
      </c>
      <c r="O17" s="31" t="str">
        <f>IF(B17=Surrender!B17,"R",HSD!O17)</f>
        <v>S</v>
      </c>
      <c r="P17" s="31" t="str">
        <f>IF(C17=Surrender!C17,"R",HSD!P17)</f>
        <v>S</v>
      </c>
      <c r="Q17" s="31" t="str">
        <f>IF(D17=Surrender!D17,"R",HSD!Q17)</f>
        <v>S</v>
      </c>
      <c r="R17" s="31" t="str">
        <f>IF(E17=Surrender!E17,"R",HSD!R17)</f>
        <v>S</v>
      </c>
      <c r="S17" s="31" t="str">
        <f>IF(F17=Surrender!F17,"R",HSD!S17)</f>
        <v>S</v>
      </c>
      <c r="T17" s="31" t="str">
        <f>IF(G17=Surrender!G17,"R",HSD!T17)</f>
        <v>S</v>
      </c>
      <c r="U17" s="31" t="str">
        <f>IF(H17=Surrender!H17,"R",HSD!U17)</f>
        <v>S</v>
      </c>
      <c r="V17" s="31" t="str">
        <f>IF(I17=Surrender!I17,"R",HSD!V17)</f>
        <v>S</v>
      </c>
      <c r="W17" s="31" t="str">
        <f>IF(J17=Surrender!J17,"R",HSD!W17)</f>
        <v>S</v>
      </c>
      <c r="X17" s="31" t="str">
        <f>IF(K17=Surrender!K17,"R",HSD!X17)</f>
        <v>S</v>
      </c>
    </row>
    <row r="18" spans="1:24" x14ac:dyDescent="0.2">
      <c r="A18">
        <v>18</v>
      </c>
      <c r="B18">
        <f>IF(AND(Rules!$B$8=Rules!$E$8,Rules!$B$7=Rules!$E$7),MAX(Hit!B18,Stand!B18,Double!B18,Surrender!B18),MAX(Hit!B18,Stand!B18,Double!B18))</f>
        <v>-0.10019887561319057</v>
      </c>
      <c r="C18">
        <f>IF(Rules!$B$7=Rules!$E$7,MAX(Hit!C18,Stand!C18,Double!C18,Surrender!C18),MAX(Hit!C18,Stand!C18,Double!C18))</f>
        <v>0.12174190222088771</v>
      </c>
      <c r="D18">
        <f>IF(Rules!$B$7=Rules!$E$7,MAX(Hit!D18,Stand!D18,Double!D18,Surrender!D18),MAX(Hit!D18,Stand!D18,Double!D18))</f>
        <v>0.14830007284131119</v>
      </c>
      <c r="E18">
        <f>IF(Rules!$B$7=Rules!$E$7,MAX(Hit!E18,Stand!E18,Double!E18,Surrender!E18),MAX(Hit!E18,Stand!E18,Double!E18))</f>
        <v>0.17585443719748528</v>
      </c>
      <c r="F18">
        <f>IF(Rules!$B$7=Rules!$E$7,MAX(Hit!F18,Stand!F18,Double!F18,Surrender!F18),MAX(Hit!F18,Stand!F18,Double!F18))</f>
        <v>0.19956119497617719</v>
      </c>
      <c r="G18">
        <f>IF(Rules!$B$7=Rules!$E$7,MAX(Hit!G18,Stand!G18,Double!G18,Surrender!G18),MAX(Hit!G18,Stand!G18,Double!G18))</f>
        <v>0.28344391604689856</v>
      </c>
      <c r="H18">
        <f>IF(Rules!$B$7=Rules!$E$7,MAX(Hit!H18,Stand!H18,Double!H18,Surrender!H18),MAX(Hit!H18,Stand!H18,Double!H18))</f>
        <v>0.3995541673365518</v>
      </c>
      <c r="I18">
        <f>IF(Rules!$B$7=Rules!$E$7,MAX(Hit!I18,Stand!I18,Double!I18,Surrender!I18),MAX(Hit!I18,Stand!I18,Double!I18))</f>
        <v>0.10595134861912359</v>
      </c>
      <c r="J18">
        <f>IF(Rules!$B$7=Rules!$E$7,MAX(Hit!J18,Stand!J18,Double!J18,Surrender!J18),MAX(Hit!J18,Stand!J18,Double!J18))</f>
        <v>-0.18316335667343331</v>
      </c>
      <c r="K18">
        <f>IF(Rules!$B$7=Rules!$E$7,MAX(Hit!K18,Stand!K18,Double!K18,Surrender!K18),MAX(Hit!K18,Stand!K18,Double!K18))</f>
        <v>-0.17830123379648949</v>
      </c>
      <c r="N18" s="31">
        <v>18</v>
      </c>
      <c r="O18" s="31" t="str">
        <f>IF(B18=Surrender!B18,"R",HSD!O18)</f>
        <v>S</v>
      </c>
      <c r="P18" s="31" t="str">
        <f>IF(C18=Surrender!C18,"R",HSD!P18)</f>
        <v>S</v>
      </c>
      <c r="Q18" s="31" t="str">
        <f>IF(D18=Surrender!D18,"R",HSD!Q18)</f>
        <v>S</v>
      </c>
      <c r="R18" s="31" t="str">
        <f>IF(E18=Surrender!E18,"R",HSD!R18)</f>
        <v>S</v>
      </c>
      <c r="S18" s="31" t="str">
        <f>IF(F18=Surrender!F18,"R",HSD!S18)</f>
        <v>S</v>
      </c>
      <c r="T18" s="31" t="str">
        <f>IF(G18=Surrender!G18,"R",HSD!T18)</f>
        <v>S</v>
      </c>
      <c r="U18" s="31" t="str">
        <f>IF(H18=Surrender!H18,"R",HSD!U18)</f>
        <v>S</v>
      </c>
      <c r="V18" s="31" t="str">
        <f>IF(I18=Surrender!I18,"R",HSD!V18)</f>
        <v>S</v>
      </c>
      <c r="W18" s="31" t="str">
        <f>IF(J18=Surrender!J18,"R",HSD!W18)</f>
        <v>S</v>
      </c>
      <c r="X18" s="31" t="str">
        <f>IF(K18=Surrender!K18,"R",HSD!X18)</f>
        <v>S</v>
      </c>
    </row>
    <row r="19" spans="1:24" x14ac:dyDescent="0.2">
      <c r="A19">
        <v>19</v>
      </c>
      <c r="B19">
        <f>IF(AND(Rules!$B$8=Rules!$E$8,Rules!$B$7=Rules!$E$7),MAX(Hit!B19,Stand!B19,Double!B19,Surrender!B19),MAX(Hit!B19,Stand!B19,Double!B19))</f>
        <v>0.27763572376835594</v>
      </c>
      <c r="C19">
        <f>IF(Rules!$B$7=Rules!$E$7,MAX(Hit!C19,Stand!C19,Double!C19,Surrender!C19),MAX(Hit!C19,Stand!C19,Double!C19))</f>
        <v>0.38630468602058993</v>
      </c>
      <c r="D19">
        <f>IF(Rules!$B$7=Rules!$E$7,MAX(Hit!D19,Stand!D19,Double!D19,Surrender!D19),MAX(Hit!D19,Stand!D19,Double!D19))</f>
        <v>0.4043629365977599</v>
      </c>
      <c r="E19">
        <f>IF(Rules!$B$7=Rules!$E$7,MAX(Hit!E19,Stand!E19,Double!E19,Surrender!E19),MAX(Hit!E19,Stand!E19,Double!E19))</f>
        <v>0.42317892482749653</v>
      </c>
      <c r="F19">
        <f>IF(Rules!$B$7=Rules!$E$7,MAX(Hit!F19,Stand!F19,Double!F19,Surrender!F19),MAX(Hit!F19,Stand!F19,Double!F19))</f>
        <v>0.43951210416088371</v>
      </c>
      <c r="G19">
        <f>IF(Rules!$B$7=Rules!$E$7,MAX(Hit!G19,Stand!G19,Double!G19,Surrender!G19),MAX(Hit!G19,Stand!G19,Double!G19))</f>
        <v>0.49597707378731914</v>
      </c>
      <c r="H19">
        <f>IF(Rules!$B$7=Rules!$E$7,MAX(Hit!H19,Stand!H19,Double!H19,Surrender!H19),MAX(Hit!H19,Stand!H19,Double!H19))</f>
        <v>0.6159764957534315</v>
      </c>
      <c r="I19">
        <f>IF(Rules!$B$7=Rules!$E$7,MAX(Hit!I19,Stand!I19,Double!I19,Surrender!I19),MAX(Hit!I19,Stand!I19,Double!I19))</f>
        <v>0.59385366828669439</v>
      </c>
      <c r="J19">
        <f>IF(Rules!$B$7=Rules!$E$7,MAX(Hit!J19,Stand!J19,Double!J19,Surrender!J19),MAX(Hit!J19,Stand!J19,Double!J19))</f>
        <v>0.28759675706758148</v>
      </c>
      <c r="K19">
        <f>IF(Rules!$B$7=Rules!$E$7,MAX(Hit!K19,Stand!K19,Double!K19,Surrender!K19),MAX(Hit!K19,Stand!K19,Double!K19))</f>
        <v>6.3118166335840831E-2</v>
      </c>
      <c r="N19" s="31">
        <v>19</v>
      </c>
      <c r="O19" s="31" t="str">
        <f>IF(B19=Surrender!B19,"R",HSD!O19)</f>
        <v>S</v>
      </c>
      <c r="P19" s="31" t="str">
        <f>IF(C19=Surrender!C19,"R",HSD!P19)</f>
        <v>S</v>
      </c>
      <c r="Q19" s="31" t="str">
        <f>IF(D19=Surrender!D19,"R",HSD!Q19)</f>
        <v>S</v>
      </c>
      <c r="R19" s="31" t="str">
        <f>IF(E19=Surrender!E19,"R",HSD!R19)</f>
        <v>S</v>
      </c>
      <c r="S19" s="31" t="str">
        <f>IF(F19=Surrender!F19,"R",HSD!S19)</f>
        <v>S</v>
      </c>
      <c r="T19" s="31" t="str">
        <f>IF(G19=Surrender!G19,"R",HSD!T19)</f>
        <v>S</v>
      </c>
      <c r="U19" s="31" t="str">
        <f>IF(H19=Surrender!H19,"R",HSD!U19)</f>
        <v>S</v>
      </c>
      <c r="V19" s="31" t="str">
        <f>IF(I19=Surrender!I19,"R",HSD!V19)</f>
        <v>S</v>
      </c>
      <c r="W19" s="31" t="str">
        <f>IF(J19=Surrender!J19,"R",HSD!W19)</f>
        <v>S</v>
      </c>
      <c r="X19" s="31" t="str">
        <f>IF(K19=Surrender!K19,"R",HSD!X19)</f>
        <v>S</v>
      </c>
    </row>
    <row r="20" spans="1:24" x14ac:dyDescent="0.2">
      <c r="A20">
        <v>20</v>
      </c>
      <c r="B20">
        <f>IF(AND(Rules!$B$8=Rules!$E$8,Rules!$B$7=Rules!$E$7),MAX(Hit!B20,Stand!B20,Double!B20,Surrender!B20),MAX(Hit!B20,Stand!B20,Double!B20))</f>
        <v>0.65547032314990239</v>
      </c>
      <c r="C20">
        <f>IF(Rules!$B$7=Rules!$E$7,MAX(Hit!C20,Stand!C20,Double!C20,Surrender!C20),MAX(Hit!C20,Stand!C20,Double!C20))</f>
        <v>0.63998657521683877</v>
      </c>
      <c r="D20">
        <f>IF(Rules!$B$7=Rules!$E$7,MAX(Hit!D20,Stand!D20,Double!D20,Surrender!D20),MAX(Hit!D20,Stand!D20,Double!D20))</f>
        <v>0.65027209425148136</v>
      </c>
      <c r="E20">
        <f>IF(Rules!$B$7=Rules!$E$7,MAX(Hit!E20,Stand!E20,Double!E20,Surrender!E20),MAX(Hit!E20,Stand!E20,Double!E20))</f>
        <v>0.66104996194807186</v>
      </c>
      <c r="F20">
        <f>IF(Rules!$B$7=Rules!$E$7,MAX(Hit!F20,Stand!F20,Double!F20,Surrender!F20),MAX(Hit!F20,Stand!F20,Double!F20))</f>
        <v>0.67035969063279999</v>
      </c>
      <c r="G20">
        <f>IF(Rules!$B$7=Rules!$E$7,MAX(Hit!G20,Stand!G20,Double!G20,Surrender!G20),MAX(Hit!G20,Stand!G20,Double!G20))</f>
        <v>0.70395857017134467</v>
      </c>
      <c r="H20">
        <f>IF(Rules!$B$7=Rules!$E$7,MAX(Hit!H20,Stand!H20,Double!H20,Surrender!H20),MAX(Hit!H20,Stand!H20,Double!H20))</f>
        <v>0.77322722653717491</v>
      </c>
      <c r="I20">
        <f>IF(Rules!$B$7=Rules!$E$7,MAX(Hit!I20,Stand!I20,Double!I20,Surrender!I20),MAX(Hit!I20,Stand!I20,Double!I20))</f>
        <v>0.79181515955189841</v>
      </c>
      <c r="J20">
        <f>IF(Rules!$B$7=Rules!$E$7,MAX(Hit!J20,Stand!J20,Double!J20,Surrender!J20),MAX(Hit!J20,Stand!J20,Double!J20))</f>
        <v>0.75835687080859626</v>
      </c>
      <c r="K20">
        <f>IF(Rules!$B$7=Rules!$E$7,MAX(Hit!K20,Stand!K20,Double!K20,Surrender!K20),MAX(Hit!K20,Stand!K20,Double!K20))</f>
        <v>0.55453756646817121</v>
      </c>
      <c r="N20" s="31">
        <v>20</v>
      </c>
      <c r="O20" s="31" t="str">
        <f>IF(B20=Surrender!B20,"R",HSD!O20)</f>
        <v>S</v>
      </c>
      <c r="P20" s="31" t="str">
        <f>IF(C20=Surrender!C20,"R",HSD!P20)</f>
        <v>S</v>
      </c>
      <c r="Q20" s="31" t="str">
        <f>IF(D20=Surrender!D20,"R",HSD!Q20)</f>
        <v>S</v>
      </c>
      <c r="R20" s="31" t="str">
        <f>IF(E20=Surrender!E20,"R",HSD!R20)</f>
        <v>S</v>
      </c>
      <c r="S20" s="31" t="str">
        <f>IF(F20=Surrender!F20,"R",HSD!S20)</f>
        <v>S</v>
      </c>
      <c r="T20" s="31" t="str">
        <f>IF(G20=Surrender!G20,"R",HSD!T20)</f>
        <v>S</v>
      </c>
      <c r="U20" s="31" t="str">
        <f>IF(H20=Surrender!H20,"R",HSD!U20)</f>
        <v>S</v>
      </c>
      <c r="V20" s="31" t="str">
        <f>IF(I20=Surrender!I20,"R",HSD!V20)</f>
        <v>S</v>
      </c>
      <c r="W20" s="31" t="str">
        <f>IF(J20=Surrender!J20,"R",HSD!W20)</f>
        <v>S</v>
      </c>
      <c r="X20" s="31" t="str">
        <f>IF(K20=Surrender!K20,"R",HSD!X20)</f>
        <v>S</v>
      </c>
    </row>
    <row r="21" spans="1:24" x14ac:dyDescent="0.2">
      <c r="A21">
        <v>21</v>
      </c>
      <c r="B21">
        <f>IF(AND(Rules!$B$8=Rules!$E$8,Rules!$B$7=Rules!$E$7),MAX(Hit!B21,Stand!B21,Double!B21,Surrender!B21),MAX(Hit!B21,Stand!B21,Double!B21))</f>
        <v>0.92219381142033785</v>
      </c>
      <c r="C21">
        <f>IF(Rules!$B$7=Rules!$E$7,MAX(Hit!C21,Stand!C21,Double!C21,Surrender!C21),MAX(Hit!C21,Stand!C21,Double!C21))</f>
        <v>0.88200651549403997</v>
      </c>
      <c r="D21">
        <f>IF(Rules!$B$7=Rules!$E$7,MAX(Hit!D21,Stand!D21,Double!D21,Surrender!D21),MAX(Hit!D21,Stand!D21,Double!D21))</f>
        <v>0.88530035730174927</v>
      </c>
      <c r="E21">
        <f>IF(Rules!$B$7=Rules!$E$7,MAX(Hit!E21,Stand!E21,Double!E21,Surrender!E21),MAX(Hit!E21,Stand!E21,Double!E21))</f>
        <v>0.88876729296591961</v>
      </c>
      <c r="F21">
        <f>IF(Rules!$B$7=Rules!$E$7,MAX(Hit!F21,Stand!F21,Double!F21,Surrender!F21),MAX(Hit!F21,Stand!F21,Double!F21))</f>
        <v>0.89175382659528035</v>
      </c>
      <c r="G21">
        <f>IF(Rules!$B$7=Rules!$E$7,MAX(Hit!G21,Stand!G21,Double!G21,Surrender!G21),MAX(Hit!G21,Stand!G21,Double!G21))</f>
        <v>0.90283674384257995</v>
      </c>
      <c r="H21">
        <f>IF(Rules!$B$7=Rules!$E$7,MAX(Hit!H21,Stand!H21,Double!H21,Surrender!H21),MAX(Hit!H21,Stand!H21,Double!H21))</f>
        <v>0.92592629596452325</v>
      </c>
      <c r="I21">
        <f>IF(Rules!$B$7=Rules!$E$7,MAX(Hit!I21,Stand!I21,Double!I21,Surrender!I21),MAX(Hit!I21,Stand!I21,Double!I21))</f>
        <v>0.93060505318396614</v>
      </c>
      <c r="J21">
        <f>IF(Rules!$B$7=Rules!$E$7,MAX(Hit!J21,Stand!J21,Double!J21,Surrender!J21),MAX(Hit!J21,Stand!J21,Double!J21))</f>
        <v>0.93917615614724415</v>
      </c>
      <c r="K21">
        <f>IF(Rules!$B$7=Rules!$E$7,MAX(Hit!K21,Stand!K21,Double!K21,Surrender!K21),MAX(Hit!K21,Stand!K21,Double!K21))</f>
        <v>0.96262363326716827</v>
      </c>
      <c r="N21" s="31">
        <v>21</v>
      </c>
      <c r="O21" s="31" t="str">
        <f>IF(B21=Surrender!B21,"R",HSD!O21)</f>
        <v>S</v>
      </c>
      <c r="P21" s="31" t="str">
        <f>IF(C21=Surrender!C21,"R",HSD!P21)</f>
        <v>S</v>
      </c>
      <c r="Q21" s="31" t="str">
        <f>IF(D21=Surrender!D21,"R",HSD!Q21)</f>
        <v>S</v>
      </c>
      <c r="R21" s="31" t="str">
        <f>IF(E21=Surrender!E21,"R",HSD!R21)</f>
        <v>S</v>
      </c>
      <c r="S21" s="31" t="str">
        <f>IF(F21=Surrender!F21,"R",HSD!S21)</f>
        <v>S</v>
      </c>
      <c r="T21" s="31" t="str">
        <f>IF(G21=Surrender!G21,"R",HSD!T21)</f>
        <v>S</v>
      </c>
      <c r="U21" s="31" t="str">
        <f>IF(H21=Surrender!H21,"R",HSD!U21)</f>
        <v>S</v>
      </c>
      <c r="V21" s="31" t="str">
        <f>IF(I21=Surrender!I21,"R",HSD!V21)</f>
        <v>S</v>
      </c>
      <c r="W21" s="31" t="str">
        <f>IF(J21=Surrender!J21,"R",HSD!W21)</f>
        <v>S</v>
      </c>
      <c r="X21" s="31" t="str">
        <f>IF(K21=Surrender!K21,"R",HSD!X21)</f>
        <v>S</v>
      </c>
    </row>
    <row r="22" spans="1:24" x14ac:dyDescent="0.2">
      <c r="A22">
        <v>22</v>
      </c>
      <c r="B22">
        <f>IF(AND(Rules!$B$8=Rules!$E$8,Rules!$B$7=Rules!$E$7),MAX(Hit!B22,Stand!B22,Double!B22,Surrender!B22),MAX(Hit!B22,Stand!B22,Double!B22))</f>
        <v>-1</v>
      </c>
      <c r="C22">
        <f>IF(Rules!$B$7=Rules!$E$7,MAX(Hit!C22,Stand!C22,Double!C22,Surrender!C22),MAX(Hit!C22,Stand!C22,Double!C22))</f>
        <v>-0.5</v>
      </c>
      <c r="D22">
        <f>IF(Rules!$B$7=Rules!$E$7,MAX(Hit!D22,Stand!D22,Double!D22,Surrender!D22),MAX(Hit!D22,Stand!D22,Double!D22))</f>
        <v>-0.5</v>
      </c>
      <c r="E22">
        <f>IF(Rules!$B$7=Rules!$E$7,MAX(Hit!E22,Stand!E22,Double!E22,Surrender!E22),MAX(Hit!E22,Stand!E22,Double!E22))</f>
        <v>-0.5</v>
      </c>
      <c r="F22">
        <f>IF(Rules!$B$7=Rules!$E$7,MAX(Hit!F22,Stand!F22,Double!F22,Surrender!F22),MAX(Hit!F22,Stand!F22,Double!F22))</f>
        <v>-0.5</v>
      </c>
      <c r="G22">
        <f>IF(Rules!$B$7=Rules!$E$7,MAX(Hit!G22,Stand!G22,Double!G22,Surrender!G22),MAX(Hit!G22,Stand!G22,Double!G22))</f>
        <v>-0.5</v>
      </c>
      <c r="H22">
        <f>IF(Rules!$B$7=Rules!$E$7,MAX(Hit!H22,Stand!H22,Double!H22,Surrender!H22),MAX(Hit!H22,Stand!H22,Double!H22))</f>
        <v>-0.5</v>
      </c>
      <c r="I22">
        <f>IF(Rules!$B$7=Rules!$E$7,MAX(Hit!I22,Stand!I22,Double!I22,Surrender!I22),MAX(Hit!I22,Stand!I22,Double!I22))</f>
        <v>-0.5</v>
      </c>
      <c r="J22">
        <f>IF(Rules!$B$7=Rules!$E$7,MAX(Hit!J22,Stand!J22,Double!J22,Surrender!J22),MAX(Hit!J22,Stand!J22,Double!J22))</f>
        <v>-0.5</v>
      </c>
      <c r="K22">
        <f>IF(Rules!$B$7=Rules!$E$7,MAX(Hit!K22,Stand!K22,Double!K22,Surrender!K22),MAX(Hit!K22,Stand!K22,Double!K22))</f>
        <v>-0.5</v>
      </c>
      <c r="N22" s="31">
        <v>22</v>
      </c>
      <c r="O22" s="31" t="str">
        <f>IF(B22=Surrender!B22,"R",HSD!O22)</f>
        <v>S</v>
      </c>
      <c r="P22" s="31" t="str">
        <f>IF(C22=Surrender!C22,"R",HSD!P22)</f>
        <v>R</v>
      </c>
      <c r="Q22" s="31" t="str">
        <f>IF(D22=Surrender!D22,"R",HSD!Q22)</f>
        <v>R</v>
      </c>
      <c r="R22" s="31" t="str">
        <f>IF(E22=Surrender!E22,"R",HSD!R22)</f>
        <v>R</v>
      </c>
      <c r="S22" s="31" t="str">
        <f>IF(F22=Surrender!F22,"R",HSD!S22)</f>
        <v>R</v>
      </c>
      <c r="T22" s="31" t="str">
        <f>IF(G22=Surrender!G22,"R",HSD!T22)</f>
        <v>R</v>
      </c>
      <c r="U22" s="31" t="str">
        <f>IF(H22=Surrender!H22,"R",HSD!U22)</f>
        <v>R</v>
      </c>
      <c r="V22" s="31" t="str">
        <f>IF(I22=Surrender!I22,"R",HSD!V22)</f>
        <v>R</v>
      </c>
      <c r="W22" s="31" t="str">
        <f>IF(J22=Surrender!J22,"R",HSD!W22)</f>
        <v>R</v>
      </c>
      <c r="X22" s="31" t="str">
        <f>IF(K22=Surrender!K22,"R",HSD!X22)</f>
        <v>R</v>
      </c>
    </row>
    <row r="23" spans="1:24" x14ac:dyDescent="0.2">
      <c r="A23">
        <v>23</v>
      </c>
      <c r="B23">
        <f>IF(AND(Rules!$B$8=Rules!$E$8,Rules!$B$7=Rules!$E$7),MAX(Hit!B23,Stand!B23,Double!B23,Surrender!B23),MAX(Hit!B23,Stand!B23,Double!B23))</f>
        <v>-1</v>
      </c>
      <c r="C23">
        <f>IF(Rules!$B$7=Rules!$E$7,MAX(Hit!C23,Stand!C23,Double!C23,Surrender!C23),MAX(Hit!C23,Stand!C23,Double!C23))</f>
        <v>-0.5</v>
      </c>
      <c r="D23">
        <f>IF(Rules!$B$7=Rules!$E$7,MAX(Hit!D23,Stand!D23,Double!D23,Surrender!D23),MAX(Hit!D23,Stand!D23,Double!D23))</f>
        <v>-0.5</v>
      </c>
      <c r="E23">
        <f>IF(Rules!$B$7=Rules!$E$7,MAX(Hit!E23,Stand!E23,Double!E23,Surrender!E23),MAX(Hit!E23,Stand!E23,Double!E23))</f>
        <v>-0.5</v>
      </c>
      <c r="F23">
        <f>IF(Rules!$B$7=Rules!$E$7,MAX(Hit!F23,Stand!F23,Double!F23,Surrender!F23),MAX(Hit!F23,Stand!F23,Double!F23))</f>
        <v>-0.5</v>
      </c>
      <c r="G23">
        <f>IF(Rules!$B$7=Rules!$E$7,MAX(Hit!G23,Stand!G23,Double!G23,Surrender!G23),MAX(Hit!G23,Stand!G23,Double!G23))</f>
        <v>-0.5</v>
      </c>
      <c r="H23">
        <f>IF(Rules!$B$7=Rules!$E$7,MAX(Hit!H23,Stand!H23,Double!H23,Surrender!H23),MAX(Hit!H23,Stand!H23,Double!H23))</f>
        <v>-0.5</v>
      </c>
      <c r="I23">
        <f>IF(Rules!$B$7=Rules!$E$7,MAX(Hit!I23,Stand!I23,Double!I23,Surrender!I23),MAX(Hit!I23,Stand!I23,Double!I23))</f>
        <v>-0.5</v>
      </c>
      <c r="J23">
        <f>IF(Rules!$B$7=Rules!$E$7,MAX(Hit!J23,Stand!J23,Double!J23,Surrender!J23),MAX(Hit!J23,Stand!J23,Double!J23))</f>
        <v>-0.5</v>
      </c>
      <c r="K23">
        <f>IF(Rules!$B$7=Rules!$E$7,MAX(Hit!K23,Stand!K23,Double!K23,Surrender!K23),MAX(Hit!K23,Stand!K23,Double!K23))</f>
        <v>-0.5</v>
      </c>
      <c r="N23" s="31">
        <v>23</v>
      </c>
      <c r="O23" s="31" t="str">
        <f>IF(B23=Surrender!B23,"R",HSD!O23)</f>
        <v>S</v>
      </c>
      <c r="P23" s="31" t="str">
        <f>IF(C23=Surrender!C23,"R",HSD!P23)</f>
        <v>R</v>
      </c>
      <c r="Q23" s="31" t="str">
        <f>IF(D23=Surrender!D23,"R",HSD!Q23)</f>
        <v>R</v>
      </c>
      <c r="R23" s="31" t="str">
        <f>IF(E23=Surrender!E23,"R",HSD!R23)</f>
        <v>R</v>
      </c>
      <c r="S23" s="31" t="str">
        <f>IF(F23=Surrender!F23,"R",HSD!S23)</f>
        <v>R</v>
      </c>
      <c r="T23" s="31" t="str">
        <f>IF(G23=Surrender!G23,"R",HSD!T23)</f>
        <v>R</v>
      </c>
      <c r="U23" s="31" t="str">
        <f>IF(H23=Surrender!H23,"R",HSD!U23)</f>
        <v>R</v>
      </c>
      <c r="V23" s="31" t="str">
        <f>IF(I23=Surrender!I23,"R",HSD!V23)</f>
        <v>R</v>
      </c>
      <c r="W23" s="31" t="str">
        <f>IF(J23=Surrender!J23,"R",HSD!W23)</f>
        <v>R</v>
      </c>
      <c r="X23" s="31" t="str">
        <f>IF(K23=Surrender!K23,"R",HSD!X23)</f>
        <v>R</v>
      </c>
    </row>
    <row r="24" spans="1:24" x14ac:dyDescent="0.2">
      <c r="A24">
        <v>24</v>
      </c>
      <c r="B24">
        <f>IF(AND(Rules!$B$8=Rules!$E$8,Rules!$B$7=Rules!$E$7),MAX(Hit!B24,Stand!B24,Double!B24,Surrender!B24),MAX(Hit!B24,Stand!B24,Double!B24))</f>
        <v>-1</v>
      </c>
      <c r="C24">
        <f>IF(Rules!$B$7=Rules!$E$7,MAX(Hit!C24,Stand!C24,Double!C24,Surrender!C24),MAX(Hit!C24,Stand!C24,Double!C24))</f>
        <v>-0.5</v>
      </c>
      <c r="D24">
        <f>IF(Rules!$B$7=Rules!$E$7,MAX(Hit!D24,Stand!D24,Double!D24,Surrender!D24),MAX(Hit!D24,Stand!D24,Double!D24))</f>
        <v>-0.5</v>
      </c>
      <c r="E24">
        <f>IF(Rules!$B$7=Rules!$E$7,MAX(Hit!E24,Stand!E24,Double!E24,Surrender!E24),MAX(Hit!E24,Stand!E24,Double!E24))</f>
        <v>-0.5</v>
      </c>
      <c r="F24">
        <f>IF(Rules!$B$7=Rules!$E$7,MAX(Hit!F24,Stand!F24,Double!F24,Surrender!F24),MAX(Hit!F24,Stand!F24,Double!F24))</f>
        <v>-0.5</v>
      </c>
      <c r="G24">
        <f>IF(Rules!$B$7=Rules!$E$7,MAX(Hit!G24,Stand!G24,Double!G24,Surrender!G24),MAX(Hit!G24,Stand!G24,Double!G24))</f>
        <v>-0.5</v>
      </c>
      <c r="H24">
        <f>IF(Rules!$B$7=Rules!$E$7,MAX(Hit!H24,Stand!H24,Double!H24,Surrender!H24),MAX(Hit!H24,Stand!H24,Double!H24))</f>
        <v>-0.5</v>
      </c>
      <c r="I24">
        <f>IF(Rules!$B$7=Rules!$E$7,MAX(Hit!I24,Stand!I24,Double!I24,Surrender!I24),MAX(Hit!I24,Stand!I24,Double!I24))</f>
        <v>-0.5</v>
      </c>
      <c r="J24">
        <f>IF(Rules!$B$7=Rules!$E$7,MAX(Hit!J24,Stand!J24,Double!J24,Surrender!J24),MAX(Hit!J24,Stand!J24,Double!J24))</f>
        <v>-0.5</v>
      </c>
      <c r="K24">
        <f>IF(Rules!$B$7=Rules!$E$7,MAX(Hit!K24,Stand!K24,Double!K24,Surrender!K24),MAX(Hit!K24,Stand!K24,Double!K24))</f>
        <v>-0.5</v>
      </c>
      <c r="N24" s="31">
        <v>24</v>
      </c>
      <c r="O24" s="31" t="str">
        <f>IF(B24=Surrender!B24,"R",HSD!O24)</f>
        <v>S</v>
      </c>
      <c r="P24" s="31" t="str">
        <f>IF(C24=Surrender!C24,"R",HSD!P24)</f>
        <v>R</v>
      </c>
      <c r="Q24" s="31" t="str">
        <f>IF(D24=Surrender!D24,"R",HSD!Q24)</f>
        <v>R</v>
      </c>
      <c r="R24" s="31" t="str">
        <f>IF(E24=Surrender!E24,"R",HSD!R24)</f>
        <v>R</v>
      </c>
      <c r="S24" s="31" t="str">
        <f>IF(F24=Surrender!F24,"R",HSD!S24)</f>
        <v>R</v>
      </c>
      <c r="T24" s="31" t="str">
        <f>IF(G24=Surrender!G24,"R",HSD!T24)</f>
        <v>R</v>
      </c>
      <c r="U24" s="31" t="str">
        <f>IF(H24=Surrender!H24,"R",HSD!U24)</f>
        <v>R</v>
      </c>
      <c r="V24" s="31" t="str">
        <f>IF(I24=Surrender!I24,"R",HSD!V24)</f>
        <v>R</v>
      </c>
      <c r="W24" s="31" t="str">
        <f>IF(J24=Surrender!J24,"R",HSD!W24)</f>
        <v>R</v>
      </c>
      <c r="X24" s="31" t="str">
        <f>IF(K24=Surrender!K24,"R",HSD!X24)</f>
        <v>R</v>
      </c>
    </row>
    <row r="25" spans="1:24" x14ac:dyDescent="0.2">
      <c r="A25">
        <v>25</v>
      </c>
      <c r="B25">
        <f>IF(AND(Rules!$B$8=Rules!$E$8,Rules!$B$7=Rules!$E$7),MAX(Hit!B25,Stand!B25,Double!B25,Surrender!B25),MAX(Hit!B25,Stand!B25,Double!B25))</f>
        <v>-1</v>
      </c>
      <c r="C25">
        <f>IF(Rules!$B$7=Rules!$E$7,MAX(Hit!C25,Stand!C25,Double!C25,Surrender!C25),MAX(Hit!C25,Stand!C25,Double!C25))</f>
        <v>-0.5</v>
      </c>
      <c r="D25">
        <f>IF(Rules!$B$7=Rules!$E$7,MAX(Hit!D25,Stand!D25,Double!D25,Surrender!D25),MAX(Hit!D25,Stand!D25,Double!D25))</f>
        <v>-0.5</v>
      </c>
      <c r="E25">
        <f>IF(Rules!$B$7=Rules!$E$7,MAX(Hit!E25,Stand!E25,Double!E25,Surrender!E25),MAX(Hit!E25,Stand!E25,Double!E25))</f>
        <v>-0.5</v>
      </c>
      <c r="F25">
        <f>IF(Rules!$B$7=Rules!$E$7,MAX(Hit!F25,Stand!F25,Double!F25,Surrender!F25),MAX(Hit!F25,Stand!F25,Double!F25))</f>
        <v>-0.5</v>
      </c>
      <c r="G25">
        <f>IF(Rules!$B$7=Rules!$E$7,MAX(Hit!G25,Stand!G25,Double!G25,Surrender!G25),MAX(Hit!G25,Stand!G25,Double!G25))</f>
        <v>-0.5</v>
      </c>
      <c r="H25">
        <f>IF(Rules!$B$7=Rules!$E$7,MAX(Hit!H25,Stand!H25,Double!H25,Surrender!H25),MAX(Hit!H25,Stand!H25,Double!H25))</f>
        <v>-0.5</v>
      </c>
      <c r="I25">
        <f>IF(Rules!$B$7=Rules!$E$7,MAX(Hit!I25,Stand!I25,Double!I25,Surrender!I25),MAX(Hit!I25,Stand!I25,Double!I25))</f>
        <v>-0.5</v>
      </c>
      <c r="J25">
        <f>IF(Rules!$B$7=Rules!$E$7,MAX(Hit!J25,Stand!J25,Double!J25,Surrender!J25),MAX(Hit!J25,Stand!J25,Double!J25))</f>
        <v>-0.5</v>
      </c>
      <c r="K25">
        <f>IF(Rules!$B$7=Rules!$E$7,MAX(Hit!K25,Stand!K25,Double!K25,Surrender!K25),MAX(Hit!K25,Stand!K25,Double!K25))</f>
        <v>-0.5</v>
      </c>
      <c r="N25" s="31">
        <v>25</v>
      </c>
      <c r="O25" s="31" t="str">
        <f>IF(B25=Surrender!B25,"R",HSD!O25)</f>
        <v>S</v>
      </c>
      <c r="P25" s="31" t="str">
        <f>IF(C25=Surrender!C25,"R",HSD!P25)</f>
        <v>R</v>
      </c>
      <c r="Q25" s="31" t="str">
        <f>IF(D25=Surrender!D25,"R",HSD!Q25)</f>
        <v>R</v>
      </c>
      <c r="R25" s="31" t="str">
        <f>IF(E25=Surrender!E25,"R",HSD!R25)</f>
        <v>R</v>
      </c>
      <c r="S25" s="31" t="str">
        <f>IF(F25=Surrender!F25,"R",HSD!S25)</f>
        <v>R</v>
      </c>
      <c r="T25" s="31" t="str">
        <f>IF(G25=Surrender!G25,"R",HSD!T25)</f>
        <v>R</v>
      </c>
      <c r="U25" s="31" t="str">
        <f>IF(H25=Surrender!H25,"R",HSD!U25)</f>
        <v>R</v>
      </c>
      <c r="V25" s="31" t="str">
        <f>IF(I25=Surrender!I25,"R",HSD!V25)</f>
        <v>R</v>
      </c>
      <c r="W25" s="31" t="str">
        <f>IF(J25=Surrender!J25,"R",HSD!W25)</f>
        <v>R</v>
      </c>
      <c r="X25" s="31" t="str">
        <f>IF(K25=Surrender!K25,"R",HSD!X25)</f>
        <v>R</v>
      </c>
    </row>
    <row r="26" spans="1:24" x14ac:dyDescent="0.2">
      <c r="A26">
        <v>26</v>
      </c>
      <c r="B26">
        <f>IF(AND(Rules!$B$8=Rules!$E$8,Rules!$B$7=Rules!$E$7),MAX(Hit!B26,Stand!B26,Double!B26,Surrender!B26),MAX(Hit!B26,Stand!B26,Double!B26))</f>
        <v>-1</v>
      </c>
      <c r="C26">
        <f>IF(Rules!$B$7=Rules!$E$7,MAX(Hit!C26,Stand!C26,Double!C26,Surrender!C26),MAX(Hit!C26,Stand!C26,Double!C26))</f>
        <v>-0.5</v>
      </c>
      <c r="D26">
        <f>IF(Rules!$B$7=Rules!$E$7,MAX(Hit!D26,Stand!D26,Double!D26,Surrender!D26),MAX(Hit!D26,Stand!D26,Double!D26))</f>
        <v>-0.5</v>
      </c>
      <c r="E26">
        <f>IF(Rules!$B$7=Rules!$E$7,MAX(Hit!E26,Stand!E26,Double!E26,Surrender!E26),MAX(Hit!E26,Stand!E26,Double!E26))</f>
        <v>-0.5</v>
      </c>
      <c r="F26">
        <f>IF(Rules!$B$7=Rules!$E$7,MAX(Hit!F26,Stand!F26,Double!F26,Surrender!F26),MAX(Hit!F26,Stand!F26,Double!F26))</f>
        <v>-0.5</v>
      </c>
      <c r="G26">
        <f>IF(Rules!$B$7=Rules!$E$7,MAX(Hit!G26,Stand!G26,Double!G26,Surrender!G26),MAX(Hit!G26,Stand!G26,Double!G26))</f>
        <v>-0.5</v>
      </c>
      <c r="H26">
        <f>IF(Rules!$B$7=Rules!$E$7,MAX(Hit!H26,Stand!H26,Double!H26,Surrender!H26),MAX(Hit!H26,Stand!H26,Double!H26))</f>
        <v>-0.5</v>
      </c>
      <c r="I26">
        <f>IF(Rules!$B$7=Rules!$E$7,MAX(Hit!I26,Stand!I26,Double!I26,Surrender!I26),MAX(Hit!I26,Stand!I26,Double!I26))</f>
        <v>-0.5</v>
      </c>
      <c r="J26">
        <f>IF(Rules!$B$7=Rules!$E$7,MAX(Hit!J26,Stand!J26,Double!J26,Surrender!J26),MAX(Hit!J26,Stand!J26,Double!J26))</f>
        <v>-0.5</v>
      </c>
      <c r="K26">
        <f>IF(Rules!$B$7=Rules!$E$7,MAX(Hit!K26,Stand!K26,Double!K26,Surrender!K26),MAX(Hit!K26,Stand!K26,Double!K26))</f>
        <v>-0.5</v>
      </c>
      <c r="N26" s="31">
        <v>26</v>
      </c>
      <c r="O26" s="31" t="str">
        <f>IF(B26=Surrender!B26,"R",HSD!O26)</f>
        <v>S</v>
      </c>
      <c r="P26" s="31" t="str">
        <f>IF(C26=Surrender!C26,"R",HSD!P26)</f>
        <v>R</v>
      </c>
      <c r="Q26" s="31" t="str">
        <f>IF(D26=Surrender!D26,"R",HSD!Q26)</f>
        <v>R</v>
      </c>
      <c r="R26" s="31" t="str">
        <f>IF(E26=Surrender!E26,"R",HSD!R26)</f>
        <v>R</v>
      </c>
      <c r="S26" s="31" t="str">
        <f>IF(F26=Surrender!F26,"R",HSD!S26)</f>
        <v>R</v>
      </c>
      <c r="T26" s="31" t="str">
        <f>IF(G26=Surrender!G26,"R",HSD!T26)</f>
        <v>R</v>
      </c>
      <c r="U26" s="31" t="str">
        <f>IF(H26=Surrender!H26,"R",HSD!U26)</f>
        <v>R</v>
      </c>
      <c r="V26" s="31" t="str">
        <f>IF(I26=Surrender!I26,"R",HSD!V26)</f>
        <v>R</v>
      </c>
      <c r="W26" s="31" t="str">
        <f>IF(J26=Surrender!J26,"R",HSD!W26)</f>
        <v>R</v>
      </c>
      <c r="X26" s="31" t="str">
        <f>IF(K26=Surrender!K26,"R",HSD!X26)</f>
        <v>R</v>
      </c>
    </row>
    <row r="27" spans="1:24" x14ac:dyDescent="0.2">
      <c r="A27">
        <v>27</v>
      </c>
      <c r="B27">
        <f>IF(AND(Rules!$B$8=Rules!$E$8,Rules!$B$7=Rules!$E$7),MAX(Hit!B27,Stand!B27,Double!B27,Surrender!B27),MAX(Hit!B27,Stand!B27,Double!B27))</f>
        <v>-1</v>
      </c>
      <c r="C27">
        <f>IF(Rules!$B$7=Rules!$E$7,MAX(Hit!C27,Stand!C27,Double!C27,Surrender!C27),MAX(Hit!C27,Stand!C27,Double!C27))</f>
        <v>-0.5</v>
      </c>
      <c r="D27">
        <f>IF(Rules!$B$7=Rules!$E$7,MAX(Hit!D27,Stand!D27,Double!D27,Surrender!D27),MAX(Hit!D27,Stand!D27,Double!D27))</f>
        <v>-0.5</v>
      </c>
      <c r="E27">
        <f>IF(Rules!$B$7=Rules!$E$7,MAX(Hit!E27,Stand!E27,Double!E27,Surrender!E27),MAX(Hit!E27,Stand!E27,Double!E27))</f>
        <v>-0.5</v>
      </c>
      <c r="F27">
        <f>IF(Rules!$B$7=Rules!$E$7,MAX(Hit!F27,Stand!F27,Double!F27,Surrender!F27),MAX(Hit!F27,Stand!F27,Double!F27))</f>
        <v>-0.5</v>
      </c>
      <c r="G27">
        <f>IF(Rules!$B$7=Rules!$E$7,MAX(Hit!G27,Stand!G27,Double!G27,Surrender!G27),MAX(Hit!G27,Stand!G27,Double!G27))</f>
        <v>-0.5</v>
      </c>
      <c r="H27">
        <f>IF(Rules!$B$7=Rules!$E$7,MAX(Hit!H27,Stand!H27,Double!H27,Surrender!H27),MAX(Hit!H27,Stand!H27,Double!H27))</f>
        <v>-0.5</v>
      </c>
      <c r="I27">
        <f>IF(Rules!$B$7=Rules!$E$7,MAX(Hit!I27,Stand!I27,Double!I27,Surrender!I27),MAX(Hit!I27,Stand!I27,Double!I27))</f>
        <v>-0.5</v>
      </c>
      <c r="J27">
        <f>IF(Rules!$B$7=Rules!$E$7,MAX(Hit!J27,Stand!J27,Double!J27,Surrender!J27),MAX(Hit!J27,Stand!J27,Double!J27))</f>
        <v>-0.5</v>
      </c>
      <c r="K27">
        <f>IF(Rules!$B$7=Rules!$E$7,MAX(Hit!K27,Stand!K27,Double!K27,Surrender!K27),MAX(Hit!K27,Stand!K27,Double!K27))</f>
        <v>-0.5</v>
      </c>
      <c r="N27" s="31">
        <v>27</v>
      </c>
      <c r="O27" s="31" t="str">
        <f>IF(B27=Surrender!B27,"R",HSD!O27)</f>
        <v>S</v>
      </c>
      <c r="P27" s="31" t="str">
        <f>IF(C27=Surrender!C27,"R",HSD!P27)</f>
        <v>R</v>
      </c>
      <c r="Q27" s="31" t="str">
        <f>IF(D27=Surrender!D27,"R",HSD!Q27)</f>
        <v>R</v>
      </c>
      <c r="R27" s="31" t="str">
        <f>IF(E27=Surrender!E27,"R",HSD!R27)</f>
        <v>R</v>
      </c>
      <c r="S27" s="31" t="str">
        <f>IF(F27=Surrender!F27,"R",HSD!S27)</f>
        <v>R</v>
      </c>
      <c r="T27" s="31" t="str">
        <f>IF(G27=Surrender!G27,"R",HSD!T27)</f>
        <v>R</v>
      </c>
      <c r="U27" s="31" t="str">
        <f>IF(H27=Surrender!H27,"R",HSD!U27)</f>
        <v>R</v>
      </c>
      <c r="V27" s="31" t="str">
        <f>IF(I27=Surrender!I27,"R",HSD!V27)</f>
        <v>R</v>
      </c>
      <c r="W27" s="31" t="str">
        <f>IF(J27=Surrender!J27,"R",HSD!W27)</f>
        <v>R</v>
      </c>
      <c r="X27" s="31" t="str">
        <f>IF(K27=Surrender!K27,"R",HSD!X27)</f>
        <v>R</v>
      </c>
    </row>
    <row r="28" spans="1:24" x14ac:dyDescent="0.2">
      <c r="A28">
        <v>28</v>
      </c>
      <c r="B28">
        <f>IF(AND(Rules!$B$8=Rules!$E$8,Rules!$B$7=Rules!$E$7),MAX(Hit!B28,Stand!B28,Double!B28,Surrender!B28),MAX(Hit!B28,Stand!B28,Double!B28))</f>
        <v>-1</v>
      </c>
      <c r="C28">
        <f>IF(Rules!$B$7=Rules!$E$7,MAX(Hit!C28,Stand!C28,Double!C28,Surrender!C28),MAX(Hit!C28,Stand!C28,Double!C28))</f>
        <v>-0.5</v>
      </c>
      <c r="D28">
        <f>IF(Rules!$B$7=Rules!$E$7,MAX(Hit!D28,Stand!D28,Double!D28,Surrender!D28),MAX(Hit!D28,Stand!D28,Double!D28))</f>
        <v>-0.5</v>
      </c>
      <c r="E28">
        <f>IF(Rules!$B$7=Rules!$E$7,MAX(Hit!E28,Stand!E28,Double!E28,Surrender!E28),MAX(Hit!E28,Stand!E28,Double!E28))</f>
        <v>-0.5</v>
      </c>
      <c r="F28">
        <f>IF(Rules!$B$7=Rules!$E$7,MAX(Hit!F28,Stand!F28,Double!F28,Surrender!F28),MAX(Hit!F28,Stand!F28,Double!F28))</f>
        <v>-0.5</v>
      </c>
      <c r="G28">
        <f>IF(Rules!$B$7=Rules!$E$7,MAX(Hit!G28,Stand!G28,Double!G28,Surrender!G28),MAX(Hit!G28,Stand!G28,Double!G28))</f>
        <v>-0.5</v>
      </c>
      <c r="H28">
        <f>IF(Rules!$B$7=Rules!$E$7,MAX(Hit!H28,Stand!H28,Double!H28,Surrender!H28),MAX(Hit!H28,Stand!H28,Double!H28))</f>
        <v>-0.5</v>
      </c>
      <c r="I28">
        <f>IF(Rules!$B$7=Rules!$E$7,MAX(Hit!I28,Stand!I28,Double!I28,Surrender!I28),MAX(Hit!I28,Stand!I28,Double!I28))</f>
        <v>-0.5</v>
      </c>
      <c r="J28">
        <f>IF(Rules!$B$7=Rules!$E$7,MAX(Hit!J28,Stand!J28,Double!J28,Surrender!J28),MAX(Hit!J28,Stand!J28,Double!J28))</f>
        <v>-0.5</v>
      </c>
      <c r="K28">
        <f>IF(Rules!$B$7=Rules!$E$7,MAX(Hit!K28,Stand!K28,Double!K28,Surrender!K28),MAX(Hit!K28,Stand!K28,Double!K28))</f>
        <v>-0.5</v>
      </c>
      <c r="N28" s="31">
        <v>28</v>
      </c>
      <c r="O28" s="31" t="str">
        <f>IF(B28=Surrender!B28,"R",HSD!O28)</f>
        <v>S</v>
      </c>
      <c r="P28" s="31" t="str">
        <f>IF(C28=Surrender!C28,"R",HSD!P28)</f>
        <v>R</v>
      </c>
      <c r="Q28" s="31" t="str">
        <f>IF(D28=Surrender!D28,"R",HSD!Q28)</f>
        <v>R</v>
      </c>
      <c r="R28" s="31" t="str">
        <f>IF(E28=Surrender!E28,"R",HSD!R28)</f>
        <v>R</v>
      </c>
      <c r="S28" s="31" t="str">
        <f>IF(F28=Surrender!F28,"R",HSD!S28)</f>
        <v>R</v>
      </c>
      <c r="T28" s="31" t="str">
        <f>IF(G28=Surrender!G28,"R",HSD!T28)</f>
        <v>R</v>
      </c>
      <c r="U28" s="31" t="str">
        <f>IF(H28=Surrender!H28,"R",HSD!U28)</f>
        <v>R</v>
      </c>
      <c r="V28" s="31" t="str">
        <f>IF(I28=Surrender!I28,"R",HSD!V28)</f>
        <v>R</v>
      </c>
      <c r="W28" s="31" t="str">
        <f>IF(J28=Surrender!J28,"R",HSD!W28)</f>
        <v>R</v>
      </c>
      <c r="X28" s="31" t="str">
        <f>IF(K28=Surrender!K28,"R",HSD!X28)</f>
        <v>R</v>
      </c>
    </row>
    <row r="29" spans="1:24" x14ac:dyDescent="0.2">
      <c r="A29">
        <v>29</v>
      </c>
      <c r="B29">
        <f>IF(AND(Rules!$B$8=Rules!$E$8,Rules!$B$7=Rules!$E$7),MAX(Hit!B29,Stand!B29,Double!B29,Surrender!B29),MAX(Hit!B29,Stand!B29,Double!B29))</f>
        <v>-1</v>
      </c>
      <c r="C29">
        <f>IF(Rules!$B$7=Rules!$E$7,MAX(Hit!C29,Stand!C29,Double!C29,Surrender!C29),MAX(Hit!C29,Stand!C29,Double!C29))</f>
        <v>-0.5</v>
      </c>
      <c r="D29">
        <f>IF(Rules!$B$7=Rules!$E$7,MAX(Hit!D29,Stand!D29,Double!D29,Surrender!D29),MAX(Hit!D29,Stand!D29,Double!D29))</f>
        <v>-0.5</v>
      </c>
      <c r="E29">
        <f>IF(Rules!$B$7=Rules!$E$7,MAX(Hit!E29,Stand!E29,Double!E29,Surrender!E29),MAX(Hit!E29,Stand!E29,Double!E29))</f>
        <v>-0.5</v>
      </c>
      <c r="F29">
        <f>IF(Rules!$B$7=Rules!$E$7,MAX(Hit!F29,Stand!F29,Double!F29,Surrender!F29),MAX(Hit!F29,Stand!F29,Double!F29))</f>
        <v>-0.5</v>
      </c>
      <c r="G29">
        <f>IF(Rules!$B$7=Rules!$E$7,MAX(Hit!G29,Stand!G29,Double!G29,Surrender!G29),MAX(Hit!G29,Stand!G29,Double!G29))</f>
        <v>-0.5</v>
      </c>
      <c r="H29">
        <f>IF(Rules!$B$7=Rules!$E$7,MAX(Hit!H29,Stand!H29,Double!H29,Surrender!H29),MAX(Hit!H29,Stand!H29,Double!H29))</f>
        <v>-0.5</v>
      </c>
      <c r="I29">
        <f>IF(Rules!$B$7=Rules!$E$7,MAX(Hit!I29,Stand!I29,Double!I29,Surrender!I29),MAX(Hit!I29,Stand!I29,Double!I29))</f>
        <v>-0.5</v>
      </c>
      <c r="J29">
        <f>IF(Rules!$B$7=Rules!$E$7,MAX(Hit!J29,Stand!J29,Double!J29,Surrender!J29),MAX(Hit!J29,Stand!J29,Double!J29))</f>
        <v>-0.5</v>
      </c>
      <c r="K29">
        <f>IF(Rules!$B$7=Rules!$E$7,MAX(Hit!K29,Stand!K29,Double!K29,Surrender!K29),MAX(Hit!K29,Stand!K29,Double!K29))</f>
        <v>-0.5</v>
      </c>
      <c r="N29" s="31">
        <v>29</v>
      </c>
      <c r="O29" s="31" t="str">
        <f>IF(B29=Surrender!B29,"R",HSD!O29)</f>
        <v>S</v>
      </c>
      <c r="P29" s="31" t="str">
        <f>IF(C29=Surrender!C29,"R",HSD!P29)</f>
        <v>R</v>
      </c>
      <c r="Q29" s="31" t="str">
        <f>IF(D29=Surrender!D29,"R",HSD!Q29)</f>
        <v>R</v>
      </c>
      <c r="R29" s="31" t="str">
        <f>IF(E29=Surrender!E29,"R",HSD!R29)</f>
        <v>R</v>
      </c>
      <c r="S29" s="31" t="str">
        <f>IF(F29=Surrender!F29,"R",HSD!S29)</f>
        <v>R</v>
      </c>
      <c r="T29" s="31" t="str">
        <f>IF(G29=Surrender!G29,"R",HSD!T29)</f>
        <v>R</v>
      </c>
      <c r="U29" s="31" t="str">
        <f>IF(H29=Surrender!H29,"R",HSD!U29)</f>
        <v>R</v>
      </c>
      <c r="V29" s="31" t="str">
        <f>IF(I29=Surrender!I29,"R",HSD!V29)</f>
        <v>R</v>
      </c>
      <c r="W29" s="31" t="str">
        <f>IF(J29=Surrender!J29,"R",HSD!W29)</f>
        <v>R</v>
      </c>
      <c r="X29" s="31" t="str">
        <f>IF(K29=Surrender!K29,"R",HSD!X29)</f>
        <v>R</v>
      </c>
    </row>
    <row r="30" spans="1:24" x14ac:dyDescent="0.2">
      <c r="A30">
        <v>30</v>
      </c>
      <c r="B30">
        <f>IF(AND(Rules!$B$8=Rules!$E$8,Rules!$B$7=Rules!$E$7),MAX(Hit!B30,Stand!B30,Double!B30,Surrender!B30),MAX(Hit!B30,Stand!B30,Double!B30))</f>
        <v>-1</v>
      </c>
      <c r="C30">
        <f>IF(Rules!$B$7=Rules!$E$7,MAX(Hit!C30,Stand!C30,Double!C30,Surrender!C30),MAX(Hit!C30,Stand!C30,Double!C30))</f>
        <v>-0.5</v>
      </c>
      <c r="D30">
        <f>IF(Rules!$B$7=Rules!$E$7,MAX(Hit!D30,Stand!D30,Double!D30,Surrender!D30),MAX(Hit!D30,Stand!D30,Double!D30))</f>
        <v>-0.5</v>
      </c>
      <c r="E30">
        <f>IF(Rules!$B$7=Rules!$E$7,MAX(Hit!E30,Stand!E30,Double!E30,Surrender!E30),MAX(Hit!E30,Stand!E30,Double!E30))</f>
        <v>-0.5</v>
      </c>
      <c r="F30">
        <f>IF(Rules!$B$7=Rules!$E$7,MAX(Hit!F30,Stand!F30,Double!F30,Surrender!F30),MAX(Hit!F30,Stand!F30,Double!F30))</f>
        <v>-0.5</v>
      </c>
      <c r="G30">
        <f>IF(Rules!$B$7=Rules!$E$7,MAX(Hit!G30,Stand!G30,Double!G30,Surrender!G30),MAX(Hit!G30,Stand!G30,Double!G30))</f>
        <v>-0.5</v>
      </c>
      <c r="H30">
        <f>IF(Rules!$B$7=Rules!$E$7,MAX(Hit!H30,Stand!H30,Double!H30,Surrender!H30),MAX(Hit!H30,Stand!H30,Double!H30))</f>
        <v>-0.5</v>
      </c>
      <c r="I30">
        <f>IF(Rules!$B$7=Rules!$E$7,MAX(Hit!I30,Stand!I30,Double!I30,Surrender!I30),MAX(Hit!I30,Stand!I30,Double!I30))</f>
        <v>-0.5</v>
      </c>
      <c r="J30">
        <f>IF(Rules!$B$7=Rules!$E$7,MAX(Hit!J30,Stand!J30,Double!J30,Surrender!J30),MAX(Hit!J30,Stand!J30,Double!J30))</f>
        <v>-0.5</v>
      </c>
      <c r="K30">
        <f>IF(Rules!$B$7=Rules!$E$7,MAX(Hit!K30,Stand!K30,Double!K30,Surrender!K30),MAX(Hit!K30,Stand!K30,Double!K30))</f>
        <v>-0.5</v>
      </c>
      <c r="N30" s="31">
        <v>30</v>
      </c>
      <c r="O30" s="31" t="str">
        <f>IF(B30=Surrender!B30,"R",HSD!O30)</f>
        <v>S</v>
      </c>
      <c r="P30" s="31" t="str">
        <f>IF(C30=Surrender!C30,"R",HSD!P30)</f>
        <v>R</v>
      </c>
      <c r="Q30" s="31" t="str">
        <f>IF(D30=Surrender!D30,"R",HSD!Q30)</f>
        <v>R</v>
      </c>
      <c r="R30" s="31" t="str">
        <f>IF(E30=Surrender!E30,"R",HSD!R30)</f>
        <v>R</v>
      </c>
      <c r="S30" s="31" t="str">
        <f>IF(F30=Surrender!F30,"R",HSD!S30)</f>
        <v>R</v>
      </c>
      <c r="T30" s="31" t="str">
        <f>IF(G30=Surrender!G30,"R",HSD!T30)</f>
        <v>R</v>
      </c>
      <c r="U30" s="31" t="str">
        <f>IF(H30=Surrender!H30,"R",HSD!U30)</f>
        <v>R</v>
      </c>
      <c r="V30" s="31" t="str">
        <f>IF(I30=Surrender!I30,"R",HSD!V30)</f>
        <v>R</v>
      </c>
      <c r="W30" s="31" t="str">
        <f>IF(J30=Surrender!J30,"R",HSD!W30)</f>
        <v>R</v>
      </c>
      <c r="X30" s="31" t="str">
        <f>IF(K30=Surrender!K30,"R",HSD!X30)</f>
        <v>R</v>
      </c>
    </row>
    <row r="31" spans="1:24" x14ac:dyDescent="0.2">
      <c r="A31">
        <v>31</v>
      </c>
      <c r="B31">
        <f>IF(AND(Rules!$B$8=Rules!$E$8,Rules!$B$7=Rules!$E$7),MAX(Hit!B31,Stand!B31,Double!B31,Surrender!B31),MAX(Hit!B31,Stand!B31,Double!B31))</f>
        <v>-1</v>
      </c>
      <c r="C31">
        <f>IF(Rules!$B$7=Rules!$E$7,MAX(Hit!C31,Stand!C31,Double!C31,Surrender!C31),MAX(Hit!C31,Stand!C31,Double!C31))</f>
        <v>-0.5</v>
      </c>
      <c r="D31">
        <f>IF(Rules!$B$7=Rules!$E$7,MAX(Hit!D31,Stand!D31,Double!D31,Surrender!D31),MAX(Hit!D31,Stand!D31,Double!D31))</f>
        <v>-0.5</v>
      </c>
      <c r="E31">
        <f>IF(Rules!$B$7=Rules!$E$7,MAX(Hit!E31,Stand!E31,Double!E31,Surrender!E31),MAX(Hit!E31,Stand!E31,Double!E31))</f>
        <v>-0.5</v>
      </c>
      <c r="F31">
        <f>IF(Rules!$B$7=Rules!$E$7,MAX(Hit!F31,Stand!F31,Double!F31,Surrender!F31),MAX(Hit!F31,Stand!F31,Double!F31))</f>
        <v>-0.5</v>
      </c>
      <c r="G31">
        <f>IF(Rules!$B$7=Rules!$E$7,MAX(Hit!G31,Stand!G31,Double!G31,Surrender!G31),MAX(Hit!G31,Stand!G31,Double!G31))</f>
        <v>-0.5</v>
      </c>
      <c r="H31">
        <f>IF(Rules!$B$7=Rules!$E$7,MAX(Hit!H31,Stand!H31,Double!H31,Surrender!H31),MAX(Hit!H31,Stand!H31,Double!H31))</f>
        <v>-0.5</v>
      </c>
      <c r="I31">
        <f>IF(Rules!$B$7=Rules!$E$7,MAX(Hit!I31,Stand!I31,Double!I31,Surrender!I31),MAX(Hit!I31,Stand!I31,Double!I31))</f>
        <v>-0.5</v>
      </c>
      <c r="J31">
        <f>IF(Rules!$B$7=Rules!$E$7,MAX(Hit!J31,Stand!J31,Double!J31,Surrender!J31),MAX(Hit!J31,Stand!J31,Double!J31))</f>
        <v>-0.5</v>
      </c>
      <c r="K31">
        <f>IF(Rules!$B$7=Rules!$E$7,MAX(Hit!K31,Stand!K31,Double!K31,Surrender!K31),MAX(Hit!K31,Stand!K31,Double!K31))</f>
        <v>-0.5</v>
      </c>
      <c r="N31" s="31">
        <v>31</v>
      </c>
      <c r="O31" s="31" t="str">
        <f>IF(B31=Surrender!B31,"R",HSD!O31)</f>
        <v>S</v>
      </c>
      <c r="P31" s="31" t="str">
        <f>IF(C31=Surrender!C31,"R",HSD!P31)</f>
        <v>R</v>
      </c>
      <c r="Q31" s="31" t="str">
        <f>IF(D31=Surrender!D31,"R",HSD!Q31)</f>
        <v>R</v>
      </c>
      <c r="R31" s="31" t="str">
        <f>IF(E31=Surrender!E31,"R",HSD!R31)</f>
        <v>R</v>
      </c>
      <c r="S31" s="31" t="str">
        <f>IF(F31=Surrender!F31,"R",HSD!S31)</f>
        <v>R</v>
      </c>
      <c r="T31" s="31" t="str">
        <f>IF(G31=Surrender!G31,"R",HSD!T31)</f>
        <v>R</v>
      </c>
      <c r="U31" s="31" t="str">
        <f>IF(H31=Surrender!H31,"R",HSD!U31)</f>
        <v>R</v>
      </c>
      <c r="V31" s="31" t="str">
        <f>IF(I31=Surrender!I31,"R",HSD!V31)</f>
        <v>R</v>
      </c>
      <c r="W31" s="31" t="str">
        <f>IF(J31=Surrender!J31,"R",HSD!W31)</f>
        <v>R</v>
      </c>
      <c r="X31" s="31" t="str">
        <f>IF(K31=Surrender!K31,"R",HSD!X31)</f>
        <v>R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IF(AND(Rules!$B$8=Rules!$E$8,Rules!$B$7=Rules!$E$7),MAX(Hit!B34,Stand!B34,Double!B34,Surrender!B34),MAX(Hit!B34,Stand!B34,Double!B34))</f>
        <v>0.29861942370404337</v>
      </c>
      <c r="C34">
        <f>IF(Rules!$B$7=Rules!$E$7,MAX(Hit!C34,Stand!C34,Double!C34,Surrender!C34),MAX(Hit!C34,Stand!C34,Double!C34))</f>
        <v>0.47064092333946894</v>
      </c>
      <c r="D34">
        <f>IF(Rules!$B$7=Rules!$E$7,MAX(Hit!D34,Stand!D34,Double!D34,Surrender!D34),MAX(Hit!D34,Stand!D34,Double!D34))</f>
        <v>0.51779525312221664</v>
      </c>
      <c r="E34">
        <f>IF(Rules!$B$7=Rules!$E$7,MAX(Hit!E34,Stand!E34,Double!E34,Surrender!E34),MAX(Hit!E34,Stand!E34,Double!E34))</f>
        <v>0.56604055041797596</v>
      </c>
      <c r="F34">
        <f>IF(Rules!$B$7=Rules!$E$7,MAX(Hit!F34,Stand!F34,Double!F34,Surrender!F34),MAX(Hit!F34,Stand!F34,Double!F34))</f>
        <v>0.61469901790902803</v>
      </c>
      <c r="G34">
        <f>IF(Rules!$B$7=Rules!$E$7,MAX(Hit!G34,Stand!G34,Double!G34,Surrender!G34),MAX(Hit!G34,Stand!G34,Double!G34))</f>
        <v>0.66738009490756944</v>
      </c>
      <c r="H34">
        <f>IF(Rules!$B$7=Rules!$E$7,MAX(Hit!H34,Stand!H34,Double!H34,Surrender!H34),MAX(Hit!H34,Stand!H34,Double!H34))</f>
        <v>0.46288894886429088</v>
      </c>
      <c r="I34">
        <f>IF(Rules!$B$7=Rules!$E$7,MAX(Hit!I34,Stand!I34,Double!I34,Surrender!I34),MAX(Hit!I34,Stand!I34,Double!I34))</f>
        <v>0.40074805174057648</v>
      </c>
      <c r="J34">
        <f>IF(Rules!$B$7=Rules!$E$7,MAX(Hit!J34,Stand!J34,Double!J34,Surrender!J34),MAX(Hit!J34,Stand!J34,Double!J34))</f>
        <v>0.32142328174266549</v>
      </c>
      <c r="K34">
        <f>IF(Rules!$B$7=Rules!$E$7,MAX(Hit!K34,Stand!K34,Double!K34,Surrender!K34),MAX(Hit!K34,Stand!K34,Double!K34))</f>
        <v>0.26400071601402691</v>
      </c>
      <c r="N34" s="31">
        <v>11</v>
      </c>
      <c r="O34" s="31" t="str">
        <f>IF(B34=Surrender!B34,"R",HSD!O34)</f>
        <v>H</v>
      </c>
      <c r="P34" s="31" t="str">
        <f>IF(C34=Surrender!C34,"R",HSD!P34)</f>
        <v>D</v>
      </c>
      <c r="Q34" s="31" t="str">
        <f>IF(D34=Surrender!D34,"R",HSD!Q34)</f>
        <v>D</v>
      </c>
      <c r="R34" s="31" t="str">
        <f>IF(E34=Surrender!E34,"R",HSD!R34)</f>
        <v>D</v>
      </c>
      <c r="S34" s="31" t="str">
        <f>IF(F34=Surrender!F34,"R",HSD!S34)</f>
        <v>D</v>
      </c>
      <c r="T34" s="31" t="str">
        <f>IF(G34=Surrender!G34,"R",HSD!T34)</f>
        <v>D</v>
      </c>
      <c r="U34" s="31" t="str">
        <f>IF(H34=Surrender!H34,"R",HSD!U34)</f>
        <v>D</v>
      </c>
      <c r="V34" s="31" t="str">
        <f>IF(I34=Surrender!I34,"R",HSD!V34)</f>
        <v>H</v>
      </c>
      <c r="W34" s="31" t="str">
        <f>IF(J34=Surrender!J34,"R",HSD!W34)</f>
        <v>H</v>
      </c>
      <c r="X34" s="31" t="str">
        <f>IF(K34=Surrender!K34,"R",HSD!X34)</f>
        <v>H</v>
      </c>
    </row>
    <row r="35" spans="1:24" x14ac:dyDescent="0.2">
      <c r="A35">
        <v>12</v>
      </c>
      <c r="B35">
        <f>IF(AND(Rules!$B$8=Rules!$E$8,Rules!$B$7=Rules!$E$7),MAX(Hit!B35,Stand!B35,Double!B35,Surrender!B35),MAX(Hit!B35,Stand!B35,Double!B35))</f>
        <v>-2.0477877704912145E-2</v>
      </c>
      <c r="C35">
        <f>IF(Rules!$B$7=Rules!$E$7,MAX(Hit!C35,Stand!C35,Double!C35,Surrender!C35),MAX(Hit!C35,Stand!C35,Double!C35))</f>
        <v>8.1836216051656044E-2</v>
      </c>
      <c r="D35">
        <f>IF(Rules!$B$7=Rules!$E$7,MAX(Hit!D35,Stand!D35,Double!D35,Surrender!D35),MAX(Hit!D35,Stand!D35,Double!D35))</f>
        <v>0.10350704654207775</v>
      </c>
      <c r="E35">
        <f>IF(Rules!$B$7=Rules!$E$7,MAX(Hit!E35,Stand!E35,Double!E35,Surrender!E35),MAX(Hit!E35,Stand!E35,Double!E35))</f>
        <v>0.12659562809256977</v>
      </c>
      <c r="F35">
        <f>IF(Rules!$B$7=Rules!$E$7,MAX(Hit!F35,Stand!F35,Double!F35,Surrender!F35),MAX(Hit!F35,Stand!F35,Double!F35))</f>
        <v>0.15648238458465519</v>
      </c>
      <c r="G35">
        <f>IF(Rules!$B$7=Rules!$E$7,MAX(Hit!G35,Stand!G35,Double!G35,Surrender!G35),MAX(Hit!G35,Stand!G35,Double!G35))</f>
        <v>0.18595361333225549</v>
      </c>
      <c r="H35">
        <f>IF(Rules!$B$7=Rules!$E$7,MAX(Hit!H35,Stand!H35,Double!H35,Surrender!H35),MAX(Hit!H35,Stand!H35,Double!H35))</f>
        <v>0.16547293077063496</v>
      </c>
      <c r="I35">
        <f>IF(Rules!$B$7=Rules!$E$7,MAX(Hit!I35,Stand!I35,Double!I35,Surrender!I35),MAX(Hit!I35,Stand!I35,Double!I35))</f>
        <v>9.5115020927032265E-2</v>
      </c>
      <c r="J35">
        <f>IF(Rules!$B$7=Rules!$E$7,MAX(Hit!J35,Stand!J35,Double!J35,Surrender!J35),MAX(Hit!J35,Stand!J35,Double!J35))</f>
        <v>6.5790841226914386E-5</v>
      </c>
      <c r="K35">
        <f>IF(Rules!$B$7=Rules!$E$7,MAX(Hit!K35,Stand!K35,Double!K35,Surrender!K35),MAX(Hit!K35,Stand!K35,Double!K35))</f>
        <v>-7.0002397357964694E-2</v>
      </c>
      <c r="N35" s="31">
        <v>12</v>
      </c>
      <c r="O35" s="31" t="str">
        <f>IF(B35=Surrender!B35,"R",HSD!O35)</f>
        <v>H</v>
      </c>
      <c r="P35" s="31" t="str">
        <f>IF(C35=Surrender!C35,"R",HSD!P35)</f>
        <v>H</v>
      </c>
      <c r="Q35" s="31" t="str">
        <f>IF(D35=Surrender!D35,"R",HSD!Q35)</f>
        <v>H</v>
      </c>
      <c r="R35" s="31" t="str">
        <f>IF(E35=Surrender!E35,"R",HSD!R35)</f>
        <v>H</v>
      </c>
      <c r="S35" s="31" t="str">
        <f>IF(F35=Surrender!F35,"R",HSD!S35)</f>
        <v>H</v>
      </c>
      <c r="T35" s="31" t="str">
        <f>IF(G35=Surrender!G35,"R",HSD!T35)</f>
        <v>H</v>
      </c>
      <c r="U35" s="31" t="str">
        <f>IF(H35=Surrender!H35,"R",HSD!U35)</f>
        <v>H</v>
      </c>
      <c r="V35" s="31" t="str">
        <f>IF(I35=Surrender!I35,"R",HSD!V35)</f>
        <v>H</v>
      </c>
      <c r="W35" s="31" t="str">
        <f>IF(J35=Surrender!J35,"R",HSD!W35)</f>
        <v>H</v>
      </c>
      <c r="X35" s="31" t="str">
        <f>IF(K35=Surrender!K35,"R",HSD!X35)</f>
        <v>H</v>
      </c>
    </row>
    <row r="36" spans="1:24" x14ac:dyDescent="0.2">
      <c r="A36">
        <v>13</v>
      </c>
      <c r="B36">
        <f>IF(AND(Rules!$B$8=Rules!$E$8,Rules!$B$7=Rules!$E$7),MAX(Hit!B36,Stand!B36,Double!B36,Surrender!B36),MAX(Hit!B36,Stand!B36,Double!B36))</f>
        <v>-5.7308046666810254E-2</v>
      </c>
      <c r="C36">
        <f>IF(Rules!$B$7=Rules!$E$7,MAX(Hit!C36,Stand!C36,Double!C36,Surrender!C36),MAX(Hit!C36,Stand!C36,Double!C36))</f>
        <v>4.6636132695309578E-2</v>
      </c>
      <c r="D36">
        <f>IF(Rules!$B$7=Rules!$E$7,MAX(Hit!D36,Stand!D36,Double!D36,Surrender!D36),MAX(Hit!D36,Stand!D36,Double!D36))</f>
        <v>7.4118813392744051E-2</v>
      </c>
      <c r="E36">
        <f>IF(Rules!$B$7=Rules!$E$7,MAX(Hit!E36,Stand!E36,Double!E36,Surrender!E36),MAX(Hit!E36,Stand!E36,Double!E36))</f>
        <v>0.10247714687203523</v>
      </c>
      <c r="F36">
        <f>IF(Rules!$B$7=Rules!$E$7,MAX(Hit!F36,Stand!F36,Double!F36,Surrender!F36),MAX(Hit!F36,Stand!F36,Double!F36))</f>
        <v>0.13336273848321728</v>
      </c>
      <c r="G36">
        <f>IF(Rules!$B$7=Rules!$E$7,MAX(Hit!G36,Stand!G36,Double!G36,Surrender!G36),MAX(Hit!G36,Stand!G36,Double!G36))</f>
        <v>0.17974820582791512</v>
      </c>
      <c r="H36">
        <f>IF(Rules!$B$7=Rules!$E$7,MAX(Hit!H36,Stand!H36,Double!H36,Surrender!H36),MAX(Hit!H36,Stand!H36,Double!H36))</f>
        <v>0.12238569517899196</v>
      </c>
      <c r="I36">
        <f>IF(Rules!$B$7=Rules!$E$7,MAX(Hit!I36,Stand!I36,Double!I36,Surrender!I36),MAX(Hit!I36,Stand!I36,Double!I36))</f>
        <v>5.4057070196311299E-2</v>
      </c>
      <c r="J36">
        <f>IF(Rules!$B$7=Rules!$E$7,MAX(Hit!J36,Stand!J36,Double!J36,Surrender!J36),MAX(Hit!J36,Stand!J36,Double!J36))</f>
        <v>-3.7694688127479885E-2</v>
      </c>
      <c r="K36">
        <f>IF(Rules!$B$7=Rules!$E$7,MAX(Hit!K36,Stand!K36,Double!K36,Surrender!K36),MAX(Hit!K36,Stand!K36,Double!K36))</f>
        <v>-0.10485135840627779</v>
      </c>
      <c r="N36" s="31">
        <v>13</v>
      </c>
      <c r="O36" s="31" t="str">
        <f>IF(B36=Surrender!B36,"R",HSD!O36)</f>
        <v>H</v>
      </c>
      <c r="P36" s="31" t="str">
        <f>IF(C36=Surrender!C36,"R",HSD!P36)</f>
        <v>H</v>
      </c>
      <c r="Q36" s="31" t="str">
        <f>IF(D36=Surrender!D36,"R",HSD!Q36)</f>
        <v>H</v>
      </c>
      <c r="R36" s="31" t="str">
        <f>IF(E36=Surrender!E36,"R",HSD!R36)</f>
        <v>H</v>
      </c>
      <c r="S36" s="31" t="str">
        <f>IF(F36=Surrender!F36,"R",HSD!S36)</f>
        <v>H</v>
      </c>
      <c r="T36" s="31" t="str">
        <f>IF(G36=Surrender!G36,"R",HSD!T36)</f>
        <v>D</v>
      </c>
      <c r="U36" s="31" t="str">
        <f>IF(H36=Surrender!H36,"R",HSD!U36)</f>
        <v>H</v>
      </c>
      <c r="V36" s="31" t="str">
        <f>IF(I36=Surrender!I36,"R",HSD!V36)</f>
        <v>H</v>
      </c>
      <c r="W36" s="31" t="str">
        <f>IF(J36=Surrender!J36,"R",HSD!W36)</f>
        <v>H</v>
      </c>
      <c r="X36" s="31" t="str">
        <f>IF(K36=Surrender!K36,"R",HSD!X36)</f>
        <v>H</v>
      </c>
    </row>
    <row r="37" spans="1:24" x14ac:dyDescent="0.2">
      <c r="A37">
        <v>14</v>
      </c>
      <c r="B37">
        <f>IF(AND(Rules!$B$8=Rules!$E$8,Rules!$B$7=Rules!$E$7),MAX(Hit!B37,Stand!B37,Double!B37,Surrender!B37),MAX(Hit!B37,Stand!B37,Double!B37))</f>
        <v>-9.3874324768310105E-2</v>
      </c>
      <c r="C37">
        <f>IF(Rules!$B$7=Rules!$E$7,MAX(Hit!C37,Stand!C37,Double!C37,Surrender!C37),MAX(Hit!C37,Stand!C37,Double!C37))</f>
        <v>2.2391856987839083E-2</v>
      </c>
      <c r="D37">
        <f>IF(Rules!$B$7=Rules!$E$7,MAX(Hit!D37,Stand!D37,Double!D37,Surrender!D37),MAX(Hit!D37,Stand!D37,Double!D37))</f>
        <v>5.0806738919282814E-2</v>
      </c>
      <c r="E37">
        <f>IF(Rules!$B$7=Rules!$E$7,MAX(Hit!E37,Stand!E37,Double!E37,Surrender!E37),MAX(Hit!E37,Stand!E37,Double!E37))</f>
        <v>8.0081414310110233E-2</v>
      </c>
      <c r="F37">
        <f>IF(Rules!$B$7=Rules!$E$7,MAX(Hit!F37,Stand!F37,Double!F37,Surrender!F37),MAX(Hit!F37,Stand!F37,Double!F37))</f>
        <v>0.12595448524867925</v>
      </c>
      <c r="G37">
        <f>IF(Rules!$B$7=Rules!$E$7,MAX(Hit!G37,Stand!G37,Double!G37,Surrender!G37),MAX(Hit!G37,Stand!G37,Double!G37))</f>
        <v>0.17974820582791512</v>
      </c>
      <c r="H37">
        <f>IF(Rules!$B$7=Rules!$E$7,MAX(Hit!H37,Stand!H37,Double!H37,Surrender!H37),MAX(Hit!H37,Stand!H37,Double!H37))</f>
        <v>7.9507488494468148E-2</v>
      </c>
      <c r="I37">
        <f>IF(Rules!$B$7=Rules!$E$7,MAX(Hit!I37,Stand!I37,Double!I37,Surrender!I37),MAX(Hit!I37,Stand!I37,Double!I37))</f>
        <v>1.3277219463208444E-2</v>
      </c>
      <c r="J37">
        <f>IF(Rules!$B$7=Rules!$E$7,MAX(Hit!J37,Stand!J37,Double!J37,Surrender!J37),MAX(Hit!J37,Stand!J37,Double!J37))</f>
        <v>-7.516318944168382E-2</v>
      </c>
      <c r="K37">
        <f>IF(Rules!$B$7=Rules!$E$7,MAX(Hit!K37,Stand!K37,Double!K37,Surrender!K37),MAX(Hit!K37,Stand!K37,Double!K37))</f>
        <v>-0.13946678217545452</v>
      </c>
      <c r="N37" s="31">
        <v>14</v>
      </c>
      <c r="O37" s="31" t="str">
        <f>IF(B37=Surrender!B37,"R",HSD!O37)</f>
        <v>H</v>
      </c>
      <c r="P37" s="31" t="str">
        <f>IF(C37=Surrender!C37,"R",HSD!P37)</f>
        <v>H</v>
      </c>
      <c r="Q37" s="31" t="str">
        <f>IF(D37=Surrender!D37,"R",HSD!Q37)</f>
        <v>H</v>
      </c>
      <c r="R37" s="31" t="str">
        <f>IF(E37=Surrender!E37,"R",HSD!R37)</f>
        <v>H</v>
      </c>
      <c r="S37" s="31" t="str">
        <f>IF(F37=Surrender!F37,"R",HSD!S37)</f>
        <v>D</v>
      </c>
      <c r="T37" s="31" t="str">
        <f>IF(G37=Surrender!G37,"R",HSD!T37)</f>
        <v>D</v>
      </c>
      <c r="U37" s="31" t="str">
        <f>IF(H37=Surrender!H37,"R",HSD!U37)</f>
        <v>H</v>
      </c>
      <c r="V37" s="31" t="str">
        <f>IF(I37=Surrender!I37,"R",HSD!V37)</f>
        <v>H</v>
      </c>
      <c r="W37" s="31" t="str">
        <f>IF(J37=Surrender!J37,"R",HSD!W37)</f>
        <v>H</v>
      </c>
      <c r="X37" s="31" t="str">
        <f>IF(K37=Surrender!K37,"R",HSD!X37)</f>
        <v>H</v>
      </c>
    </row>
    <row r="38" spans="1:24" x14ac:dyDescent="0.2">
      <c r="A38">
        <v>15</v>
      </c>
      <c r="B38">
        <f>IF(AND(Rules!$B$8=Rules!$E$8,Rules!$B$7=Rules!$E$7),MAX(Hit!B38,Stand!B38,Double!B38,Surrender!B38),MAX(Hit!B38,Stand!B38,Double!B38))</f>
        <v>-0.13002650167843849</v>
      </c>
      <c r="C38">
        <f>IF(Rules!$B$7=Rules!$E$7,MAX(Hit!C38,Stand!C38,Double!C38,Surrender!C38),MAX(Hit!C38,Stand!C38,Double!C38))</f>
        <v>-1.2068474052636583E-4</v>
      </c>
      <c r="D38">
        <f>IF(Rules!$B$7=Rules!$E$7,MAX(Hit!D38,Stand!D38,Double!D38,Surrender!D38),MAX(Hit!D38,Stand!D38,Double!D38))</f>
        <v>2.9159812622497363E-2</v>
      </c>
      <c r="E38">
        <f>IF(Rules!$B$7=Rules!$E$7,MAX(Hit!E38,Stand!E38,Double!E38,Surrender!E38),MAX(Hit!E38,Stand!E38,Double!E38))</f>
        <v>5.9285376931179926E-2</v>
      </c>
      <c r="F38">
        <f>IF(Rules!$B$7=Rules!$E$7,MAX(Hit!F38,Stand!F38,Double!F38,Surrender!F38),MAX(Hit!F38,Stand!F38,Double!F38))</f>
        <v>0.12595448524867925</v>
      </c>
      <c r="G38">
        <f>IF(Rules!$B$7=Rules!$E$7,MAX(Hit!G38,Stand!G38,Double!G38,Surrender!G38),MAX(Hit!G38,Stand!G38,Double!G38))</f>
        <v>0.17974820582791512</v>
      </c>
      <c r="H38">
        <f>IF(Rules!$B$7=Rules!$E$7,MAX(Hit!H38,Stand!H38,Double!H38,Surrender!H38),MAX(Hit!H38,Stand!H38,Double!H38))</f>
        <v>3.7028282279269235E-2</v>
      </c>
      <c r="I38">
        <f>IF(Rules!$B$7=Rules!$E$7,MAX(Hit!I38,Stand!I38,Double!I38,Surrender!I38),MAX(Hit!I38,Stand!I38,Double!I38))</f>
        <v>-2.7054780502901672E-2</v>
      </c>
      <c r="J38">
        <f>IF(Rules!$B$7=Rules!$E$7,MAX(Hit!J38,Stand!J38,Double!J38,Surrender!J38),MAX(Hit!J38,Stand!J38,Double!J38))</f>
        <v>-0.11218876868994289</v>
      </c>
      <c r="K38">
        <f>IF(Rules!$B$7=Rules!$E$7,MAX(Hit!K38,Stand!K38,Double!K38,Surrender!K38),MAX(Hit!K38,Stand!K38,Double!K38))</f>
        <v>-0.17370423031226784</v>
      </c>
      <c r="N38" s="31">
        <v>15</v>
      </c>
      <c r="O38" s="31" t="str">
        <f>IF(B38=Surrender!B38,"R",HSD!O38)</f>
        <v>H</v>
      </c>
      <c r="P38" s="31" t="str">
        <f>IF(C38=Surrender!C38,"R",HSD!P38)</f>
        <v>H</v>
      </c>
      <c r="Q38" s="31" t="str">
        <f>IF(D38=Surrender!D38,"R",HSD!Q38)</f>
        <v>H</v>
      </c>
      <c r="R38" s="31" t="str">
        <f>IF(E38=Surrender!E38,"R",HSD!R38)</f>
        <v>H</v>
      </c>
      <c r="S38" s="31" t="str">
        <f>IF(F38=Surrender!F38,"R",HSD!S38)</f>
        <v>D</v>
      </c>
      <c r="T38" s="31" t="str">
        <f>IF(G38=Surrender!G38,"R",HSD!T38)</f>
        <v>D</v>
      </c>
      <c r="U38" s="31" t="str">
        <f>IF(H38=Surrender!H38,"R",HSD!U38)</f>
        <v>H</v>
      </c>
      <c r="V38" s="31" t="str">
        <f>IF(I38=Surrender!I38,"R",HSD!V38)</f>
        <v>H</v>
      </c>
      <c r="W38" s="31" t="str">
        <f>IF(J38=Surrender!J38,"R",HSD!W38)</f>
        <v>H</v>
      </c>
      <c r="X38" s="31" t="str">
        <f>IF(K38=Surrender!K38,"R",HSD!X38)</f>
        <v>H</v>
      </c>
    </row>
    <row r="39" spans="1:24" x14ac:dyDescent="0.2">
      <c r="A39">
        <v>16</v>
      </c>
      <c r="B39">
        <f>IF(AND(Rules!$B$8=Rules!$E$8,Rules!$B$7=Rules!$E$7),MAX(Hit!B39,Stand!B39,Double!B39,Surrender!B39),MAX(Hit!B39,Stand!B39,Double!B39))</f>
        <v>-0.16563717206687348</v>
      </c>
      <c r="C39">
        <f>IF(Rules!$B$7=Rules!$E$7,MAX(Hit!C39,Stand!C39,Double!C39,Surrender!C39),MAX(Hit!C39,Stand!C39,Double!C39))</f>
        <v>-2.1025187774008566E-2</v>
      </c>
      <c r="D39">
        <f>IF(Rules!$B$7=Rules!$E$7,MAX(Hit!D39,Stand!D39,Double!D39,Surrender!D39),MAX(Hit!D39,Stand!D39,Double!D39))</f>
        <v>9.0590953469108244E-3</v>
      </c>
      <c r="E39">
        <f>IF(Rules!$B$7=Rules!$E$7,MAX(Hit!E39,Stand!E39,Double!E39,Surrender!E39),MAX(Hit!E39,Stand!E39,Double!E39))</f>
        <v>5.8426518743744951E-2</v>
      </c>
      <c r="F39">
        <f>IF(Rules!$B$7=Rules!$E$7,MAX(Hit!F39,Stand!F39,Double!F39,Surrender!F39),MAX(Hit!F39,Stand!F39,Double!F39))</f>
        <v>0.12595448524867925</v>
      </c>
      <c r="G39">
        <f>IF(Rules!$B$7=Rules!$E$7,MAX(Hit!G39,Stand!G39,Double!G39,Surrender!G39),MAX(Hit!G39,Stand!G39,Double!G39))</f>
        <v>0.17974820582791512</v>
      </c>
      <c r="H39">
        <f>IF(Rules!$B$7=Rules!$E$7,MAX(Hit!H39,Stand!H39,Double!H39,Surrender!H39),MAX(Hit!H39,Stand!H39,Double!H39))</f>
        <v>-4.8901571730158942E-3</v>
      </c>
      <c r="I39">
        <f>IF(Rules!$B$7=Rules!$E$7,MAX(Hit!I39,Stand!I39,Double!I39,Surrender!I39),MAX(Hit!I39,Stand!I39,Double!I39))</f>
        <v>-6.6794847920094103E-2</v>
      </c>
      <c r="J39">
        <f>IF(Rules!$B$7=Rules!$E$7,MAX(Hit!J39,Stand!J39,Double!J39,Surrender!J39),MAX(Hit!J39,Stand!J39,Double!J39))</f>
        <v>-0.14864353463007471</v>
      </c>
      <c r="K39">
        <f>IF(Rules!$B$7=Rules!$E$7,MAX(Hit!K39,Stand!K39,Double!K39,Surrender!K39),MAX(Hit!K39,Stand!K39,Double!K39))</f>
        <v>-0.20744109003068206</v>
      </c>
      <c r="N39" s="31">
        <v>16</v>
      </c>
      <c r="O39" s="31" t="str">
        <f>IF(B39=Surrender!B39,"R",HSD!O39)</f>
        <v>H</v>
      </c>
      <c r="P39" s="31" t="str">
        <f>IF(C39=Surrender!C39,"R",HSD!P39)</f>
        <v>H</v>
      </c>
      <c r="Q39" s="31" t="str">
        <f>IF(D39=Surrender!D39,"R",HSD!Q39)</f>
        <v>H</v>
      </c>
      <c r="R39" s="31" t="str">
        <f>IF(E39=Surrender!E39,"R",HSD!R39)</f>
        <v>D</v>
      </c>
      <c r="S39" s="31" t="str">
        <f>IF(F39=Surrender!F39,"R",HSD!S39)</f>
        <v>D</v>
      </c>
      <c r="T39" s="31" t="str">
        <f>IF(G39=Surrender!G39,"R",HSD!T39)</f>
        <v>D</v>
      </c>
      <c r="U39" s="31" t="str">
        <f>IF(H39=Surrender!H39,"R",HSD!U39)</f>
        <v>H</v>
      </c>
      <c r="V39" s="31" t="str">
        <f>IF(I39=Surrender!I39,"R",HSD!V39)</f>
        <v>H</v>
      </c>
      <c r="W39" s="31" t="str">
        <f>IF(J39=Surrender!J39,"R",HSD!W39)</f>
        <v>H</v>
      </c>
      <c r="X39" s="31" t="str">
        <f>IF(K39=Surrender!K39,"R",HSD!X39)</f>
        <v>H</v>
      </c>
    </row>
    <row r="40" spans="1:24" x14ac:dyDescent="0.2">
      <c r="A40">
        <v>17</v>
      </c>
      <c r="B40">
        <f>IF(AND(Rules!$B$8=Rules!$E$8,Rules!$B$7=Rules!$E$7),MAX(Hit!B40,Stand!B40,Double!B40,Surrender!B40),MAX(Hit!B40,Stand!B40,Double!B40))</f>
        <v>-0.17956936979241733</v>
      </c>
      <c r="C40">
        <f>IF(Rules!$B$7=Rules!$E$7,MAX(Hit!C40,Stand!C40,Double!C40,Surrender!C40),MAX(Hit!C40,Stand!C40,Double!C40))</f>
        <v>-4.9104358288912882E-4</v>
      </c>
      <c r="D40">
        <f>IF(Rules!$B$7=Rules!$E$7,MAX(Hit!D40,Stand!D40,Double!D40,Surrender!D40),MAX(Hit!D40,Stand!D40,Double!D40))</f>
        <v>5.5095284479298338E-2</v>
      </c>
      <c r="E40">
        <f>IF(Rules!$B$7=Rules!$E$7,MAX(Hit!E40,Stand!E40,Double!E40,Surrender!E40),MAX(Hit!E40,Stand!E40,Double!E40))</f>
        <v>0.11865255067432869</v>
      </c>
      <c r="F40">
        <f>IF(Rules!$B$7=Rules!$E$7,MAX(Hit!F40,Stand!F40,Double!F40,Surrender!F40),MAX(Hit!F40,Stand!F40,Double!F40))</f>
        <v>0.18237815537354879</v>
      </c>
      <c r="G40">
        <f>IF(Rules!$B$7=Rules!$E$7,MAX(Hit!G40,Stand!G40,Double!G40,Surrender!G40),MAX(Hit!G40,Stand!G40,Double!G40))</f>
        <v>0.2561042872909981</v>
      </c>
      <c r="H40">
        <f>IF(Rules!$B$7=Rules!$E$7,MAX(Hit!H40,Stand!H40,Double!H40,Surrender!H40),MAX(Hit!H40,Stand!H40,Double!H40))</f>
        <v>5.3823463716116654E-2</v>
      </c>
      <c r="I40">
        <f>IF(Rules!$B$7=Rules!$E$7,MAX(Hit!I40,Stand!I40,Double!I40,Surrender!I40),MAX(Hit!I40,Stand!I40,Double!I40))</f>
        <v>-7.2915398729642075E-2</v>
      </c>
      <c r="J40">
        <f>IF(Rules!$B$7=Rules!$E$7,MAX(Hit!J40,Stand!J40,Double!J40,Surrender!J40),MAX(Hit!J40,Stand!J40,Double!J40))</f>
        <v>-0.1497868921821332</v>
      </c>
      <c r="K40">
        <f>IF(Rules!$B$7=Rules!$E$7,MAX(Hit!K40,Stand!K40,Double!K40,Surrender!K40),MAX(Hit!K40,Stand!K40,Double!K40))</f>
        <v>-0.19686697623363469</v>
      </c>
      <c r="N40" s="31">
        <v>17</v>
      </c>
      <c r="O40" s="31" t="str">
        <f>IF(B40=Surrender!B40,"R",HSD!O40)</f>
        <v>H</v>
      </c>
      <c r="P40" s="31" t="str">
        <f>IF(C40=Surrender!C40,"R",HSD!P40)</f>
        <v>H</v>
      </c>
      <c r="Q40" s="31" t="str">
        <f>IF(D40=Surrender!D40,"R",HSD!Q40)</f>
        <v>D</v>
      </c>
      <c r="R40" s="31" t="str">
        <f>IF(E40=Surrender!E40,"R",HSD!R40)</f>
        <v>D</v>
      </c>
      <c r="S40" s="31" t="str">
        <f>IF(F40=Surrender!F40,"R",HSD!S40)</f>
        <v>D</v>
      </c>
      <c r="T40" s="31" t="str">
        <f>IF(G40=Surrender!G40,"R",HSD!T40)</f>
        <v>D</v>
      </c>
      <c r="U40" s="31" t="str">
        <f>IF(H40=Surrender!H40,"R",HSD!U40)</f>
        <v>H</v>
      </c>
      <c r="V40" s="31" t="str">
        <f>IF(I40=Surrender!I40,"R",HSD!V40)</f>
        <v>H</v>
      </c>
      <c r="W40" s="31" t="str">
        <f>IF(J40=Surrender!J40,"R",HSD!W40)</f>
        <v>H</v>
      </c>
      <c r="X40" s="31" t="str">
        <f>IF(K40=Surrender!K40,"R",HSD!X40)</f>
        <v>H</v>
      </c>
    </row>
    <row r="41" spans="1:24" x14ac:dyDescent="0.2">
      <c r="A41">
        <v>18</v>
      </c>
      <c r="B41">
        <f>IF(AND(Rules!$B$8=Rules!$E$8,Rules!$B$7=Rules!$E$7),MAX(Hit!B41,Stand!B41,Double!B41,Surrender!B41),MAX(Hit!B41,Stand!B41,Double!B41))</f>
        <v>-9.2935491769284034E-2</v>
      </c>
      <c r="C41">
        <f>IF(Rules!$B$7=Rules!$E$7,MAX(Hit!C41,Stand!C41,Double!C41,Surrender!C41),MAX(Hit!C41,Stand!C41,Double!C41))</f>
        <v>0.12174190222088771</v>
      </c>
      <c r="D41">
        <f>IF(Rules!$B$7=Rules!$E$7,MAX(Hit!D41,Stand!D41,Double!D41,Surrender!D41),MAX(Hit!D41,Stand!D41,Double!D41))</f>
        <v>0.17764127567893753</v>
      </c>
      <c r="E41">
        <f>IF(Rules!$B$7=Rules!$E$7,MAX(Hit!E41,Stand!E41,Double!E41,Surrender!E41),MAX(Hit!E41,Stand!E41,Double!E41))</f>
        <v>0.23700384775562167</v>
      </c>
      <c r="F41">
        <f>IF(Rules!$B$7=Rules!$E$7,MAX(Hit!F41,Stand!F41,Double!F41,Surrender!F41),MAX(Hit!F41,Stand!F41,Double!F41))</f>
        <v>0.29522549562328804</v>
      </c>
      <c r="G41">
        <f>IF(Rules!$B$7=Rules!$E$7,MAX(Hit!G41,Stand!G41,Double!G41,Surrender!G41),MAX(Hit!G41,Stand!G41,Double!G41))</f>
        <v>0.38150648207879345</v>
      </c>
      <c r="H41">
        <f>IF(Rules!$B$7=Rules!$E$7,MAX(Hit!H41,Stand!H41,Double!H41,Surrender!H41),MAX(Hit!H41,Stand!H41,Double!H41))</f>
        <v>0.3995541673365518</v>
      </c>
      <c r="I41">
        <f>IF(Rules!$B$7=Rules!$E$7,MAX(Hit!I41,Stand!I41,Double!I41,Surrender!I41),MAX(Hit!I41,Stand!I41,Double!I41))</f>
        <v>0.10595134861912359</v>
      </c>
      <c r="J41">
        <f>IF(Rules!$B$7=Rules!$E$7,MAX(Hit!J41,Stand!J41,Double!J41,Surrender!J41),MAX(Hit!J41,Stand!J41,Double!J41))</f>
        <v>-0.10074430758041522</v>
      </c>
      <c r="K41">
        <f>IF(Rules!$B$7=Rules!$E$7,MAX(Hit!K41,Stand!K41,Double!K41,Surrender!K41),MAX(Hit!K41,Stand!K41,Double!K41))</f>
        <v>-0.14380812317405353</v>
      </c>
      <c r="N41" s="31">
        <v>18</v>
      </c>
      <c r="O41" s="31" t="str">
        <f>IF(B41=Surrender!B41,"R",HSD!O41)</f>
        <v>H</v>
      </c>
      <c r="P41" s="31" t="str">
        <f>IF(C41=Surrender!C41,"R",HSD!P41)</f>
        <v>S</v>
      </c>
      <c r="Q41" s="31" t="str">
        <f>IF(D41=Surrender!D41,"R",HSD!Q41)</f>
        <v>D</v>
      </c>
      <c r="R41" s="31" t="str">
        <f>IF(E41=Surrender!E41,"R",HSD!R41)</f>
        <v>D</v>
      </c>
      <c r="S41" s="31" t="str">
        <f>IF(F41=Surrender!F41,"R",HSD!S41)</f>
        <v>D</v>
      </c>
      <c r="T41" s="31" t="str">
        <f>IF(G41=Surrender!G41,"R",HSD!T41)</f>
        <v>D</v>
      </c>
      <c r="U41" s="31" t="str">
        <f>IF(H41=Surrender!H41,"R",HSD!U41)</f>
        <v>S</v>
      </c>
      <c r="V41" s="31" t="str">
        <f>IF(I41=Surrender!I41,"R",HSD!V41)</f>
        <v>S</v>
      </c>
      <c r="W41" s="31" t="str">
        <f>IF(J41=Surrender!J41,"R",HSD!W41)</f>
        <v>H</v>
      </c>
      <c r="X41" s="31" t="str">
        <f>IF(K41=Surrender!K41,"R",HSD!X41)</f>
        <v>H</v>
      </c>
    </row>
    <row r="42" spans="1:24" x14ac:dyDescent="0.2">
      <c r="A42">
        <v>19</v>
      </c>
      <c r="B42">
        <f>IF(AND(Rules!$B$8=Rules!$E$8,Rules!$B$7=Rules!$E$7),MAX(Hit!B42,Stand!B42,Double!B42,Surrender!B42),MAX(Hit!B42,Stand!B42,Double!B42))</f>
        <v>0.27763572376835594</v>
      </c>
      <c r="C42">
        <f>IF(Rules!$B$7=Rules!$E$7,MAX(Hit!C42,Stand!C42,Double!C42,Surrender!C42),MAX(Hit!C42,Stand!C42,Double!C42))</f>
        <v>0.38630468602058993</v>
      </c>
      <c r="D42">
        <f>IF(Rules!$B$7=Rules!$E$7,MAX(Hit!D42,Stand!D42,Double!D42,Surrender!D42),MAX(Hit!D42,Stand!D42,Double!D42))</f>
        <v>0.4043629365977599</v>
      </c>
      <c r="E42">
        <f>IF(Rules!$B$7=Rules!$E$7,MAX(Hit!E42,Stand!E42,Double!E42,Surrender!E42),MAX(Hit!E42,Stand!E42,Double!E42))</f>
        <v>0.42317892482749653</v>
      </c>
      <c r="F42">
        <f>IF(Rules!$B$7=Rules!$E$7,MAX(Hit!F42,Stand!F42,Double!F42,Surrender!F42),MAX(Hit!F42,Stand!F42,Double!F42))</f>
        <v>0.43951210416088371</v>
      </c>
      <c r="G42">
        <f>IF(Rules!$B$7=Rules!$E$7,MAX(Hit!G42,Stand!G42,Double!G42,Surrender!G42),MAX(Hit!G42,Stand!G42,Double!G42))</f>
        <v>0.49597707378731914</v>
      </c>
      <c r="H42">
        <f>IF(Rules!$B$7=Rules!$E$7,MAX(Hit!H42,Stand!H42,Double!H42,Surrender!H42),MAX(Hit!H42,Stand!H42,Double!H42))</f>
        <v>0.6159764957534315</v>
      </c>
      <c r="I42">
        <f>IF(Rules!$B$7=Rules!$E$7,MAX(Hit!I42,Stand!I42,Double!I42,Surrender!I42),MAX(Hit!I42,Stand!I42,Double!I42))</f>
        <v>0.59385366828669439</v>
      </c>
      <c r="J42">
        <f>IF(Rules!$B$7=Rules!$E$7,MAX(Hit!J42,Stand!J42,Double!J42,Surrender!J42),MAX(Hit!J42,Stand!J42,Double!J42))</f>
        <v>0.28759675706758148</v>
      </c>
      <c r="K42">
        <f>IF(Rules!$B$7=Rules!$E$7,MAX(Hit!K42,Stand!K42,Double!K42,Surrender!K42),MAX(Hit!K42,Stand!K42,Double!K42))</f>
        <v>6.3118166335840831E-2</v>
      </c>
      <c r="N42" s="31">
        <v>19</v>
      </c>
      <c r="O42" s="31" t="str">
        <f>IF(B42=Surrender!B42,"R",HSD!O42)</f>
        <v>S</v>
      </c>
      <c r="P42" s="31" t="str">
        <f>IF(C42=Surrender!C42,"R",HSD!P42)</f>
        <v>S</v>
      </c>
      <c r="Q42" s="31" t="str">
        <f>IF(D42=Surrender!D42,"R",HSD!Q42)</f>
        <v>S</v>
      </c>
      <c r="R42" s="31" t="str">
        <f>IF(E42=Surrender!E42,"R",HSD!R42)</f>
        <v>S</v>
      </c>
      <c r="S42" s="31" t="str">
        <f>IF(F42=Surrender!F42,"R",HSD!S42)</f>
        <v>S</v>
      </c>
      <c r="T42" s="31" t="str">
        <f>IF(G42=Surrender!G42,"R",HSD!T42)</f>
        <v>S</v>
      </c>
      <c r="U42" s="31" t="str">
        <f>IF(H42=Surrender!H42,"R",HSD!U42)</f>
        <v>S</v>
      </c>
      <c r="V42" s="31" t="str">
        <f>IF(I42=Surrender!I42,"R",HSD!V42)</f>
        <v>S</v>
      </c>
      <c r="W42" s="31" t="str">
        <f>IF(J42=Surrender!J42,"R",HSD!W42)</f>
        <v>S</v>
      </c>
      <c r="X42" s="31" t="str">
        <f>IF(K42=Surrender!K42,"R",HSD!X42)</f>
        <v>S</v>
      </c>
    </row>
    <row r="43" spans="1:24" x14ac:dyDescent="0.2">
      <c r="A43">
        <v>20</v>
      </c>
      <c r="B43">
        <f>IF(AND(Rules!$B$8=Rules!$E$8,Rules!$B$7=Rules!$E$7),MAX(Hit!B43,Stand!B43,Double!B43,Surrender!B43),MAX(Hit!B43,Stand!B43,Double!B43))</f>
        <v>0.65547032314990239</v>
      </c>
      <c r="C43">
        <f>IF(Rules!$B$7=Rules!$E$7,MAX(Hit!C43,Stand!C43,Double!C43,Surrender!C43),MAX(Hit!C43,Stand!C43,Double!C43))</f>
        <v>0.63998657521683877</v>
      </c>
      <c r="D43">
        <f>IF(Rules!$B$7=Rules!$E$7,MAX(Hit!D43,Stand!D43,Double!D43,Surrender!D43),MAX(Hit!D43,Stand!D43,Double!D43))</f>
        <v>0.65027209425148136</v>
      </c>
      <c r="E43">
        <f>IF(Rules!$B$7=Rules!$E$7,MAX(Hit!E43,Stand!E43,Double!E43,Surrender!E43),MAX(Hit!E43,Stand!E43,Double!E43))</f>
        <v>0.66104996194807186</v>
      </c>
      <c r="F43">
        <f>IF(Rules!$B$7=Rules!$E$7,MAX(Hit!F43,Stand!F43,Double!F43,Surrender!F43),MAX(Hit!F43,Stand!F43,Double!F43))</f>
        <v>0.67035969063279999</v>
      </c>
      <c r="G43">
        <f>IF(Rules!$B$7=Rules!$E$7,MAX(Hit!G43,Stand!G43,Double!G43,Surrender!G43),MAX(Hit!G43,Stand!G43,Double!G43))</f>
        <v>0.70395857017134467</v>
      </c>
      <c r="H43">
        <f>IF(Rules!$B$7=Rules!$E$7,MAX(Hit!H43,Stand!H43,Double!H43,Surrender!H43),MAX(Hit!H43,Stand!H43,Double!H43))</f>
        <v>0.77322722653717491</v>
      </c>
      <c r="I43">
        <f>IF(Rules!$B$7=Rules!$E$7,MAX(Hit!I43,Stand!I43,Double!I43,Surrender!I43),MAX(Hit!I43,Stand!I43,Double!I43))</f>
        <v>0.79181515955189841</v>
      </c>
      <c r="J43">
        <f>IF(Rules!$B$7=Rules!$E$7,MAX(Hit!J43,Stand!J43,Double!J43,Surrender!J43),MAX(Hit!J43,Stand!J43,Double!J43))</f>
        <v>0.75835687080859626</v>
      </c>
      <c r="K43">
        <f>IF(Rules!$B$7=Rules!$E$7,MAX(Hit!K43,Stand!K43,Double!K43,Surrender!K43),MAX(Hit!K43,Stand!K43,Double!K43))</f>
        <v>0.55453756646817121</v>
      </c>
      <c r="N43" s="31">
        <v>20</v>
      </c>
      <c r="O43" s="31" t="str">
        <f>IF(B43=Surrender!B43,"R",HSD!O43)</f>
        <v>S</v>
      </c>
      <c r="P43" s="31" t="str">
        <f>IF(C43=Surrender!C43,"R",HSD!P43)</f>
        <v>S</v>
      </c>
      <c r="Q43" s="31" t="str">
        <f>IF(D43=Surrender!D43,"R",HSD!Q43)</f>
        <v>S</v>
      </c>
      <c r="R43" s="31" t="str">
        <f>IF(E43=Surrender!E43,"R",HSD!R43)</f>
        <v>S</v>
      </c>
      <c r="S43" s="31" t="str">
        <f>IF(F43=Surrender!F43,"R",HSD!S43)</f>
        <v>S</v>
      </c>
      <c r="T43" s="31" t="str">
        <f>IF(G43=Surrender!G43,"R",HSD!T43)</f>
        <v>S</v>
      </c>
      <c r="U43" s="31" t="str">
        <f>IF(H43=Surrender!H43,"R",HSD!U43)</f>
        <v>S</v>
      </c>
      <c r="V43" s="31" t="str">
        <f>IF(I43=Surrender!I43,"R",HSD!V43)</f>
        <v>S</v>
      </c>
      <c r="W43" s="31" t="str">
        <f>IF(J43=Surrender!J43,"R",HSD!W43)</f>
        <v>S</v>
      </c>
      <c r="X43" s="31" t="str">
        <f>IF(K43=Surrender!K43,"R",HSD!X43)</f>
        <v>S</v>
      </c>
    </row>
    <row r="44" spans="1:24" x14ac:dyDescent="0.2">
      <c r="A44">
        <v>21</v>
      </c>
      <c r="B44">
        <f>IF(AND(Rules!$B$8=Rules!$E$8,Rules!$B$7=Rules!$E$7),MAX(Hit!B44,Stand!B44,Double!B44,Surrender!B44),MAX(Hit!B44,Stand!B44,Double!B44))</f>
        <v>0.92219381142033785</v>
      </c>
      <c r="C44">
        <f>IF(Rules!$B$7=Rules!$E$7,MAX(Hit!C44,Stand!C44,Double!C44,Surrender!C44),MAX(Hit!C44,Stand!C44,Double!C44))</f>
        <v>0.88200651549403997</v>
      </c>
      <c r="D44">
        <f>IF(Rules!$B$7=Rules!$E$7,MAX(Hit!D44,Stand!D44,Double!D44,Surrender!D44),MAX(Hit!D44,Stand!D44,Double!D44))</f>
        <v>0.88530035730174927</v>
      </c>
      <c r="E44">
        <f>IF(Rules!$B$7=Rules!$E$7,MAX(Hit!E44,Stand!E44,Double!E44,Surrender!E44),MAX(Hit!E44,Stand!E44,Double!E44))</f>
        <v>0.88876729296591961</v>
      </c>
      <c r="F44">
        <f>IF(Rules!$B$7=Rules!$E$7,MAX(Hit!F44,Stand!F44,Double!F44,Surrender!F44),MAX(Hit!F44,Stand!F44,Double!F44))</f>
        <v>0.89175382659528035</v>
      </c>
      <c r="G44">
        <f>IF(Rules!$B$7=Rules!$E$7,MAX(Hit!G44,Stand!G44,Double!G44,Surrender!G44),MAX(Hit!G44,Stand!G44,Double!G44))</f>
        <v>0.90283674384257995</v>
      </c>
      <c r="H44">
        <f>IF(Rules!$B$7=Rules!$E$7,MAX(Hit!H44,Stand!H44,Double!H44,Surrender!H44),MAX(Hit!H44,Stand!H44,Double!H44))</f>
        <v>0.92592629596452325</v>
      </c>
      <c r="I44">
        <f>IF(Rules!$B$7=Rules!$E$7,MAX(Hit!I44,Stand!I44,Double!I44,Surrender!I44),MAX(Hit!I44,Stand!I44,Double!I44))</f>
        <v>0.93060505318396614</v>
      </c>
      <c r="J44">
        <f>IF(Rules!$B$7=Rules!$E$7,MAX(Hit!J44,Stand!J44,Double!J44,Surrender!J44),MAX(Hit!J44,Stand!J44,Double!J44))</f>
        <v>0.93917615614724415</v>
      </c>
      <c r="K44">
        <f>IF(Rules!$B$7=Rules!$E$7,MAX(Hit!K44,Stand!K44,Double!K44,Surrender!K44),MAX(Hit!K44,Stand!K44,Double!K44))</f>
        <v>0.96262363326716827</v>
      </c>
      <c r="N44" s="31">
        <v>21</v>
      </c>
      <c r="O44" s="31" t="str">
        <f>IF(B44=Surrender!B44,"R",HSD!O44)</f>
        <v>S</v>
      </c>
      <c r="P44" s="31" t="str">
        <f>IF(C44=Surrender!C44,"R",HSD!P44)</f>
        <v>S</v>
      </c>
      <c r="Q44" s="31" t="str">
        <f>IF(D44=Surrender!D44,"R",HSD!Q44)</f>
        <v>S</v>
      </c>
      <c r="R44" s="31" t="str">
        <f>IF(E44=Surrender!E44,"R",HSD!R44)</f>
        <v>S</v>
      </c>
      <c r="S44" s="31" t="str">
        <f>IF(F44=Surrender!F44,"R",HSD!S44)</f>
        <v>S</v>
      </c>
      <c r="T44" s="31" t="str">
        <f>IF(G44=Surrender!G44,"R",HSD!T44)</f>
        <v>S</v>
      </c>
      <c r="U44" s="31" t="str">
        <f>IF(H44=Surrender!H44,"R",HSD!U44)</f>
        <v>S</v>
      </c>
      <c r="V44" s="31" t="str">
        <f>IF(I44=Surrender!I44,"R",HSD!V44)</f>
        <v>S</v>
      </c>
      <c r="W44" s="31" t="str">
        <f>IF(J44=Surrender!J44,"R",HSD!W44)</f>
        <v>S</v>
      </c>
      <c r="X44" s="31" t="str">
        <f>IF(K44=Surrender!K44,"R",HSD!X44)</f>
        <v>S</v>
      </c>
    </row>
    <row r="45" spans="1:24" x14ac:dyDescent="0.2">
      <c r="A45">
        <v>22</v>
      </c>
      <c r="B45">
        <f>IF(AND(Rules!$B$8=Rules!$E$8,Rules!$B$7=Rules!$E$7),MAX(Hit!B45,Stand!B45,Double!B45,Surrender!B45),MAX(Hit!B45,Stand!B45,Double!B45))</f>
        <v>-0.35054034044008009</v>
      </c>
      <c r="C45">
        <f>IF(Rules!$B$7=Rules!$E$7,MAX(Hit!C45,Stand!C45,Double!C45,Surrender!C45),MAX(Hit!C45,Stand!C45,Double!C45))</f>
        <v>-0.25338998596663809</v>
      </c>
      <c r="D45">
        <f>IF(Rules!$B$7=Rules!$E$7,MAX(Hit!D45,Stand!D45,Double!D45,Surrender!D45),MAX(Hit!D45,Stand!D45,Double!D45))</f>
        <v>-0.2336908997980866</v>
      </c>
      <c r="E45">
        <f>IF(Rules!$B$7=Rules!$E$7,MAX(Hit!E45,Stand!E45,Double!E45,Surrender!E45),MAX(Hit!E45,Stand!E45,Double!E45))</f>
        <v>-0.21106310899491437</v>
      </c>
      <c r="F45">
        <f>IF(Rules!$B$7=Rules!$E$7,MAX(Hit!F45,Stand!F45,Double!F45,Surrender!F45),MAX(Hit!F45,Stand!F45,Double!F45))</f>
        <v>-0.16719266083547524</v>
      </c>
      <c r="G45">
        <f>IF(Rules!$B$7=Rules!$E$7,MAX(Hit!G45,Stand!G45,Double!G45,Surrender!G45),MAX(Hit!G45,Stand!G45,Double!G45))</f>
        <v>-0.1536990158300045</v>
      </c>
      <c r="H45">
        <f>IF(Rules!$B$7=Rules!$E$7,MAX(Hit!H45,Stand!H45,Double!H45,Surrender!H45),MAX(Hit!H45,Stand!H45,Double!H45))</f>
        <v>-0.21284771451731424</v>
      </c>
      <c r="I45">
        <f>IF(Rules!$B$7=Rules!$E$7,MAX(Hit!I45,Stand!I45,Double!I45,Surrender!I45),MAX(Hit!I45,Stand!I45,Double!I45))</f>
        <v>-0.27157480502428616</v>
      </c>
      <c r="J45">
        <f>IF(Rules!$B$7=Rules!$E$7,MAX(Hit!J45,Stand!J45,Double!J45,Surrender!J45),MAX(Hit!J45,Stand!J45,Double!J45))</f>
        <v>-0.3400132806089356</v>
      </c>
      <c r="K45">
        <f>IF(Rules!$B$7=Rules!$E$7,MAX(Hit!K45,Stand!K45,Double!K45,Surrender!K45),MAX(Hit!K45,Stand!K45,Double!K45))</f>
        <v>-0.38104299284808768</v>
      </c>
      <c r="N45" s="31">
        <v>22</v>
      </c>
      <c r="O45" s="31" t="str">
        <f>IF(B45=Surrender!B45,"R",HSD!O45)</f>
        <v>H</v>
      </c>
      <c r="P45" s="31" t="str">
        <f>IF(C45=Surrender!C45,"R",HSD!P45)</f>
        <v>H</v>
      </c>
      <c r="Q45" s="31" t="str">
        <f>IF(D45=Surrender!D45,"R",HSD!Q45)</f>
        <v>H</v>
      </c>
      <c r="R45" s="31" t="str">
        <f>IF(E45=Surrender!E45,"R",HSD!R45)</f>
        <v>S</v>
      </c>
      <c r="S45" s="31" t="str">
        <f>IF(F45=Surrender!F45,"R",HSD!S45)</f>
        <v>S</v>
      </c>
      <c r="T45" s="31" t="str">
        <f>IF(G45=Surrender!G45,"R",HSD!T45)</f>
        <v>S</v>
      </c>
      <c r="U45" s="31" t="str">
        <f>IF(H45=Surrender!H45,"R",HSD!U45)</f>
        <v>H</v>
      </c>
      <c r="V45" s="31" t="str">
        <f>IF(I45=Surrender!I45,"R",HSD!V45)</f>
        <v>H</v>
      </c>
      <c r="W45" s="31" t="str">
        <f>IF(J45=Surrender!J45,"R",HSD!W45)</f>
        <v>H</v>
      </c>
      <c r="X45" s="31" t="str">
        <f>IF(K45=Surrender!K45,"R",HSD!X45)</f>
        <v>H</v>
      </c>
    </row>
    <row r="46" spans="1:24" x14ac:dyDescent="0.2">
      <c r="A46">
        <v>23</v>
      </c>
      <c r="B46">
        <f>IF(AND(Rules!$B$8=Rules!$E$8,Rules!$B$7=Rules!$E$7),MAX(Hit!B46,Stand!B46,Double!B46,Surrender!B46),MAX(Hit!B46,Stand!B46,Double!B46))</f>
        <v>-0.3969303161229315</v>
      </c>
      <c r="C46">
        <f>IF(Rules!$B$7=Rules!$E$7,MAX(Hit!C46,Stand!C46,Double!C46,Surrender!C46),MAX(Hit!C46,Stand!C46,Double!C46))</f>
        <v>-0.29278372720927726</v>
      </c>
      <c r="D46">
        <f>IF(Rules!$B$7=Rules!$E$7,MAX(Hit!D46,Stand!D46,Double!D46,Surrender!D46),MAX(Hit!D46,Stand!D46,Double!D46))</f>
        <v>-0.2522502292357135</v>
      </c>
      <c r="E46">
        <f>IF(Rules!$B$7=Rules!$E$7,MAX(Hit!E46,Stand!E46,Double!E46,Surrender!E46),MAX(Hit!E46,Stand!E46,Double!E46))</f>
        <v>-0.21106310899491437</v>
      </c>
      <c r="F46">
        <f>IF(Rules!$B$7=Rules!$E$7,MAX(Hit!F46,Stand!F46,Double!F46,Surrender!F46),MAX(Hit!F46,Stand!F46,Double!F46))</f>
        <v>-0.16719266083547524</v>
      </c>
      <c r="G46">
        <f>IF(Rules!$B$7=Rules!$E$7,MAX(Hit!G46,Stand!G46,Double!G46,Surrender!G46),MAX(Hit!G46,Stand!G46,Double!G46))</f>
        <v>-0.1536990158300045</v>
      </c>
      <c r="H46">
        <f>IF(Rules!$B$7=Rules!$E$7,MAX(Hit!H46,Stand!H46,Double!H46,Surrender!H46),MAX(Hit!H46,Stand!H46,Double!H46))</f>
        <v>-0.26907287776607752</v>
      </c>
      <c r="I46">
        <f>IF(Rules!$B$7=Rules!$E$7,MAX(Hit!I46,Stand!I46,Double!I46,Surrender!I46),MAX(Hit!I46,Stand!I46,Double!I46))</f>
        <v>-0.32360517609397998</v>
      </c>
      <c r="J46">
        <f>IF(Rules!$B$7=Rules!$E$7,MAX(Hit!J46,Stand!J46,Double!J46,Surrender!J46),MAX(Hit!J46,Stand!J46,Double!J46))</f>
        <v>-0.38715518913686875</v>
      </c>
      <c r="K46">
        <f>IF(Rules!$B$7=Rules!$E$7,MAX(Hit!K46,Stand!K46,Double!K46,Surrender!K46),MAX(Hit!K46,Stand!K46,Double!K46))</f>
        <v>-0.42525420764465277</v>
      </c>
      <c r="N46" s="31">
        <v>23</v>
      </c>
      <c r="O46" s="31" t="str">
        <f>IF(B46=Surrender!B46,"R",HSD!O46)</f>
        <v>H</v>
      </c>
      <c r="P46" s="31" t="str">
        <f>IF(C46=Surrender!C46,"R",HSD!P46)</f>
        <v>S</v>
      </c>
      <c r="Q46" s="31" t="str">
        <f>IF(D46=Surrender!D46,"R",HSD!Q46)</f>
        <v>S</v>
      </c>
      <c r="R46" s="31" t="str">
        <f>IF(E46=Surrender!E46,"R",HSD!R46)</f>
        <v>S</v>
      </c>
      <c r="S46" s="31" t="str">
        <f>IF(F46=Surrender!F46,"R",HSD!S46)</f>
        <v>S</v>
      </c>
      <c r="T46" s="31" t="str">
        <f>IF(G46=Surrender!G46,"R",HSD!T46)</f>
        <v>S</v>
      </c>
      <c r="U46" s="31" t="str">
        <f>IF(H46=Surrender!H46,"R",HSD!U46)</f>
        <v>H</v>
      </c>
      <c r="V46" s="31" t="str">
        <f>IF(I46=Surrender!I46,"R",HSD!V46)</f>
        <v>H</v>
      </c>
      <c r="W46" s="31" t="str">
        <f>IF(J46=Surrender!J46,"R",HSD!W46)</f>
        <v>H</v>
      </c>
      <c r="X46" s="31" t="str">
        <f>IF(K46=Surrender!K46,"R",HSD!X46)</f>
        <v>H</v>
      </c>
    </row>
    <row r="47" spans="1:24" x14ac:dyDescent="0.2">
      <c r="A47">
        <v>24</v>
      </c>
      <c r="B47">
        <f>IF(AND(Rules!$B$8=Rules!$E$8,Rules!$B$7=Rules!$E$7),MAX(Hit!B47,Stand!B47,Double!B47,Surrender!B47),MAX(Hit!B47,Stand!B47,Double!B47))</f>
        <v>-0.44000672211415065</v>
      </c>
      <c r="C47">
        <f>IF(Rules!$B$7=Rules!$E$7,MAX(Hit!C47,Stand!C47,Double!C47,Surrender!C47),MAX(Hit!C47,Stand!C47,Double!C47))</f>
        <v>-0.29278372720927726</v>
      </c>
      <c r="D47">
        <f>IF(Rules!$B$7=Rules!$E$7,MAX(Hit!D47,Stand!D47,Double!D47,Surrender!D47),MAX(Hit!D47,Stand!D47,Double!D47))</f>
        <v>-0.2522502292357135</v>
      </c>
      <c r="E47">
        <f>IF(Rules!$B$7=Rules!$E$7,MAX(Hit!E47,Stand!E47,Double!E47,Surrender!E47),MAX(Hit!E47,Stand!E47,Double!E47))</f>
        <v>-0.21106310899491437</v>
      </c>
      <c r="F47">
        <f>IF(Rules!$B$7=Rules!$E$7,MAX(Hit!F47,Stand!F47,Double!F47,Surrender!F47),MAX(Hit!F47,Stand!F47,Double!F47))</f>
        <v>-0.16719266083547524</v>
      </c>
      <c r="G47">
        <f>IF(Rules!$B$7=Rules!$E$7,MAX(Hit!G47,Stand!G47,Double!G47,Surrender!G47),MAX(Hit!G47,Stand!G47,Double!G47))</f>
        <v>-0.1536990158300045</v>
      </c>
      <c r="H47">
        <f>IF(Rules!$B$7=Rules!$E$7,MAX(Hit!H47,Stand!H47,Double!H47,Surrender!H47),MAX(Hit!H47,Stand!H47,Double!H47))</f>
        <v>-0.3212819579256434</v>
      </c>
      <c r="I47">
        <f>IF(Rules!$B$7=Rules!$E$7,MAX(Hit!I47,Stand!I47,Double!I47,Surrender!I47),MAX(Hit!I47,Stand!I47,Double!I47))</f>
        <v>-0.37191909208726714</v>
      </c>
      <c r="J47">
        <f>IF(Rules!$B$7=Rules!$E$7,MAX(Hit!J47,Stand!J47,Double!J47,Surrender!J47),MAX(Hit!J47,Stand!J47,Double!J47))</f>
        <v>-0.43092981848423528</v>
      </c>
      <c r="K47">
        <f>IF(Rules!$B$7=Rules!$E$7,MAX(Hit!K47,Stand!K47,Double!K47,Surrender!K47),MAX(Hit!K47,Stand!K47,Double!K47))</f>
        <v>-0.46630747852717758</v>
      </c>
      <c r="N47" s="31">
        <v>24</v>
      </c>
      <c r="O47" s="31" t="str">
        <f>IF(B47=Surrender!B47,"R",HSD!O47)</f>
        <v>H</v>
      </c>
      <c r="P47" s="31" t="str">
        <f>IF(C47=Surrender!C47,"R",HSD!P47)</f>
        <v>S</v>
      </c>
      <c r="Q47" s="31" t="str">
        <f>IF(D47=Surrender!D47,"R",HSD!Q47)</f>
        <v>S</v>
      </c>
      <c r="R47" s="31" t="str">
        <f>IF(E47=Surrender!E47,"R",HSD!R47)</f>
        <v>S</v>
      </c>
      <c r="S47" s="31" t="str">
        <f>IF(F47=Surrender!F47,"R",HSD!S47)</f>
        <v>S</v>
      </c>
      <c r="T47" s="31" t="str">
        <f>IF(G47=Surrender!G47,"R",HSD!T47)</f>
        <v>S</v>
      </c>
      <c r="U47" s="31" t="str">
        <f>IF(H47=Surrender!H47,"R",HSD!U47)</f>
        <v>H</v>
      </c>
      <c r="V47" s="31" t="str">
        <f>IF(I47=Surrender!I47,"R",HSD!V47)</f>
        <v>H</v>
      </c>
      <c r="W47" s="31" t="str">
        <f>IF(J47=Surrender!J47,"R",HSD!W47)</f>
        <v>H</v>
      </c>
      <c r="X47" s="31" t="str">
        <f>IF(K47=Surrender!K47,"R",HSD!X47)</f>
        <v>H</v>
      </c>
    </row>
    <row r="48" spans="1:24" x14ac:dyDescent="0.2">
      <c r="A48">
        <v>25</v>
      </c>
      <c r="B48">
        <f>IF(AND(Rules!$B$8=Rules!$E$8,Rules!$B$7=Rules!$E$7),MAX(Hit!B48,Stand!B48,Double!B48,Surrender!B48),MAX(Hit!B48,Stand!B48,Double!B48))</f>
        <v>-0.4800062419631399</v>
      </c>
      <c r="C48">
        <f>IF(Rules!$B$7=Rules!$E$7,MAX(Hit!C48,Stand!C48,Double!C48,Surrender!C48),MAX(Hit!C48,Stand!C48,Double!C48))</f>
        <v>-0.29278372720927726</v>
      </c>
      <c r="D48">
        <f>IF(Rules!$B$7=Rules!$E$7,MAX(Hit!D48,Stand!D48,Double!D48,Surrender!D48),MAX(Hit!D48,Stand!D48,Double!D48))</f>
        <v>-0.2522502292357135</v>
      </c>
      <c r="E48">
        <f>IF(Rules!$B$7=Rules!$E$7,MAX(Hit!E48,Stand!E48,Double!E48,Surrender!E48),MAX(Hit!E48,Stand!E48,Double!E48))</f>
        <v>-0.21106310899491437</v>
      </c>
      <c r="F48">
        <f>IF(Rules!$B$7=Rules!$E$7,MAX(Hit!F48,Stand!F48,Double!F48,Surrender!F48),MAX(Hit!F48,Stand!F48,Double!F48))</f>
        <v>-0.16719266083547524</v>
      </c>
      <c r="G48">
        <f>IF(Rules!$B$7=Rules!$E$7,MAX(Hit!G48,Stand!G48,Double!G48,Surrender!G48),MAX(Hit!G48,Stand!G48,Double!G48))</f>
        <v>-0.1536990158300045</v>
      </c>
      <c r="H48">
        <f>IF(Rules!$B$7=Rules!$E$7,MAX(Hit!H48,Stand!H48,Double!H48,Surrender!H48),MAX(Hit!H48,Stand!H48,Double!H48))</f>
        <v>-0.36976181807381175</v>
      </c>
      <c r="I48">
        <f>IF(Rules!$B$7=Rules!$E$7,MAX(Hit!I48,Stand!I48,Double!I48,Surrender!I48),MAX(Hit!I48,Stand!I48,Double!I48))</f>
        <v>-0.41678201408103371</v>
      </c>
      <c r="J48">
        <f>IF(Rules!$B$7=Rules!$E$7,MAX(Hit!J48,Stand!J48,Double!J48,Surrender!J48),MAX(Hit!J48,Stand!J48,Double!J48))</f>
        <v>-0.47157768859250415</v>
      </c>
      <c r="K48">
        <f>IF(Rules!$B$7=Rules!$E$7,MAX(Hit!K48,Stand!K48,Double!K48,Surrender!K48),MAX(Hit!K48,Stand!K48,Double!K48))</f>
        <v>-0.5</v>
      </c>
      <c r="N48" s="31">
        <v>25</v>
      </c>
      <c r="O48" s="31" t="str">
        <f>IF(B48=Surrender!B48,"R",HSD!O48)</f>
        <v>H</v>
      </c>
      <c r="P48" s="31" t="str">
        <f>IF(C48=Surrender!C48,"R",HSD!P48)</f>
        <v>S</v>
      </c>
      <c r="Q48" s="31" t="str">
        <f>IF(D48=Surrender!D48,"R",HSD!Q48)</f>
        <v>S</v>
      </c>
      <c r="R48" s="31" t="str">
        <f>IF(E48=Surrender!E48,"R",HSD!R48)</f>
        <v>S</v>
      </c>
      <c r="S48" s="31" t="str">
        <f>IF(F48=Surrender!F48,"R",HSD!S48)</f>
        <v>S</v>
      </c>
      <c r="T48" s="31" t="str">
        <f>IF(G48=Surrender!G48,"R",HSD!T48)</f>
        <v>S</v>
      </c>
      <c r="U48" s="31" t="str">
        <f>IF(H48=Surrender!H48,"R",HSD!U48)</f>
        <v>H</v>
      </c>
      <c r="V48" s="31" t="str">
        <f>IF(I48=Surrender!I48,"R",HSD!V48)</f>
        <v>H</v>
      </c>
      <c r="W48" s="31" t="str">
        <f>IF(J48=Surrender!J48,"R",HSD!W48)</f>
        <v>H</v>
      </c>
      <c r="X48" s="31" t="str">
        <f>IF(K48=Surrender!K48,"R",HSD!X48)</f>
        <v>R</v>
      </c>
    </row>
    <row r="49" spans="1:24" x14ac:dyDescent="0.2">
      <c r="A49">
        <v>26</v>
      </c>
      <c r="B49">
        <f>IF(AND(Rules!$B$8=Rules!$E$8,Rules!$B$7=Rules!$E$7),MAX(Hit!B49,Stand!B49,Double!B49,Surrender!B49),MAX(Hit!B49,Stand!B49,Double!B49))</f>
        <v>-0.51714865325148707</v>
      </c>
      <c r="C49">
        <f>IF(Rules!$B$7=Rules!$E$7,MAX(Hit!C49,Stand!C49,Double!C49,Surrender!C49),MAX(Hit!C49,Stand!C49,Double!C49))</f>
        <v>-0.29278372720927726</v>
      </c>
      <c r="D49">
        <f>IF(Rules!$B$7=Rules!$E$7,MAX(Hit!D49,Stand!D49,Double!D49,Surrender!D49),MAX(Hit!D49,Stand!D49,Double!D49))</f>
        <v>-0.2522502292357135</v>
      </c>
      <c r="E49">
        <f>IF(Rules!$B$7=Rules!$E$7,MAX(Hit!E49,Stand!E49,Double!E49,Surrender!E49),MAX(Hit!E49,Stand!E49,Double!E49))</f>
        <v>-0.21106310899491437</v>
      </c>
      <c r="F49">
        <f>IF(Rules!$B$7=Rules!$E$7,MAX(Hit!F49,Stand!F49,Double!F49,Surrender!F49),MAX(Hit!F49,Stand!F49,Double!F49))</f>
        <v>-0.16719266083547524</v>
      </c>
      <c r="G49">
        <f>IF(Rules!$B$7=Rules!$E$7,MAX(Hit!G49,Stand!G49,Double!G49,Surrender!G49),MAX(Hit!G49,Stand!G49,Double!G49))</f>
        <v>-0.1536990158300045</v>
      </c>
      <c r="H49">
        <f>IF(Rules!$B$7=Rules!$E$7,MAX(Hit!H49,Stand!H49,Double!H49,Surrender!H49),MAX(Hit!H49,Stand!H49,Double!H49))</f>
        <v>-0.41477883106853947</v>
      </c>
      <c r="I49">
        <f>IF(Rules!$B$7=Rules!$E$7,MAX(Hit!I49,Stand!I49,Double!I49,Surrender!I49),MAX(Hit!I49,Stand!I49,Double!I49))</f>
        <v>-0.45844044164667419</v>
      </c>
      <c r="J49">
        <f>IF(Rules!$B$7=Rules!$E$7,MAX(Hit!J49,Stand!J49,Double!J49,Surrender!J49),MAX(Hit!J49,Stand!J49,Double!J49))</f>
        <v>-0.5</v>
      </c>
      <c r="K49">
        <f>IF(Rules!$B$7=Rules!$E$7,MAX(Hit!K49,Stand!K49,Double!K49,Surrender!K49),MAX(Hit!K49,Stand!K49,Double!K49))</f>
        <v>-0.5</v>
      </c>
      <c r="N49" s="31">
        <v>26</v>
      </c>
      <c r="O49" s="31" t="str">
        <f>IF(B49=Surrender!B49,"R",HSD!O49)</f>
        <v>H</v>
      </c>
      <c r="P49" s="31" t="str">
        <f>IF(C49=Surrender!C49,"R",HSD!P49)</f>
        <v>S</v>
      </c>
      <c r="Q49" s="31" t="str">
        <f>IF(D49=Surrender!D49,"R",HSD!Q49)</f>
        <v>S</v>
      </c>
      <c r="R49" s="31" t="str">
        <f>IF(E49=Surrender!E49,"R",HSD!R49)</f>
        <v>S</v>
      </c>
      <c r="S49" s="31" t="str">
        <f>IF(F49=Surrender!F49,"R",HSD!S49)</f>
        <v>S</v>
      </c>
      <c r="T49" s="31" t="str">
        <f>IF(G49=Surrender!G49,"R",HSD!T49)</f>
        <v>S</v>
      </c>
      <c r="U49" s="31" t="str">
        <f>IF(H49=Surrender!H49,"R",HSD!U49)</f>
        <v>H</v>
      </c>
      <c r="V49" s="31" t="str">
        <f>IF(I49=Surrender!I49,"R",HSD!V49)</f>
        <v>H</v>
      </c>
      <c r="W49" s="31" t="str">
        <f>IF(J49=Surrender!J49,"R",HSD!W49)</f>
        <v>R</v>
      </c>
      <c r="X49" s="31" t="str">
        <f>IF(K49=Surrender!K49,"R",HSD!X49)</f>
        <v>R</v>
      </c>
    </row>
    <row r="50" spans="1:24" x14ac:dyDescent="0.2">
      <c r="A50">
        <v>27</v>
      </c>
      <c r="B50">
        <f>IF(AND(Rules!$B$8=Rules!$E$8,Rules!$B$7=Rules!$E$7),MAX(Hit!B50,Stand!B50,Double!B50,Surrender!B50),MAX(Hit!B50,Stand!B50,Double!B50))</f>
        <v>-0.47803347499473703</v>
      </c>
      <c r="C50">
        <f>IF(Rules!$B$7=Rules!$E$7,MAX(Hit!C50,Stand!C50,Double!C50,Surrender!C50),MAX(Hit!C50,Stand!C50,Double!C50))</f>
        <v>-0.15297458768154204</v>
      </c>
      <c r="D50">
        <f>IF(Rules!$B$7=Rules!$E$7,MAX(Hit!D50,Stand!D50,Double!D50,Surrender!D50),MAX(Hit!D50,Stand!D50,Double!D50))</f>
        <v>-0.11721624142457365</v>
      </c>
      <c r="E50">
        <f>IF(Rules!$B$7=Rules!$E$7,MAX(Hit!E50,Stand!E50,Double!E50,Surrender!E50),MAX(Hit!E50,Stand!E50,Double!E50))</f>
        <v>-8.0573373145316152E-2</v>
      </c>
      <c r="F50">
        <f>IF(Rules!$B$7=Rules!$E$7,MAX(Hit!F50,Stand!F50,Double!F50,Surrender!F50),MAX(Hit!F50,Stand!F50,Double!F50))</f>
        <v>-4.4941375564924446E-2</v>
      </c>
      <c r="G50">
        <f>IF(Rules!$B$7=Rules!$E$7,MAX(Hit!G50,Stand!G50,Double!G50,Surrender!G50),MAX(Hit!G50,Stand!G50,Double!G50))</f>
        <v>1.1739160673341853E-2</v>
      </c>
      <c r="H50">
        <f>IF(Rules!$B$7=Rules!$E$7,MAX(Hit!H50,Stand!H50,Double!H50,Surrender!H50),MAX(Hit!H50,Stand!H50,Double!H50))</f>
        <v>-0.10680898948269468</v>
      </c>
      <c r="I50">
        <f>IF(Rules!$B$7=Rules!$E$7,MAX(Hit!I50,Stand!I50,Double!I50,Surrender!I50),MAX(Hit!I50,Stand!I50,Double!I50))</f>
        <v>-0.38195097104844711</v>
      </c>
      <c r="J50">
        <f>IF(Rules!$B$7=Rules!$E$7,MAX(Hit!J50,Stand!J50,Double!J50,Surrender!J50),MAX(Hit!J50,Stand!J50,Double!J50))</f>
        <v>-0.42315423964521737</v>
      </c>
      <c r="K50">
        <f>IF(Rules!$B$7=Rules!$E$7,MAX(Hit!K50,Stand!K50,Double!K50,Surrender!K50),MAX(Hit!K50,Stand!K50,Double!K50))</f>
        <v>-0.41972063392881986</v>
      </c>
      <c r="N50" s="31">
        <v>27</v>
      </c>
      <c r="O50" s="31" t="str">
        <f>IF(B50=Surrender!B50,"R",HSD!O50)</f>
        <v>S</v>
      </c>
      <c r="P50" s="31" t="str">
        <f>IF(C50=Surrender!C50,"R",HSD!P50)</f>
        <v>S</v>
      </c>
      <c r="Q50" s="31" t="str">
        <f>IF(D50=Surrender!D50,"R",HSD!Q50)</f>
        <v>S</v>
      </c>
      <c r="R50" s="31" t="str">
        <f>IF(E50=Surrender!E50,"R",HSD!R50)</f>
        <v>S</v>
      </c>
      <c r="S50" s="31" t="str">
        <f>IF(F50=Surrender!F50,"R",HSD!S50)</f>
        <v>S</v>
      </c>
      <c r="T50" s="31" t="str">
        <f>IF(G50=Surrender!G50,"R",HSD!T50)</f>
        <v>S</v>
      </c>
      <c r="U50" s="31" t="str">
        <f>IF(H50=Surrender!H50,"R",HSD!U50)</f>
        <v>S</v>
      </c>
      <c r="V50" s="31" t="str">
        <f>IF(I50=Surrender!I50,"R",HSD!V50)</f>
        <v>S</v>
      </c>
      <c r="W50" s="31" t="str">
        <f>IF(J50=Surrender!J50,"R",HSD!W50)</f>
        <v>S</v>
      </c>
      <c r="X50" s="31" t="str">
        <f>IF(K50=Surrender!K50,"R",HSD!X50)</f>
        <v>S</v>
      </c>
    </row>
    <row r="51" spans="1:24" x14ac:dyDescent="0.2">
      <c r="A51">
        <v>28</v>
      </c>
      <c r="B51">
        <f>IF(AND(Rules!$B$8=Rules!$E$8,Rules!$B$7=Rules!$E$7),MAX(Hit!B51,Stand!B51,Double!B51,Surrender!B51),MAX(Hit!B51,Stand!B51,Double!B51))</f>
        <v>-0.10019887561319057</v>
      </c>
      <c r="C51">
        <f>IF(Rules!$B$7=Rules!$E$7,MAX(Hit!C51,Stand!C51,Double!C51,Surrender!C51),MAX(Hit!C51,Stand!C51,Double!C51))</f>
        <v>0.12174190222088771</v>
      </c>
      <c r="D51">
        <f>IF(Rules!$B$7=Rules!$E$7,MAX(Hit!D51,Stand!D51,Double!D51,Surrender!D51),MAX(Hit!D51,Stand!D51,Double!D51))</f>
        <v>0.14830007284131119</v>
      </c>
      <c r="E51">
        <f>IF(Rules!$B$7=Rules!$E$7,MAX(Hit!E51,Stand!E51,Double!E51,Surrender!E51),MAX(Hit!E51,Stand!E51,Double!E51))</f>
        <v>0.17585443719748528</v>
      </c>
      <c r="F51">
        <f>IF(Rules!$B$7=Rules!$E$7,MAX(Hit!F51,Stand!F51,Double!F51,Surrender!F51),MAX(Hit!F51,Stand!F51,Double!F51))</f>
        <v>0.19956119497617719</v>
      </c>
      <c r="G51">
        <f>IF(Rules!$B$7=Rules!$E$7,MAX(Hit!G51,Stand!G51,Double!G51,Surrender!G51),MAX(Hit!G51,Stand!G51,Double!G51))</f>
        <v>0.28344391604689856</v>
      </c>
      <c r="H51">
        <f>IF(Rules!$B$7=Rules!$E$7,MAX(Hit!H51,Stand!H51,Double!H51,Surrender!H51),MAX(Hit!H51,Stand!H51,Double!H51))</f>
        <v>0.3995541673365518</v>
      </c>
      <c r="I51">
        <f>IF(Rules!$B$7=Rules!$E$7,MAX(Hit!I51,Stand!I51,Double!I51,Surrender!I51),MAX(Hit!I51,Stand!I51,Double!I51))</f>
        <v>0.10595134861912359</v>
      </c>
      <c r="J51">
        <f>IF(Rules!$B$7=Rules!$E$7,MAX(Hit!J51,Stand!J51,Double!J51,Surrender!J51),MAX(Hit!J51,Stand!J51,Double!J51))</f>
        <v>-0.18316335667343331</v>
      </c>
      <c r="K51">
        <f>IF(Rules!$B$7=Rules!$E$7,MAX(Hit!K51,Stand!K51,Double!K51,Surrender!K51),MAX(Hit!K51,Stand!K51,Double!K51))</f>
        <v>-0.17830123379648949</v>
      </c>
      <c r="N51" s="31">
        <v>28</v>
      </c>
      <c r="O51" s="31" t="str">
        <f>IF(B51=Surrender!B51,"R",HSD!O51)</f>
        <v>S</v>
      </c>
      <c r="P51" s="31" t="str">
        <f>IF(C51=Surrender!C51,"R",HSD!P51)</f>
        <v>S</v>
      </c>
      <c r="Q51" s="31" t="str">
        <f>IF(D51=Surrender!D51,"R",HSD!Q51)</f>
        <v>S</v>
      </c>
      <c r="R51" s="31" t="str">
        <f>IF(E51=Surrender!E51,"R",HSD!R51)</f>
        <v>S</v>
      </c>
      <c r="S51" s="31" t="str">
        <f>IF(F51=Surrender!F51,"R",HSD!S51)</f>
        <v>S</v>
      </c>
      <c r="T51" s="31" t="str">
        <f>IF(G51=Surrender!G51,"R",HSD!T51)</f>
        <v>S</v>
      </c>
      <c r="U51" s="31" t="str">
        <f>IF(H51=Surrender!H51,"R",HSD!U51)</f>
        <v>S</v>
      </c>
      <c r="V51" s="31" t="str">
        <f>IF(I51=Surrender!I51,"R",HSD!V51)</f>
        <v>S</v>
      </c>
      <c r="W51" s="31" t="str">
        <f>IF(J51=Surrender!J51,"R",HSD!W51)</f>
        <v>S</v>
      </c>
      <c r="X51" s="31" t="str">
        <f>IF(K51=Surrender!K51,"R",HSD!X51)</f>
        <v>S</v>
      </c>
    </row>
    <row r="52" spans="1:24" x14ac:dyDescent="0.2">
      <c r="A52">
        <v>29</v>
      </c>
      <c r="B52">
        <f>IF(AND(Rules!$B$8=Rules!$E$8,Rules!$B$7=Rules!$E$7),MAX(Hit!B52,Stand!B52,Double!B52,Surrender!B52),MAX(Hit!B52,Stand!B52,Double!B52))</f>
        <v>0.27763572376835594</v>
      </c>
      <c r="C52">
        <f>IF(Rules!$B$7=Rules!$E$7,MAX(Hit!C52,Stand!C52,Double!C52,Surrender!C52),MAX(Hit!C52,Stand!C52,Double!C52))</f>
        <v>0.38630468602058993</v>
      </c>
      <c r="D52">
        <f>IF(Rules!$B$7=Rules!$E$7,MAX(Hit!D52,Stand!D52,Double!D52,Surrender!D52),MAX(Hit!D52,Stand!D52,Double!D52))</f>
        <v>0.4043629365977599</v>
      </c>
      <c r="E52">
        <f>IF(Rules!$B$7=Rules!$E$7,MAX(Hit!E52,Stand!E52,Double!E52,Surrender!E52),MAX(Hit!E52,Stand!E52,Double!E52))</f>
        <v>0.42317892482749653</v>
      </c>
      <c r="F52">
        <f>IF(Rules!$B$7=Rules!$E$7,MAX(Hit!F52,Stand!F52,Double!F52,Surrender!F52),MAX(Hit!F52,Stand!F52,Double!F52))</f>
        <v>0.43951210416088371</v>
      </c>
      <c r="G52">
        <f>IF(Rules!$B$7=Rules!$E$7,MAX(Hit!G52,Stand!G52,Double!G52,Surrender!G52),MAX(Hit!G52,Stand!G52,Double!G52))</f>
        <v>0.49597707378731914</v>
      </c>
      <c r="H52">
        <f>IF(Rules!$B$7=Rules!$E$7,MAX(Hit!H52,Stand!H52,Double!H52,Surrender!H52),MAX(Hit!H52,Stand!H52,Double!H52))</f>
        <v>0.6159764957534315</v>
      </c>
      <c r="I52">
        <f>IF(Rules!$B$7=Rules!$E$7,MAX(Hit!I52,Stand!I52,Double!I52,Surrender!I52),MAX(Hit!I52,Stand!I52,Double!I52))</f>
        <v>0.59385366828669439</v>
      </c>
      <c r="J52">
        <f>IF(Rules!$B$7=Rules!$E$7,MAX(Hit!J52,Stand!J52,Double!J52,Surrender!J52),MAX(Hit!J52,Stand!J52,Double!J52))</f>
        <v>0.28759675706758148</v>
      </c>
      <c r="K52">
        <f>IF(Rules!$B$7=Rules!$E$7,MAX(Hit!K52,Stand!K52,Double!K52,Surrender!K52),MAX(Hit!K52,Stand!K52,Double!K52))</f>
        <v>6.3118166335840831E-2</v>
      </c>
      <c r="N52" s="31">
        <v>29</v>
      </c>
      <c r="O52" s="31" t="str">
        <f>IF(B52=Surrender!B52,"R",HSD!O52)</f>
        <v>S</v>
      </c>
      <c r="P52" s="31" t="str">
        <f>IF(C52=Surrender!C52,"R",HSD!P52)</f>
        <v>S</v>
      </c>
      <c r="Q52" s="31" t="str">
        <f>IF(D52=Surrender!D52,"R",HSD!Q52)</f>
        <v>S</v>
      </c>
      <c r="R52" s="31" t="str">
        <f>IF(E52=Surrender!E52,"R",HSD!R52)</f>
        <v>S</v>
      </c>
      <c r="S52" s="31" t="str">
        <f>IF(F52=Surrender!F52,"R",HSD!S52)</f>
        <v>S</v>
      </c>
      <c r="T52" s="31" t="str">
        <f>IF(G52=Surrender!G52,"R",HSD!T52)</f>
        <v>S</v>
      </c>
      <c r="U52" s="31" t="str">
        <f>IF(H52=Surrender!H52,"R",HSD!U52)</f>
        <v>S</v>
      </c>
      <c r="V52" s="31" t="str">
        <f>IF(I52=Surrender!I52,"R",HSD!V52)</f>
        <v>S</v>
      </c>
      <c r="W52" s="31" t="str">
        <f>IF(J52=Surrender!J52,"R",HSD!W52)</f>
        <v>S</v>
      </c>
      <c r="X52" s="31" t="str">
        <f>IF(K52=Surrender!K52,"R",HSD!X52)</f>
        <v>S</v>
      </c>
    </row>
    <row r="53" spans="1:24" x14ac:dyDescent="0.2">
      <c r="A53">
        <v>30</v>
      </c>
      <c r="B53">
        <f>IF(AND(Rules!$B$8=Rules!$E$8,Rules!$B$7=Rules!$E$7),MAX(Hit!B53,Stand!B53,Double!B53,Surrender!B53),MAX(Hit!B53,Stand!B53,Double!B53))</f>
        <v>0.65547032314990239</v>
      </c>
      <c r="C53">
        <f>IF(Rules!$B$7=Rules!$E$7,MAX(Hit!C53,Stand!C53,Double!C53,Surrender!C53),MAX(Hit!C53,Stand!C53,Double!C53))</f>
        <v>0.63998657521683877</v>
      </c>
      <c r="D53">
        <f>IF(Rules!$B$7=Rules!$E$7,MAX(Hit!D53,Stand!D53,Double!D53,Surrender!D53),MAX(Hit!D53,Stand!D53,Double!D53))</f>
        <v>0.65027209425148136</v>
      </c>
      <c r="E53">
        <f>IF(Rules!$B$7=Rules!$E$7,MAX(Hit!E53,Stand!E53,Double!E53,Surrender!E53),MAX(Hit!E53,Stand!E53,Double!E53))</f>
        <v>0.66104996194807186</v>
      </c>
      <c r="F53">
        <f>IF(Rules!$B$7=Rules!$E$7,MAX(Hit!F53,Stand!F53,Double!F53,Surrender!F53),MAX(Hit!F53,Stand!F53,Double!F53))</f>
        <v>0.67035969063279999</v>
      </c>
      <c r="G53">
        <f>IF(Rules!$B$7=Rules!$E$7,MAX(Hit!G53,Stand!G53,Double!G53,Surrender!G53),MAX(Hit!G53,Stand!G53,Double!G53))</f>
        <v>0.70395857017134467</v>
      </c>
      <c r="H53">
        <f>IF(Rules!$B$7=Rules!$E$7,MAX(Hit!H53,Stand!H53,Double!H53,Surrender!H53),MAX(Hit!H53,Stand!H53,Double!H53))</f>
        <v>0.77322722653717491</v>
      </c>
      <c r="I53">
        <f>IF(Rules!$B$7=Rules!$E$7,MAX(Hit!I53,Stand!I53,Double!I53,Surrender!I53),MAX(Hit!I53,Stand!I53,Double!I53))</f>
        <v>0.79181515955189841</v>
      </c>
      <c r="J53">
        <f>IF(Rules!$B$7=Rules!$E$7,MAX(Hit!J53,Stand!J53,Double!J53,Surrender!J53),MAX(Hit!J53,Stand!J53,Double!J53))</f>
        <v>0.75835687080859626</v>
      </c>
      <c r="K53">
        <f>IF(Rules!$B$7=Rules!$E$7,MAX(Hit!K53,Stand!K53,Double!K53,Surrender!K53),MAX(Hit!K53,Stand!K53,Double!K53))</f>
        <v>0.55453756646817121</v>
      </c>
      <c r="N53" s="31">
        <v>30</v>
      </c>
      <c r="O53" s="31" t="str">
        <f>IF(B53=Surrender!B53,"R",HSD!O53)</f>
        <v>S</v>
      </c>
      <c r="P53" s="31" t="str">
        <f>IF(C53=Surrender!C53,"R",HSD!P53)</f>
        <v>S</v>
      </c>
      <c r="Q53" s="31" t="str">
        <f>IF(D53=Surrender!D53,"R",HSD!Q53)</f>
        <v>S</v>
      </c>
      <c r="R53" s="31" t="str">
        <f>IF(E53=Surrender!E53,"R",HSD!R53)</f>
        <v>S</v>
      </c>
      <c r="S53" s="31" t="str">
        <f>IF(F53=Surrender!F53,"R",HSD!S53)</f>
        <v>S</v>
      </c>
      <c r="T53" s="31" t="str">
        <f>IF(G53=Surrender!G53,"R",HSD!T53)</f>
        <v>S</v>
      </c>
      <c r="U53" s="31" t="str">
        <f>IF(H53=Surrender!H53,"R",HSD!U53)</f>
        <v>S</v>
      </c>
      <c r="V53" s="31" t="str">
        <f>IF(I53=Surrender!I53,"R",HSD!V53)</f>
        <v>S</v>
      </c>
      <c r="W53" s="31" t="str">
        <f>IF(J53=Surrender!J53,"R",HSD!W53)</f>
        <v>S</v>
      </c>
      <c r="X53" s="31" t="str">
        <f>IF(K53=Surrender!K53,"R",HSD!X53)</f>
        <v>S</v>
      </c>
    </row>
    <row r="54" spans="1:24" x14ac:dyDescent="0.2">
      <c r="A54">
        <v>31</v>
      </c>
      <c r="B54">
        <f>IF(AND(Rules!$B$8=Rules!$E$8,Rules!$B$7=Rules!$E$7),MAX(Hit!B54,Stand!B54,Double!B54,Surrender!B54),MAX(Hit!B54,Stand!B54,Double!B54))</f>
        <v>0.92219381142033785</v>
      </c>
      <c r="C54">
        <f>IF(Rules!$B$7=Rules!$E$7,MAX(Hit!C54,Stand!C54,Double!C54,Surrender!C54),MAX(Hit!C54,Stand!C54,Double!C54))</f>
        <v>0.88200651549403997</v>
      </c>
      <c r="D54">
        <f>IF(Rules!$B$7=Rules!$E$7,MAX(Hit!D54,Stand!D54,Double!D54,Surrender!D54),MAX(Hit!D54,Stand!D54,Double!D54))</f>
        <v>0.88530035730174927</v>
      </c>
      <c r="E54">
        <f>IF(Rules!$B$7=Rules!$E$7,MAX(Hit!E54,Stand!E54,Double!E54,Surrender!E54),MAX(Hit!E54,Stand!E54,Double!E54))</f>
        <v>0.88876729296591961</v>
      </c>
      <c r="F54">
        <f>IF(Rules!$B$7=Rules!$E$7,MAX(Hit!F54,Stand!F54,Double!F54,Surrender!F54),MAX(Hit!F54,Stand!F54,Double!F54))</f>
        <v>0.89175382659528035</v>
      </c>
      <c r="G54">
        <f>IF(Rules!$B$7=Rules!$E$7,MAX(Hit!G54,Stand!G54,Double!G54,Surrender!G54),MAX(Hit!G54,Stand!G54,Double!G54))</f>
        <v>0.90283674384257995</v>
      </c>
      <c r="H54">
        <f>IF(Rules!$B$7=Rules!$E$7,MAX(Hit!H54,Stand!H54,Double!H54,Surrender!H54),MAX(Hit!H54,Stand!H54,Double!H54))</f>
        <v>0.92592629596452325</v>
      </c>
      <c r="I54">
        <f>IF(Rules!$B$7=Rules!$E$7,MAX(Hit!I54,Stand!I54,Double!I54,Surrender!I54),MAX(Hit!I54,Stand!I54,Double!I54))</f>
        <v>0.93060505318396614</v>
      </c>
      <c r="J54">
        <f>IF(Rules!$B$7=Rules!$E$7,MAX(Hit!J54,Stand!J54,Double!J54,Surrender!J54),MAX(Hit!J54,Stand!J54,Double!J54))</f>
        <v>0.93917615614724415</v>
      </c>
      <c r="K54">
        <f>IF(Rules!$B$7=Rules!$E$7,MAX(Hit!K54,Stand!K54,Double!K54,Surrender!K54),MAX(Hit!K54,Stand!K54,Double!K54))</f>
        <v>0.96262363326716827</v>
      </c>
      <c r="N54" s="31">
        <v>31</v>
      </c>
      <c r="O54" s="31" t="str">
        <f>IF(B54=Surrender!B54,"R",HSD!O54)</f>
        <v>S</v>
      </c>
      <c r="P54" s="31" t="str">
        <f>IF(C54=Surrender!C54,"R",HSD!P54)</f>
        <v>S</v>
      </c>
      <c r="Q54" s="31" t="str">
        <f>IF(D54=Surrender!D54,"R",HSD!Q54)</f>
        <v>S</v>
      </c>
      <c r="R54" s="31" t="str">
        <f>IF(E54=Surrender!E54,"R",HSD!R54)</f>
        <v>S</v>
      </c>
      <c r="S54" s="31" t="str">
        <f>IF(F54=Surrender!F54,"R",HSD!S54)</f>
        <v>S</v>
      </c>
      <c r="T54" s="31" t="str">
        <f>IF(G54=Surrender!G54,"R",HSD!T54)</f>
        <v>S</v>
      </c>
      <c r="U54" s="31" t="str">
        <f>IF(H54=Surrender!H54,"R",HSD!U54)</f>
        <v>S</v>
      </c>
      <c r="V54" s="31" t="str">
        <f>IF(I54=Surrender!I54,"R",HSD!V54)</f>
        <v>S</v>
      </c>
      <c r="W54" s="31" t="str">
        <f>IF(J54=Surrender!J54,"R",HSD!W54)</f>
        <v>S</v>
      </c>
      <c r="X54" s="31" t="str">
        <f>IF(K54=Surrender!K54,"R",HSD!X54)</f>
        <v>S</v>
      </c>
    </row>
  </sheetData>
  <sheetProtection sheet="1" objects="1" scenarios="1"/>
  <phoneticPr fontId="14" type="noConversion"/>
  <conditionalFormatting sqref="O2:X31">
    <cfRule type="containsText" dxfId="842" priority="14" operator="containsText" text="S">
      <formula>NOT(ISERROR(SEARCH("S",O2)))</formula>
    </cfRule>
    <cfRule type="containsText" dxfId="841" priority="15" operator="containsText" text="H">
      <formula>NOT(ISERROR(SEARCH("H",O2)))</formula>
    </cfRule>
  </conditionalFormatting>
  <conditionalFormatting sqref="O2:X31">
    <cfRule type="containsText" dxfId="840" priority="13" operator="containsText" text="D">
      <formula>NOT(ISERROR(SEARCH("D",O2)))</formula>
    </cfRule>
  </conditionalFormatting>
  <conditionalFormatting sqref="O2:X31">
    <cfRule type="containsText" dxfId="839" priority="9" operator="containsText" text="R">
      <formula>NOT(ISERROR(SEARCH("R",O2)))</formula>
    </cfRule>
  </conditionalFormatting>
  <conditionalFormatting sqref="O34:X54">
    <cfRule type="containsText" dxfId="838" priority="3" operator="containsText" text="S">
      <formula>NOT(ISERROR(SEARCH("S",O34)))</formula>
    </cfRule>
    <cfRule type="containsText" dxfId="837" priority="4" operator="containsText" text="H">
      <formula>NOT(ISERROR(SEARCH("H",O34)))</formula>
    </cfRule>
  </conditionalFormatting>
  <conditionalFormatting sqref="O34:X54">
    <cfRule type="containsText" dxfId="836" priority="2" operator="containsText" text="D">
      <formula>NOT(ISERROR(SEARCH("D",O34)))</formula>
    </cfRule>
  </conditionalFormatting>
  <conditionalFormatting sqref="O34:X54">
    <cfRule type="containsText" dxfId="835" priority="1" operator="containsText" text="R">
      <formula>NOT(ISERROR(SEARCH("R",O34)))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</vt:i4>
      </vt:variant>
    </vt:vector>
  </HeadingPairs>
  <TitlesOfParts>
    <vt:vector size="47" baseType="lpstr">
      <vt:lpstr>Rules</vt:lpstr>
      <vt:lpstr>Dealer</vt:lpstr>
      <vt:lpstr>Stand</vt:lpstr>
      <vt:lpstr>Hit</vt:lpstr>
      <vt:lpstr>HS</vt:lpstr>
      <vt:lpstr>Double</vt:lpstr>
      <vt:lpstr>HSD</vt:lpstr>
      <vt:lpstr>Surrender</vt:lpstr>
      <vt:lpstr>HSDR</vt:lpstr>
      <vt:lpstr>Pair</vt:lpstr>
      <vt:lpstr>Blackjack</vt:lpstr>
      <vt:lpstr>Prob</vt:lpstr>
      <vt:lpstr>5 Cards</vt:lpstr>
      <vt:lpstr>Three 7 Cards</vt:lpstr>
      <vt:lpstr>ER</vt:lpstr>
      <vt:lpstr>Summary</vt:lpstr>
      <vt:lpstr>EV</vt:lpstr>
      <vt:lpstr>WL Prob</vt:lpstr>
      <vt:lpstr>Analysis</vt:lpstr>
      <vt:lpstr>1x2</vt:lpstr>
      <vt:lpstr>1x3</vt:lpstr>
      <vt:lpstr>1x4</vt:lpstr>
      <vt:lpstr>1x5</vt:lpstr>
      <vt:lpstr>1x6</vt:lpstr>
      <vt:lpstr>1x7</vt:lpstr>
      <vt:lpstr>1x8</vt:lpstr>
      <vt:lpstr>1x9</vt:lpstr>
      <vt:lpstr>1x10</vt:lpstr>
      <vt:lpstr>2x3</vt:lpstr>
      <vt:lpstr>3x4</vt:lpstr>
      <vt:lpstr>2x4</vt:lpstr>
      <vt:lpstr>2x5</vt:lpstr>
      <vt:lpstr>2x6</vt:lpstr>
      <vt:lpstr>2x7</vt:lpstr>
      <vt:lpstr>2x8</vt:lpstr>
      <vt:lpstr>2x9</vt:lpstr>
      <vt:lpstr>2x10</vt:lpstr>
      <vt:lpstr>3x5</vt:lpstr>
      <vt:lpstr>3x6</vt:lpstr>
      <vt:lpstr>3x7</vt:lpstr>
      <vt:lpstr>3x8</vt:lpstr>
      <vt:lpstr>3x9</vt:lpstr>
      <vt:lpstr>3x10</vt:lpstr>
      <vt:lpstr>Strategy Summary</vt:lpstr>
      <vt:lpstr>Final</vt:lpstr>
      <vt:lpstr>Final!Print_Area</vt:lpstr>
      <vt:lpstr>Rules!Print_Area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Atipat Lorwong-ngam</dc:creator>
  <cp:lastModifiedBy>宗保 罗</cp:lastModifiedBy>
  <cp:lastPrinted>2019-01-28T01:59:29Z</cp:lastPrinted>
  <dcterms:created xsi:type="dcterms:W3CDTF">2015-03-11T15:17:04Z</dcterms:created>
  <dcterms:modified xsi:type="dcterms:W3CDTF">2019-02-03T06:28:54Z</dcterms:modified>
</cp:coreProperties>
</file>