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My Documents/[Gambling]/BlackJack/"/>
    </mc:Choice>
  </mc:AlternateContent>
  <xr:revisionPtr revIDLastSave="0" documentId="13_ncr:1_{9D5C73A9-5C7B-1846-8096-96EF71080DE8}" xr6:coauthVersionLast="47" xr6:coauthVersionMax="47" xr10:uidLastSave="{00000000-0000-0000-0000-000000000000}"/>
  <bookViews>
    <workbookView xWindow="0" yWindow="500" windowWidth="25600" windowHeight="14840" tabRatio="867" firstSheet="4" activeTab="19" xr2:uid="{00000000-000D-0000-FFFF-FFFF00000000}"/>
  </bookViews>
  <sheets>
    <sheet name="Rules" sheetId="32" r:id="rId1"/>
    <sheet name="Analysis" sheetId="35" r:id="rId2"/>
    <sheet name="Chosen Strategy Analysis" sheetId="36" r:id="rId3"/>
    <sheet name="Plan" sheetId="37" r:id="rId4"/>
    <sheet name="Dealer" sheetId="12" r:id="rId5"/>
    <sheet name="Stand" sheetId="13" r:id="rId6"/>
    <sheet name="Hit" sheetId="14" r:id="rId7"/>
    <sheet name="HS" sheetId="15" r:id="rId8"/>
    <sheet name="Double" sheetId="17" r:id="rId9"/>
    <sheet name="HSD" sheetId="18" r:id="rId10"/>
    <sheet name="Surrender" sheetId="19" r:id="rId11"/>
    <sheet name="HSDR" sheetId="20" r:id="rId12"/>
    <sheet name="Pair" sheetId="22" r:id="rId13"/>
    <sheet name="Blackjack" sheetId="28" r:id="rId14"/>
    <sheet name="Prob" sheetId="24" r:id="rId15"/>
    <sheet name="5 Cards" sheetId="33" state="hidden" r:id="rId16"/>
    <sheet name="Three 7 Cards" sheetId="34" state="hidden" r:id="rId17"/>
    <sheet name="ER" sheetId="25" state="hidden" r:id="rId18"/>
    <sheet name="EV" sheetId="26" state="hidden" r:id="rId19"/>
    <sheet name="Summary" sheetId="27" r:id="rId20"/>
    <sheet name="WL Prob" sheetId="29" state="hidden" r:id="rId21"/>
    <sheet name="Summary (2)" sheetId="31" state="hidden" r:id="rId22"/>
  </sheets>
  <definedNames>
    <definedName name="_xlnm.Print_Area" localSheetId="0">Rules!$A$1:$S$42</definedName>
    <definedName name="_xlnm.Print_Area" localSheetId="21">'Summary (2)'!$A$1:$Y$39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36" l="1"/>
  <c r="J29" i="36"/>
  <c r="I30" i="36" s="1"/>
  <c r="I29" i="36"/>
  <c r="H30" i="36" s="1"/>
  <c r="H29" i="36"/>
  <c r="G30" i="36"/>
  <c r="G29" i="36"/>
  <c r="F30" i="36"/>
  <c r="J34" i="36"/>
  <c r="I35" i="36"/>
  <c r="I34" i="36"/>
  <c r="H35" i="36"/>
  <c r="H34" i="36"/>
  <c r="G35" i="36" s="1"/>
  <c r="J50" i="36"/>
  <c r="J45" i="36"/>
  <c r="J44" i="36"/>
  <c r="I45" i="36" s="1"/>
  <c r="J35" i="36"/>
  <c r="I39" i="36"/>
  <c r="H40" i="36"/>
  <c r="J39" i="36"/>
  <c r="I40" i="36"/>
  <c r="J40" i="36"/>
  <c r="B6" i="37"/>
  <c r="C6" i="37"/>
  <c r="D6" i="37"/>
  <c r="B7" i="37"/>
  <c r="C7" i="37" s="1"/>
  <c r="D7" i="37"/>
  <c r="B8" i="37"/>
  <c r="B9" i="37"/>
  <c r="C9" i="37" s="1"/>
  <c r="D9" i="37"/>
  <c r="B10" i="37"/>
  <c r="B11" i="37"/>
  <c r="C11" i="37" s="1"/>
  <c r="B12" i="37"/>
  <c r="C12" i="37"/>
  <c r="D12" i="37" s="1"/>
  <c r="B13" i="37"/>
  <c r="B14" i="37"/>
  <c r="C14" i="37"/>
  <c r="D14" i="37"/>
  <c r="B5" i="37"/>
  <c r="C5" i="37" s="1"/>
  <c r="D5" i="37"/>
  <c r="B19" i="37"/>
  <c r="C19" i="37"/>
  <c r="D19" i="37"/>
  <c r="E19" i="37" s="1"/>
  <c r="F19" i="37" s="1"/>
  <c r="B20" i="37"/>
  <c r="C20" i="37"/>
  <c r="D20" i="37"/>
  <c r="E20" i="37"/>
  <c r="F20" i="37" s="1"/>
  <c r="B21" i="37"/>
  <c r="C21" i="37"/>
  <c r="D21" i="37"/>
  <c r="E21" i="37"/>
  <c r="F21" i="37" s="1"/>
  <c r="G21" i="37"/>
  <c r="B22" i="37"/>
  <c r="C22" i="37" s="1"/>
  <c r="D22" i="37" s="1"/>
  <c r="E22" i="37" s="1"/>
  <c r="F22" i="37" s="1"/>
  <c r="G22" i="37"/>
  <c r="B23" i="37"/>
  <c r="B24" i="37"/>
  <c r="C24" i="37"/>
  <c r="D24" i="37" s="1"/>
  <c r="E24" i="37" s="1"/>
  <c r="F24" i="37" s="1"/>
  <c r="B25" i="37"/>
  <c r="B26" i="37"/>
  <c r="B27" i="37"/>
  <c r="C27" i="37"/>
  <c r="D27" i="37" s="1"/>
  <c r="E27" i="37" s="1"/>
  <c r="F27" i="37" s="1"/>
  <c r="G27" i="37"/>
  <c r="B18" i="37"/>
  <c r="C18" i="37"/>
  <c r="D18" i="37"/>
  <c r="H24" i="12"/>
  <c r="H25" i="12"/>
  <c r="Q15" i="12"/>
  <c r="P15" i="12"/>
  <c r="P25" i="12"/>
  <c r="Q25" i="12"/>
  <c r="H26" i="12"/>
  <c r="Q16" i="12"/>
  <c r="H27" i="12"/>
  <c r="Q17" i="12"/>
  <c r="P17" i="12"/>
  <c r="O17" i="12" s="1"/>
  <c r="O27" i="12" s="1"/>
  <c r="N17" i="12"/>
  <c r="M17" i="12"/>
  <c r="M27" i="12" s="1"/>
  <c r="N27" i="12"/>
  <c r="P27" i="12"/>
  <c r="Q27" i="12"/>
  <c r="H28" i="12"/>
  <c r="Q18" i="12"/>
  <c r="P18" i="12"/>
  <c r="O18" i="12" s="1"/>
  <c r="N18" i="12"/>
  <c r="P28" i="12"/>
  <c r="Q28" i="12"/>
  <c r="H29" i="12"/>
  <c r="Q19" i="12"/>
  <c r="P19" i="12"/>
  <c r="O19" i="12"/>
  <c r="D57" i="24"/>
  <c r="C58" i="24"/>
  <c r="E57" i="24"/>
  <c r="C59" i="24"/>
  <c r="F57" i="24"/>
  <c r="E58" i="24"/>
  <c r="D59" i="24"/>
  <c r="C60" i="24"/>
  <c r="G57" i="24"/>
  <c r="F58" i="24"/>
  <c r="D60" i="24"/>
  <c r="C61" i="24"/>
  <c r="H57" i="24"/>
  <c r="G58" i="24"/>
  <c r="F59" i="24"/>
  <c r="E60" i="24"/>
  <c r="I57" i="24"/>
  <c r="J57" i="24"/>
  <c r="K57" i="24"/>
  <c r="H58" i="24"/>
  <c r="I58" i="24"/>
  <c r="J58" i="24"/>
  <c r="K58" i="24"/>
  <c r="G59" i="24"/>
  <c r="H59" i="24"/>
  <c r="I59" i="24"/>
  <c r="J59" i="24"/>
  <c r="K59" i="24"/>
  <c r="G60" i="24"/>
  <c r="H60" i="24"/>
  <c r="I60" i="24"/>
  <c r="J60" i="24"/>
  <c r="K60" i="24"/>
  <c r="D61" i="24"/>
  <c r="E61" i="24"/>
  <c r="F61" i="24"/>
  <c r="H61" i="24"/>
  <c r="I61" i="24"/>
  <c r="J61" i="24"/>
  <c r="K61" i="24"/>
  <c r="C62" i="24"/>
  <c r="D62" i="24"/>
  <c r="E62" i="24"/>
  <c r="F62" i="24"/>
  <c r="G62" i="24"/>
  <c r="I62" i="24"/>
  <c r="J62" i="24"/>
  <c r="K62" i="24"/>
  <c r="C63" i="24"/>
  <c r="D63" i="24"/>
  <c r="E63" i="24"/>
  <c r="F63" i="24"/>
  <c r="G63" i="24"/>
  <c r="H63" i="24"/>
  <c r="J63" i="24"/>
  <c r="K63" i="24"/>
  <c r="C64" i="24"/>
  <c r="D64" i="24"/>
  <c r="E64" i="24"/>
  <c r="F64" i="24"/>
  <c r="G64" i="24"/>
  <c r="H64" i="24"/>
  <c r="I64" i="24"/>
  <c r="K64" i="24"/>
  <c r="C65" i="24"/>
  <c r="D65" i="24"/>
  <c r="E65" i="24"/>
  <c r="F65" i="24"/>
  <c r="G65" i="24"/>
  <c r="H65" i="24"/>
  <c r="I65" i="24"/>
  <c r="J65" i="24"/>
  <c r="B18" i="24"/>
  <c r="C18" i="24"/>
  <c r="D18" i="24"/>
  <c r="E18" i="24"/>
  <c r="F18" i="24"/>
  <c r="G18" i="24"/>
  <c r="H18" i="24"/>
  <c r="I18" i="24"/>
  <c r="J18" i="24"/>
  <c r="K18" i="24"/>
  <c r="B19" i="24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8" i="24"/>
  <c r="C28" i="24"/>
  <c r="D28" i="24"/>
  <c r="E28" i="24"/>
  <c r="F28" i="24"/>
  <c r="G28" i="24"/>
  <c r="H28" i="24"/>
  <c r="I28" i="24"/>
  <c r="J28" i="24"/>
  <c r="K28" i="24"/>
  <c r="B29" i="24"/>
  <c r="C29" i="24"/>
  <c r="D29" i="24"/>
  <c r="E29" i="24"/>
  <c r="F29" i="24"/>
  <c r="G29" i="24"/>
  <c r="H29" i="24"/>
  <c r="I29" i="24"/>
  <c r="J29" i="24"/>
  <c r="K29" i="24"/>
  <c r="B30" i="24"/>
  <c r="C30" i="24"/>
  <c r="D30" i="24"/>
  <c r="E30" i="24"/>
  <c r="F30" i="24"/>
  <c r="G30" i="24"/>
  <c r="H30" i="24"/>
  <c r="I30" i="24"/>
  <c r="J30" i="24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E26" i="26"/>
  <c r="E26" i="29" s="1"/>
  <c r="F26" i="26"/>
  <c r="F26" i="29" s="1"/>
  <c r="J33" i="12"/>
  <c r="C1" i="28"/>
  <c r="C2" i="28"/>
  <c r="C3" i="28" s="1"/>
  <c r="C39" i="26" s="1"/>
  <c r="C39" i="24"/>
  <c r="C45" i="26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L21" i="33"/>
  <c r="G26" i="33"/>
  <c r="L22" i="33"/>
  <c r="H26" i="33"/>
  <c r="S53" i="33"/>
  <c r="T53" i="33"/>
  <c r="U53" i="33"/>
  <c r="L26" i="33"/>
  <c r="L17" i="33"/>
  <c r="C26" i="33"/>
  <c r="L18" i="33"/>
  <c r="D26" i="33"/>
  <c r="L19" i="33"/>
  <c r="E26" i="33"/>
  <c r="L20" i="33"/>
  <c r="F26" i="33"/>
  <c r="L23" i="33"/>
  <c r="I26" i="33"/>
  <c r="L24" i="33"/>
  <c r="J26" i="33"/>
  <c r="L25" i="33"/>
  <c r="K26" i="33"/>
  <c r="R82" i="33"/>
  <c r="S82" i="33"/>
  <c r="T82" i="33"/>
  <c r="C46" i="26"/>
  <c r="W14" i="12"/>
  <c r="B26" i="25"/>
  <c r="B26" i="26" s="1"/>
  <c r="B26" i="29" s="1"/>
  <c r="C26" i="25"/>
  <c r="C26" i="26" s="1"/>
  <c r="C26" i="29" s="1"/>
  <c r="D26" i="25"/>
  <c r="D26" i="26" s="1"/>
  <c r="D26" i="29" s="1"/>
  <c r="E26" i="25"/>
  <c r="F26" i="25"/>
  <c r="G26" i="25"/>
  <c r="H26" i="25"/>
  <c r="I26" i="25"/>
  <c r="I26" i="26" s="1"/>
  <c r="I26" i="29" s="1"/>
  <c r="J26" i="25"/>
  <c r="J26" i="26" s="1"/>
  <c r="J26" i="29" s="1"/>
  <c r="K26" i="25"/>
  <c r="K26" i="26" s="1"/>
  <c r="K26" i="29" s="1"/>
  <c r="D2" i="34"/>
  <c r="C2" i="34"/>
  <c r="B2" i="34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4" i="33"/>
  <c r="L5" i="33"/>
  <c r="L6" i="33"/>
  <c r="L7" i="33"/>
  <c r="L8" i="33"/>
  <c r="L9" i="33"/>
  <c r="L10" i="33"/>
  <c r="R5" i="33" s="1"/>
  <c r="B48" i="33" s="1"/>
  <c r="L11" i="33"/>
  <c r="L12" i="33"/>
  <c r="L13" i="33"/>
  <c r="C13" i="33"/>
  <c r="D13" i="33"/>
  <c r="E13" i="33"/>
  <c r="F13" i="33"/>
  <c r="G13" i="33"/>
  <c r="H13" i="33"/>
  <c r="I13" i="33"/>
  <c r="J13" i="33"/>
  <c r="K13" i="33"/>
  <c r="X73" i="33"/>
  <c r="Y73" i="33"/>
  <c r="Z73" i="33"/>
  <c r="AA73" i="33"/>
  <c r="AB73" i="33"/>
  <c r="W102" i="33"/>
  <c r="X102" i="33"/>
  <c r="Y102" i="33"/>
  <c r="Z102" i="33"/>
  <c r="AA102" i="33"/>
  <c r="AB102" i="33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H30" i="12"/>
  <c r="H31" i="12" s="1"/>
  <c r="W24" i="12"/>
  <c r="I31" i="12"/>
  <c r="J31" i="12"/>
  <c r="K31" i="12"/>
  <c r="L31" i="12"/>
  <c r="R24" i="12"/>
  <c r="S24" i="12"/>
  <c r="T24" i="12"/>
  <c r="U24" i="12"/>
  <c r="V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V31" i="12" s="1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C5" i="32"/>
  <c r="B21" i="17"/>
  <c r="B54" i="17" s="1"/>
  <c r="B22" i="20"/>
  <c r="B23" i="20"/>
  <c r="B24" i="20"/>
  <c r="B25" i="20"/>
  <c r="B26" i="20"/>
  <c r="B27" i="20"/>
  <c r="B28" i="20"/>
  <c r="B29" i="20"/>
  <c r="B30" i="20"/>
  <c r="B31" i="20"/>
  <c r="K21" i="17"/>
  <c r="K54" i="17"/>
  <c r="J21" i="17"/>
  <c r="J54" i="17" s="1"/>
  <c r="I21" i="17"/>
  <c r="I54" i="17" s="1"/>
  <c r="H21" i="17"/>
  <c r="H54" i="17"/>
  <c r="G21" i="17"/>
  <c r="G54" i="17" s="1"/>
  <c r="F21" i="17"/>
  <c r="F54" i="17" s="1"/>
  <c r="E21" i="17"/>
  <c r="E54" i="17" s="1"/>
  <c r="D21" i="17"/>
  <c r="D54" i="17"/>
  <c r="C21" i="17"/>
  <c r="C54" i="17" s="1"/>
  <c r="C22" i="20"/>
  <c r="P22" i="20" s="1"/>
  <c r="D22" i="20"/>
  <c r="Q22" i="20" s="1"/>
  <c r="E22" i="20"/>
  <c r="F22" i="20"/>
  <c r="G22" i="20"/>
  <c r="H22" i="20"/>
  <c r="I22" i="20"/>
  <c r="V22" i="20" s="1"/>
  <c r="J22" i="20"/>
  <c r="W22" i="20" s="1"/>
  <c r="K22" i="20"/>
  <c r="X22" i="20" s="1"/>
  <c r="C23" i="20"/>
  <c r="P23" i="20" s="1"/>
  <c r="D23" i="20"/>
  <c r="E23" i="20"/>
  <c r="F23" i="20"/>
  <c r="G23" i="20"/>
  <c r="H23" i="20"/>
  <c r="U23" i="20" s="1"/>
  <c r="I23" i="20"/>
  <c r="J23" i="20"/>
  <c r="W23" i="20" s="1"/>
  <c r="K23" i="20"/>
  <c r="X23" i="20" s="1"/>
  <c r="C24" i="20"/>
  <c r="D24" i="20"/>
  <c r="E24" i="20"/>
  <c r="F24" i="20"/>
  <c r="G24" i="20"/>
  <c r="T24" i="20" s="1"/>
  <c r="H24" i="20"/>
  <c r="U24" i="20" s="1"/>
  <c r="I24" i="20"/>
  <c r="J24" i="20"/>
  <c r="W24" i="20" s="1"/>
  <c r="K24" i="20"/>
  <c r="C25" i="20"/>
  <c r="D25" i="20"/>
  <c r="E25" i="20"/>
  <c r="F25" i="20"/>
  <c r="S25" i="20" s="1"/>
  <c r="G25" i="20"/>
  <c r="T25" i="20" s="1"/>
  <c r="H25" i="20"/>
  <c r="U25" i="20" s="1"/>
  <c r="I25" i="20"/>
  <c r="V25" i="20" s="1"/>
  <c r="J25" i="20"/>
  <c r="K25" i="20"/>
  <c r="C26" i="20"/>
  <c r="D26" i="20"/>
  <c r="E26" i="20"/>
  <c r="R26" i="20" s="1"/>
  <c r="F26" i="20"/>
  <c r="S26" i="20" s="1"/>
  <c r="G26" i="20"/>
  <c r="T26" i="20" s="1"/>
  <c r="H26" i="20"/>
  <c r="U26" i="20" s="1"/>
  <c r="I26" i="20"/>
  <c r="J26" i="20"/>
  <c r="K26" i="20"/>
  <c r="C27" i="20"/>
  <c r="D27" i="20"/>
  <c r="Q27" i="20" s="1"/>
  <c r="E27" i="20"/>
  <c r="R27" i="20" s="1"/>
  <c r="F27" i="20"/>
  <c r="S27" i="20" s="1"/>
  <c r="G27" i="20"/>
  <c r="T27" i="20" s="1"/>
  <c r="H27" i="20"/>
  <c r="I27" i="20"/>
  <c r="J27" i="20"/>
  <c r="K27" i="20"/>
  <c r="C28" i="20"/>
  <c r="P28" i="20" s="1"/>
  <c r="D28" i="20"/>
  <c r="Q28" i="20" s="1"/>
  <c r="E28" i="20"/>
  <c r="R28" i="20" s="1"/>
  <c r="F28" i="20"/>
  <c r="S28" i="20" s="1"/>
  <c r="G28" i="20"/>
  <c r="H28" i="20"/>
  <c r="I28" i="20"/>
  <c r="J28" i="20"/>
  <c r="K28" i="20"/>
  <c r="X28" i="20" s="1"/>
  <c r="C29" i="20"/>
  <c r="D29" i="20"/>
  <c r="Q29" i="20" s="1"/>
  <c r="E29" i="20"/>
  <c r="R29" i="20" s="1"/>
  <c r="F29" i="20"/>
  <c r="G29" i="20"/>
  <c r="H29" i="20"/>
  <c r="I29" i="20"/>
  <c r="J29" i="20"/>
  <c r="W29" i="20" s="1"/>
  <c r="K29" i="20"/>
  <c r="C30" i="20"/>
  <c r="P30" i="20" s="1"/>
  <c r="D30" i="20"/>
  <c r="Q30" i="20" s="1"/>
  <c r="E30" i="20"/>
  <c r="F30" i="20"/>
  <c r="G30" i="20"/>
  <c r="H30" i="20"/>
  <c r="I30" i="20"/>
  <c r="V30" i="20" s="1"/>
  <c r="J30" i="20"/>
  <c r="K30" i="20"/>
  <c r="X30" i="20" s="1"/>
  <c r="C31" i="20"/>
  <c r="P31" i="20" s="1"/>
  <c r="D31" i="20"/>
  <c r="E31" i="20"/>
  <c r="F31" i="20"/>
  <c r="G31" i="20"/>
  <c r="H31" i="20"/>
  <c r="U31" i="20" s="1"/>
  <c r="I31" i="20"/>
  <c r="V31" i="20" s="1"/>
  <c r="J31" i="20"/>
  <c r="W31" i="20" s="1"/>
  <c r="K31" i="20"/>
  <c r="U24" i="18"/>
  <c r="R26" i="18"/>
  <c r="W27" i="18"/>
  <c r="B22" i="18"/>
  <c r="R22" i="20"/>
  <c r="S22" i="20"/>
  <c r="T22" i="20"/>
  <c r="U22" i="20"/>
  <c r="B23" i="18"/>
  <c r="C23" i="18"/>
  <c r="D23" i="18"/>
  <c r="Q23" i="20"/>
  <c r="E23" i="18"/>
  <c r="R23" i="20"/>
  <c r="F23" i="18"/>
  <c r="S23" i="20"/>
  <c r="G23" i="18"/>
  <c r="T23" i="20"/>
  <c r="H23" i="18"/>
  <c r="U23" i="18" s="1"/>
  <c r="I23" i="18"/>
  <c r="V23" i="18" s="1"/>
  <c r="V23" i="20"/>
  <c r="J23" i="18"/>
  <c r="W23" i="18" s="1"/>
  <c r="K23" i="18"/>
  <c r="B24" i="18"/>
  <c r="P24" i="20"/>
  <c r="Q24" i="20"/>
  <c r="E24" i="18"/>
  <c r="R24" i="20"/>
  <c r="F24" i="18"/>
  <c r="S24" i="18" s="1"/>
  <c r="S24" i="20"/>
  <c r="G24" i="18"/>
  <c r="H24" i="18"/>
  <c r="I24" i="18"/>
  <c r="V24" i="20"/>
  <c r="J24" i="18"/>
  <c r="K24" i="18"/>
  <c r="X24" i="20"/>
  <c r="B25" i="18"/>
  <c r="P25" i="20"/>
  <c r="D25" i="18"/>
  <c r="Q25" i="18" s="1"/>
  <c r="Q25" i="20"/>
  <c r="E25" i="18"/>
  <c r="R25" i="18" s="1"/>
  <c r="R25" i="20"/>
  <c r="F25" i="18"/>
  <c r="G25" i="18"/>
  <c r="H25" i="18"/>
  <c r="I25" i="18"/>
  <c r="J25" i="18"/>
  <c r="W25" i="20"/>
  <c r="K25" i="18"/>
  <c r="X25" i="20"/>
  <c r="B26" i="18"/>
  <c r="P26" i="20"/>
  <c r="D26" i="18"/>
  <c r="Q26" i="20"/>
  <c r="E26" i="18"/>
  <c r="F26" i="18"/>
  <c r="G26" i="18"/>
  <c r="H26" i="18"/>
  <c r="I26" i="18"/>
  <c r="V26" i="18" s="1"/>
  <c r="V26" i="20"/>
  <c r="J26" i="18"/>
  <c r="W26" i="18" s="1"/>
  <c r="W26" i="20"/>
  <c r="K26" i="18"/>
  <c r="X26" i="20"/>
  <c r="B27" i="18"/>
  <c r="C27" i="18"/>
  <c r="P27" i="20"/>
  <c r="D27" i="18"/>
  <c r="E27" i="18"/>
  <c r="F27" i="18"/>
  <c r="G27" i="18"/>
  <c r="H27" i="18"/>
  <c r="U27" i="18" s="1"/>
  <c r="U27" i="20"/>
  <c r="I27" i="18"/>
  <c r="V27" i="18" s="1"/>
  <c r="V27" i="20"/>
  <c r="J27" i="18"/>
  <c r="W27" i="20"/>
  <c r="K27" i="18"/>
  <c r="X27" i="20"/>
  <c r="B28" i="18"/>
  <c r="C28" i="18"/>
  <c r="D28" i="18"/>
  <c r="E28" i="18"/>
  <c r="F28" i="18"/>
  <c r="G28" i="18"/>
  <c r="T28" i="18" s="1"/>
  <c r="T28" i="20"/>
  <c r="H28" i="18"/>
  <c r="U28" i="20"/>
  <c r="I28" i="18"/>
  <c r="V28" i="20"/>
  <c r="J28" i="18"/>
  <c r="W28" i="20"/>
  <c r="K28" i="18"/>
  <c r="B29" i="18"/>
  <c r="O29" i="18" s="1"/>
  <c r="C29" i="18"/>
  <c r="P29" i="20"/>
  <c r="D29" i="18"/>
  <c r="E29" i="18"/>
  <c r="F29" i="18"/>
  <c r="S29" i="20"/>
  <c r="G29" i="18"/>
  <c r="T29" i="20"/>
  <c r="H29" i="18"/>
  <c r="U29" i="20"/>
  <c r="I29" i="18"/>
  <c r="V29" i="20"/>
  <c r="J29" i="18"/>
  <c r="K29" i="18"/>
  <c r="X29" i="20"/>
  <c r="B30" i="18"/>
  <c r="O30" i="18" s="1"/>
  <c r="O30" i="20"/>
  <c r="C30" i="18"/>
  <c r="D30" i="18"/>
  <c r="E30" i="18"/>
  <c r="R30" i="20"/>
  <c r="F30" i="18"/>
  <c r="S30" i="20"/>
  <c r="G30" i="18"/>
  <c r="T30" i="20"/>
  <c r="H30" i="18"/>
  <c r="U30" i="20"/>
  <c r="I30" i="18"/>
  <c r="J30" i="18"/>
  <c r="W30" i="20"/>
  <c r="K30" i="18"/>
  <c r="B31" i="18"/>
  <c r="C31" i="18"/>
  <c r="D31" i="18"/>
  <c r="Q31" i="20"/>
  <c r="E31" i="18"/>
  <c r="R31" i="20"/>
  <c r="F31" i="18"/>
  <c r="S31" i="20"/>
  <c r="G31" i="18"/>
  <c r="T31" i="20"/>
  <c r="H31" i="18"/>
  <c r="I31" i="18"/>
  <c r="V31" i="18" s="1"/>
  <c r="J31" i="18"/>
  <c r="K31" i="18"/>
  <c r="X31" i="20"/>
  <c r="C22" i="18"/>
  <c r="D22" i="18"/>
  <c r="E22" i="18"/>
  <c r="F22" i="18"/>
  <c r="G22" i="18"/>
  <c r="H22" i="18"/>
  <c r="I22" i="18"/>
  <c r="J22" i="18"/>
  <c r="K22" i="18"/>
  <c r="C24" i="18"/>
  <c r="D24" i="18"/>
  <c r="C25" i="18"/>
  <c r="P25" i="18" s="1"/>
  <c r="C26" i="18"/>
  <c r="P26" i="18" s="1"/>
  <c r="F43" i="12"/>
  <c r="F42" i="12"/>
  <c r="F41" i="12"/>
  <c r="F40" i="12"/>
  <c r="F39" i="12"/>
  <c r="F38" i="12"/>
  <c r="F44" i="12" s="1"/>
  <c r="F37" i="12"/>
  <c r="F36" i="12"/>
  <c r="F35" i="12"/>
  <c r="F34" i="12"/>
  <c r="O36" i="31"/>
  <c r="R36" i="31" s="1"/>
  <c r="O37" i="31"/>
  <c r="V37" i="31" s="1"/>
  <c r="X37" i="31"/>
  <c r="X36" i="31"/>
  <c r="X35" i="31"/>
  <c r="Y35" i="31"/>
  <c r="V36" i="31"/>
  <c r="V35" i="31"/>
  <c r="W35" i="31"/>
  <c r="T36" i="31"/>
  <c r="T35" i="31"/>
  <c r="U35" i="31"/>
  <c r="U36" i="31"/>
  <c r="R35" i="31"/>
  <c r="S35" i="31"/>
  <c r="S36" i="31"/>
  <c r="P37" i="31"/>
  <c r="P36" i="31"/>
  <c r="P35" i="31"/>
  <c r="Q35" i="31" s="1"/>
  <c r="O30" i="31"/>
  <c r="O31" i="31"/>
  <c r="O32" i="31"/>
  <c r="X29" i="31"/>
  <c r="Y29" i="31" s="1"/>
  <c r="V29" i="31"/>
  <c r="W29" i="31"/>
  <c r="T32" i="31"/>
  <c r="U32" i="31" s="1"/>
  <c r="T31" i="31"/>
  <c r="U31" i="31" s="1"/>
  <c r="T30" i="31"/>
  <c r="U30" i="31" s="1"/>
  <c r="T29" i="31"/>
  <c r="U29" i="31"/>
  <c r="R30" i="31"/>
  <c r="S30" i="31" s="1"/>
  <c r="R29" i="31"/>
  <c r="S29" i="31"/>
  <c r="P29" i="31"/>
  <c r="Q29" i="31"/>
  <c r="O24" i="31"/>
  <c r="O25" i="31"/>
  <c r="T25" i="31" s="1"/>
  <c r="U25" i="31" s="1"/>
  <c r="O26" i="31"/>
  <c r="O27" i="31"/>
  <c r="O18" i="31"/>
  <c r="X25" i="31"/>
  <c r="X24" i="31"/>
  <c r="X23" i="31"/>
  <c r="Y23" i="31"/>
  <c r="V25" i="31"/>
  <c r="V24" i="31"/>
  <c r="V23" i="31"/>
  <c r="W23" i="31"/>
  <c r="T24" i="31"/>
  <c r="T23" i="31"/>
  <c r="U23" i="31"/>
  <c r="U24" i="31"/>
  <c r="R25" i="31"/>
  <c r="R24" i="31"/>
  <c r="R23" i="31"/>
  <c r="S23" i="31"/>
  <c r="S24" i="31" s="1"/>
  <c r="S25" i="31" s="1"/>
  <c r="P25" i="31"/>
  <c r="P24" i="31"/>
  <c r="P23" i="31"/>
  <c r="Q23" i="31" s="1"/>
  <c r="X17" i="31"/>
  <c r="Y17" i="31"/>
  <c r="V17" i="31"/>
  <c r="W17" i="31"/>
  <c r="T17" i="31"/>
  <c r="U17" i="31" s="1"/>
  <c r="R17" i="31"/>
  <c r="S17" i="31"/>
  <c r="P17" i="31"/>
  <c r="X12" i="31"/>
  <c r="Y12" i="31" s="1"/>
  <c r="X13" i="31"/>
  <c r="X14" i="31" s="1"/>
  <c r="X15" i="31"/>
  <c r="Y11" i="31"/>
  <c r="Y13" i="31"/>
  <c r="V12" i="31"/>
  <c r="V13" i="31" s="1"/>
  <c r="V14" i="31" s="1"/>
  <c r="W11" i="31"/>
  <c r="W12" i="31"/>
  <c r="W13" i="31"/>
  <c r="T12" i="31"/>
  <c r="T13" i="31"/>
  <c r="T14" i="31" s="1"/>
  <c r="T15" i="31" s="1"/>
  <c r="U11" i="31"/>
  <c r="U12" i="31"/>
  <c r="U13" i="31" s="1"/>
  <c r="U14" i="31" s="1"/>
  <c r="R12" i="31"/>
  <c r="S11" i="31"/>
  <c r="P12" i="31"/>
  <c r="P13" i="31" s="1"/>
  <c r="Q11" i="31"/>
  <c r="Q12" i="31" s="1"/>
  <c r="Q17" i="31"/>
  <c r="J52" i="24"/>
  <c r="I52" i="24"/>
  <c r="H52" i="24"/>
  <c r="G52" i="24"/>
  <c r="F52" i="24"/>
  <c r="E52" i="24"/>
  <c r="D52" i="24"/>
  <c r="C52" i="24"/>
  <c r="K51" i="24"/>
  <c r="I51" i="24"/>
  <c r="H51" i="24"/>
  <c r="G51" i="24"/>
  <c r="F51" i="24"/>
  <c r="E51" i="24"/>
  <c r="D51" i="24"/>
  <c r="C51" i="24"/>
  <c r="K50" i="24"/>
  <c r="J50" i="24"/>
  <c r="H50" i="24"/>
  <c r="G50" i="24"/>
  <c r="F50" i="24"/>
  <c r="E50" i="24"/>
  <c r="D50" i="24"/>
  <c r="C50" i="24"/>
  <c r="K49" i="24"/>
  <c r="J49" i="24"/>
  <c r="I49" i="24"/>
  <c r="G49" i="24"/>
  <c r="F49" i="24"/>
  <c r="E49" i="24"/>
  <c r="D49" i="24"/>
  <c r="C49" i="24"/>
  <c r="K48" i="24"/>
  <c r="J48" i="24"/>
  <c r="I48" i="24"/>
  <c r="H48" i="24"/>
  <c r="F48" i="24"/>
  <c r="E48" i="24"/>
  <c r="D48" i="24"/>
  <c r="C48" i="24"/>
  <c r="K47" i="24"/>
  <c r="J47" i="24"/>
  <c r="I47" i="24"/>
  <c r="H47" i="24"/>
  <c r="G47" i="24"/>
  <c r="E47" i="24"/>
  <c r="D47" i="24"/>
  <c r="C47" i="24"/>
  <c r="K46" i="24"/>
  <c r="J46" i="24"/>
  <c r="I46" i="24"/>
  <c r="H46" i="24"/>
  <c r="G46" i="24"/>
  <c r="F46" i="24"/>
  <c r="D46" i="24"/>
  <c r="C46" i="24"/>
  <c r="K45" i="24"/>
  <c r="J45" i="24"/>
  <c r="I45" i="24"/>
  <c r="H45" i="24"/>
  <c r="G45" i="24"/>
  <c r="F45" i="24"/>
  <c r="E45" i="24"/>
  <c r="C45" i="24"/>
  <c r="K44" i="24"/>
  <c r="J44" i="24"/>
  <c r="I44" i="24"/>
  <c r="H44" i="24"/>
  <c r="G44" i="24"/>
  <c r="F44" i="24"/>
  <c r="E44" i="24"/>
  <c r="D44" i="24"/>
  <c r="M37" i="24"/>
  <c r="M26" i="24"/>
  <c r="B22" i="15"/>
  <c r="C22" i="15"/>
  <c r="D22" i="15"/>
  <c r="E22" i="15"/>
  <c r="F22" i="15"/>
  <c r="G22" i="15"/>
  <c r="H22" i="15"/>
  <c r="I22" i="15"/>
  <c r="J22" i="15"/>
  <c r="K22" i="15"/>
  <c r="B23" i="15"/>
  <c r="C23" i="15"/>
  <c r="D23" i="15"/>
  <c r="E23" i="15"/>
  <c r="F23" i="15"/>
  <c r="G23" i="15"/>
  <c r="H23" i="15"/>
  <c r="I23" i="15"/>
  <c r="J23" i="15"/>
  <c r="K23" i="15"/>
  <c r="B24" i="15"/>
  <c r="C24" i="15"/>
  <c r="D24" i="15"/>
  <c r="E24" i="15"/>
  <c r="F24" i="15"/>
  <c r="G24" i="15"/>
  <c r="H24" i="15"/>
  <c r="I24" i="15"/>
  <c r="J24" i="15"/>
  <c r="K24" i="15"/>
  <c r="B25" i="15"/>
  <c r="C25" i="15"/>
  <c r="D25" i="15"/>
  <c r="E25" i="15"/>
  <c r="F25" i="15"/>
  <c r="G25" i="15"/>
  <c r="H25" i="15"/>
  <c r="I25" i="15"/>
  <c r="J25" i="15"/>
  <c r="K25" i="15"/>
  <c r="B26" i="15"/>
  <c r="C26" i="15"/>
  <c r="D26" i="15"/>
  <c r="E26" i="15"/>
  <c r="F26" i="15"/>
  <c r="G26" i="15"/>
  <c r="H26" i="15"/>
  <c r="I26" i="15"/>
  <c r="J26" i="15"/>
  <c r="K26" i="15"/>
  <c r="B27" i="15"/>
  <c r="C27" i="15"/>
  <c r="D27" i="15"/>
  <c r="Q27" i="15" s="1"/>
  <c r="E27" i="15"/>
  <c r="F27" i="15"/>
  <c r="G27" i="15"/>
  <c r="H27" i="15"/>
  <c r="I27" i="15"/>
  <c r="J27" i="15"/>
  <c r="K27" i="15"/>
  <c r="B28" i="15"/>
  <c r="C28" i="15"/>
  <c r="D28" i="15"/>
  <c r="E28" i="15"/>
  <c r="F28" i="15"/>
  <c r="G28" i="15"/>
  <c r="H28" i="15"/>
  <c r="I28" i="15"/>
  <c r="J28" i="15"/>
  <c r="K28" i="15"/>
  <c r="B29" i="15"/>
  <c r="C29" i="15"/>
  <c r="D29" i="15"/>
  <c r="E29" i="15"/>
  <c r="F29" i="15"/>
  <c r="G29" i="15"/>
  <c r="H29" i="15"/>
  <c r="I29" i="15"/>
  <c r="J29" i="15"/>
  <c r="K29" i="15"/>
  <c r="B30" i="15"/>
  <c r="C30" i="15"/>
  <c r="D30" i="15"/>
  <c r="E30" i="15"/>
  <c r="F30" i="15"/>
  <c r="G30" i="15"/>
  <c r="H30" i="15"/>
  <c r="I30" i="15"/>
  <c r="J30" i="15"/>
  <c r="K30" i="15"/>
  <c r="B31" i="15"/>
  <c r="C31" i="15"/>
  <c r="D31" i="15"/>
  <c r="E31" i="15"/>
  <c r="E21" i="14" s="1"/>
  <c r="F31" i="15"/>
  <c r="G31" i="15"/>
  <c r="H31" i="15"/>
  <c r="I31" i="15"/>
  <c r="J31" i="15"/>
  <c r="K31" i="15"/>
  <c r="P23" i="15"/>
  <c r="P23" i="18" s="1"/>
  <c r="R23" i="15"/>
  <c r="T23" i="15"/>
  <c r="V23" i="15"/>
  <c r="T24" i="15"/>
  <c r="P25" i="15"/>
  <c r="R25" i="15"/>
  <c r="P26" i="15"/>
  <c r="R26" i="15"/>
  <c r="T26" i="15"/>
  <c r="V26" i="15"/>
  <c r="X26" i="15"/>
  <c r="V27" i="15"/>
  <c r="X27" i="15"/>
  <c r="P28" i="15"/>
  <c r="R28" i="15"/>
  <c r="T28" i="15"/>
  <c r="R29" i="15"/>
  <c r="X29" i="15"/>
  <c r="P30" i="15"/>
  <c r="X30" i="15"/>
  <c r="P31" i="15"/>
  <c r="R31" i="15"/>
  <c r="T31" i="15"/>
  <c r="V31" i="15"/>
  <c r="O22" i="15"/>
  <c r="Q22" i="15"/>
  <c r="U22" i="15"/>
  <c r="W22" i="15"/>
  <c r="O23" i="15"/>
  <c r="O23" i="18" s="1"/>
  <c r="U23" i="15"/>
  <c r="W23" i="15"/>
  <c r="S24" i="15"/>
  <c r="U24" i="15"/>
  <c r="Q25" i="15"/>
  <c r="S25" i="15"/>
  <c r="U25" i="15"/>
  <c r="O26" i="15"/>
  <c r="Q26" i="15"/>
  <c r="Q26" i="18" s="1"/>
  <c r="W26" i="15"/>
  <c r="O27" i="15"/>
  <c r="S27" i="15"/>
  <c r="U27" i="15"/>
  <c r="W27" i="15"/>
  <c r="S28" i="15"/>
  <c r="U28" i="15"/>
  <c r="O29" i="15"/>
  <c r="Q29" i="15"/>
  <c r="S29" i="15"/>
  <c r="S29" i="18" s="1"/>
  <c r="O30" i="15"/>
  <c r="Q30" i="15"/>
  <c r="W30" i="15"/>
  <c r="O31" i="15"/>
  <c r="O31" i="18" s="1"/>
  <c r="U31" i="15"/>
  <c r="W31" i="15"/>
  <c r="X22" i="15"/>
  <c r="V22" i="15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M48" i="33" l="1"/>
  <c r="I48" i="33"/>
  <c r="J48" i="33"/>
  <c r="K48" i="33"/>
  <c r="H48" i="33"/>
  <c r="E48" i="33"/>
  <c r="G48" i="33"/>
  <c r="L48" i="33"/>
  <c r="N48" i="33"/>
  <c r="F48" i="33"/>
  <c r="Y15" i="31"/>
  <c r="Q13" i="31"/>
  <c r="P14" i="31"/>
  <c r="X27" i="31"/>
  <c r="P27" i="31"/>
  <c r="R27" i="31"/>
  <c r="S27" i="31" s="1"/>
  <c r="V27" i="31"/>
  <c r="Q24" i="18"/>
  <c r="O31" i="20"/>
  <c r="O23" i="20"/>
  <c r="R9" i="33"/>
  <c r="B52" i="33" s="1"/>
  <c r="O3" i="33"/>
  <c r="O15" i="33"/>
  <c r="B42" i="33" s="1"/>
  <c r="C46" i="29"/>
  <c r="C44" i="26"/>
  <c r="X26" i="31"/>
  <c r="P26" i="31"/>
  <c r="V26" i="31"/>
  <c r="T26" i="31"/>
  <c r="U26" i="31" s="1"/>
  <c r="R26" i="31"/>
  <c r="S26" i="31" s="1"/>
  <c r="F21" i="14"/>
  <c r="S31" i="15"/>
  <c r="U30" i="15"/>
  <c r="W29" i="15"/>
  <c r="W29" i="18" s="1"/>
  <c r="Q28" i="15"/>
  <c r="U26" i="15"/>
  <c r="U26" i="18" s="1"/>
  <c r="W25" i="15"/>
  <c r="W25" i="18" s="1"/>
  <c r="O25" i="15"/>
  <c r="Q24" i="15"/>
  <c r="S23" i="15"/>
  <c r="S23" i="18" s="1"/>
  <c r="X28" i="18"/>
  <c r="R3" i="33"/>
  <c r="P28" i="18"/>
  <c r="E54" i="14"/>
  <c r="T30" i="15"/>
  <c r="T30" i="18" s="1"/>
  <c r="V29" i="15"/>
  <c r="V29" i="18" s="1"/>
  <c r="X28" i="15"/>
  <c r="R27" i="15"/>
  <c r="R27" i="18" s="1"/>
  <c r="T26" i="18"/>
  <c r="V25" i="15"/>
  <c r="V25" i="18"/>
  <c r="X24" i="15"/>
  <c r="X24" i="18" s="1"/>
  <c r="P24" i="15"/>
  <c r="P24" i="18" s="1"/>
  <c r="R23" i="18"/>
  <c r="T22" i="15"/>
  <c r="T22" i="18" s="1"/>
  <c r="V15" i="31"/>
  <c r="W15" i="31" s="1"/>
  <c r="W14" i="31"/>
  <c r="T27" i="31"/>
  <c r="Q20" i="12"/>
  <c r="W30" i="12"/>
  <c r="Q14" i="12"/>
  <c r="W21" i="12"/>
  <c r="R18" i="31"/>
  <c r="S18" i="31" s="1"/>
  <c r="V18" i="31"/>
  <c r="W18" i="31" s="1"/>
  <c r="P18" i="31"/>
  <c r="Q18" i="31" s="1"/>
  <c r="O19" i="31"/>
  <c r="X18" i="31"/>
  <c r="Y18" i="31" s="1"/>
  <c r="T18" i="31"/>
  <c r="U18" i="31" s="1"/>
  <c r="R24" i="18"/>
  <c r="C72" i="24"/>
  <c r="C80" i="24"/>
  <c r="C71" i="24"/>
  <c r="C75" i="24"/>
  <c r="C83" i="24"/>
  <c r="C78" i="24"/>
  <c r="C73" i="24"/>
  <c r="C77" i="24"/>
  <c r="C79" i="24"/>
  <c r="C82" i="24"/>
  <c r="C81" i="24"/>
  <c r="C76" i="24"/>
  <c r="C84" i="24"/>
  <c r="C74" i="24"/>
  <c r="C70" i="24"/>
  <c r="Y36" i="31"/>
  <c r="Y37" i="31"/>
  <c r="D21" i="14"/>
  <c r="Q31" i="15"/>
  <c r="Q31" i="18"/>
  <c r="S30" i="15"/>
  <c r="U29" i="15"/>
  <c r="U29" i="18" s="1"/>
  <c r="W28" i="15"/>
  <c r="O28" i="15"/>
  <c r="O28" i="18" s="1"/>
  <c r="O28" i="20" s="1"/>
  <c r="S26" i="15"/>
  <c r="S26" i="18" s="1"/>
  <c r="W24" i="15"/>
  <c r="W24" i="18" s="1"/>
  <c r="O24" i="18"/>
  <c r="O24" i="20" s="1"/>
  <c r="O24" i="15"/>
  <c r="Q23" i="15"/>
  <c r="Q23" i="18" s="1"/>
  <c r="S22" i="18"/>
  <c r="S22" i="15"/>
  <c r="V32" i="31"/>
  <c r="X32" i="31"/>
  <c r="O33" i="31"/>
  <c r="P32" i="31"/>
  <c r="R32" i="31"/>
  <c r="W31" i="12"/>
  <c r="O19" i="33"/>
  <c r="K21" i="14"/>
  <c r="X31" i="15"/>
  <c r="X31" i="18"/>
  <c r="C21" i="14"/>
  <c r="R30" i="15"/>
  <c r="R30" i="18"/>
  <c r="V28" i="15"/>
  <c r="V28" i="18"/>
  <c r="P27" i="15"/>
  <c r="P27" i="18"/>
  <c r="T25" i="15"/>
  <c r="T25" i="18"/>
  <c r="X23" i="15"/>
  <c r="X23" i="18"/>
  <c r="R22" i="15"/>
  <c r="R22" i="18" s="1"/>
  <c r="Y14" i="31"/>
  <c r="X31" i="31"/>
  <c r="P31" i="31"/>
  <c r="R31" i="31"/>
  <c r="S31" i="31" s="1"/>
  <c r="X30" i="18"/>
  <c r="R13" i="31"/>
  <c r="S12" i="31"/>
  <c r="X30" i="31"/>
  <c r="Y30" i="31" s="1"/>
  <c r="P30" i="31"/>
  <c r="Q30" i="31" s="1"/>
  <c r="V30" i="31"/>
  <c r="W30" i="31" s="1"/>
  <c r="S31" i="18"/>
  <c r="S30" i="18"/>
  <c r="X29" i="18"/>
  <c r="V24" i="15"/>
  <c r="V24" i="18" s="1"/>
  <c r="V31" i="31"/>
  <c r="W30" i="18"/>
  <c r="W28" i="18"/>
  <c r="T29" i="15"/>
  <c r="T29" i="18" s="1"/>
  <c r="W36" i="31"/>
  <c r="W37" i="31" s="1"/>
  <c r="U22" i="18"/>
  <c r="R31" i="18"/>
  <c r="Q28" i="18"/>
  <c r="Q27" i="18"/>
  <c r="U25" i="18"/>
  <c r="P31" i="18"/>
  <c r="X27" i="18"/>
  <c r="G21" i="14"/>
  <c r="V22" i="18"/>
  <c r="T31" i="18"/>
  <c r="U30" i="18"/>
  <c r="P30" i="18"/>
  <c r="Q29" i="18"/>
  <c r="R28" i="18"/>
  <c r="X25" i="18"/>
  <c r="R31" i="12"/>
  <c r="V30" i="15"/>
  <c r="V30" i="18" s="1"/>
  <c r="P29" i="15"/>
  <c r="P29" i="18" s="1"/>
  <c r="T27" i="15"/>
  <c r="X25" i="15"/>
  <c r="R24" i="15"/>
  <c r="J21" i="14"/>
  <c r="B21" i="14"/>
  <c r="Y24" i="31"/>
  <c r="Y25" i="31" s="1"/>
  <c r="U31" i="12"/>
  <c r="I21" i="14"/>
  <c r="U15" i="31"/>
  <c r="W24" i="31"/>
  <c r="R37" i="31"/>
  <c r="S37" i="31" s="1"/>
  <c r="O38" i="31"/>
  <c r="T37" i="31"/>
  <c r="U37" i="31" s="1"/>
  <c r="X22" i="18"/>
  <c r="P22" i="18"/>
  <c r="U31" i="18"/>
  <c r="R29" i="18"/>
  <c r="S28" i="18"/>
  <c r="T27" i="18"/>
  <c r="O26" i="18"/>
  <c r="O26" i="20" s="1"/>
  <c r="T23" i="18"/>
  <c r="O29" i="20"/>
  <c r="T31" i="12"/>
  <c r="P22" i="15"/>
  <c r="H21" i="14"/>
  <c r="Q24" i="31"/>
  <c r="Q25" i="31" s="1"/>
  <c r="W25" i="31"/>
  <c r="Q36" i="31"/>
  <c r="Q37" i="31" s="1"/>
  <c r="W22" i="18"/>
  <c r="S27" i="18"/>
  <c r="X26" i="18"/>
  <c r="O25" i="18"/>
  <c r="O25" i="20" s="1"/>
  <c r="T24" i="18"/>
  <c r="O22" i="18"/>
  <c r="O22" i="20" s="1"/>
  <c r="W31" i="18"/>
  <c r="Q30" i="18"/>
  <c r="U28" i="18"/>
  <c r="O27" i="18"/>
  <c r="O27" i="20" s="1"/>
  <c r="S25" i="18"/>
  <c r="Q22" i="18"/>
  <c r="S31" i="12"/>
  <c r="R6" i="33"/>
  <c r="B49" i="33" s="1"/>
  <c r="R8" i="33"/>
  <c r="B51" i="33" s="1"/>
  <c r="R4" i="33"/>
  <c r="B47" i="33" s="1"/>
  <c r="R12" i="33"/>
  <c r="R7" i="33"/>
  <c r="B50" i="33" s="1"/>
  <c r="R11" i="33"/>
  <c r="R10" i="33"/>
  <c r="O17" i="33"/>
  <c r="O12" i="33"/>
  <c r="B39" i="33" s="1"/>
  <c r="G26" i="26"/>
  <c r="G26" i="29" s="1"/>
  <c r="G27" i="12"/>
  <c r="O5" i="33"/>
  <c r="B32" i="33" s="1"/>
  <c r="O8" i="33"/>
  <c r="B35" i="33" s="1"/>
  <c r="O11" i="33"/>
  <c r="B38" i="33" s="1"/>
  <c r="O14" i="33"/>
  <c r="B41" i="33" s="1"/>
  <c r="O4" i="33"/>
  <c r="B31" i="33" s="1"/>
  <c r="O9" i="33"/>
  <c r="B36" i="33" s="1"/>
  <c r="O16" i="33"/>
  <c r="T23" i="33" s="1"/>
  <c r="W56" i="33" s="1"/>
  <c r="O13" i="33"/>
  <c r="B40" i="33" s="1"/>
  <c r="O6" i="33"/>
  <c r="B33" i="33" s="1"/>
  <c r="O7" i="33"/>
  <c r="B34" i="33" s="1"/>
  <c r="O18" i="33"/>
  <c r="O10" i="33"/>
  <c r="B37" i="33" s="1"/>
  <c r="H26" i="26"/>
  <c r="H26" i="29" s="1"/>
  <c r="N28" i="12"/>
  <c r="M18" i="12"/>
  <c r="K17" i="12"/>
  <c r="L17" i="12"/>
  <c r="K6" i="12"/>
  <c r="O28" i="12"/>
  <c r="O29" i="12"/>
  <c r="N19" i="12"/>
  <c r="P29" i="12"/>
  <c r="G19" i="37"/>
  <c r="Q29" i="12"/>
  <c r="C26" i="37"/>
  <c r="D26" i="37" s="1"/>
  <c r="E26" i="37" s="1"/>
  <c r="F26" i="37" s="1"/>
  <c r="G20" i="37"/>
  <c r="F27" i="12"/>
  <c r="G18" i="37"/>
  <c r="G24" i="37"/>
  <c r="C13" i="37"/>
  <c r="D13" i="37"/>
  <c r="E18" i="37"/>
  <c r="F18" i="37" s="1"/>
  <c r="C8" i="37"/>
  <c r="D8" i="37"/>
  <c r="G25" i="37"/>
  <c r="D10" i="37"/>
  <c r="C23" i="37"/>
  <c r="D23" i="37" s="1"/>
  <c r="E23" i="37" s="1"/>
  <c r="F23" i="37" s="1"/>
  <c r="C25" i="37"/>
  <c r="D25" i="37" s="1"/>
  <c r="E25" i="37" s="1"/>
  <c r="F25" i="37" s="1"/>
  <c r="C10" i="37"/>
  <c r="O15" i="12"/>
  <c r="P16" i="12"/>
  <c r="Q26" i="12"/>
  <c r="D11" i="37"/>
  <c r="N15" i="12" l="1"/>
  <c r="O25" i="12"/>
  <c r="Q51" i="33"/>
  <c r="I51" i="33"/>
  <c r="J51" i="33"/>
  <c r="K51" i="33"/>
  <c r="H51" i="33"/>
  <c r="M51" i="33"/>
  <c r="P51" i="33"/>
  <c r="O51" i="33"/>
  <c r="L51" i="33"/>
  <c r="N51" i="33"/>
  <c r="L36" i="33"/>
  <c r="P36" i="33"/>
  <c r="Q36" i="33"/>
  <c r="R36" i="33"/>
  <c r="K36" i="33"/>
  <c r="O36" i="33"/>
  <c r="J36" i="33"/>
  <c r="M36" i="33"/>
  <c r="N36" i="33"/>
  <c r="I36" i="33"/>
  <c r="M28" i="12"/>
  <c r="L18" i="12"/>
  <c r="K18" i="12"/>
  <c r="I18" i="12" s="1"/>
  <c r="K7" i="12"/>
  <c r="W41" i="33"/>
  <c r="W43" i="33" s="1"/>
  <c r="N41" i="33"/>
  <c r="V41" i="33"/>
  <c r="Q41" i="33"/>
  <c r="R41" i="33"/>
  <c r="P41" i="33"/>
  <c r="U41" i="33"/>
  <c r="S41" i="33"/>
  <c r="T41" i="33"/>
  <c r="O41" i="33"/>
  <c r="O16" i="12"/>
  <c r="P26" i="12"/>
  <c r="T40" i="33"/>
  <c r="N40" i="33"/>
  <c r="U40" i="33"/>
  <c r="M40" i="33"/>
  <c r="P40" i="33"/>
  <c r="V40" i="33"/>
  <c r="R40" i="33"/>
  <c r="O40" i="33"/>
  <c r="Q40" i="33"/>
  <c r="S40" i="33"/>
  <c r="I47" i="33"/>
  <c r="D47" i="33"/>
  <c r="L47" i="33"/>
  <c r="F47" i="33"/>
  <c r="K47" i="33"/>
  <c r="G47" i="33"/>
  <c r="H47" i="33"/>
  <c r="J47" i="33"/>
  <c r="E47" i="33"/>
  <c r="M47" i="33"/>
  <c r="M53" i="33" s="1"/>
  <c r="G54" i="14"/>
  <c r="K54" i="14"/>
  <c r="D54" i="14"/>
  <c r="C14" i="24"/>
  <c r="K14" i="24"/>
  <c r="D14" i="24"/>
  <c r="E14" i="24"/>
  <c r="B14" i="24"/>
  <c r="J14" i="24"/>
  <c r="F14" i="24"/>
  <c r="I14" i="24"/>
  <c r="H14" i="24"/>
  <c r="E82" i="24"/>
  <c r="G14" i="24"/>
  <c r="I12" i="24"/>
  <c r="B12" i="24"/>
  <c r="J12" i="24"/>
  <c r="C12" i="24"/>
  <c r="K12" i="24"/>
  <c r="H12" i="24"/>
  <c r="F12" i="24"/>
  <c r="G12" i="24"/>
  <c r="E12" i="24"/>
  <c r="D12" i="24"/>
  <c r="E80" i="24"/>
  <c r="V42" i="33"/>
  <c r="Q42" i="33"/>
  <c r="R42" i="33"/>
  <c r="X42" i="33"/>
  <c r="X43" i="33" s="1"/>
  <c r="T42" i="33"/>
  <c r="P42" i="33"/>
  <c r="S42" i="33"/>
  <c r="W42" i="33"/>
  <c r="U42" i="33"/>
  <c r="O42" i="33"/>
  <c r="I4" i="24"/>
  <c r="B4" i="24"/>
  <c r="J4" i="24"/>
  <c r="C4" i="24"/>
  <c r="K4" i="24"/>
  <c r="H4" i="24"/>
  <c r="G4" i="24"/>
  <c r="F4" i="24"/>
  <c r="E72" i="24"/>
  <c r="D4" i="24"/>
  <c r="E4" i="24"/>
  <c r="R14" i="33"/>
  <c r="R15" i="33" s="1"/>
  <c r="B46" i="33"/>
  <c r="O23" i="33"/>
  <c r="B30" i="33"/>
  <c r="B9" i="24"/>
  <c r="J9" i="24"/>
  <c r="C9" i="24"/>
  <c r="K9" i="24"/>
  <c r="D9" i="24"/>
  <c r="I9" i="24"/>
  <c r="G9" i="24"/>
  <c r="H9" i="24"/>
  <c r="F9" i="24"/>
  <c r="E9" i="24"/>
  <c r="E77" i="24"/>
  <c r="W26" i="31"/>
  <c r="W27" i="31" s="1"/>
  <c r="R52" i="33"/>
  <c r="R53" i="33" s="1"/>
  <c r="I52" i="33"/>
  <c r="J52" i="33"/>
  <c r="K52" i="33"/>
  <c r="M52" i="33"/>
  <c r="N52" i="33"/>
  <c r="O52" i="33"/>
  <c r="P52" i="33"/>
  <c r="Q52" i="33"/>
  <c r="L52" i="33"/>
  <c r="V85" i="33"/>
  <c r="U113" i="33" s="1"/>
  <c r="E118" i="33" s="1"/>
  <c r="B5" i="24"/>
  <c r="J5" i="24"/>
  <c r="C5" i="24"/>
  <c r="K5" i="24"/>
  <c r="D5" i="24"/>
  <c r="I5" i="24"/>
  <c r="H5" i="24"/>
  <c r="G5" i="24"/>
  <c r="E5" i="24"/>
  <c r="F5" i="24"/>
  <c r="E73" i="24"/>
  <c r="Q24" i="12"/>
  <c r="P14" i="12"/>
  <c r="M45" i="12"/>
  <c r="Q21" i="12"/>
  <c r="Q26" i="31"/>
  <c r="Q27" i="31" s="1"/>
  <c r="G10" i="24"/>
  <c r="H10" i="24"/>
  <c r="I10" i="24"/>
  <c r="F10" i="24"/>
  <c r="B10" i="24"/>
  <c r="K10" i="24"/>
  <c r="C10" i="24"/>
  <c r="D10" i="24"/>
  <c r="E10" i="24"/>
  <c r="J10" i="24"/>
  <c r="E78" i="24"/>
  <c r="Y26" i="31"/>
  <c r="N39" i="33"/>
  <c r="U39" i="33"/>
  <c r="O39" i="33"/>
  <c r="R39" i="33"/>
  <c r="T39" i="33"/>
  <c r="M39" i="33"/>
  <c r="P39" i="33"/>
  <c r="Q39" i="33"/>
  <c r="L39" i="33"/>
  <c r="S39" i="33"/>
  <c r="K31" i="33"/>
  <c r="E31" i="33"/>
  <c r="J31" i="33"/>
  <c r="I31" i="33"/>
  <c r="D31" i="33"/>
  <c r="G31" i="33"/>
  <c r="L31" i="33"/>
  <c r="H31" i="33"/>
  <c r="M31" i="33"/>
  <c r="F31" i="33"/>
  <c r="S32" i="31"/>
  <c r="C6" i="24"/>
  <c r="K6" i="24"/>
  <c r="D6" i="24"/>
  <c r="E6" i="24"/>
  <c r="B6" i="24"/>
  <c r="J6" i="24"/>
  <c r="H6" i="24"/>
  <c r="I6" i="24"/>
  <c r="G6" i="24"/>
  <c r="F6" i="24"/>
  <c r="E74" i="24"/>
  <c r="K38" i="33"/>
  <c r="O38" i="33"/>
  <c r="N38" i="33"/>
  <c r="M38" i="33"/>
  <c r="L38" i="33"/>
  <c r="S38" i="33"/>
  <c r="R38" i="33"/>
  <c r="P38" i="33"/>
  <c r="Q38" i="33"/>
  <c r="T38" i="33"/>
  <c r="J54" i="14"/>
  <c r="Y31" i="31"/>
  <c r="C54" i="14"/>
  <c r="V33" i="31"/>
  <c r="X33" i="31"/>
  <c r="P33" i="31"/>
  <c r="R33" i="31"/>
  <c r="T33" i="31"/>
  <c r="U33" i="31" s="1"/>
  <c r="E16" i="24"/>
  <c r="F16" i="24"/>
  <c r="G16" i="24"/>
  <c r="D16" i="24"/>
  <c r="J16" i="24"/>
  <c r="K16" i="24"/>
  <c r="I16" i="24"/>
  <c r="B16" i="24"/>
  <c r="E84" i="24"/>
  <c r="C16" i="24"/>
  <c r="H16" i="24"/>
  <c r="H15" i="24"/>
  <c r="I15" i="24"/>
  <c r="B15" i="24"/>
  <c r="J15" i="24"/>
  <c r="G15" i="24"/>
  <c r="E15" i="24"/>
  <c r="F15" i="24"/>
  <c r="K15" i="24"/>
  <c r="D15" i="24"/>
  <c r="C15" i="24"/>
  <c r="E83" i="24"/>
  <c r="V19" i="31"/>
  <c r="W19" i="31" s="1"/>
  <c r="O20" i="31"/>
  <c r="T19" i="31"/>
  <c r="U19" i="31" s="1"/>
  <c r="R19" i="31"/>
  <c r="S19" i="31" s="1"/>
  <c r="X19" i="31"/>
  <c r="Y19" i="31" s="1"/>
  <c r="P19" i="31"/>
  <c r="Q19" i="31" s="1"/>
  <c r="Y27" i="31"/>
  <c r="J17" i="12"/>
  <c r="B17" i="12"/>
  <c r="B27" i="12"/>
  <c r="D11" i="24"/>
  <c r="E11" i="24"/>
  <c r="F11" i="24"/>
  <c r="C11" i="24"/>
  <c r="K11" i="24"/>
  <c r="B11" i="24"/>
  <c r="G11" i="24"/>
  <c r="J11" i="24"/>
  <c r="E79" i="24"/>
  <c r="H11" i="24"/>
  <c r="I11" i="24"/>
  <c r="M19" i="12"/>
  <c r="N29" i="12"/>
  <c r="I17" i="12"/>
  <c r="K37" i="33"/>
  <c r="O37" i="33"/>
  <c r="L37" i="33"/>
  <c r="P37" i="33"/>
  <c r="S37" i="33"/>
  <c r="S43" i="33" s="1"/>
  <c r="S56" i="33" s="1"/>
  <c r="J37" i="33"/>
  <c r="Q37" i="33"/>
  <c r="M37" i="33"/>
  <c r="R37" i="33"/>
  <c r="N37" i="33"/>
  <c r="X38" i="31"/>
  <c r="Y38" i="31" s="1"/>
  <c r="P38" i="31"/>
  <c r="Q38" i="31" s="1"/>
  <c r="V38" i="31"/>
  <c r="W38" i="31" s="1"/>
  <c r="T38" i="31"/>
  <c r="U38" i="31" s="1"/>
  <c r="R38" i="31"/>
  <c r="S38" i="31" s="1"/>
  <c r="O39" i="31"/>
  <c r="B54" i="14"/>
  <c r="I34" i="33"/>
  <c r="G34" i="33"/>
  <c r="M34" i="33"/>
  <c r="J34" i="33"/>
  <c r="H34" i="33"/>
  <c r="L34" i="33"/>
  <c r="P34" i="33"/>
  <c r="O34" i="33"/>
  <c r="N34" i="33"/>
  <c r="K34" i="33"/>
  <c r="L35" i="33"/>
  <c r="P35" i="33"/>
  <c r="I35" i="33"/>
  <c r="Q35" i="33"/>
  <c r="Q43" i="33" s="1"/>
  <c r="Q56" i="33" s="1"/>
  <c r="H35" i="33"/>
  <c r="M35" i="33"/>
  <c r="O35" i="33"/>
  <c r="J35" i="33"/>
  <c r="N35" i="33"/>
  <c r="K35" i="33"/>
  <c r="J50" i="33"/>
  <c r="L50" i="33"/>
  <c r="K50" i="33"/>
  <c r="G50" i="33"/>
  <c r="I50" i="33"/>
  <c r="H50" i="33"/>
  <c r="P50" i="33"/>
  <c r="M50" i="33"/>
  <c r="O50" i="33"/>
  <c r="N50" i="33"/>
  <c r="N53" i="33" s="1"/>
  <c r="W31" i="31"/>
  <c r="W32" i="31" s="1"/>
  <c r="Y32" i="31"/>
  <c r="E8" i="24"/>
  <c r="F8" i="24"/>
  <c r="G8" i="24"/>
  <c r="D8" i="24"/>
  <c r="B8" i="24"/>
  <c r="C8" i="24"/>
  <c r="H8" i="24"/>
  <c r="E76" i="24"/>
  <c r="K8" i="24"/>
  <c r="J8" i="24"/>
  <c r="I8" i="24"/>
  <c r="H7" i="24"/>
  <c r="I7" i="24"/>
  <c r="B7" i="24"/>
  <c r="J7" i="24"/>
  <c r="G7" i="24"/>
  <c r="C7" i="24"/>
  <c r="D7" i="24"/>
  <c r="E7" i="24"/>
  <c r="E75" i="24"/>
  <c r="F7" i="24"/>
  <c r="K7" i="24"/>
  <c r="P20" i="12"/>
  <c r="Q30" i="12"/>
  <c r="Q14" i="31"/>
  <c r="P15" i="31"/>
  <c r="K49" i="33"/>
  <c r="J49" i="33"/>
  <c r="H49" i="33"/>
  <c r="G49" i="33"/>
  <c r="F49" i="33"/>
  <c r="L49" i="33"/>
  <c r="N49" i="33"/>
  <c r="I49" i="33"/>
  <c r="O49" i="33"/>
  <c r="M49" i="33"/>
  <c r="E2" i="24"/>
  <c r="F2" i="24"/>
  <c r="G2" i="24"/>
  <c r="D2" i="24"/>
  <c r="J2" i="24"/>
  <c r="K2" i="24"/>
  <c r="I2" i="24"/>
  <c r="C2" i="24"/>
  <c r="E70" i="24"/>
  <c r="H2" i="24"/>
  <c r="B2" i="24"/>
  <c r="C86" i="24"/>
  <c r="E27" i="12"/>
  <c r="I54" i="14"/>
  <c r="Q31" i="31"/>
  <c r="Q32" i="31" s="1"/>
  <c r="G23" i="37"/>
  <c r="G26" i="37"/>
  <c r="M33" i="33"/>
  <c r="F33" i="33"/>
  <c r="J33" i="33"/>
  <c r="N33" i="33"/>
  <c r="I33" i="33"/>
  <c r="G33" i="33"/>
  <c r="L33" i="33"/>
  <c r="O33" i="33"/>
  <c r="K33" i="33"/>
  <c r="H33" i="33"/>
  <c r="J32" i="33"/>
  <c r="N32" i="33"/>
  <c r="E32" i="33"/>
  <c r="M32" i="33"/>
  <c r="G32" i="33"/>
  <c r="L32" i="33"/>
  <c r="I32" i="33"/>
  <c r="K32" i="33"/>
  <c r="H32" i="33"/>
  <c r="F32" i="33"/>
  <c r="H54" i="14"/>
  <c r="S13" i="31"/>
  <c r="R14" i="31"/>
  <c r="F13" i="24"/>
  <c r="G13" i="24"/>
  <c r="H13" i="24"/>
  <c r="E13" i="24"/>
  <c r="K13" i="24"/>
  <c r="J13" i="24"/>
  <c r="B13" i="24"/>
  <c r="C13" i="24"/>
  <c r="E81" i="24"/>
  <c r="D13" i="24"/>
  <c r="I13" i="24"/>
  <c r="H3" i="24"/>
  <c r="I3" i="24"/>
  <c r="B3" i="24"/>
  <c r="J3" i="24"/>
  <c r="G3" i="24"/>
  <c r="K3" i="24"/>
  <c r="F3" i="24"/>
  <c r="E71" i="24"/>
  <c r="C3" i="24"/>
  <c r="D3" i="24"/>
  <c r="E3" i="24"/>
  <c r="U27" i="31"/>
  <c r="F54" i="14"/>
  <c r="O20" i="12" l="1"/>
  <c r="P30" i="12"/>
  <c r="H17" i="12"/>
  <c r="J6" i="12"/>
  <c r="O43" i="33"/>
  <c r="Y33" i="31"/>
  <c r="O14" i="12"/>
  <c r="P24" i="12"/>
  <c r="M44" i="12"/>
  <c r="P21" i="12"/>
  <c r="L46" i="33"/>
  <c r="L53" i="33" s="1"/>
  <c r="C46" i="33"/>
  <c r="C53" i="33" s="1"/>
  <c r="K57" i="33" s="1"/>
  <c r="I46" i="33"/>
  <c r="I53" i="33" s="1"/>
  <c r="Q57" i="33" s="1"/>
  <c r="D46" i="33"/>
  <c r="D53" i="33" s="1"/>
  <c r="L57" i="33" s="1"/>
  <c r="B77" i="33" s="1"/>
  <c r="K46" i="33"/>
  <c r="K53" i="33" s="1"/>
  <c r="S57" i="33" s="1"/>
  <c r="F46" i="33"/>
  <c r="F53" i="33" s="1"/>
  <c r="N57" i="33" s="1"/>
  <c r="B79" i="33" s="1"/>
  <c r="G46" i="33"/>
  <c r="G53" i="33" s="1"/>
  <c r="O57" i="33" s="1"/>
  <c r="B80" i="33" s="1"/>
  <c r="H46" i="33"/>
  <c r="H53" i="33" s="1"/>
  <c r="P57" i="33" s="1"/>
  <c r="B81" i="33" s="1"/>
  <c r="J46" i="33"/>
  <c r="J53" i="33" s="1"/>
  <c r="R57" i="33" s="1"/>
  <c r="E46" i="33"/>
  <c r="E53" i="33" s="1"/>
  <c r="M57" i="33" s="1"/>
  <c r="B78" i="33" s="1"/>
  <c r="V43" i="33"/>
  <c r="G28" i="12"/>
  <c r="M16" i="24"/>
  <c r="M39" i="24"/>
  <c r="M40" i="24" s="1"/>
  <c r="I6" i="12"/>
  <c r="G17" i="12"/>
  <c r="P43" i="33"/>
  <c r="P56" i="33" s="1"/>
  <c r="M43" i="33"/>
  <c r="N43" i="33"/>
  <c r="Q53" i="33"/>
  <c r="O53" i="33"/>
  <c r="O21" i="31"/>
  <c r="R20" i="31"/>
  <c r="S20" i="31" s="1"/>
  <c r="T20" i="31"/>
  <c r="U20" i="31" s="1"/>
  <c r="P20" i="31"/>
  <c r="Q20" i="31" s="1"/>
  <c r="X20" i="31"/>
  <c r="Y20" i="31" s="1"/>
  <c r="V20" i="31"/>
  <c r="W20" i="31" s="1"/>
  <c r="U43" i="33"/>
  <c r="H118" i="33"/>
  <c r="G118" i="33"/>
  <c r="G18" i="12"/>
  <c r="G7" i="12" s="1"/>
  <c r="I7" i="12"/>
  <c r="W33" i="31"/>
  <c r="N16" i="12"/>
  <c r="O26" i="12"/>
  <c r="T43" i="33"/>
  <c r="T56" i="33" s="1"/>
  <c r="M29" i="12"/>
  <c r="K8" i="12"/>
  <c r="K19" i="12"/>
  <c r="L19" i="12"/>
  <c r="R15" i="31"/>
  <c r="S14" i="31"/>
  <c r="S33" i="31"/>
  <c r="N45" i="12"/>
  <c r="O45" i="12" s="1"/>
  <c r="D30" i="33"/>
  <c r="D43" i="33" s="1"/>
  <c r="D56" i="33" s="1"/>
  <c r="B62" i="33" s="1"/>
  <c r="K30" i="33"/>
  <c r="K43" i="33" s="1"/>
  <c r="K56" i="33" s="1"/>
  <c r="B69" i="33" s="1"/>
  <c r="C30" i="33"/>
  <c r="C43" i="33" s="1"/>
  <c r="C56" i="33" s="1"/>
  <c r="E30" i="33"/>
  <c r="E43" i="33" s="1"/>
  <c r="E56" i="33" s="1"/>
  <c r="B63" i="33" s="1"/>
  <c r="H30" i="33"/>
  <c r="H43" i="33" s="1"/>
  <c r="H56" i="33" s="1"/>
  <c r="B66" i="33" s="1"/>
  <c r="I30" i="33"/>
  <c r="I43" i="33" s="1"/>
  <c r="I56" i="33" s="1"/>
  <c r="B67" i="33" s="1"/>
  <c r="G30" i="33"/>
  <c r="G43" i="33" s="1"/>
  <c r="G56" i="33" s="1"/>
  <c r="B65" i="33" s="1"/>
  <c r="J30" i="33"/>
  <c r="J43" i="33" s="1"/>
  <c r="L30" i="33"/>
  <c r="L43" i="33" s="1"/>
  <c r="L56" i="33" s="1"/>
  <c r="B70" i="33" s="1"/>
  <c r="F30" i="33"/>
  <c r="F43" i="33" s="1"/>
  <c r="F56" i="33" s="1"/>
  <c r="B64" i="33" s="1"/>
  <c r="Q31" i="12"/>
  <c r="D27" i="12"/>
  <c r="Q15" i="31"/>
  <c r="P53" i="33"/>
  <c r="X39" i="31"/>
  <c r="Y39" i="31" s="1"/>
  <c r="P39" i="31"/>
  <c r="Q39" i="31" s="1"/>
  <c r="R39" i="31"/>
  <c r="S39" i="31" s="1"/>
  <c r="V39" i="31"/>
  <c r="W39" i="31" s="1"/>
  <c r="T39" i="31"/>
  <c r="U39" i="31" s="1"/>
  <c r="Q33" i="31"/>
  <c r="J18" i="12"/>
  <c r="B18" i="12"/>
  <c r="B28" i="12"/>
  <c r="R43" i="33"/>
  <c r="R56" i="33" s="1"/>
  <c r="M15" i="12"/>
  <c r="N25" i="12"/>
  <c r="I67" i="33" l="1"/>
  <c r="J67" i="33"/>
  <c r="K67" i="33"/>
  <c r="O67" i="33"/>
  <c r="R67" i="33"/>
  <c r="P67" i="33"/>
  <c r="Q67" i="33"/>
  <c r="N67" i="33"/>
  <c r="L67" i="33"/>
  <c r="M67" i="33"/>
  <c r="G63" i="33"/>
  <c r="H63" i="33"/>
  <c r="M63" i="33"/>
  <c r="I63" i="33"/>
  <c r="E63" i="33"/>
  <c r="L63" i="33"/>
  <c r="F63" i="33"/>
  <c r="J63" i="33"/>
  <c r="K63" i="33"/>
  <c r="N63" i="33"/>
  <c r="K81" i="33"/>
  <c r="Q81" i="33"/>
  <c r="Q82" i="33" s="1"/>
  <c r="L81" i="33"/>
  <c r="O81" i="33"/>
  <c r="P81" i="33"/>
  <c r="I81" i="33"/>
  <c r="M81" i="33"/>
  <c r="H81" i="33"/>
  <c r="J81" i="33"/>
  <c r="N81" i="33"/>
  <c r="L64" i="33"/>
  <c r="G64" i="33"/>
  <c r="H64" i="33"/>
  <c r="M64" i="33"/>
  <c r="K64" i="33"/>
  <c r="I64" i="33"/>
  <c r="F64" i="33"/>
  <c r="J64" i="33"/>
  <c r="O64" i="33"/>
  <c r="N64" i="33"/>
  <c r="S69" i="33"/>
  <c r="T69" i="33"/>
  <c r="N69" i="33"/>
  <c r="M69" i="33"/>
  <c r="K69" i="33"/>
  <c r="R69" i="33"/>
  <c r="P69" i="33"/>
  <c r="L69" i="33"/>
  <c r="O69" i="33"/>
  <c r="Q69" i="33"/>
  <c r="I19" i="12"/>
  <c r="G6" i="12"/>
  <c r="E17" i="12"/>
  <c r="E6" i="12" s="1"/>
  <c r="L79" i="33"/>
  <c r="O79" i="33"/>
  <c r="O82" i="33" s="1"/>
  <c r="M79" i="33"/>
  <c r="N79" i="33"/>
  <c r="F79" i="33"/>
  <c r="K79" i="33"/>
  <c r="H79" i="33"/>
  <c r="J79" i="33"/>
  <c r="G79" i="33"/>
  <c r="I79" i="33"/>
  <c r="F119" i="33"/>
  <c r="K66" i="33"/>
  <c r="O66" i="33"/>
  <c r="P66" i="33"/>
  <c r="Q66" i="33"/>
  <c r="L66" i="33"/>
  <c r="J66" i="33"/>
  <c r="N66" i="33"/>
  <c r="M66" i="33"/>
  <c r="I66" i="33"/>
  <c r="H66" i="33"/>
  <c r="N56" i="33"/>
  <c r="B72" i="33" s="1"/>
  <c r="M70" i="33"/>
  <c r="S70" i="33"/>
  <c r="T70" i="33"/>
  <c r="N70" i="33"/>
  <c r="U70" i="33"/>
  <c r="L70" i="33"/>
  <c r="R70" i="33"/>
  <c r="Q70" i="33"/>
  <c r="O70" i="33"/>
  <c r="P70" i="33"/>
  <c r="E62" i="33"/>
  <c r="G62" i="33"/>
  <c r="H62" i="33"/>
  <c r="M62" i="33"/>
  <c r="I62" i="33"/>
  <c r="D62" i="33"/>
  <c r="F62" i="33"/>
  <c r="J62" i="33"/>
  <c r="K62" i="33"/>
  <c r="L62" i="33"/>
  <c r="S15" i="31"/>
  <c r="N44" i="12"/>
  <c r="O44" i="12"/>
  <c r="B76" i="33"/>
  <c r="U57" i="33"/>
  <c r="K4" i="12"/>
  <c r="L15" i="12"/>
  <c r="M25" i="12"/>
  <c r="K15" i="12"/>
  <c r="N20" i="12"/>
  <c r="O30" i="12"/>
  <c r="B61" i="33"/>
  <c r="H18" i="12"/>
  <c r="H7" i="12" s="1"/>
  <c r="J7" i="12"/>
  <c r="J56" i="33"/>
  <c r="B68" i="33" s="1"/>
  <c r="I77" i="33"/>
  <c r="J77" i="33"/>
  <c r="M77" i="33"/>
  <c r="M82" i="33" s="1"/>
  <c r="D77" i="33"/>
  <c r="G77" i="33"/>
  <c r="K77" i="33"/>
  <c r="L77" i="33"/>
  <c r="H77" i="33"/>
  <c r="E77" i="33"/>
  <c r="F77" i="33"/>
  <c r="O56" i="33"/>
  <c r="V56" i="33" s="1"/>
  <c r="H6" i="12"/>
  <c r="F17" i="12"/>
  <c r="M78" i="33"/>
  <c r="N78" i="33"/>
  <c r="I78" i="33"/>
  <c r="J78" i="33"/>
  <c r="L78" i="33"/>
  <c r="K78" i="33"/>
  <c r="F78" i="33"/>
  <c r="E78" i="33"/>
  <c r="H78" i="33"/>
  <c r="G78" i="33"/>
  <c r="O24" i="12"/>
  <c r="N14" i="12"/>
  <c r="M43" i="12"/>
  <c r="O21" i="12"/>
  <c r="N26" i="12"/>
  <c r="M16" i="12"/>
  <c r="F18" i="12"/>
  <c r="F7" i="12" s="1"/>
  <c r="F28" i="12"/>
  <c r="J19" i="12"/>
  <c r="B19" i="12"/>
  <c r="B29" i="12"/>
  <c r="L80" i="33"/>
  <c r="O80" i="33"/>
  <c r="M80" i="33"/>
  <c r="N80" i="33"/>
  <c r="K80" i="33"/>
  <c r="P80" i="33"/>
  <c r="P82" i="33" s="1"/>
  <c r="I80" i="33"/>
  <c r="G80" i="33"/>
  <c r="J80" i="33"/>
  <c r="H80" i="33"/>
  <c r="C27" i="12"/>
  <c r="L6" i="12" s="1"/>
  <c r="B6" i="12" s="1"/>
  <c r="C17" i="12"/>
  <c r="C6" i="12" s="1"/>
  <c r="P65" i="33"/>
  <c r="L65" i="33"/>
  <c r="K65" i="33"/>
  <c r="O65" i="33"/>
  <c r="H65" i="33"/>
  <c r="M65" i="33"/>
  <c r="G65" i="33"/>
  <c r="N65" i="33"/>
  <c r="I65" i="33"/>
  <c r="J65" i="33"/>
  <c r="G29" i="12"/>
  <c r="V21" i="31"/>
  <c r="W21" i="31" s="1"/>
  <c r="R21" i="31"/>
  <c r="S21" i="31" s="1"/>
  <c r="P21" i="31"/>
  <c r="Q21" i="31" s="1"/>
  <c r="T21" i="31"/>
  <c r="U21" i="31" s="1"/>
  <c r="X21" i="31"/>
  <c r="Y21" i="31" s="1"/>
  <c r="M56" i="33"/>
  <c r="B71" i="33" s="1"/>
  <c r="P31" i="12"/>
  <c r="W85" i="33" l="1"/>
  <c r="V113" i="33" s="1"/>
  <c r="E119" i="33"/>
  <c r="N43" i="12"/>
  <c r="O43" i="12"/>
  <c r="H19" i="12"/>
  <c r="H8" i="12" s="1"/>
  <c r="J8" i="12"/>
  <c r="U71" i="33"/>
  <c r="U73" i="33" s="1"/>
  <c r="S71" i="33"/>
  <c r="V71" i="33"/>
  <c r="M71" i="33"/>
  <c r="Q71" i="33"/>
  <c r="N71" i="33"/>
  <c r="N73" i="33" s="1"/>
  <c r="N85" i="33" s="1"/>
  <c r="O71" i="33"/>
  <c r="P71" i="33"/>
  <c r="T71" i="33"/>
  <c r="T73" i="33" s="1"/>
  <c r="R71" i="33"/>
  <c r="U56" i="33"/>
  <c r="U58" i="33" s="1"/>
  <c r="S72" i="33"/>
  <c r="W72" i="33"/>
  <c r="W73" i="33" s="1"/>
  <c r="V72" i="33"/>
  <c r="U72" i="33"/>
  <c r="P72" i="33"/>
  <c r="Q72" i="33"/>
  <c r="O72" i="33"/>
  <c r="N72" i="33"/>
  <c r="T72" i="33"/>
  <c r="R72" i="33"/>
  <c r="O31" i="12"/>
  <c r="I15" i="12"/>
  <c r="L16" i="12"/>
  <c r="K16" i="12"/>
  <c r="I16" i="12" s="1"/>
  <c r="K5" i="12"/>
  <c r="M26" i="12"/>
  <c r="N82" i="33"/>
  <c r="G25" i="12"/>
  <c r="M73" i="33"/>
  <c r="M85" i="33" s="1"/>
  <c r="B101" i="33" s="1"/>
  <c r="I8" i="12"/>
  <c r="G19" i="12"/>
  <c r="G8" i="12" s="1"/>
  <c r="E18" i="12"/>
  <c r="E7" i="12" s="1"/>
  <c r="E28" i="12"/>
  <c r="N68" i="33"/>
  <c r="J68" i="33"/>
  <c r="S68" i="33"/>
  <c r="K68" i="33"/>
  <c r="O68" i="33"/>
  <c r="R68" i="33"/>
  <c r="R73" i="33" s="1"/>
  <c r="R85" i="33" s="1"/>
  <c r="P68" i="33"/>
  <c r="P73" i="33" s="1"/>
  <c r="P85" i="33" s="1"/>
  <c r="L68" i="33"/>
  <c r="M68" i="33"/>
  <c r="Q68" i="33"/>
  <c r="O73" i="33"/>
  <c r="O85" i="33" s="1"/>
  <c r="N24" i="12"/>
  <c r="M42" i="12"/>
  <c r="N21" i="12"/>
  <c r="M14" i="12"/>
  <c r="N30" i="12"/>
  <c r="M20" i="12"/>
  <c r="I76" i="33"/>
  <c r="I82" i="33" s="1"/>
  <c r="Q86" i="33" s="1"/>
  <c r="J76" i="33"/>
  <c r="J82" i="33" s="1"/>
  <c r="R86" i="33" s="1"/>
  <c r="C76" i="33"/>
  <c r="C82" i="33" s="1"/>
  <c r="K86" i="33" s="1"/>
  <c r="F76" i="33"/>
  <c r="F82" i="33" s="1"/>
  <c r="N86" i="33" s="1"/>
  <c r="B108" i="33" s="1"/>
  <c r="G76" i="33"/>
  <c r="G82" i="33" s="1"/>
  <c r="O86" i="33" s="1"/>
  <c r="B109" i="33" s="1"/>
  <c r="D76" i="33"/>
  <c r="D82" i="33" s="1"/>
  <c r="L86" i="33" s="1"/>
  <c r="B106" i="33" s="1"/>
  <c r="H76" i="33"/>
  <c r="H82" i="33" s="1"/>
  <c r="P86" i="33" s="1"/>
  <c r="E76" i="33"/>
  <c r="E82" i="33" s="1"/>
  <c r="M86" i="33" s="1"/>
  <c r="B107" i="33" s="1"/>
  <c r="L76" i="33"/>
  <c r="L82" i="33" s="1"/>
  <c r="K76" i="33"/>
  <c r="K82" i="33" s="1"/>
  <c r="Q73" i="33"/>
  <c r="Q85" i="33" s="1"/>
  <c r="G119" i="33"/>
  <c r="F29" i="12"/>
  <c r="F6" i="12"/>
  <c r="D17" i="12"/>
  <c r="D6" i="12" s="1"/>
  <c r="C61" i="33"/>
  <c r="C73" i="33" s="1"/>
  <c r="C85" i="33" s="1"/>
  <c r="I61" i="33"/>
  <c r="I73" i="33" s="1"/>
  <c r="I85" i="33" s="1"/>
  <c r="B97" i="33" s="1"/>
  <c r="F61" i="33"/>
  <c r="F73" i="33" s="1"/>
  <c r="F85" i="33" s="1"/>
  <c r="B94" i="33" s="1"/>
  <c r="J61" i="33"/>
  <c r="J73" i="33" s="1"/>
  <c r="D61" i="33"/>
  <c r="D73" i="33" s="1"/>
  <c r="D85" i="33" s="1"/>
  <c r="B92" i="33" s="1"/>
  <c r="G61" i="33"/>
  <c r="G73" i="33" s="1"/>
  <c r="G85" i="33" s="1"/>
  <c r="B95" i="33" s="1"/>
  <c r="H61" i="33"/>
  <c r="H73" i="33" s="1"/>
  <c r="H85" i="33" s="1"/>
  <c r="B96" i="33" s="1"/>
  <c r="E61" i="33"/>
  <c r="E73" i="33" s="1"/>
  <c r="E85" i="33" s="1"/>
  <c r="B93" i="33" s="1"/>
  <c r="K61" i="33"/>
  <c r="K73" i="33" s="1"/>
  <c r="K85" i="33" s="1"/>
  <c r="B99" i="33" s="1"/>
  <c r="L61" i="33"/>
  <c r="L73" i="33" s="1"/>
  <c r="L85" i="33" s="1"/>
  <c r="B100" i="33" s="1"/>
  <c r="J15" i="12"/>
  <c r="B25" i="12"/>
  <c r="B15" i="12"/>
  <c r="N31" i="12" l="1"/>
  <c r="H107" i="33"/>
  <c r="J107" i="33"/>
  <c r="N107" i="33"/>
  <c r="N110" i="33" s="1"/>
  <c r="G107" i="33"/>
  <c r="K107" i="33"/>
  <c r="I107" i="33"/>
  <c r="M107" i="33"/>
  <c r="E107" i="33"/>
  <c r="F107" i="33"/>
  <c r="L107" i="33"/>
  <c r="M30" i="12"/>
  <c r="K9" i="12"/>
  <c r="L20" i="12"/>
  <c r="K20" i="12"/>
  <c r="M92" i="33"/>
  <c r="L92" i="33"/>
  <c r="K92" i="33"/>
  <c r="E92" i="33"/>
  <c r="H92" i="33"/>
  <c r="I92" i="33"/>
  <c r="G92" i="33"/>
  <c r="D92" i="33"/>
  <c r="F92" i="33"/>
  <c r="J92" i="33"/>
  <c r="F19" i="12"/>
  <c r="F8" i="12" s="1"/>
  <c r="U101" i="33"/>
  <c r="M101" i="33"/>
  <c r="T101" i="33"/>
  <c r="O101" i="33"/>
  <c r="V101" i="33"/>
  <c r="V102" i="33" s="1"/>
  <c r="Q101" i="33"/>
  <c r="P101" i="33"/>
  <c r="R101" i="33"/>
  <c r="S101" i="33"/>
  <c r="N101" i="33"/>
  <c r="J16" i="12"/>
  <c r="B26" i="12"/>
  <c r="B16" i="12"/>
  <c r="B91" i="33"/>
  <c r="I96" i="33"/>
  <c r="J96" i="33"/>
  <c r="O96" i="33"/>
  <c r="P96" i="33"/>
  <c r="H96" i="33"/>
  <c r="K96" i="33"/>
  <c r="N96" i="33"/>
  <c r="Q96" i="33"/>
  <c r="M96" i="33"/>
  <c r="L96" i="33"/>
  <c r="G106" i="33"/>
  <c r="D106" i="33"/>
  <c r="J106" i="33"/>
  <c r="F106" i="33"/>
  <c r="H106" i="33"/>
  <c r="K106" i="33"/>
  <c r="E106" i="33"/>
  <c r="I106" i="33"/>
  <c r="L106" i="33"/>
  <c r="M106" i="33"/>
  <c r="M110" i="33" s="1"/>
  <c r="I5" i="12"/>
  <c r="D34" i="12"/>
  <c r="L109" i="33"/>
  <c r="K109" i="33"/>
  <c r="I109" i="33"/>
  <c r="J109" i="33"/>
  <c r="P109" i="33"/>
  <c r="P110" i="33" s="1"/>
  <c r="H109" i="33"/>
  <c r="O109" i="33"/>
  <c r="G109" i="33"/>
  <c r="M109" i="33"/>
  <c r="N109" i="33"/>
  <c r="M24" i="12"/>
  <c r="L14" i="12"/>
  <c r="K14" i="12"/>
  <c r="K3" i="12"/>
  <c r="M21" i="12"/>
  <c r="M41" i="12"/>
  <c r="S73" i="33"/>
  <c r="S85" i="33" s="1"/>
  <c r="J85" i="33"/>
  <c r="B98" i="33" s="1"/>
  <c r="K108" i="33"/>
  <c r="I108" i="33"/>
  <c r="J108" i="33"/>
  <c r="H108" i="33"/>
  <c r="N108" i="33"/>
  <c r="G108" i="33"/>
  <c r="L108" i="33"/>
  <c r="M108" i="33"/>
  <c r="O108" i="33"/>
  <c r="O110" i="33" s="1"/>
  <c r="F108" i="33"/>
  <c r="F25" i="12"/>
  <c r="L93" i="33"/>
  <c r="E93" i="33"/>
  <c r="M93" i="33"/>
  <c r="I93" i="33"/>
  <c r="K93" i="33"/>
  <c r="G93" i="33"/>
  <c r="N93" i="33"/>
  <c r="F93" i="33"/>
  <c r="J93" i="33"/>
  <c r="H93" i="33"/>
  <c r="G95" i="33"/>
  <c r="K95" i="33"/>
  <c r="L95" i="33"/>
  <c r="I95" i="33"/>
  <c r="J95" i="33"/>
  <c r="O95" i="33"/>
  <c r="P95" i="33"/>
  <c r="N95" i="33"/>
  <c r="M95" i="33"/>
  <c r="H95" i="33"/>
  <c r="F94" i="33"/>
  <c r="L94" i="33"/>
  <c r="K94" i="33"/>
  <c r="G94" i="33"/>
  <c r="N94" i="33"/>
  <c r="I94" i="33"/>
  <c r="M94" i="33"/>
  <c r="J94" i="33"/>
  <c r="H94" i="33"/>
  <c r="O94" i="33"/>
  <c r="B105" i="33"/>
  <c r="T86" i="33"/>
  <c r="N42" i="12"/>
  <c r="O42" i="12"/>
  <c r="D43" i="12"/>
  <c r="H119" i="33"/>
  <c r="M99" i="33"/>
  <c r="S99" i="33"/>
  <c r="N99" i="33"/>
  <c r="Q99" i="33"/>
  <c r="R99" i="33"/>
  <c r="T99" i="33"/>
  <c r="L99" i="33"/>
  <c r="P99" i="33"/>
  <c r="K99" i="33"/>
  <c r="O99" i="33"/>
  <c r="G26" i="12"/>
  <c r="E19" i="12"/>
  <c r="E8" i="12" s="1"/>
  <c r="E29" i="12"/>
  <c r="J4" i="12"/>
  <c r="H15" i="12"/>
  <c r="U100" i="33"/>
  <c r="M100" i="33"/>
  <c r="S100" i="33"/>
  <c r="R100" i="33"/>
  <c r="L100" i="33"/>
  <c r="T100" i="33"/>
  <c r="N100" i="33"/>
  <c r="O100" i="33"/>
  <c r="Q100" i="33"/>
  <c r="P100" i="33"/>
  <c r="N97" i="33"/>
  <c r="Q97" i="33"/>
  <c r="I97" i="33"/>
  <c r="J97" i="33"/>
  <c r="O97" i="33"/>
  <c r="P97" i="33"/>
  <c r="K97" i="33"/>
  <c r="L97" i="33"/>
  <c r="M97" i="33"/>
  <c r="R97" i="33"/>
  <c r="D18" i="12"/>
  <c r="D7" i="12" s="1"/>
  <c r="D28" i="12"/>
  <c r="I4" i="12"/>
  <c r="G15" i="12"/>
  <c r="D41" i="12"/>
  <c r="V73" i="33"/>
  <c r="S98" i="33" l="1"/>
  <c r="S102" i="33" s="1"/>
  <c r="N98" i="33"/>
  <c r="Q98" i="33"/>
  <c r="J98" i="33"/>
  <c r="O98" i="33"/>
  <c r="O102" i="33" s="1"/>
  <c r="O113" i="33" s="1"/>
  <c r="P98" i="33"/>
  <c r="P102" i="33" s="1"/>
  <c r="P113" i="33" s="1"/>
  <c r="M98" i="33"/>
  <c r="M102" i="33" s="1"/>
  <c r="M113" i="33" s="1"/>
  <c r="L98" i="33"/>
  <c r="R98" i="33"/>
  <c r="K98" i="33"/>
  <c r="H4" i="12"/>
  <c r="D40" i="12"/>
  <c r="K19" i="13"/>
  <c r="K2" i="13"/>
  <c r="K3" i="13" s="1"/>
  <c r="K4" i="13" s="1"/>
  <c r="K20" i="13"/>
  <c r="K17" i="13"/>
  <c r="K18" i="13"/>
  <c r="K21" i="13"/>
  <c r="K10" i="12"/>
  <c r="B30" i="12"/>
  <c r="J20" i="12"/>
  <c r="B20" i="12"/>
  <c r="T102" i="33"/>
  <c r="M31" i="12"/>
  <c r="G24" i="12"/>
  <c r="F26" i="12"/>
  <c r="N41" i="12"/>
  <c r="O41" i="12" s="1"/>
  <c r="Q102" i="33"/>
  <c r="Q113" i="33" s="1"/>
  <c r="D91" i="33"/>
  <c r="D102" i="33" s="1"/>
  <c r="D113" i="33" s="1"/>
  <c r="G91" i="33"/>
  <c r="G102" i="33" s="1"/>
  <c r="G113" i="33" s="1"/>
  <c r="H91" i="33"/>
  <c r="H102" i="33" s="1"/>
  <c r="E91" i="33"/>
  <c r="E102" i="33" s="1"/>
  <c r="E113" i="33" s="1"/>
  <c r="F91" i="33"/>
  <c r="F102" i="33" s="1"/>
  <c r="F113" i="33" s="1"/>
  <c r="J91" i="33"/>
  <c r="J102" i="33" s="1"/>
  <c r="J113" i="33" s="1"/>
  <c r="K91" i="33"/>
  <c r="K102" i="33" s="1"/>
  <c r="K113" i="33" s="1"/>
  <c r="C91" i="33"/>
  <c r="C102" i="33" s="1"/>
  <c r="C113" i="33" s="1"/>
  <c r="L91" i="33"/>
  <c r="L102" i="33" s="1"/>
  <c r="L113" i="33" s="1"/>
  <c r="I91" i="33"/>
  <c r="I102" i="33" s="1"/>
  <c r="C18" i="12"/>
  <c r="C7" i="12" s="1"/>
  <c r="C28" i="12"/>
  <c r="L7" i="12" s="1"/>
  <c r="B7" i="12" s="1"/>
  <c r="D19" i="12"/>
  <c r="D8" i="12" s="1"/>
  <c r="D29" i="12"/>
  <c r="R102" i="33"/>
  <c r="R113" i="33" s="1"/>
  <c r="U85" i="33"/>
  <c r="F120" i="33"/>
  <c r="E15" i="12"/>
  <c r="E25" i="12"/>
  <c r="T85" i="33"/>
  <c r="T87" i="33" s="1"/>
  <c r="W87" i="33" s="1"/>
  <c r="I14" i="12"/>
  <c r="K21" i="12"/>
  <c r="M39" i="12"/>
  <c r="C43" i="12"/>
  <c r="H16" i="12"/>
  <c r="H5" i="12" s="1"/>
  <c r="J5" i="12"/>
  <c r="J14" i="12"/>
  <c r="L21" i="12"/>
  <c r="B24" i="12"/>
  <c r="B31" i="12" s="1"/>
  <c r="B14" i="12"/>
  <c r="M40" i="12"/>
  <c r="G30" i="12"/>
  <c r="U102" i="33"/>
  <c r="D105" i="33"/>
  <c r="D110" i="33" s="1"/>
  <c r="L114" i="33" s="1"/>
  <c r="F105" i="33"/>
  <c r="F110" i="33" s="1"/>
  <c r="N114" i="33" s="1"/>
  <c r="G105" i="33"/>
  <c r="G110" i="33" s="1"/>
  <c r="O114" i="33" s="1"/>
  <c r="K105" i="33"/>
  <c r="K110" i="33" s="1"/>
  <c r="E105" i="33"/>
  <c r="E110" i="33" s="1"/>
  <c r="M114" i="33" s="1"/>
  <c r="J105" i="33"/>
  <c r="J110" i="33" s="1"/>
  <c r="C105" i="33"/>
  <c r="C110" i="33" s="1"/>
  <c r="K114" i="33" s="1"/>
  <c r="I105" i="33"/>
  <c r="I110" i="33" s="1"/>
  <c r="Q114" i="33" s="1"/>
  <c r="L105" i="33"/>
  <c r="L110" i="33" s="1"/>
  <c r="H105" i="33"/>
  <c r="H110" i="33" s="1"/>
  <c r="P114" i="33" s="1"/>
  <c r="G4" i="12"/>
  <c r="D42" i="12"/>
  <c r="N102" i="33"/>
  <c r="N113" i="33" s="1"/>
  <c r="F15" i="12"/>
  <c r="G16" i="12"/>
  <c r="G5" i="12" s="1"/>
  <c r="I20" i="12"/>
  <c r="I3" i="12" l="1"/>
  <c r="C41" i="12"/>
  <c r="I21" i="12"/>
  <c r="M37" i="12"/>
  <c r="G14" i="12"/>
  <c r="K18" i="17"/>
  <c r="K51" i="17" s="1"/>
  <c r="K53" i="13"/>
  <c r="K19" i="17" s="1"/>
  <c r="K52" i="17" s="1"/>
  <c r="K43" i="13"/>
  <c r="I9" i="12"/>
  <c r="G20" i="12"/>
  <c r="G9" i="12" s="1"/>
  <c r="D39" i="12"/>
  <c r="B21" i="12"/>
  <c r="C34" i="12"/>
  <c r="E120" i="33"/>
  <c r="G120" i="33" s="1"/>
  <c r="G121" i="33" s="1"/>
  <c r="G122" i="33" s="1"/>
  <c r="W113" i="33"/>
  <c r="K40" i="13"/>
  <c r="K50" i="13"/>
  <c r="T113" i="33"/>
  <c r="F121" i="33"/>
  <c r="S114" i="33"/>
  <c r="F20" i="12"/>
  <c r="F9" i="12" s="1"/>
  <c r="F30" i="12"/>
  <c r="D15" i="12"/>
  <c r="D25" i="12"/>
  <c r="H113" i="33"/>
  <c r="S113" i="33" s="1"/>
  <c r="S115" i="33" s="1"/>
  <c r="X115" i="33" s="1"/>
  <c r="F16" i="12"/>
  <c r="F5" i="12" s="1"/>
  <c r="C19" i="12"/>
  <c r="C8" i="12" s="1"/>
  <c r="C29" i="12"/>
  <c r="L8" i="12" s="1"/>
  <c r="B8" i="12" s="1"/>
  <c r="K5" i="13"/>
  <c r="H20" i="12"/>
  <c r="H9" i="12" s="1"/>
  <c r="J9" i="12"/>
  <c r="E16" i="12"/>
  <c r="E5" i="12" s="1"/>
  <c r="E26" i="12"/>
  <c r="E43" i="12"/>
  <c r="G43" i="12"/>
  <c r="E4" i="12"/>
  <c r="I113" i="33"/>
  <c r="G31" i="12"/>
  <c r="F24" i="12"/>
  <c r="K44" i="13"/>
  <c r="K54" i="13"/>
  <c r="K21" i="15"/>
  <c r="K21" i="18"/>
  <c r="K21" i="20"/>
  <c r="H14" i="12"/>
  <c r="F14" i="12" s="1"/>
  <c r="J3" i="12"/>
  <c r="J21" i="12"/>
  <c r="C42" i="12"/>
  <c r="M38" i="12"/>
  <c r="K42" i="13"/>
  <c r="K52" i="13"/>
  <c r="F4" i="12"/>
  <c r="D38" i="12"/>
  <c r="N40" i="12"/>
  <c r="O40" i="12" s="1"/>
  <c r="N39" i="12"/>
  <c r="O39" i="12" s="1"/>
  <c r="K16" i="17"/>
  <c r="K49" i="17" s="1"/>
  <c r="K51" i="13"/>
  <c r="K17" i="17" s="1"/>
  <c r="K50" i="17" s="1"/>
  <c r="K41" i="13"/>
  <c r="F3" i="12" l="1"/>
  <c r="M34" i="12"/>
  <c r="F21" i="12"/>
  <c r="C38" i="12"/>
  <c r="E34" i="12"/>
  <c r="G34" i="12"/>
  <c r="F31" i="12"/>
  <c r="E14" i="12"/>
  <c r="E24" i="12"/>
  <c r="E42" i="12"/>
  <c r="G42" i="12"/>
  <c r="K20" i="17"/>
  <c r="K53" i="17" s="1"/>
  <c r="K54" i="15"/>
  <c r="K54" i="20"/>
  <c r="K54" i="18"/>
  <c r="K6" i="13"/>
  <c r="X21" i="18"/>
  <c r="C15" i="12"/>
  <c r="C25" i="12"/>
  <c r="L4" i="12" s="1"/>
  <c r="B4" i="12" s="1"/>
  <c r="J2" i="13"/>
  <c r="J3" i="13" s="1"/>
  <c r="J4" i="13" s="1"/>
  <c r="J20" i="13"/>
  <c r="J17" i="13"/>
  <c r="J19" i="13"/>
  <c r="J18" i="13"/>
  <c r="J21" i="13"/>
  <c r="J10" i="12"/>
  <c r="H121" i="33"/>
  <c r="D16" i="12"/>
  <c r="D5" i="12" s="1"/>
  <c r="D26" i="12"/>
  <c r="X21" i="20"/>
  <c r="N37" i="12"/>
  <c r="O37" i="12" s="1"/>
  <c r="X21" i="15"/>
  <c r="K20" i="14"/>
  <c r="D4" i="12"/>
  <c r="D36" i="12"/>
  <c r="G41" i="12"/>
  <c r="E41" i="12"/>
  <c r="H120" i="33"/>
  <c r="E122" i="33"/>
  <c r="H3" i="12"/>
  <c r="M36" i="12"/>
  <c r="C40" i="12"/>
  <c r="H21" i="12"/>
  <c r="G3" i="12"/>
  <c r="G21" i="12"/>
  <c r="M35" i="12"/>
  <c r="C39" i="12"/>
  <c r="F122" i="33"/>
  <c r="N38" i="12"/>
  <c r="O38" i="12"/>
  <c r="D37" i="12"/>
  <c r="E20" i="12"/>
  <c r="E9" i="12" s="1"/>
  <c r="E30" i="12"/>
  <c r="I17" i="13"/>
  <c r="I20" i="13"/>
  <c r="I19" i="13"/>
  <c r="I18" i="13"/>
  <c r="I2" i="13"/>
  <c r="I3" i="13" s="1"/>
  <c r="I4" i="13" s="1"/>
  <c r="I21" i="13"/>
  <c r="I10" i="12"/>
  <c r="I5" i="13" l="1"/>
  <c r="J52" i="13"/>
  <c r="J42" i="13"/>
  <c r="G40" i="12"/>
  <c r="E40" i="12"/>
  <c r="J54" i="13"/>
  <c r="J44" i="13"/>
  <c r="J21" i="20"/>
  <c r="J21" i="18"/>
  <c r="J21" i="15"/>
  <c r="G21" i="13"/>
  <c r="G19" i="13"/>
  <c r="G2" i="13"/>
  <c r="G3" i="13" s="1"/>
  <c r="G4" i="13" s="1"/>
  <c r="G17" i="13"/>
  <c r="G20" i="13"/>
  <c r="G18" i="13"/>
  <c r="G10" i="12"/>
  <c r="C16" i="12"/>
  <c r="C5" i="12" s="1"/>
  <c r="C26" i="12"/>
  <c r="L5" i="12" s="1"/>
  <c r="B5" i="12" s="1"/>
  <c r="I52" i="13"/>
  <c r="I42" i="13"/>
  <c r="J18" i="17"/>
  <c r="J51" i="17" s="1"/>
  <c r="J53" i="13"/>
  <c r="J43" i="13"/>
  <c r="I53" i="13"/>
  <c r="I43" i="13"/>
  <c r="H18" i="13"/>
  <c r="H20" i="13"/>
  <c r="H17" i="13"/>
  <c r="H19" i="13"/>
  <c r="H2" i="13"/>
  <c r="H3" i="13" s="1"/>
  <c r="H4" i="13" s="1"/>
  <c r="H21" i="13"/>
  <c r="H10" i="12"/>
  <c r="J5" i="13"/>
  <c r="E31" i="12"/>
  <c r="D14" i="12"/>
  <c r="D24" i="12"/>
  <c r="N34" i="12"/>
  <c r="O34" i="12"/>
  <c r="I19" i="17"/>
  <c r="I52" i="17" s="1"/>
  <c r="I54" i="13"/>
  <c r="I44" i="13"/>
  <c r="I21" i="18"/>
  <c r="I21" i="20"/>
  <c r="I21" i="15"/>
  <c r="J41" i="13"/>
  <c r="J51" i="13"/>
  <c r="J17" i="17" s="1"/>
  <c r="J50" i="17" s="1"/>
  <c r="G38" i="12"/>
  <c r="E38" i="12"/>
  <c r="N36" i="12"/>
  <c r="O36" i="12"/>
  <c r="K7" i="13"/>
  <c r="H122" i="33"/>
  <c r="E3" i="12"/>
  <c r="E21" i="12"/>
  <c r="C37" i="12"/>
  <c r="F20" i="13"/>
  <c r="F17" i="13"/>
  <c r="F21" i="13"/>
  <c r="F18" i="13"/>
  <c r="F19" i="13"/>
  <c r="F2" i="13"/>
  <c r="F3" i="13" s="1"/>
  <c r="F4" i="13" s="1"/>
  <c r="F10" i="12"/>
  <c r="C4" i="12"/>
  <c r="I51" i="13"/>
  <c r="I17" i="17" s="1"/>
  <c r="I50" i="17" s="1"/>
  <c r="I41" i="13"/>
  <c r="J50" i="13"/>
  <c r="J16" i="17" s="1"/>
  <c r="J49" i="17" s="1"/>
  <c r="J40" i="13"/>
  <c r="K20" i="20"/>
  <c r="K20" i="18"/>
  <c r="K20" i="15"/>
  <c r="K53" i="14"/>
  <c r="I40" i="13"/>
  <c r="I50" i="13"/>
  <c r="I16" i="17" s="1"/>
  <c r="I49" i="17" s="1"/>
  <c r="G39" i="12"/>
  <c r="E39" i="12"/>
  <c r="D20" i="12"/>
  <c r="D9" i="12" s="1"/>
  <c r="D30" i="12"/>
  <c r="N35" i="12"/>
  <c r="M46" i="12" s="1"/>
  <c r="O35" i="12"/>
  <c r="X54" i="15"/>
  <c r="X54" i="18" s="1"/>
  <c r="X54" i="20" s="1"/>
  <c r="F5" i="13" l="1"/>
  <c r="I20" i="17"/>
  <c r="I53" i="17" s="1"/>
  <c r="I54" i="15"/>
  <c r="I54" i="18"/>
  <c r="I54" i="20"/>
  <c r="D3" i="12"/>
  <c r="D21" i="12"/>
  <c r="C36" i="12"/>
  <c r="H52" i="13"/>
  <c r="H42" i="13"/>
  <c r="G19" i="17"/>
  <c r="G52" i="17" s="1"/>
  <c r="G54" i="13"/>
  <c r="G44" i="13"/>
  <c r="G21" i="15"/>
  <c r="G21" i="20"/>
  <c r="G21" i="18"/>
  <c r="E18" i="13"/>
  <c r="E2" i="13"/>
  <c r="E3" i="13" s="1"/>
  <c r="E4" i="13" s="1"/>
  <c r="E20" i="13"/>
  <c r="E21" i="13"/>
  <c r="E17" i="13"/>
  <c r="E19" i="13"/>
  <c r="E10" i="12"/>
  <c r="K53" i="15"/>
  <c r="K53" i="20"/>
  <c r="K53" i="18"/>
  <c r="C20" i="12"/>
  <c r="C9" i="12" s="1"/>
  <c r="C30" i="12"/>
  <c r="L9" i="12" s="1"/>
  <c r="B9" i="12" s="1"/>
  <c r="F40" i="13"/>
  <c r="F50" i="13"/>
  <c r="F16" i="17" s="1"/>
  <c r="F49" i="17" s="1"/>
  <c r="V21" i="15"/>
  <c r="I20" i="14"/>
  <c r="G40" i="13"/>
  <c r="G50" i="13"/>
  <c r="W21" i="15"/>
  <c r="J20" i="14"/>
  <c r="F51" i="13"/>
  <c r="F41" i="13"/>
  <c r="H41" i="13"/>
  <c r="H51" i="13"/>
  <c r="H17" i="17" s="1"/>
  <c r="H50" i="17" s="1"/>
  <c r="G16" i="17"/>
  <c r="G49" i="17" s="1"/>
  <c r="G41" i="13"/>
  <c r="G51" i="13"/>
  <c r="G53" i="13"/>
  <c r="G43" i="13"/>
  <c r="F18" i="17"/>
  <c r="F51" i="17" s="1"/>
  <c r="F43" i="13"/>
  <c r="F53" i="13"/>
  <c r="N46" i="12"/>
  <c r="H19" i="17"/>
  <c r="H52" i="17" s="1"/>
  <c r="H54" i="13"/>
  <c r="H44" i="13"/>
  <c r="H21" i="20"/>
  <c r="H21" i="18"/>
  <c r="H21" i="15"/>
  <c r="G5" i="13"/>
  <c r="J20" i="17"/>
  <c r="J53" i="17" s="1"/>
  <c r="J54" i="18"/>
  <c r="J54" i="20"/>
  <c r="J54" i="15"/>
  <c r="H50" i="13"/>
  <c r="H16" i="17" s="1"/>
  <c r="H49" i="17" s="1"/>
  <c r="H40" i="13"/>
  <c r="F17" i="17"/>
  <c r="F50" i="17" s="1"/>
  <c r="F42" i="13"/>
  <c r="F52" i="13"/>
  <c r="H18" i="17"/>
  <c r="H51" i="17" s="1"/>
  <c r="H53" i="13"/>
  <c r="H43" i="13"/>
  <c r="W21" i="18"/>
  <c r="W21" i="20" s="1"/>
  <c r="F19" i="17"/>
  <c r="F52" i="17" s="1"/>
  <c r="F54" i="13"/>
  <c r="F44" i="13"/>
  <c r="F21" i="15"/>
  <c r="F21" i="18"/>
  <c r="F21" i="20"/>
  <c r="K8" i="13"/>
  <c r="J6" i="13"/>
  <c r="X20" i="15"/>
  <c r="X20" i="18" s="1"/>
  <c r="X20" i="20" s="1"/>
  <c r="K19" i="14"/>
  <c r="D35" i="12"/>
  <c r="E37" i="12"/>
  <c r="G37" i="12"/>
  <c r="V21" i="18"/>
  <c r="V21" i="20" s="1"/>
  <c r="D31" i="12"/>
  <c r="C14" i="12"/>
  <c r="C24" i="12"/>
  <c r="H5" i="13"/>
  <c r="I18" i="17"/>
  <c r="I51" i="17" s="1"/>
  <c r="G17" i="17"/>
  <c r="G50" i="17" s="1"/>
  <c r="G52" i="13"/>
  <c r="G42" i="13"/>
  <c r="J19" i="17"/>
  <c r="J52" i="17" s="1"/>
  <c r="I6" i="13"/>
  <c r="E36" i="12" l="1"/>
  <c r="G36" i="12"/>
  <c r="I20" i="20"/>
  <c r="I20" i="15"/>
  <c r="I20" i="18"/>
  <c r="I53" i="14"/>
  <c r="E52" i="13"/>
  <c r="E42" i="13"/>
  <c r="T21" i="15"/>
  <c r="G20" i="14"/>
  <c r="S21" i="20"/>
  <c r="E50" i="13"/>
  <c r="E40" i="13"/>
  <c r="E44" i="13"/>
  <c r="E54" i="13"/>
  <c r="E21" i="15"/>
  <c r="E21" i="20"/>
  <c r="E21" i="18"/>
  <c r="S21" i="15"/>
  <c r="F20" i="14"/>
  <c r="E18" i="17"/>
  <c r="E51" i="17" s="1"/>
  <c r="E53" i="13"/>
  <c r="E19" i="17" s="1"/>
  <c r="E52" i="17" s="1"/>
  <c r="E43" i="13"/>
  <c r="F6" i="13"/>
  <c r="G6" i="13"/>
  <c r="D44" i="12"/>
  <c r="E16" i="17"/>
  <c r="E49" i="17" s="1"/>
  <c r="E51" i="13"/>
  <c r="E17" i="17" s="1"/>
  <c r="E50" i="17" s="1"/>
  <c r="E41" i="13"/>
  <c r="J20" i="20"/>
  <c r="J20" i="18"/>
  <c r="J20" i="15"/>
  <c r="J53" i="14"/>
  <c r="S21" i="18"/>
  <c r="H20" i="17"/>
  <c r="H53" i="17" s="1"/>
  <c r="H54" i="15"/>
  <c r="H54" i="20"/>
  <c r="H54" i="18"/>
  <c r="G20" i="17"/>
  <c r="G53" i="17" s="1"/>
  <c r="G54" i="18"/>
  <c r="G54" i="20"/>
  <c r="G54" i="15"/>
  <c r="E5" i="13"/>
  <c r="F20" i="17"/>
  <c r="F53" i="17" s="1"/>
  <c r="F54" i="15"/>
  <c r="F54" i="20"/>
  <c r="F54" i="18"/>
  <c r="W54" i="15"/>
  <c r="W54" i="18" s="1"/>
  <c r="W54" i="20" s="1"/>
  <c r="U21" i="15"/>
  <c r="U21" i="18" s="1"/>
  <c r="U21" i="20" s="1"/>
  <c r="H20" i="14"/>
  <c r="G18" i="17"/>
  <c r="G51" i="17" s="1"/>
  <c r="T21" i="18"/>
  <c r="T21" i="20" s="1"/>
  <c r="X53" i="15"/>
  <c r="X53" i="18" s="1"/>
  <c r="X53" i="20" s="1"/>
  <c r="D18" i="13"/>
  <c r="D19" i="13"/>
  <c r="D20" i="13"/>
  <c r="D2" i="13"/>
  <c r="D3" i="13" s="1"/>
  <c r="D4" i="13" s="1"/>
  <c r="D17" i="13"/>
  <c r="D21" i="13"/>
  <c r="D10" i="12"/>
  <c r="J7" i="13"/>
  <c r="I7" i="13"/>
  <c r="H6" i="13"/>
  <c r="L3" i="12"/>
  <c r="C31" i="12"/>
  <c r="C3" i="12"/>
  <c r="C21" i="12"/>
  <c r="C35" i="12"/>
  <c r="K19" i="20"/>
  <c r="K19" i="18"/>
  <c r="K19" i="15"/>
  <c r="K52" i="14"/>
  <c r="K9" i="13"/>
  <c r="V54" i="15"/>
  <c r="V54" i="18" s="1"/>
  <c r="V54" i="20" s="1"/>
  <c r="S54" i="15" l="1"/>
  <c r="S54" i="18" s="1"/>
  <c r="S54" i="20" s="1"/>
  <c r="R21" i="15"/>
  <c r="R21" i="18" s="1"/>
  <c r="R21" i="20" s="1"/>
  <c r="E20" i="14"/>
  <c r="K10" i="13"/>
  <c r="C17" i="13"/>
  <c r="C19" i="13"/>
  <c r="C2" i="13"/>
  <c r="C3" i="13" s="1"/>
  <c r="C4" i="13" s="1"/>
  <c r="C21" i="13"/>
  <c r="C20" i="13"/>
  <c r="C18" i="13"/>
  <c r="C10" i="12"/>
  <c r="D53" i="13"/>
  <c r="D43" i="13"/>
  <c r="D41" i="13"/>
  <c r="D51" i="13"/>
  <c r="D17" i="17" s="1"/>
  <c r="D50" i="17" s="1"/>
  <c r="G20" i="18"/>
  <c r="G20" i="20"/>
  <c r="G53" i="14"/>
  <c r="G20" i="15"/>
  <c r="J53" i="15"/>
  <c r="J53" i="20"/>
  <c r="J53" i="18"/>
  <c r="G7" i="13"/>
  <c r="D54" i="13"/>
  <c r="D44" i="13"/>
  <c r="D21" i="15"/>
  <c r="D21" i="20"/>
  <c r="D21" i="18"/>
  <c r="E6" i="13"/>
  <c r="U54" i="15"/>
  <c r="W20" i="18"/>
  <c r="W20" i="20" s="1"/>
  <c r="D52" i="13"/>
  <c r="D42" i="13"/>
  <c r="I53" i="15"/>
  <c r="I53" i="18"/>
  <c r="I53" i="20"/>
  <c r="H20" i="18"/>
  <c r="H53" i="14"/>
  <c r="H20" i="20"/>
  <c r="H20" i="15"/>
  <c r="B3" i="12"/>
  <c r="L10" i="12"/>
  <c r="U54" i="18"/>
  <c r="V20" i="15"/>
  <c r="I19" i="14"/>
  <c r="W20" i="15"/>
  <c r="J19" i="14"/>
  <c r="F20" i="20"/>
  <c r="F20" i="18"/>
  <c r="F20" i="15"/>
  <c r="F53" i="14"/>
  <c r="T54" i="15"/>
  <c r="T54" i="18" s="1"/>
  <c r="T54" i="20" s="1"/>
  <c r="F7" i="13"/>
  <c r="K52" i="15"/>
  <c r="K52" i="20"/>
  <c r="K52" i="18"/>
  <c r="J8" i="13"/>
  <c r="V20" i="18"/>
  <c r="V20" i="20" s="1"/>
  <c r="X19" i="15"/>
  <c r="X19" i="18" s="1"/>
  <c r="X19" i="20" s="1"/>
  <c r="K18" i="14"/>
  <c r="E20" i="17"/>
  <c r="E53" i="17" s="1"/>
  <c r="E54" i="20"/>
  <c r="E54" i="18"/>
  <c r="E54" i="15"/>
  <c r="U54" i="20"/>
  <c r="K16" i="25"/>
  <c r="K16" i="26" s="1"/>
  <c r="K16" i="29" s="1"/>
  <c r="H7" i="13"/>
  <c r="G35" i="12"/>
  <c r="E35" i="12"/>
  <c r="C44" i="12"/>
  <c r="D40" i="13"/>
  <c r="D50" i="13"/>
  <c r="D16" i="17" s="1"/>
  <c r="D49" i="17" s="1"/>
  <c r="I8" i="13"/>
  <c r="D5" i="13"/>
  <c r="T20" i="18" l="1"/>
  <c r="T20" i="20" s="1"/>
  <c r="I19" i="20"/>
  <c r="I19" i="18"/>
  <c r="I19" i="15"/>
  <c r="I52" i="14"/>
  <c r="D6" i="13"/>
  <c r="U20" i="15"/>
  <c r="H19" i="14"/>
  <c r="E7" i="13"/>
  <c r="C5" i="13"/>
  <c r="G8" i="13"/>
  <c r="I9" i="13"/>
  <c r="C40" i="13"/>
  <c r="C50" i="13"/>
  <c r="C16" i="17" s="1"/>
  <c r="C49" i="17" s="1"/>
  <c r="H8" i="13"/>
  <c r="S20" i="15"/>
  <c r="F19" i="14"/>
  <c r="J9" i="13"/>
  <c r="V53" i="18"/>
  <c r="V53" i="20" s="1"/>
  <c r="W53" i="15"/>
  <c r="W53" i="18" s="1"/>
  <c r="W53" i="20" s="1"/>
  <c r="C51" i="13"/>
  <c r="C41" i="13"/>
  <c r="R54" i="15"/>
  <c r="R54" i="18" s="1"/>
  <c r="R54" i="20" s="1"/>
  <c r="X52" i="15"/>
  <c r="X52" i="18" s="1"/>
  <c r="X52" i="20" s="1"/>
  <c r="Q21" i="18"/>
  <c r="Q21" i="20" s="1"/>
  <c r="E20" i="18"/>
  <c r="E53" i="14"/>
  <c r="E20" i="15"/>
  <c r="E20" i="20"/>
  <c r="U20" i="18"/>
  <c r="Q21" i="15"/>
  <c r="D20" i="14"/>
  <c r="D18" i="17"/>
  <c r="D51" i="17" s="1"/>
  <c r="J19" i="20"/>
  <c r="J19" i="15"/>
  <c r="J19" i="18"/>
  <c r="J52" i="14"/>
  <c r="V53" i="15"/>
  <c r="D20" i="17"/>
  <c r="D53" i="17" s="1"/>
  <c r="D54" i="15"/>
  <c r="D54" i="20"/>
  <c r="D54" i="18"/>
  <c r="T20" i="15"/>
  <c r="G19" i="14"/>
  <c r="C18" i="17"/>
  <c r="C51" i="17" s="1"/>
  <c r="C43" i="13"/>
  <c r="C53" i="13"/>
  <c r="U20" i="20"/>
  <c r="C17" i="17"/>
  <c r="C50" i="17" s="1"/>
  <c r="C52" i="13"/>
  <c r="C42" i="13"/>
  <c r="F53" i="15"/>
  <c r="F53" i="20"/>
  <c r="F53" i="18"/>
  <c r="H53" i="15"/>
  <c r="H53" i="18"/>
  <c r="H53" i="20"/>
  <c r="S20" i="18"/>
  <c r="S20" i="20" s="1"/>
  <c r="F8" i="13"/>
  <c r="K18" i="20"/>
  <c r="K18" i="18"/>
  <c r="K18" i="15"/>
  <c r="K51" i="14"/>
  <c r="B18" i="13"/>
  <c r="B21" i="13"/>
  <c r="B19" i="13"/>
  <c r="B2" i="13"/>
  <c r="B3" i="13" s="1"/>
  <c r="B4" i="13" s="1"/>
  <c r="B17" i="13"/>
  <c r="B20" i="13"/>
  <c r="B10" i="12"/>
  <c r="D19" i="17"/>
  <c r="D52" i="17" s="1"/>
  <c r="G53" i="15"/>
  <c r="G53" i="20"/>
  <c r="G53" i="18"/>
  <c r="C19" i="17"/>
  <c r="C52" i="17" s="1"/>
  <c r="C54" i="13"/>
  <c r="C44" i="13"/>
  <c r="C21" i="18"/>
  <c r="C21" i="15"/>
  <c r="C21" i="20"/>
  <c r="K11" i="13"/>
  <c r="F19" i="20" l="1"/>
  <c r="F19" i="18"/>
  <c r="F19" i="15"/>
  <c r="F52" i="14"/>
  <c r="V19" i="15"/>
  <c r="I18" i="14"/>
  <c r="K15" i="25"/>
  <c r="K15" i="26" s="1"/>
  <c r="K15" i="29" s="1"/>
  <c r="Q54" i="15"/>
  <c r="Q54" i="18" s="1"/>
  <c r="Q54" i="20" s="1"/>
  <c r="T53" i="15"/>
  <c r="S53" i="15"/>
  <c r="H9" i="13"/>
  <c r="I10" i="13"/>
  <c r="H19" i="20"/>
  <c r="H19" i="18"/>
  <c r="H19" i="15"/>
  <c r="H52" i="14"/>
  <c r="B5" i="13"/>
  <c r="B52" i="13"/>
  <c r="B42" i="13"/>
  <c r="P21" i="15"/>
  <c r="C20" i="14"/>
  <c r="B51" i="13"/>
  <c r="B17" i="17" s="1"/>
  <c r="B50" i="17" s="1"/>
  <c r="B41" i="13"/>
  <c r="G19" i="20"/>
  <c r="G19" i="18"/>
  <c r="G52" i="14"/>
  <c r="G19" i="15"/>
  <c r="R20" i="15"/>
  <c r="E19" i="14"/>
  <c r="J10" i="13"/>
  <c r="D7" i="13"/>
  <c r="K12" i="13"/>
  <c r="K34" i="13"/>
  <c r="U53" i="15"/>
  <c r="U53" i="18" s="1"/>
  <c r="U53" i="20" s="1"/>
  <c r="T53" i="18"/>
  <c r="T53" i="20" s="1"/>
  <c r="V19" i="18"/>
  <c r="S53" i="20"/>
  <c r="I16" i="25"/>
  <c r="I16" i="26" s="1"/>
  <c r="I16" i="29" s="1"/>
  <c r="V19" i="20"/>
  <c r="C6" i="13"/>
  <c r="P21" i="18"/>
  <c r="P21" i="20" s="1"/>
  <c r="D20" i="18"/>
  <c r="D20" i="20"/>
  <c r="D20" i="15"/>
  <c r="D53" i="14"/>
  <c r="E53" i="15"/>
  <c r="E53" i="18"/>
  <c r="E53" i="20"/>
  <c r="E8" i="13"/>
  <c r="B50" i="13"/>
  <c r="B16" i="17" s="1"/>
  <c r="B49" i="17" s="1"/>
  <c r="B40" i="13"/>
  <c r="W19" i="18"/>
  <c r="S53" i="18"/>
  <c r="W19" i="15"/>
  <c r="J18" i="14"/>
  <c r="J16" i="25"/>
  <c r="J16" i="26" s="1"/>
  <c r="J16" i="29" s="1"/>
  <c r="W19" i="20"/>
  <c r="B54" i="13"/>
  <c r="B44" i="13"/>
  <c r="B21" i="20"/>
  <c r="B21" i="15"/>
  <c r="B21" i="18"/>
  <c r="K51" i="15"/>
  <c r="K51" i="20"/>
  <c r="K51" i="18"/>
  <c r="F9" i="13"/>
  <c r="C20" i="17"/>
  <c r="C53" i="17" s="1"/>
  <c r="C54" i="15"/>
  <c r="C54" i="18"/>
  <c r="C54" i="20"/>
  <c r="B18" i="17"/>
  <c r="B51" i="17" s="1"/>
  <c r="B43" i="13"/>
  <c r="B53" i="13"/>
  <c r="X18" i="15"/>
  <c r="X18" i="18" s="1"/>
  <c r="X18" i="20" s="1"/>
  <c r="K17" i="14"/>
  <c r="J52" i="15"/>
  <c r="J52" i="20"/>
  <c r="J52" i="18"/>
  <c r="R20" i="18"/>
  <c r="R20" i="20" s="1"/>
  <c r="G9" i="13"/>
  <c r="I52" i="15"/>
  <c r="I52" i="18"/>
  <c r="I52" i="20"/>
  <c r="X51" i="15" l="1"/>
  <c r="W52" i="18"/>
  <c r="W52" i="20" s="1"/>
  <c r="P54" i="15"/>
  <c r="P54" i="18" s="1"/>
  <c r="P54" i="20" s="1"/>
  <c r="B19" i="17"/>
  <c r="B52" i="17" s="1"/>
  <c r="G52" i="15"/>
  <c r="G52" i="20"/>
  <c r="G52" i="18"/>
  <c r="B6" i="13"/>
  <c r="J11" i="13"/>
  <c r="F52" i="15"/>
  <c r="F52" i="18"/>
  <c r="F52" i="20"/>
  <c r="G16" i="25"/>
  <c r="G16" i="26" s="1"/>
  <c r="G16" i="29" s="1"/>
  <c r="H10" i="13"/>
  <c r="D8" i="13"/>
  <c r="F10" i="13"/>
  <c r="E9" i="13"/>
  <c r="O21" i="18"/>
  <c r="O21" i="20" s="1"/>
  <c r="R53" i="15"/>
  <c r="R53" i="18" s="1"/>
  <c r="R53" i="20" s="1"/>
  <c r="U19" i="15"/>
  <c r="H18" i="14"/>
  <c r="S19" i="15"/>
  <c r="S19" i="18" s="1"/>
  <c r="S19" i="20" s="1"/>
  <c r="F18" i="14"/>
  <c r="U19" i="18"/>
  <c r="W52" i="15"/>
  <c r="J18" i="20"/>
  <c r="J18" i="18"/>
  <c r="J51" i="14"/>
  <c r="J18" i="15"/>
  <c r="Q20" i="15"/>
  <c r="Q20" i="18" s="1"/>
  <c r="Q20" i="20" s="1"/>
  <c r="D19" i="14"/>
  <c r="E19" i="20"/>
  <c r="E19" i="18"/>
  <c r="E19" i="15"/>
  <c r="E52" i="14"/>
  <c r="H16" i="25"/>
  <c r="H16" i="26" s="1"/>
  <c r="H16" i="29" s="1"/>
  <c r="U19" i="20"/>
  <c r="G10" i="13"/>
  <c r="I18" i="20"/>
  <c r="I18" i="18"/>
  <c r="I51" i="14"/>
  <c r="I18" i="15"/>
  <c r="H52" i="15"/>
  <c r="H52" i="18"/>
  <c r="H52" i="20"/>
  <c r="O21" i="15"/>
  <c r="B20" i="14"/>
  <c r="D53" i="15"/>
  <c r="D53" i="18"/>
  <c r="D53" i="20"/>
  <c r="C7" i="13"/>
  <c r="K13" i="13"/>
  <c r="K45" i="13"/>
  <c r="K35" i="13"/>
  <c r="V52" i="15"/>
  <c r="V52" i="18" s="1"/>
  <c r="V52" i="20" s="1"/>
  <c r="F16" i="25"/>
  <c r="F16" i="26" s="1"/>
  <c r="F16" i="29" s="1"/>
  <c r="K17" i="20"/>
  <c r="K17" i="18"/>
  <c r="K17" i="15"/>
  <c r="K50" i="14"/>
  <c r="X51" i="18"/>
  <c r="X51" i="20" s="1"/>
  <c r="B20" i="17"/>
  <c r="B53" i="17" s="1"/>
  <c r="B54" i="20"/>
  <c r="B54" i="15"/>
  <c r="B54" i="18"/>
  <c r="T19" i="15"/>
  <c r="T19" i="18" s="1"/>
  <c r="T19" i="20" s="1"/>
  <c r="G18" i="14"/>
  <c r="C20" i="18"/>
  <c r="C20" i="15"/>
  <c r="C20" i="20"/>
  <c r="C53" i="14"/>
  <c r="I11" i="13"/>
  <c r="G18" i="20" l="1"/>
  <c r="G18" i="18"/>
  <c r="G51" i="14"/>
  <c r="G18" i="15"/>
  <c r="W18" i="15"/>
  <c r="J17" i="14"/>
  <c r="E52" i="15"/>
  <c r="E52" i="18"/>
  <c r="E52" i="20"/>
  <c r="Q53" i="15"/>
  <c r="R19" i="15"/>
  <c r="E18" i="14"/>
  <c r="D9" i="13"/>
  <c r="U52" i="15"/>
  <c r="V18" i="15"/>
  <c r="I17" i="14"/>
  <c r="H18" i="20"/>
  <c r="H18" i="18"/>
  <c r="H51" i="14"/>
  <c r="H18" i="15"/>
  <c r="K14" i="13"/>
  <c r="K36" i="13"/>
  <c r="K46" i="13"/>
  <c r="I51" i="15"/>
  <c r="I51" i="18"/>
  <c r="I51" i="20"/>
  <c r="E16" i="25"/>
  <c r="E16" i="26" s="1"/>
  <c r="E16" i="29" s="1"/>
  <c r="J12" i="13"/>
  <c r="J34" i="13"/>
  <c r="K14" i="25"/>
  <c r="K14" i="26" s="1"/>
  <c r="K14" i="29" s="1"/>
  <c r="I12" i="13"/>
  <c r="I34" i="13"/>
  <c r="S52" i="15"/>
  <c r="S52" i="18" s="1"/>
  <c r="S52" i="20" s="1"/>
  <c r="J51" i="15"/>
  <c r="J51" i="18"/>
  <c r="J51" i="20"/>
  <c r="H11" i="13"/>
  <c r="W18" i="18"/>
  <c r="W18" i="20" s="1"/>
  <c r="E10" i="13"/>
  <c r="J15" i="25"/>
  <c r="J15" i="26" s="1"/>
  <c r="J15" i="29" s="1"/>
  <c r="K50" i="15"/>
  <c r="K50" i="20"/>
  <c r="K50" i="18"/>
  <c r="P20" i="15"/>
  <c r="P20" i="18" s="1"/>
  <c r="P20" i="20" s="1"/>
  <c r="C19" i="14"/>
  <c r="X17" i="15"/>
  <c r="K16" i="14"/>
  <c r="V18" i="18"/>
  <c r="V18" i="20" s="1"/>
  <c r="G11" i="13"/>
  <c r="D19" i="20"/>
  <c r="D19" i="18"/>
  <c r="D52" i="14"/>
  <c r="D19" i="15"/>
  <c r="F11" i="13"/>
  <c r="B7" i="13"/>
  <c r="U52" i="18"/>
  <c r="U52" i="20" s="1"/>
  <c r="F18" i="20"/>
  <c r="F18" i="18"/>
  <c r="F51" i="14"/>
  <c r="F18" i="15"/>
  <c r="Q53" i="18"/>
  <c r="Q53" i="20" s="1"/>
  <c r="T52" i="15"/>
  <c r="T52" i="18" s="1"/>
  <c r="T52" i="20" s="1"/>
  <c r="C53" i="15"/>
  <c r="C53" i="20"/>
  <c r="C53" i="18"/>
  <c r="B20" i="20"/>
  <c r="B20" i="18"/>
  <c r="B53" i="14"/>
  <c r="B20" i="15"/>
  <c r="R19" i="18"/>
  <c r="R19" i="20" s="1"/>
  <c r="O54" i="15"/>
  <c r="O54" i="18" s="1"/>
  <c r="O54" i="20" s="1"/>
  <c r="X17" i="18"/>
  <c r="X17" i="20" s="1"/>
  <c r="C8" i="13"/>
  <c r="I15" i="25"/>
  <c r="I15" i="26" s="1"/>
  <c r="I15" i="29" s="1"/>
  <c r="L12" i="27" l="1"/>
  <c r="S13" i="32" s="1"/>
  <c r="L12" i="31"/>
  <c r="I17" i="20"/>
  <c r="I17" i="18"/>
  <c r="I17" i="15"/>
  <c r="I50" i="14"/>
  <c r="B53" i="15"/>
  <c r="B53" i="18"/>
  <c r="B53" i="20"/>
  <c r="K49" i="14"/>
  <c r="C9" i="13"/>
  <c r="P53" i="15"/>
  <c r="P53" i="18" s="1"/>
  <c r="P53" i="20" s="1"/>
  <c r="F15" i="25"/>
  <c r="F15" i="26" s="1"/>
  <c r="F15" i="29" s="1"/>
  <c r="G12" i="13"/>
  <c r="G34" i="13"/>
  <c r="E11" i="13"/>
  <c r="U18" i="18"/>
  <c r="O20" i="15"/>
  <c r="B19" i="14"/>
  <c r="W51" i="15"/>
  <c r="W51" i="18" s="1"/>
  <c r="W51" i="20" s="1"/>
  <c r="G51" i="15"/>
  <c r="G51" i="20"/>
  <c r="G51" i="18"/>
  <c r="I45" i="13"/>
  <c r="I13" i="13"/>
  <c r="I35" i="13"/>
  <c r="R52" i="15"/>
  <c r="R52" i="18" s="1"/>
  <c r="R52" i="20" s="1"/>
  <c r="X50" i="15"/>
  <c r="K2" i="17"/>
  <c r="E18" i="20"/>
  <c r="E18" i="18"/>
  <c r="E51" i="14"/>
  <c r="E18" i="15"/>
  <c r="S18" i="15"/>
  <c r="F17" i="14"/>
  <c r="D52" i="15"/>
  <c r="D52" i="18"/>
  <c r="D52" i="20"/>
  <c r="K47" i="13"/>
  <c r="K15" i="13"/>
  <c r="K37" i="13"/>
  <c r="J17" i="20"/>
  <c r="J17" i="18"/>
  <c r="J17" i="15"/>
  <c r="J50" i="14"/>
  <c r="H15" i="25"/>
  <c r="H15" i="26" s="1"/>
  <c r="H15" i="29" s="1"/>
  <c r="U18" i="20"/>
  <c r="X50" i="18"/>
  <c r="J45" i="13"/>
  <c r="J13" i="13"/>
  <c r="J35" i="13"/>
  <c r="D10" i="13"/>
  <c r="X50" i="20"/>
  <c r="F51" i="15"/>
  <c r="F51" i="20"/>
  <c r="F51" i="18"/>
  <c r="H12" i="13"/>
  <c r="H34" i="13"/>
  <c r="V51" i="18"/>
  <c r="V51" i="20" s="1"/>
  <c r="U18" i="15"/>
  <c r="H17" i="14"/>
  <c r="F12" i="13"/>
  <c r="F34" i="13"/>
  <c r="T18" i="15"/>
  <c r="T18" i="18" s="1"/>
  <c r="T18" i="20" s="1"/>
  <c r="G17" i="14"/>
  <c r="B8" i="13"/>
  <c r="O20" i="18"/>
  <c r="O20" i="20" s="1"/>
  <c r="Q19" i="15"/>
  <c r="Q19" i="18" s="1"/>
  <c r="Q19" i="20" s="1"/>
  <c r="D18" i="14"/>
  <c r="G15" i="25"/>
  <c r="G15" i="26" s="1"/>
  <c r="G15" i="29" s="1"/>
  <c r="S18" i="18"/>
  <c r="S18" i="20" s="1"/>
  <c r="D16" i="25"/>
  <c r="D16" i="26" s="1"/>
  <c r="D16" i="29" s="1"/>
  <c r="C19" i="20"/>
  <c r="C19" i="15"/>
  <c r="C52" i="14"/>
  <c r="C19" i="18"/>
  <c r="V51" i="15"/>
  <c r="H51" i="15"/>
  <c r="H51" i="18"/>
  <c r="H51" i="20"/>
  <c r="H17" i="20" l="1"/>
  <c r="H17" i="18"/>
  <c r="H50" i="14"/>
  <c r="H17" i="15"/>
  <c r="K3" i="17"/>
  <c r="O53" i="15"/>
  <c r="O53" i="18" s="1"/>
  <c r="O53" i="20" s="1"/>
  <c r="U51" i="15"/>
  <c r="D11" i="13"/>
  <c r="B19" i="20"/>
  <c r="B19" i="15"/>
  <c r="B52" i="14"/>
  <c r="B19" i="18"/>
  <c r="E15" i="25"/>
  <c r="E15" i="26" s="1"/>
  <c r="E15" i="29" s="1"/>
  <c r="G13" i="13"/>
  <c r="G45" i="13"/>
  <c r="G35" i="13"/>
  <c r="F17" i="20"/>
  <c r="F17" i="18"/>
  <c r="F50" i="14"/>
  <c r="F17" i="15"/>
  <c r="T51" i="15"/>
  <c r="I50" i="15"/>
  <c r="I50" i="18"/>
  <c r="I50" i="20"/>
  <c r="C52" i="15"/>
  <c r="C52" i="18"/>
  <c r="C52" i="20"/>
  <c r="C16" i="25"/>
  <c r="C16" i="26" s="1"/>
  <c r="C16" i="29" s="1"/>
  <c r="S51" i="15"/>
  <c r="J14" i="13"/>
  <c r="J46" i="13"/>
  <c r="J36" i="13"/>
  <c r="W17" i="18"/>
  <c r="W17" i="20" s="1"/>
  <c r="R18" i="15"/>
  <c r="R18" i="18" s="1"/>
  <c r="R18" i="20" s="1"/>
  <c r="E17" i="14"/>
  <c r="I46" i="13"/>
  <c r="I14" i="13"/>
  <c r="I36" i="13"/>
  <c r="I14" i="25"/>
  <c r="I14" i="26" s="1"/>
  <c r="I14" i="29" s="1"/>
  <c r="K13" i="17"/>
  <c r="K46" i="17" s="1"/>
  <c r="K48" i="13"/>
  <c r="K38" i="13"/>
  <c r="K16" i="13"/>
  <c r="K7" i="17"/>
  <c r="C10" i="13"/>
  <c r="J50" i="15"/>
  <c r="J50" i="18"/>
  <c r="J50" i="20"/>
  <c r="S51" i="20"/>
  <c r="B9" i="13"/>
  <c r="J14" i="25"/>
  <c r="J14" i="26" s="1"/>
  <c r="J14" i="29" s="1"/>
  <c r="E51" i="15"/>
  <c r="E51" i="18"/>
  <c r="E51" i="20"/>
  <c r="E12" i="13"/>
  <c r="E34" i="13"/>
  <c r="G17" i="20"/>
  <c r="G17" i="18"/>
  <c r="G17" i="15"/>
  <c r="G50" i="14"/>
  <c r="Q52" i="15"/>
  <c r="Q52" i="18" s="1"/>
  <c r="Q52" i="20" s="1"/>
  <c r="H45" i="13"/>
  <c r="H13" i="13"/>
  <c r="H35" i="13"/>
  <c r="U51" i="18"/>
  <c r="U51" i="20" s="1"/>
  <c r="S51" i="18"/>
  <c r="V17" i="15"/>
  <c r="V17" i="18" s="1"/>
  <c r="V17" i="20" s="1"/>
  <c r="I16" i="14"/>
  <c r="P19" i="15"/>
  <c r="P19" i="18" s="1"/>
  <c r="P19" i="20" s="1"/>
  <c r="C18" i="14"/>
  <c r="W17" i="15"/>
  <c r="J16" i="14"/>
  <c r="D18" i="20"/>
  <c r="D18" i="15"/>
  <c r="D18" i="18"/>
  <c r="D51" i="14"/>
  <c r="F13" i="13"/>
  <c r="F45" i="13"/>
  <c r="F35" i="13"/>
  <c r="T51" i="18"/>
  <c r="T51" i="20" s="1"/>
  <c r="K42" i="22" l="1"/>
  <c r="J12" i="27"/>
  <c r="Q13" i="32" s="1"/>
  <c r="J12" i="31"/>
  <c r="K12" i="27"/>
  <c r="R13" i="32" s="1"/>
  <c r="K12" i="31"/>
  <c r="C11" i="13"/>
  <c r="K16" i="22"/>
  <c r="Q18" i="18"/>
  <c r="Q18" i="20" s="1"/>
  <c r="C18" i="20"/>
  <c r="C18" i="18"/>
  <c r="C51" i="14"/>
  <c r="C18" i="15"/>
  <c r="B10" i="13"/>
  <c r="K14" i="17"/>
  <c r="K47" i="17" s="1"/>
  <c r="K49" i="13"/>
  <c r="K39" i="13"/>
  <c r="K10" i="17"/>
  <c r="K16" i="20"/>
  <c r="K8" i="17"/>
  <c r="K16" i="18"/>
  <c r="K16" i="15"/>
  <c r="S17" i="15"/>
  <c r="F16" i="14"/>
  <c r="O19" i="15"/>
  <c r="B18" i="14"/>
  <c r="U17" i="15"/>
  <c r="H16" i="14"/>
  <c r="K44" i="17"/>
  <c r="U17" i="18"/>
  <c r="U17" i="20" s="1"/>
  <c r="E45" i="13"/>
  <c r="E13" i="13"/>
  <c r="E35" i="13"/>
  <c r="I2" i="17"/>
  <c r="K29" i="22"/>
  <c r="K34" i="17"/>
  <c r="F14" i="13"/>
  <c r="F46" i="13"/>
  <c r="F36" i="13"/>
  <c r="G14" i="25"/>
  <c r="G14" i="26" s="1"/>
  <c r="G14" i="29" s="1"/>
  <c r="R51" i="15"/>
  <c r="W50" i="15"/>
  <c r="K6" i="17"/>
  <c r="K43" i="17"/>
  <c r="Q18" i="15"/>
  <c r="D17" i="14"/>
  <c r="K37" i="17"/>
  <c r="K4" i="17"/>
  <c r="V50" i="15"/>
  <c r="V50" i="18" s="1"/>
  <c r="V50" i="20" s="1"/>
  <c r="F50" i="15"/>
  <c r="F50" i="20"/>
  <c r="F50" i="18"/>
  <c r="H50" i="15"/>
  <c r="H50" i="18"/>
  <c r="H50" i="20"/>
  <c r="K39" i="17"/>
  <c r="R51" i="20"/>
  <c r="F14" i="25"/>
  <c r="F14" i="26" s="1"/>
  <c r="F14" i="29" s="1"/>
  <c r="R51" i="18"/>
  <c r="I15" i="13"/>
  <c r="I47" i="13"/>
  <c r="I37" i="13"/>
  <c r="J2" i="17"/>
  <c r="H14" i="13"/>
  <c r="H46" i="13"/>
  <c r="H36" i="13"/>
  <c r="K3" i="22"/>
  <c r="K11" i="17"/>
  <c r="K35" i="17"/>
  <c r="J47" i="13"/>
  <c r="J37" i="13"/>
  <c r="J15" i="13"/>
  <c r="P52" i="15"/>
  <c r="P52" i="18" s="1"/>
  <c r="P52" i="20" s="1"/>
  <c r="O19" i="18"/>
  <c r="O19" i="20" s="1"/>
  <c r="B16" i="25"/>
  <c r="B16" i="26" s="1"/>
  <c r="B16" i="29" s="1"/>
  <c r="D15" i="25"/>
  <c r="D15" i="26" s="1"/>
  <c r="D15" i="29" s="1"/>
  <c r="G50" i="15"/>
  <c r="G50" i="20"/>
  <c r="G50" i="18"/>
  <c r="S17" i="18"/>
  <c r="S17" i="20" s="1"/>
  <c r="G46" i="13"/>
  <c r="G14" i="13"/>
  <c r="G36" i="13"/>
  <c r="I49" i="14"/>
  <c r="T17" i="15"/>
  <c r="T17" i="18" s="1"/>
  <c r="T17" i="20" s="1"/>
  <c r="G16" i="14"/>
  <c r="K42" i="17"/>
  <c r="H14" i="25"/>
  <c r="H14" i="26" s="1"/>
  <c r="H14" i="29" s="1"/>
  <c r="W50" i="18"/>
  <c r="W50" i="20" s="1"/>
  <c r="D12" i="13"/>
  <c r="D34" i="13"/>
  <c r="J49" i="14"/>
  <c r="K12" i="17"/>
  <c r="K45" i="17" s="1"/>
  <c r="D51" i="15"/>
  <c r="D51" i="18"/>
  <c r="D51" i="20"/>
  <c r="K9" i="17"/>
  <c r="E17" i="20"/>
  <c r="E17" i="18"/>
  <c r="E50" i="14"/>
  <c r="E17" i="15"/>
  <c r="B52" i="15"/>
  <c r="B52" i="20"/>
  <c r="B52" i="18"/>
  <c r="K36" i="17"/>
  <c r="G12" i="31" l="1"/>
  <c r="G12" i="27"/>
  <c r="N13" i="32" s="1"/>
  <c r="J12" i="17"/>
  <c r="J45" i="17" s="1"/>
  <c r="H12" i="27"/>
  <c r="O13" i="32" s="1"/>
  <c r="H12" i="31"/>
  <c r="I12" i="31"/>
  <c r="I12" i="27"/>
  <c r="P13" i="32" s="1"/>
  <c r="E50" i="15"/>
  <c r="E50" i="18"/>
  <c r="E50" i="20"/>
  <c r="B18" i="20"/>
  <c r="B18" i="18"/>
  <c r="B51" i="14"/>
  <c r="B18" i="15"/>
  <c r="K15" i="17"/>
  <c r="K48" i="17" s="1"/>
  <c r="K41" i="17"/>
  <c r="K49" i="15"/>
  <c r="K49" i="18"/>
  <c r="K49" i="20"/>
  <c r="X49" i="20" s="1"/>
  <c r="P18" i="18"/>
  <c r="S50" i="15"/>
  <c r="T50" i="15"/>
  <c r="T50" i="18" s="1"/>
  <c r="T50" i="20" s="1"/>
  <c r="E14" i="13"/>
  <c r="E46" i="13"/>
  <c r="E36" i="13"/>
  <c r="F49" i="14"/>
  <c r="K13" i="25"/>
  <c r="K13" i="26" s="1"/>
  <c r="K13" i="29" s="1"/>
  <c r="X16" i="20"/>
  <c r="C12" i="13"/>
  <c r="C34" i="13"/>
  <c r="R17" i="18"/>
  <c r="R17" i="20" s="1"/>
  <c r="C15" i="25"/>
  <c r="C15" i="26" s="1"/>
  <c r="C15" i="29" s="1"/>
  <c r="P18" i="20"/>
  <c r="E14" i="25"/>
  <c r="E14" i="26" s="1"/>
  <c r="E14" i="29" s="1"/>
  <c r="F2" i="17"/>
  <c r="X16" i="15"/>
  <c r="K15" i="14"/>
  <c r="X16" i="18"/>
  <c r="I13" i="17"/>
  <c r="I46" i="17" s="1"/>
  <c r="I16" i="13"/>
  <c r="I38" i="13"/>
  <c r="I48" i="13"/>
  <c r="I11" i="17"/>
  <c r="F15" i="13"/>
  <c r="F47" i="13"/>
  <c r="F37" i="13"/>
  <c r="B11" i="13"/>
  <c r="G2" i="17"/>
  <c r="H47" i="13"/>
  <c r="H15" i="13"/>
  <c r="H37" i="13"/>
  <c r="U50" i="15"/>
  <c r="U50" i="18" s="1"/>
  <c r="U50" i="20" s="1"/>
  <c r="D17" i="20"/>
  <c r="D17" i="18"/>
  <c r="D17" i="15"/>
  <c r="D50" i="14"/>
  <c r="P18" i="15"/>
  <c r="C17" i="14"/>
  <c r="O52" i="18"/>
  <c r="O52" i="20" s="1"/>
  <c r="D35" i="13"/>
  <c r="D45" i="13"/>
  <c r="D13" i="13"/>
  <c r="I3" i="17"/>
  <c r="O52" i="15"/>
  <c r="J13" i="17"/>
  <c r="J46" i="17" s="1"/>
  <c r="J48" i="13"/>
  <c r="J16" i="13"/>
  <c r="J38" i="13"/>
  <c r="J3" i="17"/>
  <c r="H2" i="17"/>
  <c r="H49" i="14"/>
  <c r="Q51" i="15"/>
  <c r="Q51" i="18" s="1"/>
  <c r="Q51" i="20" s="1"/>
  <c r="R17" i="15"/>
  <c r="E16" i="14"/>
  <c r="G49" i="14"/>
  <c r="G15" i="13"/>
  <c r="G47" i="13"/>
  <c r="G37" i="13"/>
  <c r="K40" i="17"/>
  <c r="S50" i="18"/>
  <c r="S50" i="20" s="1"/>
  <c r="K38" i="17"/>
  <c r="K5" i="17"/>
  <c r="C51" i="15"/>
  <c r="C51" i="20"/>
  <c r="C51" i="18"/>
  <c r="F12" i="31" l="1"/>
  <c r="F12" i="27"/>
  <c r="M13" i="32" s="1"/>
  <c r="J41" i="17"/>
  <c r="E2" i="17"/>
  <c r="O18" i="15"/>
  <c r="B17" i="14"/>
  <c r="D14" i="25"/>
  <c r="D14" i="26" s="1"/>
  <c r="D14" i="29" s="1"/>
  <c r="E47" i="13"/>
  <c r="E15" i="13"/>
  <c r="E37" i="13"/>
  <c r="O18" i="18"/>
  <c r="O18" i="20" s="1"/>
  <c r="P51" i="15"/>
  <c r="J14" i="17"/>
  <c r="J47" i="17" s="1"/>
  <c r="J39" i="13"/>
  <c r="J49" i="13"/>
  <c r="J9" i="17"/>
  <c r="J16" i="18"/>
  <c r="J6" i="17"/>
  <c r="J8" i="17"/>
  <c r="J16" i="20"/>
  <c r="J10" i="17"/>
  <c r="J16" i="15"/>
  <c r="Q17" i="15"/>
  <c r="Q17" i="18" s="1"/>
  <c r="Q17" i="20" s="1"/>
  <c r="D16" i="14"/>
  <c r="F3" i="17"/>
  <c r="I14" i="17"/>
  <c r="I47" i="17" s="1"/>
  <c r="I39" i="13"/>
  <c r="I49" i="13"/>
  <c r="I9" i="17"/>
  <c r="I16" i="18"/>
  <c r="I6" i="17"/>
  <c r="I10" i="17"/>
  <c r="I16" i="15"/>
  <c r="I16" i="20"/>
  <c r="J42" i="17"/>
  <c r="L11" i="31"/>
  <c r="L11" i="27"/>
  <c r="S12" i="32" s="1"/>
  <c r="J43" i="17"/>
  <c r="H3" i="17"/>
  <c r="H16" i="13"/>
  <c r="H48" i="13"/>
  <c r="H38" i="13"/>
  <c r="H8" i="17"/>
  <c r="H11" i="17"/>
  <c r="J39" i="17"/>
  <c r="B15" i="25"/>
  <c r="B15" i="26" s="1"/>
  <c r="B15" i="29" s="1"/>
  <c r="E49" i="14"/>
  <c r="C17" i="20"/>
  <c r="C17" i="18"/>
  <c r="C17" i="15"/>
  <c r="C50" i="14"/>
  <c r="H7" i="17"/>
  <c r="H12" i="17"/>
  <c r="H45" i="17" s="1"/>
  <c r="B12" i="13"/>
  <c r="B34" i="13"/>
  <c r="I8" i="17"/>
  <c r="I7" i="17"/>
  <c r="X49" i="18"/>
  <c r="F48" i="13"/>
  <c r="F16" i="13"/>
  <c r="F38" i="13"/>
  <c r="F11" i="17"/>
  <c r="F8" i="17"/>
  <c r="J44" i="17"/>
  <c r="B51" i="15"/>
  <c r="B51" i="20"/>
  <c r="B51" i="18"/>
  <c r="F12" i="17"/>
  <c r="F45" i="17" s="1"/>
  <c r="G3" i="17"/>
  <c r="P51" i="18"/>
  <c r="P51" i="20" s="1"/>
  <c r="G13" i="17"/>
  <c r="G46" i="17" s="1"/>
  <c r="G16" i="13"/>
  <c r="G48" i="13"/>
  <c r="G38" i="13"/>
  <c r="G11" i="17"/>
  <c r="G9" i="17"/>
  <c r="G6" i="17"/>
  <c r="G7" i="17"/>
  <c r="G8" i="17"/>
  <c r="J11" i="17"/>
  <c r="D46" i="13"/>
  <c r="D14" i="13"/>
  <c r="D36" i="13"/>
  <c r="J40" i="17"/>
  <c r="X49" i="15"/>
  <c r="R50" i="15"/>
  <c r="R50" i="18" s="1"/>
  <c r="R50" i="20" s="1"/>
  <c r="K15" i="20"/>
  <c r="K48" i="14"/>
  <c r="K15" i="18"/>
  <c r="K15" i="15"/>
  <c r="F6" i="17"/>
  <c r="G12" i="17"/>
  <c r="G45" i="17" s="1"/>
  <c r="J37" i="17"/>
  <c r="J4" i="17"/>
  <c r="D50" i="15"/>
  <c r="D50" i="18"/>
  <c r="D50" i="20"/>
  <c r="H6" i="17"/>
  <c r="F10" i="17"/>
  <c r="I4" i="17"/>
  <c r="C45" i="13"/>
  <c r="C35" i="13"/>
  <c r="C13" i="13"/>
  <c r="J7" i="17"/>
  <c r="I12" i="17"/>
  <c r="I45" i="17" s="1"/>
  <c r="E12" i="31" l="1"/>
  <c r="E12" i="27"/>
  <c r="L13" i="32" s="1"/>
  <c r="K48" i="15"/>
  <c r="K48" i="18"/>
  <c r="K48" i="20"/>
  <c r="X48" i="20" s="1"/>
  <c r="P17" i="18"/>
  <c r="E13" i="17"/>
  <c r="E46" i="17" s="1"/>
  <c r="E16" i="13"/>
  <c r="E48" i="13"/>
  <c r="E38" i="13"/>
  <c r="E6" i="17"/>
  <c r="C14" i="25"/>
  <c r="C14" i="26" s="1"/>
  <c r="C14" i="29" s="1"/>
  <c r="P17" i="20"/>
  <c r="I13" i="25"/>
  <c r="I13" i="26" s="1"/>
  <c r="I13" i="29" s="1"/>
  <c r="D15" i="13"/>
  <c r="D47" i="13"/>
  <c r="D37" i="13"/>
  <c r="G37" i="17"/>
  <c r="G4" i="17"/>
  <c r="G35" i="17"/>
  <c r="F4" i="17"/>
  <c r="V16" i="15"/>
  <c r="V16" i="18" s="1"/>
  <c r="V16" i="20" s="1"/>
  <c r="I15" i="14"/>
  <c r="W16" i="15"/>
  <c r="W16" i="18" s="1"/>
  <c r="J15" i="14"/>
  <c r="J38" i="17"/>
  <c r="J36" i="17"/>
  <c r="J5" i="17"/>
  <c r="J42" i="22"/>
  <c r="J34" i="17"/>
  <c r="J35" i="17"/>
  <c r="O51" i="15"/>
  <c r="C46" i="13"/>
  <c r="C14" i="13"/>
  <c r="C36" i="13"/>
  <c r="B13" i="13"/>
  <c r="B35" i="13"/>
  <c r="B45" i="13"/>
  <c r="D2" i="17"/>
  <c r="H37" i="17"/>
  <c r="H4" i="17"/>
  <c r="J15" i="17"/>
  <c r="J48" i="17" s="1"/>
  <c r="J49" i="15"/>
  <c r="J49" i="20"/>
  <c r="W49" i="20" s="1"/>
  <c r="J49" i="18"/>
  <c r="G44" i="17"/>
  <c r="G39" i="17"/>
  <c r="F14" i="17"/>
  <c r="F47" i="17" s="1"/>
  <c r="F39" i="13"/>
  <c r="F36" i="17" s="1"/>
  <c r="F49" i="13"/>
  <c r="F7" i="17"/>
  <c r="F9" i="17"/>
  <c r="F16" i="15"/>
  <c r="F16" i="20"/>
  <c r="F16" i="18"/>
  <c r="C50" i="15"/>
  <c r="C50" i="20"/>
  <c r="C50" i="18"/>
  <c r="H14" i="17"/>
  <c r="H47" i="17" s="1"/>
  <c r="H39" i="13"/>
  <c r="H49" i="13"/>
  <c r="H9" i="17"/>
  <c r="H16" i="20"/>
  <c r="H16" i="18"/>
  <c r="H16" i="15"/>
  <c r="H10" i="17"/>
  <c r="B17" i="20"/>
  <c r="B17" i="18"/>
  <c r="B17" i="15"/>
  <c r="B50" i="14"/>
  <c r="K12" i="25"/>
  <c r="K12" i="26" s="1"/>
  <c r="K12" i="29" s="1"/>
  <c r="X15" i="20"/>
  <c r="I15" i="17"/>
  <c r="I48" i="17" s="1"/>
  <c r="I39" i="17"/>
  <c r="I49" i="15"/>
  <c r="I44" i="17"/>
  <c r="I49" i="18"/>
  <c r="I40" i="17"/>
  <c r="I49" i="20"/>
  <c r="I43" i="17"/>
  <c r="I42" i="17"/>
  <c r="I41" i="17"/>
  <c r="I38" i="17"/>
  <c r="I34" i="17"/>
  <c r="I35" i="17"/>
  <c r="I5" i="17"/>
  <c r="I36" i="17"/>
  <c r="I42" i="22"/>
  <c r="Q50" i="15"/>
  <c r="Q50" i="18" s="1"/>
  <c r="Q50" i="20" s="1"/>
  <c r="I37" i="17"/>
  <c r="X15" i="15"/>
  <c r="X15" i="18" s="1"/>
  <c r="K14" i="14"/>
  <c r="G14" i="17"/>
  <c r="G47" i="17" s="1"/>
  <c r="G49" i="13"/>
  <c r="G39" i="13"/>
  <c r="G10" i="17"/>
  <c r="G16" i="18"/>
  <c r="G16" i="15"/>
  <c r="G16" i="20"/>
  <c r="O51" i="18"/>
  <c r="O51" i="20" s="1"/>
  <c r="F13" i="17"/>
  <c r="F46" i="17" s="1"/>
  <c r="P17" i="15"/>
  <c r="C16" i="14"/>
  <c r="H13" i="17"/>
  <c r="H46" i="17" s="1"/>
  <c r="D49" i="14"/>
  <c r="J13" i="25"/>
  <c r="J13" i="26" s="1"/>
  <c r="J13" i="29" s="1"/>
  <c r="W16" i="20"/>
  <c r="E3" i="17"/>
  <c r="I29" i="22"/>
  <c r="I16" i="22" s="1"/>
  <c r="I3" i="22" s="1"/>
  <c r="J11" i="31" l="1"/>
  <c r="J11" i="27"/>
  <c r="Q12" i="32" s="1"/>
  <c r="F15" i="17"/>
  <c r="F48" i="17" s="1"/>
  <c r="F41" i="17"/>
  <c r="F40" i="17"/>
  <c r="F49" i="18"/>
  <c r="F43" i="17"/>
  <c r="F42" i="17"/>
  <c r="F49" i="15"/>
  <c r="F49" i="20"/>
  <c r="F44" i="17"/>
  <c r="G13" i="25"/>
  <c r="G13" i="26" s="1"/>
  <c r="G13" i="29" s="1"/>
  <c r="T16" i="20"/>
  <c r="P50" i="15"/>
  <c r="J15" i="20"/>
  <c r="J15" i="18"/>
  <c r="J15" i="15"/>
  <c r="J48" i="14"/>
  <c r="E35" i="17"/>
  <c r="E4" i="17"/>
  <c r="E42" i="22"/>
  <c r="H15" i="17"/>
  <c r="H48" i="17" s="1"/>
  <c r="H49" i="18"/>
  <c r="H39" i="17"/>
  <c r="H49" i="20"/>
  <c r="H41" i="17"/>
  <c r="H44" i="17"/>
  <c r="H40" i="17"/>
  <c r="H42" i="17"/>
  <c r="H49" i="15"/>
  <c r="H43" i="17"/>
  <c r="U16" i="15"/>
  <c r="U16" i="18" s="1"/>
  <c r="U16" i="20" s="1"/>
  <c r="H15" i="14"/>
  <c r="C15" i="13"/>
  <c r="C47" i="13"/>
  <c r="C37" i="13"/>
  <c r="X48" i="15"/>
  <c r="F35" i="17"/>
  <c r="T16" i="15"/>
  <c r="G15" i="14"/>
  <c r="V49" i="15"/>
  <c r="C49" i="14"/>
  <c r="O17" i="15"/>
  <c r="O17" i="18" s="1"/>
  <c r="O17" i="20" s="1"/>
  <c r="B16" i="14"/>
  <c r="B14" i="13"/>
  <c r="B46" i="13"/>
  <c r="B36" i="13"/>
  <c r="D16" i="13"/>
  <c r="D13" i="17" s="1"/>
  <c r="D46" i="17" s="1"/>
  <c r="D48" i="13"/>
  <c r="D38" i="13"/>
  <c r="D11" i="17"/>
  <c r="F13" i="25"/>
  <c r="F13" i="26" s="1"/>
  <c r="F13" i="29" s="1"/>
  <c r="G38" i="17"/>
  <c r="G5" i="17"/>
  <c r="G34" i="17"/>
  <c r="G42" i="22"/>
  <c r="G36" i="17"/>
  <c r="L10" i="27"/>
  <c r="S11" i="32" s="1"/>
  <c r="L10" i="31"/>
  <c r="B14" i="25"/>
  <c r="B14" i="26" s="1"/>
  <c r="B14" i="29" s="1"/>
  <c r="H38" i="17"/>
  <c r="H5" i="17"/>
  <c r="H36" i="17"/>
  <c r="H35" i="17"/>
  <c r="H34" i="17"/>
  <c r="H42" i="22"/>
  <c r="S16" i="15"/>
  <c r="F15" i="14"/>
  <c r="I15" i="20"/>
  <c r="I15" i="18"/>
  <c r="I15" i="15"/>
  <c r="I48" i="14"/>
  <c r="F34" i="17"/>
  <c r="D10" i="17"/>
  <c r="E14" i="17"/>
  <c r="E47" i="17" s="1"/>
  <c r="E39" i="13"/>
  <c r="E49" i="13"/>
  <c r="E39" i="17" s="1"/>
  <c r="E9" i="17"/>
  <c r="E7" i="17"/>
  <c r="E8" i="17"/>
  <c r="E10" i="17"/>
  <c r="E16" i="20"/>
  <c r="E16" i="18"/>
  <c r="E16" i="15"/>
  <c r="E12" i="17"/>
  <c r="E45" i="17" s="1"/>
  <c r="E11" i="17"/>
  <c r="V49" i="18"/>
  <c r="V49" i="20" s="1"/>
  <c r="W49" i="15"/>
  <c r="W49" i="18" s="1"/>
  <c r="D3" i="17"/>
  <c r="B50" i="15"/>
  <c r="B50" i="18"/>
  <c r="B50" i="20"/>
  <c r="S16" i="18"/>
  <c r="S16" i="20" s="1"/>
  <c r="K11" i="31"/>
  <c r="K11" i="27"/>
  <c r="R12" i="32" s="1"/>
  <c r="F42" i="22"/>
  <c r="J29" i="22"/>
  <c r="J16" i="22" s="1"/>
  <c r="J3" i="22" s="1"/>
  <c r="K14" i="20"/>
  <c r="K14" i="18"/>
  <c r="K14" i="15"/>
  <c r="K47" i="14"/>
  <c r="D12" i="27"/>
  <c r="K13" i="32" s="1"/>
  <c r="D12" i="31"/>
  <c r="F38" i="17"/>
  <c r="F5" i="17"/>
  <c r="H13" i="25"/>
  <c r="H13" i="26" s="1"/>
  <c r="H13" i="29" s="1"/>
  <c r="F29" i="22"/>
  <c r="F16" i="22" s="1"/>
  <c r="F3" i="22" s="1"/>
  <c r="T16" i="18"/>
  <c r="F39" i="17"/>
  <c r="G15" i="17"/>
  <c r="G48" i="17" s="1"/>
  <c r="G40" i="17"/>
  <c r="G49" i="18"/>
  <c r="G41" i="17"/>
  <c r="G43" i="17"/>
  <c r="G42" i="17"/>
  <c r="G49" i="20"/>
  <c r="G49" i="15"/>
  <c r="E44" i="17"/>
  <c r="P50" i="18"/>
  <c r="P50" i="20" s="1"/>
  <c r="C2" i="17"/>
  <c r="F37" i="17"/>
  <c r="D6" i="17"/>
  <c r="X48" i="18"/>
  <c r="G11" i="31" l="1"/>
  <c r="G11" i="27"/>
  <c r="N12" i="32" s="1"/>
  <c r="I11" i="27"/>
  <c r="P12" i="32" s="1"/>
  <c r="I11" i="31"/>
  <c r="C12" i="27"/>
  <c r="J13" i="32" s="1"/>
  <c r="C12" i="31"/>
  <c r="D41" i="17"/>
  <c r="C48" i="13"/>
  <c r="C16" i="13"/>
  <c r="C13" i="17" s="1"/>
  <c r="C46" i="17" s="1"/>
  <c r="C38" i="13"/>
  <c r="C6" i="17"/>
  <c r="H11" i="27"/>
  <c r="O12" i="32" s="1"/>
  <c r="H11" i="31"/>
  <c r="D4" i="17"/>
  <c r="B15" i="13"/>
  <c r="B47" i="13"/>
  <c r="B37" i="13"/>
  <c r="J48" i="15"/>
  <c r="J48" i="20"/>
  <c r="J48" i="18"/>
  <c r="I48" i="15"/>
  <c r="I48" i="18"/>
  <c r="I48" i="20"/>
  <c r="B49" i="14"/>
  <c r="W15" i="15"/>
  <c r="W15" i="18" s="1"/>
  <c r="W15" i="20" s="1"/>
  <c r="J14" i="14"/>
  <c r="K47" i="15"/>
  <c r="K47" i="20"/>
  <c r="K47" i="18"/>
  <c r="O50" i="15"/>
  <c r="H29" i="22"/>
  <c r="H16" i="22" s="1"/>
  <c r="H3" i="22" s="1"/>
  <c r="J12" i="25"/>
  <c r="J12" i="26" s="1"/>
  <c r="J12" i="29" s="1"/>
  <c r="S49" i="15"/>
  <c r="F15" i="20"/>
  <c r="F15" i="18"/>
  <c r="F48" i="14"/>
  <c r="F15" i="15"/>
  <c r="D42" i="22"/>
  <c r="D39" i="17"/>
  <c r="V15" i="18"/>
  <c r="V15" i="20" s="1"/>
  <c r="R16" i="15"/>
  <c r="E15" i="14"/>
  <c r="E38" i="17"/>
  <c r="E5" i="17"/>
  <c r="E36" i="17"/>
  <c r="I12" i="25"/>
  <c r="I12" i="26" s="1"/>
  <c r="I12" i="29" s="1"/>
  <c r="E34" i="17"/>
  <c r="G29" i="22"/>
  <c r="G16" i="22" s="1"/>
  <c r="G3" i="22" s="1"/>
  <c r="C12" i="17"/>
  <c r="C45" i="17" s="1"/>
  <c r="O50" i="18"/>
  <c r="O50" i="20" s="1"/>
  <c r="V15" i="15"/>
  <c r="I14" i="14"/>
  <c r="X14" i="15"/>
  <c r="X14" i="18" s="1"/>
  <c r="X14" i="20" s="1"/>
  <c r="K13" i="14"/>
  <c r="E15" i="17"/>
  <c r="E48" i="17" s="1"/>
  <c r="E41" i="17"/>
  <c r="E40" i="17"/>
  <c r="E49" i="18"/>
  <c r="E49" i="20"/>
  <c r="E43" i="17"/>
  <c r="E42" i="17"/>
  <c r="E49" i="15"/>
  <c r="K11" i="25"/>
  <c r="K11" i="26" s="1"/>
  <c r="K11" i="29" s="1"/>
  <c r="D40" i="17"/>
  <c r="D34" i="17"/>
  <c r="R16" i="18"/>
  <c r="R16" i="20" s="1"/>
  <c r="C8" i="17"/>
  <c r="G15" i="20"/>
  <c r="G15" i="18"/>
  <c r="G48" i="14"/>
  <c r="G15" i="15"/>
  <c r="C3" i="17"/>
  <c r="E29" i="22"/>
  <c r="E16" i="22" s="1"/>
  <c r="E3" i="22" s="1"/>
  <c r="H15" i="20"/>
  <c r="H15" i="18"/>
  <c r="H48" i="14"/>
  <c r="H15" i="15"/>
  <c r="D14" i="17"/>
  <c r="D47" i="17" s="1"/>
  <c r="D49" i="13"/>
  <c r="D39" i="13"/>
  <c r="D9" i="17"/>
  <c r="D8" i="17"/>
  <c r="D16" i="20"/>
  <c r="D7" i="17"/>
  <c r="D16" i="15"/>
  <c r="D16" i="18"/>
  <c r="T49" i="15"/>
  <c r="T49" i="18" s="1"/>
  <c r="T49" i="20" s="1"/>
  <c r="D36" i="17"/>
  <c r="E13" i="25"/>
  <c r="E13" i="26" s="1"/>
  <c r="E13" i="29" s="1"/>
  <c r="B2" i="17"/>
  <c r="U49" i="15"/>
  <c r="U49" i="18" s="1"/>
  <c r="U49" i="20" s="1"/>
  <c r="E37" i="17"/>
  <c r="S49" i="18"/>
  <c r="S49" i="20" s="1"/>
  <c r="D12" i="17"/>
  <c r="D45" i="17" s="1"/>
  <c r="J10" i="31" l="1"/>
  <c r="J10" i="27"/>
  <c r="Q11" i="32" s="1"/>
  <c r="F11" i="31"/>
  <c r="F11" i="27"/>
  <c r="M12" i="32" s="1"/>
  <c r="L9" i="27"/>
  <c r="S10" i="32" s="1"/>
  <c r="L9" i="31"/>
  <c r="K10" i="27"/>
  <c r="R11" i="32" s="1"/>
  <c r="K10" i="31"/>
  <c r="Q16" i="15"/>
  <c r="D15" i="14"/>
  <c r="F48" i="15"/>
  <c r="F48" i="20"/>
  <c r="F48" i="18"/>
  <c r="H48" i="15"/>
  <c r="H48" i="18"/>
  <c r="H48" i="20"/>
  <c r="B16" i="13"/>
  <c r="B48" i="13"/>
  <c r="B38" i="13"/>
  <c r="B12" i="17"/>
  <c r="B45" i="17" s="1"/>
  <c r="W48" i="15"/>
  <c r="J14" i="20"/>
  <c r="J14" i="18"/>
  <c r="J47" i="14"/>
  <c r="J14" i="15"/>
  <c r="B3" i="17"/>
  <c r="K13" i="20"/>
  <c r="K13" i="18"/>
  <c r="K13" i="15"/>
  <c r="K46" i="14"/>
  <c r="D13" i="25"/>
  <c r="D13" i="26" s="1"/>
  <c r="D13" i="29" s="1"/>
  <c r="Q16" i="20"/>
  <c r="W48" i="18"/>
  <c r="H12" i="25"/>
  <c r="H12" i="26" s="1"/>
  <c r="H12" i="29" s="1"/>
  <c r="E15" i="20"/>
  <c r="E15" i="18"/>
  <c r="E15" i="15"/>
  <c r="E48" i="14"/>
  <c r="C37" i="17"/>
  <c r="C35" i="17"/>
  <c r="C4" i="17"/>
  <c r="T15" i="15"/>
  <c r="T15" i="18" s="1"/>
  <c r="T15" i="20" s="1"/>
  <c r="G14" i="14"/>
  <c r="D29" i="22"/>
  <c r="D38" i="17"/>
  <c r="D5" i="17"/>
  <c r="D16" i="22"/>
  <c r="D3" i="22" s="1"/>
  <c r="G48" i="15"/>
  <c r="G48" i="20"/>
  <c r="G48" i="18"/>
  <c r="I14" i="20"/>
  <c r="I14" i="18"/>
  <c r="I47" i="14"/>
  <c r="I14" i="15"/>
  <c r="C10" i="17"/>
  <c r="B11" i="17"/>
  <c r="X47" i="18"/>
  <c r="X47" i="20" s="1"/>
  <c r="D35" i="17"/>
  <c r="C41" i="17"/>
  <c r="C42" i="17"/>
  <c r="C39" i="17"/>
  <c r="C11" i="17"/>
  <c r="D15" i="17"/>
  <c r="D48" i="17" s="1"/>
  <c r="D49" i="15"/>
  <c r="D49" i="20"/>
  <c r="D49" i="18"/>
  <c r="D43" i="17"/>
  <c r="D42" i="17"/>
  <c r="D44" i="17"/>
  <c r="U15" i="15"/>
  <c r="U15" i="18" s="1"/>
  <c r="U15" i="20" s="1"/>
  <c r="H14" i="14"/>
  <c r="V48" i="18"/>
  <c r="V48" i="20" s="1"/>
  <c r="R49" i="15"/>
  <c r="R49" i="18" s="1"/>
  <c r="R49" i="20" s="1"/>
  <c r="V48" i="15"/>
  <c r="F12" i="25"/>
  <c r="F12" i="26" s="1"/>
  <c r="F12" i="29" s="1"/>
  <c r="W48" i="20"/>
  <c r="C14" i="17"/>
  <c r="C47" i="17" s="1"/>
  <c r="C39" i="13"/>
  <c r="C49" i="13"/>
  <c r="C9" i="17"/>
  <c r="C16" i="15"/>
  <c r="C7" i="17"/>
  <c r="C16" i="20"/>
  <c r="C16" i="18"/>
  <c r="Q16" i="18"/>
  <c r="G12" i="25"/>
  <c r="G12" i="26" s="1"/>
  <c r="G12" i="29" s="1"/>
  <c r="S15" i="15"/>
  <c r="S15" i="18" s="1"/>
  <c r="S15" i="20" s="1"/>
  <c r="F14" i="14"/>
  <c r="X47" i="15"/>
  <c r="D37" i="17"/>
  <c r="G10" i="31" l="1"/>
  <c r="G10" i="27"/>
  <c r="N11" i="32" s="1"/>
  <c r="I10" i="31"/>
  <c r="I10" i="27"/>
  <c r="P11" i="32" s="1"/>
  <c r="H10" i="27"/>
  <c r="O11" i="32" s="1"/>
  <c r="H10" i="31"/>
  <c r="C13" i="25"/>
  <c r="C13" i="26" s="1"/>
  <c r="C13" i="29" s="1"/>
  <c r="G14" i="20"/>
  <c r="G14" i="18"/>
  <c r="G47" i="14"/>
  <c r="G14" i="15"/>
  <c r="E12" i="25"/>
  <c r="E12" i="26" s="1"/>
  <c r="E12" i="29" s="1"/>
  <c r="U48" i="15"/>
  <c r="B14" i="17"/>
  <c r="B47" i="17" s="1"/>
  <c r="B49" i="13"/>
  <c r="B39" i="13"/>
  <c r="B7" i="17"/>
  <c r="B16" i="20"/>
  <c r="B16" i="15"/>
  <c r="B8" i="17"/>
  <c r="B16" i="18"/>
  <c r="P16" i="15"/>
  <c r="P16" i="18" s="1"/>
  <c r="P16" i="20" s="1"/>
  <c r="C15" i="14"/>
  <c r="H14" i="20"/>
  <c r="H14" i="18"/>
  <c r="H47" i="14"/>
  <c r="H14" i="15"/>
  <c r="X13" i="15"/>
  <c r="X13" i="18" s="1"/>
  <c r="X13" i="20" s="1"/>
  <c r="K12" i="14"/>
  <c r="Q49" i="18"/>
  <c r="Q49" i="20" s="1"/>
  <c r="V14" i="15"/>
  <c r="I13" i="14"/>
  <c r="J47" i="15"/>
  <c r="J47" i="18"/>
  <c r="J47" i="20"/>
  <c r="B44" i="17"/>
  <c r="B42" i="17"/>
  <c r="C15" i="17"/>
  <c r="C48" i="17" s="1"/>
  <c r="C49" i="15"/>
  <c r="C44" i="17"/>
  <c r="C49" i="20"/>
  <c r="C49" i="18"/>
  <c r="C40" i="17"/>
  <c r="I47" i="15"/>
  <c r="I47" i="18"/>
  <c r="I47" i="20"/>
  <c r="E11" i="31"/>
  <c r="E11" i="27"/>
  <c r="L12" i="32" s="1"/>
  <c r="B9" i="17"/>
  <c r="C38" i="17"/>
  <c r="C5" i="17"/>
  <c r="C36" i="17"/>
  <c r="C34" i="17"/>
  <c r="C42" i="22"/>
  <c r="B10" i="17"/>
  <c r="Q49" i="15"/>
  <c r="C43" i="17"/>
  <c r="V14" i="18"/>
  <c r="V14" i="20" s="1"/>
  <c r="C16" i="22"/>
  <c r="C3" i="22" s="1"/>
  <c r="E48" i="15"/>
  <c r="E48" i="20"/>
  <c r="E48" i="18"/>
  <c r="J11" i="25"/>
  <c r="J11" i="26" s="1"/>
  <c r="J11" i="29" s="1"/>
  <c r="B13" i="17"/>
  <c r="B46" i="17" s="1"/>
  <c r="K10" i="25"/>
  <c r="K10" i="26" s="1"/>
  <c r="K10" i="29" s="1"/>
  <c r="I11" i="25"/>
  <c r="I11" i="26" s="1"/>
  <c r="I11" i="29" s="1"/>
  <c r="B6" i="17"/>
  <c r="R15" i="15"/>
  <c r="E14" i="14"/>
  <c r="U48" i="20"/>
  <c r="F14" i="20"/>
  <c r="F14" i="18"/>
  <c r="F14" i="15"/>
  <c r="F47" i="14"/>
  <c r="K46" i="15"/>
  <c r="K46" i="18"/>
  <c r="K46" i="20"/>
  <c r="T48" i="15"/>
  <c r="T48" i="18" s="1"/>
  <c r="T48" i="20" s="1"/>
  <c r="W14" i="15"/>
  <c r="W14" i="18" s="1"/>
  <c r="W14" i="20" s="1"/>
  <c r="J13" i="14"/>
  <c r="B4" i="17"/>
  <c r="S48" i="15"/>
  <c r="S48" i="18" s="1"/>
  <c r="S48" i="20" s="1"/>
  <c r="D15" i="20"/>
  <c r="D15" i="18"/>
  <c r="D15" i="15"/>
  <c r="D48" i="14"/>
  <c r="C29" i="22"/>
  <c r="R15" i="18"/>
  <c r="R15" i="20" s="1"/>
  <c r="B39" i="17"/>
  <c r="B34" i="17"/>
  <c r="U48" i="18"/>
  <c r="D11" i="27" l="1"/>
  <c r="K12" i="32" s="1"/>
  <c r="D11" i="31"/>
  <c r="K9" i="27"/>
  <c r="R10" i="32" s="1"/>
  <c r="K9" i="31"/>
  <c r="F10" i="31"/>
  <c r="F10" i="27"/>
  <c r="M11" i="32" s="1"/>
  <c r="L8" i="31"/>
  <c r="L8" i="27"/>
  <c r="S9" i="32" s="1"/>
  <c r="J9" i="31"/>
  <c r="J9" i="27"/>
  <c r="Q10" i="32" s="1"/>
  <c r="C15" i="20"/>
  <c r="C15" i="18"/>
  <c r="C15" i="15"/>
  <c r="C48" i="14"/>
  <c r="D12" i="25"/>
  <c r="D12" i="26" s="1"/>
  <c r="D12" i="29" s="1"/>
  <c r="R48" i="15"/>
  <c r="H11" i="25"/>
  <c r="H11" i="26" s="1"/>
  <c r="H11" i="29" s="1"/>
  <c r="B13" i="25"/>
  <c r="B13" i="26" s="1"/>
  <c r="B13" i="29" s="1"/>
  <c r="F11" i="25"/>
  <c r="F11" i="26" s="1"/>
  <c r="F11" i="29" s="1"/>
  <c r="B38" i="17"/>
  <c r="B5" i="17"/>
  <c r="B29" i="22"/>
  <c r="B16" i="22" s="1"/>
  <c r="B3" i="22" s="1"/>
  <c r="B36" i="17"/>
  <c r="D48" i="15"/>
  <c r="D48" i="18"/>
  <c r="D48" i="20"/>
  <c r="X46" i="15"/>
  <c r="X46" i="18" s="1"/>
  <c r="X46" i="20" s="1"/>
  <c r="W47" i="15"/>
  <c r="U14" i="15"/>
  <c r="U14" i="18" s="1"/>
  <c r="U14" i="20" s="1"/>
  <c r="H13" i="14"/>
  <c r="O16" i="18"/>
  <c r="O16" i="20" s="1"/>
  <c r="G11" i="25"/>
  <c r="G11" i="26" s="1"/>
  <c r="G11" i="29" s="1"/>
  <c r="B35" i="17"/>
  <c r="E14" i="20"/>
  <c r="E14" i="18"/>
  <c r="E47" i="14"/>
  <c r="E14" i="15"/>
  <c r="G47" i="15"/>
  <c r="G47" i="20"/>
  <c r="G47" i="18"/>
  <c r="W47" i="18"/>
  <c r="Q15" i="15"/>
  <c r="Q15" i="18" s="1"/>
  <c r="Q15" i="20" s="1"/>
  <c r="D14" i="14"/>
  <c r="J13" i="20"/>
  <c r="J13" i="18"/>
  <c r="J46" i="14"/>
  <c r="J13" i="15"/>
  <c r="F47" i="15"/>
  <c r="F47" i="20"/>
  <c r="F47" i="18"/>
  <c r="R48" i="18"/>
  <c r="R48" i="20" s="1"/>
  <c r="I13" i="20"/>
  <c r="I13" i="18"/>
  <c r="I13" i="15"/>
  <c r="I46" i="14"/>
  <c r="H47" i="15"/>
  <c r="H47" i="18"/>
  <c r="H47" i="20"/>
  <c r="V47" i="15"/>
  <c r="V47" i="18" s="1"/>
  <c r="V47" i="20" s="1"/>
  <c r="K12" i="20"/>
  <c r="K12" i="18"/>
  <c r="K45" i="14"/>
  <c r="K12" i="15"/>
  <c r="T14" i="15"/>
  <c r="T14" i="18" s="1"/>
  <c r="T14" i="20" s="1"/>
  <c r="G13" i="14"/>
  <c r="W47" i="20"/>
  <c r="B15" i="17"/>
  <c r="B48" i="17" s="1"/>
  <c r="B40" i="17"/>
  <c r="B49" i="15"/>
  <c r="B49" i="20"/>
  <c r="B43" i="17"/>
  <c r="B49" i="18"/>
  <c r="B41" i="17"/>
  <c r="P49" i="18"/>
  <c r="P49" i="20" s="1"/>
  <c r="B37" i="17"/>
  <c r="S14" i="15"/>
  <c r="S14" i="18" s="1"/>
  <c r="S14" i="20" s="1"/>
  <c r="F13" i="14"/>
  <c r="P49" i="15"/>
  <c r="O16" i="15"/>
  <c r="B15" i="14"/>
  <c r="B42" i="22"/>
  <c r="H9" i="27" l="1"/>
  <c r="O10" i="32" s="1"/>
  <c r="H9" i="31"/>
  <c r="G9" i="31"/>
  <c r="G9" i="27"/>
  <c r="N10" i="32" s="1"/>
  <c r="C11" i="31"/>
  <c r="C11" i="27"/>
  <c r="J12" i="32" s="1"/>
  <c r="I9" i="27"/>
  <c r="P10" i="32" s="1"/>
  <c r="I9" i="31"/>
  <c r="E10" i="31"/>
  <c r="E10" i="27"/>
  <c r="L11" i="32" s="1"/>
  <c r="J10" i="25"/>
  <c r="J10" i="26" s="1"/>
  <c r="J10" i="29" s="1"/>
  <c r="K9" i="25"/>
  <c r="K9" i="26" s="1"/>
  <c r="K9" i="29" s="1"/>
  <c r="X12" i="20"/>
  <c r="W13" i="18"/>
  <c r="W13" i="20" s="1"/>
  <c r="T47" i="20"/>
  <c r="I10" i="25"/>
  <c r="I10" i="26" s="1"/>
  <c r="I10" i="29" s="1"/>
  <c r="G13" i="20"/>
  <c r="G13" i="18"/>
  <c r="G13" i="15"/>
  <c r="G46" i="14"/>
  <c r="D14" i="18"/>
  <c r="D14" i="20"/>
  <c r="D47" i="14"/>
  <c r="D14" i="15"/>
  <c r="C48" i="15"/>
  <c r="C48" i="20"/>
  <c r="C48" i="18"/>
  <c r="U47" i="15"/>
  <c r="U47" i="18" s="1"/>
  <c r="U47" i="20" s="1"/>
  <c r="S47" i="15"/>
  <c r="E11" i="25"/>
  <c r="E11" i="26" s="1"/>
  <c r="E11" i="29" s="1"/>
  <c r="C12" i="25"/>
  <c r="C12" i="26" s="1"/>
  <c r="C12" i="29" s="1"/>
  <c r="T47" i="15"/>
  <c r="R14" i="15"/>
  <c r="E13" i="14"/>
  <c r="H13" i="20"/>
  <c r="H13" i="18"/>
  <c r="H46" i="14"/>
  <c r="H13" i="15"/>
  <c r="B15" i="20"/>
  <c r="B15" i="18"/>
  <c r="B48" i="14"/>
  <c r="B15" i="15"/>
  <c r="S47" i="20"/>
  <c r="R14" i="18"/>
  <c r="R14" i="20" s="1"/>
  <c r="X12" i="15"/>
  <c r="K11" i="14"/>
  <c r="O49" i="15"/>
  <c r="O49" i="18" s="1"/>
  <c r="O49" i="20" s="1"/>
  <c r="K45" i="15"/>
  <c r="K45" i="20"/>
  <c r="K45" i="18"/>
  <c r="I46" i="15"/>
  <c r="I46" i="20"/>
  <c r="I46" i="18"/>
  <c r="W13" i="15"/>
  <c r="J12" i="14"/>
  <c r="Q48" i="15"/>
  <c r="Q48" i="18" s="1"/>
  <c r="Q48" i="20" s="1"/>
  <c r="S47" i="18"/>
  <c r="E47" i="15"/>
  <c r="E47" i="18"/>
  <c r="E47" i="20"/>
  <c r="P15" i="15"/>
  <c r="P15" i="18" s="1"/>
  <c r="P15" i="20" s="1"/>
  <c r="C14" i="14"/>
  <c r="F13" i="20"/>
  <c r="F13" i="18"/>
  <c r="F13" i="15"/>
  <c r="F46" i="14"/>
  <c r="X12" i="18"/>
  <c r="V13" i="15"/>
  <c r="V13" i="18" s="1"/>
  <c r="V13" i="20" s="1"/>
  <c r="I12" i="14"/>
  <c r="J46" i="15"/>
  <c r="J46" i="18"/>
  <c r="J46" i="20"/>
  <c r="T47" i="18"/>
  <c r="K8" i="27" l="1"/>
  <c r="R9" i="32" s="1"/>
  <c r="K8" i="31"/>
  <c r="J8" i="31"/>
  <c r="J8" i="27"/>
  <c r="Q9" i="32" s="1"/>
  <c r="F9" i="31"/>
  <c r="F9" i="27"/>
  <c r="M10" i="32" s="1"/>
  <c r="D10" i="27"/>
  <c r="K11" i="32" s="1"/>
  <c r="D10" i="31"/>
  <c r="C14" i="20"/>
  <c r="C14" i="18"/>
  <c r="C14" i="15"/>
  <c r="C47" i="14"/>
  <c r="H46" i="15"/>
  <c r="H46" i="18"/>
  <c r="H46" i="20"/>
  <c r="D47" i="15"/>
  <c r="D47" i="18"/>
  <c r="D47" i="20"/>
  <c r="W46" i="15"/>
  <c r="W46" i="18" s="1"/>
  <c r="W46" i="20" s="1"/>
  <c r="D11" i="25"/>
  <c r="D11" i="26" s="1"/>
  <c r="D11" i="29" s="1"/>
  <c r="J12" i="20"/>
  <c r="J12" i="18"/>
  <c r="J45" i="14"/>
  <c r="J12" i="15"/>
  <c r="G46" i="15"/>
  <c r="G46" i="20"/>
  <c r="G46" i="18"/>
  <c r="B48" i="15"/>
  <c r="B48" i="20"/>
  <c r="B48" i="18"/>
  <c r="E13" i="20"/>
  <c r="E13" i="18"/>
  <c r="E13" i="15"/>
  <c r="E46" i="14"/>
  <c r="R47" i="15"/>
  <c r="O15" i="18"/>
  <c r="O15" i="20" s="1"/>
  <c r="P48" i="20"/>
  <c r="X45" i="15"/>
  <c r="X45" i="18" s="1"/>
  <c r="X45" i="20" s="1"/>
  <c r="K44" i="14"/>
  <c r="L7" i="31"/>
  <c r="L7" i="27"/>
  <c r="S8" i="32" s="1"/>
  <c r="F46" i="15"/>
  <c r="F46" i="20"/>
  <c r="F46" i="18"/>
  <c r="V46" i="18"/>
  <c r="V46" i="20"/>
  <c r="B12" i="25"/>
  <c r="B12" i="26" s="1"/>
  <c r="B12" i="29" s="1"/>
  <c r="P48" i="15"/>
  <c r="G10" i="25"/>
  <c r="G10" i="26" s="1"/>
  <c r="G10" i="29" s="1"/>
  <c r="I12" i="20"/>
  <c r="I12" i="18"/>
  <c r="I45" i="14"/>
  <c r="I12" i="15"/>
  <c r="H10" i="25"/>
  <c r="H10" i="26" s="1"/>
  <c r="H10" i="29" s="1"/>
  <c r="O15" i="15"/>
  <c r="B14" i="14"/>
  <c r="R47" i="18"/>
  <c r="R47" i="20" s="1"/>
  <c r="P48" i="18"/>
  <c r="T13" i="15"/>
  <c r="T13" i="18" s="1"/>
  <c r="T13" i="20" s="1"/>
  <c r="G12" i="14"/>
  <c r="S13" i="15"/>
  <c r="F12" i="14"/>
  <c r="K11" i="20"/>
  <c r="K11" i="18"/>
  <c r="K11" i="15"/>
  <c r="X11" i="15" s="1"/>
  <c r="S13" i="18"/>
  <c r="F10" i="25"/>
  <c r="F10" i="26" s="1"/>
  <c r="F10" i="29" s="1"/>
  <c r="S13" i="20"/>
  <c r="V46" i="15"/>
  <c r="U13" i="15"/>
  <c r="U13" i="18" s="1"/>
  <c r="U13" i="20" s="1"/>
  <c r="H12" i="14"/>
  <c r="Q14" i="15"/>
  <c r="Q14" i="18" s="1"/>
  <c r="Q14" i="20" s="1"/>
  <c r="D13" i="14"/>
  <c r="I8" i="31" l="1"/>
  <c r="I8" i="27"/>
  <c r="P9" i="32" s="1"/>
  <c r="C10" i="31"/>
  <c r="C10" i="27"/>
  <c r="J11" i="32" s="1"/>
  <c r="E9" i="31"/>
  <c r="E9" i="27"/>
  <c r="L10" i="32" s="1"/>
  <c r="H8" i="27"/>
  <c r="O9" i="32" s="1"/>
  <c r="H8" i="31"/>
  <c r="K8" i="25"/>
  <c r="K8" i="26" s="1"/>
  <c r="K8" i="29" s="1"/>
  <c r="U46" i="15"/>
  <c r="U46" i="18" s="1"/>
  <c r="U46" i="20" s="1"/>
  <c r="F12" i="20"/>
  <c r="F12" i="18"/>
  <c r="F12" i="15"/>
  <c r="F45" i="14"/>
  <c r="D13" i="20"/>
  <c r="D13" i="18"/>
  <c r="D13" i="15"/>
  <c r="D46" i="14"/>
  <c r="G8" i="31"/>
  <c r="G8" i="27"/>
  <c r="N9" i="32" s="1"/>
  <c r="X11" i="18"/>
  <c r="X11" i="20" s="1"/>
  <c r="V12" i="15"/>
  <c r="I11" i="14"/>
  <c r="E10" i="25"/>
  <c r="E10" i="26" s="1"/>
  <c r="E10" i="29" s="1"/>
  <c r="W12" i="15"/>
  <c r="W12" i="18" s="1"/>
  <c r="W12" i="20" s="1"/>
  <c r="J11" i="14"/>
  <c r="I45" i="15"/>
  <c r="I45" i="20"/>
  <c r="I45" i="18"/>
  <c r="J45" i="15"/>
  <c r="J45" i="20"/>
  <c r="J45" i="18"/>
  <c r="I9" i="25"/>
  <c r="I9" i="26" s="1"/>
  <c r="I9" i="29" s="1"/>
  <c r="J9" i="25"/>
  <c r="J9" i="26" s="1"/>
  <c r="J9" i="29" s="1"/>
  <c r="P14" i="15"/>
  <c r="P14" i="18" s="1"/>
  <c r="P14" i="20" s="1"/>
  <c r="C13" i="14"/>
  <c r="E46" i="15"/>
  <c r="E46" i="18"/>
  <c r="E46" i="20"/>
  <c r="Q47" i="18"/>
  <c r="Q47" i="20" s="1"/>
  <c r="B14" i="20"/>
  <c r="B14" i="18"/>
  <c r="B47" i="14"/>
  <c r="B14" i="15"/>
  <c r="H12" i="20"/>
  <c r="H12" i="18"/>
  <c r="H45" i="14"/>
  <c r="H12" i="15"/>
  <c r="S46" i="15"/>
  <c r="S46" i="18" s="1"/>
  <c r="S46" i="20" s="1"/>
  <c r="R13" i="15"/>
  <c r="R13" i="18" s="1"/>
  <c r="R13" i="20" s="1"/>
  <c r="E12" i="14"/>
  <c r="T46" i="15"/>
  <c r="T46" i="18" s="1"/>
  <c r="T46" i="20" s="1"/>
  <c r="Q47" i="15"/>
  <c r="C11" i="25"/>
  <c r="C11" i="26" s="1"/>
  <c r="C11" i="29" s="1"/>
  <c r="K44" i="18"/>
  <c r="K44" i="15"/>
  <c r="K44" i="20"/>
  <c r="V12" i="18"/>
  <c r="V12" i="20" s="1"/>
  <c r="O48" i="15"/>
  <c r="O48" i="18" s="1"/>
  <c r="O48" i="20" s="1"/>
  <c r="C47" i="15"/>
  <c r="C47" i="18"/>
  <c r="C47" i="20"/>
  <c r="G12" i="20"/>
  <c r="G12" i="18"/>
  <c r="G12" i="15"/>
  <c r="G45" i="14"/>
  <c r="L6" i="31" l="1"/>
  <c r="L6" i="27"/>
  <c r="S7" i="32" s="1"/>
  <c r="D9" i="27"/>
  <c r="K10" i="32" s="1"/>
  <c r="D9" i="31"/>
  <c r="F8" i="31"/>
  <c r="F8" i="27"/>
  <c r="M9" i="32" s="1"/>
  <c r="J7" i="27"/>
  <c r="Q8" i="32" s="1"/>
  <c r="J7" i="31"/>
  <c r="K7" i="31"/>
  <c r="K7" i="27"/>
  <c r="R8" i="32" s="1"/>
  <c r="H45" i="15"/>
  <c r="H45" i="18"/>
  <c r="H45" i="20"/>
  <c r="F9" i="25"/>
  <c r="F9" i="26" s="1"/>
  <c r="F9" i="29" s="1"/>
  <c r="Q13" i="18"/>
  <c r="Q13" i="20" s="1"/>
  <c r="G45" i="15"/>
  <c r="G45" i="18"/>
  <c r="G45" i="20"/>
  <c r="V45" i="18"/>
  <c r="V45" i="20" s="1"/>
  <c r="G9" i="25"/>
  <c r="G9" i="26" s="1"/>
  <c r="G9" i="29" s="1"/>
  <c r="B47" i="15"/>
  <c r="B47" i="20"/>
  <c r="B47" i="18"/>
  <c r="R46" i="15"/>
  <c r="V45" i="15"/>
  <c r="I44" i="14"/>
  <c r="S12" i="15"/>
  <c r="S12" i="18" s="1"/>
  <c r="S12" i="20" s="1"/>
  <c r="F11" i="14"/>
  <c r="D10" i="25"/>
  <c r="D10" i="26" s="1"/>
  <c r="D10" i="29" s="1"/>
  <c r="E12" i="18"/>
  <c r="E12" i="20"/>
  <c r="E45" i="14"/>
  <c r="E12" i="15"/>
  <c r="W45" i="15"/>
  <c r="W45" i="18" s="1"/>
  <c r="W45" i="20" s="1"/>
  <c r="J44" i="14"/>
  <c r="T12" i="15"/>
  <c r="T12" i="18" s="1"/>
  <c r="T12" i="20" s="1"/>
  <c r="G11" i="14"/>
  <c r="H9" i="25"/>
  <c r="H9" i="26" s="1"/>
  <c r="H9" i="29" s="1"/>
  <c r="O14" i="15"/>
  <c r="O14" i="18" s="1"/>
  <c r="O14" i="20" s="1"/>
  <c r="B13" i="14"/>
  <c r="D46" i="15"/>
  <c r="D46" i="18"/>
  <c r="D46" i="20"/>
  <c r="P47" i="18"/>
  <c r="P47" i="20" s="1"/>
  <c r="U12" i="15"/>
  <c r="U12" i="18" s="1"/>
  <c r="U12" i="20" s="1"/>
  <c r="H11" i="14"/>
  <c r="P47" i="15"/>
  <c r="X44" i="15"/>
  <c r="K10" i="14"/>
  <c r="K43" i="14"/>
  <c r="X44" i="18"/>
  <c r="X44" i="20" s="1"/>
  <c r="K51" i="22"/>
  <c r="K38" i="22" s="1"/>
  <c r="K25" i="22" s="1"/>
  <c r="R46" i="18"/>
  <c r="R46" i="20" s="1"/>
  <c r="I11" i="20"/>
  <c r="I11" i="15"/>
  <c r="V11" i="15" s="1"/>
  <c r="I11" i="18"/>
  <c r="B11" i="25"/>
  <c r="B11" i="26" s="1"/>
  <c r="B11" i="29" s="1"/>
  <c r="C13" i="20"/>
  <c r="C13" i="18"/>
  <c r="C13" i="15"/>
  <c r="C46" i="14"/>
  <c r="J11" i="20"/>
  <c r="J11" i="15"/>
  <c r="W11" i="15" s="1"/>
  <c r="J11" i="18"/>
  <c r="Q13" i="15"/>
  <c r="D12" i="14"/>
  <c r="F45" i="15"/>
  <c r="F45" i="20"/>
  <c r="F45" i="18"/>
  <c r="C9" i="27" l="1"/>
  <c r="J10" i="32" s="1"/>
  <c r="C9" i="31"/>
  <c r="K63" i="22"/>
  <c r="K12" i="22"/>
  <c r="I7" i="27"/>
  <c r="P8" i="32" s="1"/>
  <c r="I7" i="31"/>
  <c r="E8" i="31"/>
  <c r="E8" i="27"/>
  <c r="L9" i="32" s="1"/>
  <c r="H7" i="27"/>
  <c r="O8" i="32" s="1"/>
  <c r="H7" i="31"/>
  <c r="G7" i="31"/>
  <c r="G7" i="27"/>
  <c r="N8" i="32" s="1"/>
  <c r="C46" i="15"/>
  <c r="C46" i="20"/>
  <c r="C46" i="18"/>
  <c r="P13" i="15"/>
  <c r="C12" i="14"/>
  <c r="S45" i="18"/>
  <c r="S45" i="20" s="1"/>
  <c r="J8" i="25"/>
  <c r="J8" i="26" s="1"/>
  <c r="J8" i="29" s="1"/>
  <c r="W11" i="20"/>
  <c r="V11" i="18"/>
  <c r="V11" i="20" s="1"/>
  <c r="F11" i="20"/>
  <c r="F11" i="15"/>
  <c r="S11" i="15" s="1"/>
  <c r="F11" i="18"/>
  <c r="I8" i="25"/>
  <c r="I8" i="26" s="1"/>
  <c r="I8" i="29" s="1"/>
  <c r="O47" i="15"/>
  <c r="O47" i="18" s="1"/>
  <c r="O47" i="20" s="1"/>
  <c r="T45" i="15"/>
  <c r="T45" i="18" s="1"/>
  <c r="T45" i="20" s="1"/>
  <c r="G44" i="14"/>
  <c r="E9" i="25"/>
  <c r="E9" i="26" s="1"/>
  <c r="E9" i="29" s="1"/>
  <c r="Q46" i="15"/>
  <c r="Q46" i="18" s="1"/>
  <c r="Q46" i="20" s="1"/>
  <c r="S45" i="15"/>
  <c r="F44" i="14"/>
  <c r="P13" i="18"/>
  <c r="E45" i="15"/>
  <c r="E45" i="18"/>
  <c r="E45" i="20"/>
  <c r="U45" i="15"/>
  <c r="U45" i="18" s="1"/>
  <c r="U45" i="20" s="1"/>
  <c r="H44" i="14"/>
  <c r="I44" i="20"/>
  <c r="I44" i="18"/>
  <c r="I44" i="15"/>
  <c r="K43" i="20"/>
  <c r="K43" i="18"/>
  <c r="K43" i="15"/>
  <c r="K10" i="20"/>
  <c r="K10" i="15"/>
  <c r="X10" i="15" s="1"/>
  <c r="K10" i="18"/>
  <c r="R12" i="15"/>
  <c r="R12" i="18" s="1"/>
  <c r="R12" i="20" s="1"/>
  <c r="E11" i="14"/>
  <c r="D12" i="20"/>
  <c r="D12" i="18"/>
  <c r="D12" i="15"/>
  <c r="D45" i="14"/>
  <c r="C10" i="25"/>
  <c r="C10" i="26" s="1"/>
  <c r="C10" i="29" s="1"/>
  <c r="P13" i="20"/>
  <c r="G11" i="20"/>
  <c r="G11" i="15"/>
  <c r="T11" i="15" s="1"/>
  <c r="G11" i="18"/>
  <c r="W11" i="18"/>
  <c r="H11" i="20"/>
  <c r="H11" i="15"/>
  <c r="U11" i="15" s="1"/>
  <c r="H11" i="18"/>
  <c r="B13" i="20"/>
  <c r="B13" i="18"/>
  <c r="B13" i="15"/>
  <c r="B46" i="14"/>
  <c r="J44" i="18"/>
  <c r="J44" i="15"/>
  <c r="J44" i="20"/>
  <c r="F7" i="31" l="1"/>
  <c r="F7" i="27"/>
  <c r="M8" i="32" s="1"/>
  <c r="J6" i="31"/>
  <c r="J6" i="27"/>
  <c r="Q7" i="32" s="1"/>
  <c r="U11" i="18"/>
  <c r="H44" i="15"/>
  <c r="H44" i="20"/>
  <c r="H44" i="18"/>
  <c r="H8" i="25"/>
  <c r="H8" i="26" s="1"/>
  <c r="H8" i="29" s="1"/>
  <c r="U11" i="20"/>
  <c r="F8" i="25"/>
  <c r="F8" i="26" s="1"/>
  <c r="F8" i="29" s="1"/>
  <c r="J51" i="22"/>
  <c r="J38" i="22" s="1"/>
  <c r="J25" i="22" s="1"/>
  <c r="T11" i="18"/>
  <c r="S11" i="18"/>
  <c r="S11" i="20" s="1"/>
  <c r="G8" i="25"/>
  <c r="G8" i="26" s="1"/>
  <c r="G8" i="29" s="1"/>
  <c r="T11" i="20"/>
  <c r="F44" i="15"/>
  <c r="F44" i="18"/>
  <c r="F44" i="20"/>
  <c r="D8" i="27"/>
  <c r="K9" i="32" s="1"/>
  <c r="D8" i="31"/>
  <c r="V44" i="15"/>
  <c r="V44" i="18" s="1"/>
  <c r="V44" i="20" s="1"/>
  <c r="I10" i="14"/>
  <c r="I43" i="14"/>
  <c r="D45" i="15"/>
  <c r="D45" i="18"/>
  <c r="D45" i="20"/>
  <c r="X10" i="18"/>
  <c r="I51" i="22"/>
  <c r="I38" i="22" s="1"/>
  <c r="I25" i="22" s="1"/>
  <c r="R45" i="15"/>
  <c r="E44" i="14"/>
  <c r="C12" i="18"/>
  <c r="C12" i="20"/>
  <c r="C45" i="14"/>
  <c r="C12" i="15"/>
  <c r="K37" i="25"/>
  <c r="K37" i="26" s="1"/>
  <c r="K37" i="29" s="1"/>
  <c r="X11" i="22"/>
  <c r="D9" i="25"/>
  <c r="D9" i="26" s="1"/>
  <c r="D9" i="29" s="1"/>
  <c r="W44" i="15"/>
  <c r="W44" i="18" s="1"/>
  <c r="W44" i="20" s="1"/>
  <c r="J10" i="14"/>
  <c r="J43" i="14"/>
  <c r="E11" i="20"/>
  <c r="E11" i="15"/>
  <c r="R11" i="15" s="1"/>
  <c r="E11" i="18"/>
  <c r="P46" i="15"/>
  <c r="P46" i="18" s="1"/>
  <c r="P46" i="20" s="1"/>
  <c r="R45" i="18"/>
  <c r="R45" i="20" s="1"/>
  <c r="Q12" i="15"/>
  <c r="D11" i="14"/>
  <c r="X43" i="15"/>
  <c r="X43" i="18" s="1"/>
  <c r="X43" i="20" s="1"/>
  <c r="K9" i="14"/>
  <c r="K42" i="14"/>
  <c r="K6" i="27"/>
  <c r="R7" i="32" s="1"/>
  <c r="K6" i="31"/>
  <c r="K24" i="22"/>
  <c r="K62" i="22" s="1"/>
  <c r="K37" i="22"/>
  <c r="K50" i="22"/>
  <c r="K25" i="25"/>
  <c r="K25" i="26" s="1"/>
  <c r="K25" i="29" s="1"/>
  <c r="B46" i="15"/>
  <c r="B46" i="18"/>
  <c r="B46" i="20"/>
  <c r="O13" i="15"/>
  <c r="O13" i="18" s="1"/>
  <c r="O13" i="20" s="1"/>
  <c r="B12" i="14"/>
  <c r="B10" i="25"/>
  <c r="B10" i="26" s="1"/>
  <c r="B10" i="29" s="1"/>
  <c r="Q12" i="18"/>
  <c r="Q12" i="20" s="1"/>
  <c r="K7" i="25"/>
  <c r="K7" i="26" s="1"/>
  <c r="K7" i="29" s="1"/>
  <c r="X10" i="20"/>
  <c r="G44" i="15"/>
  <c r="G44" i="20"/>
  <c r="G44" i="18"/>
  <c r="E7" i="31" l="1"/>
  <c r="E7" i="27"/>
  <c r="L8" i="32" s="1"/>
  <c r="G6" i="31"/>
  <c r="G6" i="27"/>
  <c r="N7" i="32" s="1"/>
  <c r="I63" i="22"/>
  <c r="I12" i="22"/>
  <c r="C8" i="27"/>
  <c r="J9" i="32" s="1"/>
  <c r="C8" i="31"/>
  <c r="J63" i="22"/>
  <c r="J12" i="22"/>
  <c r="G51" i="22"/>
  <c r="G38" i="22" s="1"/>
  <c r="G25" i="22" s="1"/>
  <c r="J10" i="20"/>
  <c r="J10" i="15"/>
  <c r="W10" i="15" s="1"/>
  <c r="J10" i="18"/>
  <c r="K9" i="18"/>
  <c r="K9" i="15"/>
  <c r="X9" i="15" s="1"/>
  <c r="K9" i="20"/>
  <c r="E8" i="25"/>
  <c r="E8" i="26" s="1"/>
  <c r="E8" i="29" s="1"/>
  <c r="R11" i="20"/>
  <c r="L31" i="31"/>
  <c r="L31" i="27"/>
  <c r="S32" i="32" s="1"/>
  <c r="C45" i="15"/>
  <c r="C45" i="20"/>
  <c r="C45" i="18"/>
  <c r="P12" i="15"/>
  <c r="C11" i="14"/>
  <c r="I6" i="27"/>
  <c r="P7" i="32" s="1"/>
  <c r="I6" i="31"/>
  <c r="Q45" i="18"/>
  <c r="P12" i="18"/>
  <c r="P12" i="20" s="1"/>
  <c r="Q45" i="15"/>
  <c r="D44" i="14"/>
  <c r="S44" i="18"/>
  <c r="F38" i="22"/>
  <c r="F25" i="22"/>
  <c r="F63" i="22" s="1"/>
  <c r="F51" i="22"/>
  <c r="D11" i="20"/>
  <c r="D11" i="15"/>
  <c r="Q11" i="15" s="1"/>
  <c r="D11" i="18"/>
  <c r="Q45" i="20"/>
  <c r="T44" i="15"/>
  <c r="T44" i="18" s="1"/>
  <c r="T44" i="20" s="1"/>
  <c r="G10" i="14"/>
  <c r="G43" i="14"/>
  <c r="C9" i="25"/>
  <c r="C9" i="26" s="1"/>
  <c r="C9" i="29" s="1"/>
  <c r="S44" i="20"/>
  <c r="U44" i="18"/>
  <c r="U44" i="20" s="1"/>
  <c r="H38" i="22"/>
  <c r="H25" i="22" s="1"/>
  <c r="H51" i="22"/>
  <c r="L5" i="27"/>
  <c r="S6" i="32" s="1"/>
  <c r="L5" i="31"/>
  <c r="R11" i="18"/>
  <c r="E44" i="15"/>
  <c r="E44" i="20"/>
  <c r="E44" i="18"/>
  <c r="I43" i="20"/>
  <c r="I43" i="15"/>
  <c r="I43" i="18"/>
  <c r="S44" i="15"/>
  <c r="F10" i="14"/>
  <c r="F43" i="14"/>
  <c r="U44" i="15"/>
  <c r="H10" i="14"/>
  <c r="H43" i="14"/>
  <c r="K36" i="25"/>
  <c r="K36" i="26" s="1"/>
  <c r="K36" i="29" s="1"/>
  <c r="X10" i="22"/>
  <c r="J43" i="15"/>
  <c r="J43" i="20"/>
  <c r="J43" i="18"/>
  <c r="K11" i="22"/>
  <c r="O46" i="15"/>
  <c r="O46" i="18" s="1"/>
  <c r="O46" i="20" s="1"/>
  <c r="B12" i="18"/>
  <c r="B12" i="20"/>
  <c r="B45" i="14"/>
  <c r="B12" i="15"/>
  <c r="K42" i="20"/>
  <c r="K42" i="18"/>
  <c r="K42" i="15"/>
  <c r="I10" i="20"/>
  <c r="I10" i="18"/>
  <c r="I10" i="15"/>
  <c r="V10" i="15" s="1"/>
  <c r="H6" i="27"/>
  <c r="O7" i="32" s="1"/>
  <c r="H6" i="31"/>
  <c r="H63" i="22" l="1"/>
  <c r="H12" i="22"/>
  <c r="D7" i="27"/>
  <c r="K8" i="32" s="1"/>
  <c r="D7" i="31"/>
  <c r="G63" i="22"/>
  <c r="G12" i="22"/>
  <c r="F37" i="25"/>
  <c r="F37" i="26" s="1"/>
  <c r="F37" i="29" s="1"/>
  <c r="S11" i="22"/>
  <c r="Q11" i="18"/>
  <c r="I7" i="25"/>
  <c r="I7" i="26" s="1"/>
  <c r="I7" i="29" s="1"/>
  <c r="V10" i="20"/>
  <c r="C11" i="20"/>
  <c r="C11" i="18"/>
  <c r="C11" i="15"/>
  <c r="P11" i="15" s="1"/>
  <c r="J7" i="25"/>
  <c r="J7" i="26" s="1"/>
  <c r="J7" i="29" s="1"/>
  <c r="H10" i="20"/>
  <c r="H10" i="15"/>
  <c r="U10" i="15" s="1"/>
  <c r="H10" i="18"/>
  <c r="K24" i="25"/>
  <c r="K24" i="26" s="1"/>
  <c r="K24" i="29" s="1"/>
  <c r="F12" i="22"/>
  <c r="K6" i="25"/>
  <c r="K6" i="26" s="1"/>
  <c r="K6" i="29" s="1"/>
  <c r="W43" i="18"/>
  <c r="W43" i="20" s="1"/>
  <c r="J37" i="22"/>
  <c r="J24" i="22" s="1"/>
  <c r="J50" i="22"/>
  <c r="J25" i="25"/>
  <c r="J25" i="26" s="1"/>
  <c r="J25" i="29" s="1"/>
  <c r="Q11" i="20"/>
  <c r="D8" i="25"/>
  <c r="D8" i="26" s="1"/>
  <c r="D8" i="29" s="1"/>
  <c r="D44" i="15"/>
  <c r="D44" i="20"/>
  <c r="D44" i="18"/>
  <c r="X9" i="18"/>
  <c r="X9" i="20" s="1"/>
  <c r="X42" i="15"/>
  <c r="X42" i="18" s="1"/>
  <c r="X42" i="20" s="1"/>
  <c r="K8" i="14"/>
  <c r="K41" i="14"/>
  <c r="F6" i="31"/>
  <c r="F6" i="27"/>
  <c r="M7" i="32" s="1"/>
  <c r="V43" i="15"/>
  <c r="V43" i="18" s="1"/>
  <c r="V43" i="20" s="1"/>
  <c r="I9" i="14"/>
  <c r="I42" i="14"/>
  <c r="I25" i="25"/>
  <c r="I25" i="26" s="1"/>
  <c r="I25" i="29" s="1"/>
  <c r="I37" i="25"/>
  <c r="I37" i="26" s="1"/>
  <c r="I37" i="29" s="1"/>
  <c r="V11" i="22"/>
  <c r="O12" i="15"/>
  <c r="B11" i="14"/>
  <c r="R44" i="18"/>
  <c r="R44" i="20" s="1"/>
  <c r="E51" i="22"/>
  <c r="E38" i="22" s="1"/>
  <c r="E25" i="22" s="1"/>
  <c r="B45" i="15"/>
  <c r="B45" i="18"/>
  <c r="B45" i="20"/>
  <c r="F43" i="20"/>
  <c r="F43" i="15"/>
  <c r="F43" i="18"/>
  <c r="B9" i="25"/>
  <c r="B9" i="26" s="1"/>
  <c r="B9" i="29" s="1"/>
  <c r="W43" i="15"/>
  <c r="J9" i="14"/>
  <c r="J42" i="14"/>
  <c r="F10" i="20"/>
  <c r="F10" i="15"/>
  <c r="S10" i="15" s="1"/>
  <c r="F10" i="18"/>
  <c r="R44" i="15"/>
  <c r="E10" i="14"/>
  <c r="E43" i="14"/>
  <c r="G43" i="20"/>
  <c r="G43" i="15"/>
  <c r="G43" i="18"/>
  <c r="P45" i="15"/>
  <c r="C44" i="14"/>
  <c r="W10" i="18"/>
  <c r="W10" i="20" s="1"/>
  <c r="H43" i="20"/>
  <c r="H43" i="15"/>
  <c r="H43" i="18"/>
  <c r="I37" i="22"/>
  <c r="I24" i="22" s="1"/>
  <c r="I50" i="22"/>
  <c r="K49" i="22"/>
  <c r="K36" i="22" s="1"/>
  <c r="K23" i="22" s="1"/>
  <c r="P45" i="18"/>
  <c r="P45" i="20" s="1"/>
  <c r="V10" i="18"/>
  <c r="O12" i="18"/>
  <c r="O12" i="20" s="1"/>
  <c r="L30" i="27"/>
  <c r="S31" i="32" s="1"/>
  <c r="L30" i="31"/>
  <c r="G10" i="20"/>
  <c r="G10" i="15"/>
  <c r="T10" i="15" s="1"/>
  <c r="G10" i="18"/>
  <c r="J37" i="25"/>
  <c r="J37" i="26" s="1"/>
  <c r="J37" i="29" s="1"/>
  <c r="W11" i="22"/>
  <c r="L4" i="27" l="1"/>
  <c r="S5" i="32" s="1"/>
  <c r="L4" i="31"/>
  <c r="I62" i="22"/>
  <c r="I11" i="22"/>
  <c r="E63" i="22"/>
  <c r="E12" i="22"/>
  <c r="L20" i="31"/>
  <c r="L20" i="27"/>
  <c r="S21" i="32" s="1"/>
  <c r="J62" i="22"/>
  <c r="J11" i="22"/>
  <c r="C7" i="31"/>
  <c r="C7" i="27"/>
  <c r="J8" i="32" s="1"/>
  <c r="K5" i="27"/>
  <c r="R6" i="32" s="1"/>
  <c r="K5" i="31"/>
  <c r="K61" i="22"/>
  <c r="K10" i="22"/>
  <c r="T43" i="15"/>
  <c r="G9" i="14"/>
  <c r="G42" i="14"/>
  <c r="I42" i="20"/>
  <c r="I42" i="15"/>
  <c r="I42" i="18"/>
  <c r="B11" i="20"/>
  <c r="B11" i="15"/>
  <c r="O11" i="15" s="1"/>
  <c r="B11" i="18"/>
  <c r="T43" i="18"/>
  <c r="G37" i="22"/>
  <c r="G24" i="22" s="1"/>
  <c r="G50" i="22"/>
  <c r="S43" i="15"/>
  <c r="S43" i="18" s="1"/>
  <c r="S43" i="20" s="1"/>
  <c r="F9" i="14"/>
  <c r="F42" i="14"/>
  <c r="C8" i="25"/>
  <c r="C8" i="26" s="1"/>
  <c r="C8" i="29" s="1"/>
  <c r="P11" i="20"/>
  <c r="G31" i="31"/>
  <c r="G31" i="27"/>
  <c r="N32" i="32" s="1"/>
  <c r="G37" i="25"/>
  <c r="G37" i="26" s="1"/>
  <c r="G37" i="29" s="1"/>
  <c r="T11" i="22"/>
  <c r="F25" i="25"/>
  <c r="F25" i="26" s="1"/>
  <c r="F25" i="29" s="1"/>
  <c r="O45" i="18"/>
  <c r="O45" i="20" s="1"/>
  <c r="U10" i="20"/>
  <c r="H7" i="25"/>
  <c r="H7" i="26" s="1"/>
  <c r="H7" i="29" s="1"/>
  <c r="O45" i="15"/>
  <c r="B44" i="14"/>
  <c r="H50" i="22"/>
  <c r="H37" i="22" s="1"/>
  <c r="H24" i="22" s="1"/>
  <c r="C44" i="15"/>
  <c r="C44" i="18"/>
  <c r="C44" i="20"/>
  <c r="J31" i="31"/>
  <c r="J31" i="27"/>
  <c r="Q32" i="32" s="1"/>
  <c r="K31" i="31"/>
  <c r="K31" i="27"/>
  <c r="R32" i="32" s="1"/>
  <c r="F7" i="25"/>
  <c r="F7" i="26" s="1"/>
  <c r="F7" i="29" s="1"/>
  <c r="S10" i="20"/>
  <c r="J5" i="31"/>
  <c r="J5" i="27"/>
  <c r="Q6" i="32" s="1"/>
  <c r="J42" i="15"/>
  <c r="J42" i="20"/>
  <c r="J42" i="18"/>
  <c r="E43" i="20"/>
  <c r="E43" i="15"/>
  <c r="E43" i="18"/>
  <c r="E10" i="20"/>
  <c r="E10" i="15"/>
  <c r="R10" i="15" s="1"/>
  <c r="E10" i="18"/>
  <c r="G7" i="25"/>
  <c r="G7" i="26" s="1"/>
  <c r="G7" i="29" s="1"/>
  <c r="T10" i="20"/>
  <c r="K41" i="20"/>
  <c r="K41" i="18"/>
  <c r="K41" i="15"/>
  <c r="Q44" i="15"/>
  <c r="Q44" i="18" s="1"/>
  <c r="Q44" i="20" s="1"/>
  <c r="D10" i="14"/>
  <c r="D43" i="14"/>
  <c r="U10" i="18"/>
  <c r="G25" i="25"/>
  <c r="G25" i="26" s="1"/>
  <c r="G25" i="29" s="1"/>
  <c r="T43" i="20"/>
  <c r="I9" i="15"/>
  <c r="V9" i="15" s="1"/>
  <c r="I9" i="18"/>
  <c r="I9" i="20"/>
  <c r="T10" i="18"/>
  <c r="J9" i="20"/>
  <c r="J9" i="15"/>
  <c r="W9" i="15" s="1"/>
  <c r="J9" i="18"/>
  <c r="E6" i="27"/>
  <c r="L7" i="32" s="1"/>
  <c r="E6" i="31"/>
  <c r="U43" i="15"/>
  <c r="U43" i="18" s="1"/>
  <c r="U43" i="20" s="1"/>
  <c r="H9" i="14"/>
  <c r="H42" i="14"/>
  <c r="H25" i="25"/>
  <c r="H25" i="26" s="1"/>
  <c r="H25" i="29" s="1"/>
  <c r="S10" i="18"/>
  <c r="F50" i="22"/>
  <c r="F37" i="22" s="1"/>
  <c r="F24" i="22" s="1"/>
  <c r="K8" i="20"/>
  <c r="K8" i="18"/>
  <c r="K8" i="15"/>
  <c r="X8" i="15" s="1"/>
  <c r="D51" i="22"/>
  <c r="D38" i="22" s="1"/>
  <c r="D25" i="22" s="1"/>
  <c r="P11" i="18"/>
  <c r="H37" i="25"/>
  <c r="H37" i="26" s="1"/>
  <c r="H37" i="29" s="1"/>
  <c r="U11" i="22"/>
  <c r="D63" i="22" l="1"/>
  <c r="D12" i="22"/>
  <c r="G62" i="22"/>
  <c r="G11" i="22"/>
  <c r="H62" i="22"/>
  <c r="H11" i="22"/>
  <c r="F62" i="22"/>
  <c r="F11" i="22"/>
  <c r="X41" i="15"/>
  <c r="K7" i="14"/>
  <c r="K40" i="14"/>
  <c r="R43" i="15"/>
  <c r="E9" i="14"/>
  <c r="E42" i="14"/>
  <c r="X8" i="18"/>
  <c r="X8" i="20" s="1"/>
  <c r="E7" i="25"/>
  <c r="E7" i="26" s="1"/>
  <c r="E7" i="29" s="1"/>
  <c r="P44" i="18"/>
  <c r="C51" i="22"/>
  <c r="C38" i="22" s="1"/>
  <c r="C25" i="22" s="1"/>
  <c r="H31" i="27"/>
  <c r="O32" i="32" s="1"/>
  <c r="H31" i="31"/>
  <c r="F9" i="20"/>
  <c r="F9" i="18"/>
  <c r="F9" i="15"/>
  <c r="S9" i="15" s="1"/>
  <c r="K5" i="25"/>
  <c r="K5" i="26" s="1"/>
  <c r="K5" i="29" s="1"/>
  <c r="P44" i="15"/>
  <c r="C10" i="14"/>
  <c r="C43" i="14"/>
  <c r="K35" i="25"/>
  <c r="K35" i="26" s="1"/>
  <c r="K35" i="29" s="1"/>
  <c r="X9" i="22"/>
  <c r="X41" i="18"/>
  <c r="X41" i="20" s="1"/>
  <c r="K48" i="22"/>
  <c r="K35" i="22" s="1"/>
  <c r="K22" i="22" s="1"/>
  <c r="I36" i="22"/>
  <c r="I23" i="22"/>
  <c r="I61" i="22" s="1"/>
  <c r="I10" i="22"/>
  <c r="I49" i="22"/>
  <c r="W9" i="18"/>
  <c r="W9" i="20" s="1"/>
  <c r="E25" i="25"/>
  <c r="E25" i="26" s="1"/>
  <c r="E25" i="29" s="1"/>
  <c r="R43" i="20"/>
  <c r="D6" i="27"/>
  <c r="K7" i="32" s="1"/>
  <c r="D6" i="31"/>
  <c r="J6" i="25"/>
  <c r="J6" i="26" s="1"/>
  <c r="J6" i="29" s="1"/>
  <c r="D43" i="20"/>
  <c r="D43" i="15"/>
  <c r="D43" i="18"/>
  <c r="J24" i="25"/>
  <c r="J24" i="26" s="1"/>
  <c r="J24" i="29" s="1"/>
  <c r="G42" i="20"/>
  <c r="G42" i="15"/>
  <c r="G42" i="18"/>
  <c r="I36" i="25"/>
  <c r="I36" i="26" s="1"/>
  <c r="I36" i="29" s="1"/>
  <c r="V10" i="22"/>
  <c r="R43" i="18"/>
  <c r="E50" i="22"/>
  <c r="E37" i="22" s="1"/>
  <c r="E24" i="22" s="1"/>
  <c r="K23" i="25"/>
  <c r="K23" i="26" s="1"/>
  <c r="K23" i="29" s="1"/>
  <c r="I5" i="31"/>
  <c r="I5" i="27"/>
  <c r="P6" i="32" s="1"/>
  <c r="E37" i="25"/>
  <c r="E37" i="26" s="1"/>
  <c r="E37" i="29" s="1"/>
  <c r="R11" i="22"/>
  <c r="V9" i="18"/>
  <c r="W42" i="18"/>
  <c r="W42" i="20" s="1"/>
  <c r="J49" i="22"/>
  <c r="J36" i="22" s="1"/>
  <c r="J23" i="22" s="1"/>
  <c r="I24" i="25"/>
  <c r="I24" i="26" s="1"/>
  <c r="I24" i="29" s="1"/>
  <c r="H42" i="15"/>
  <c r="H42" i="18"/>
  <c r="H42" i="20"/>
  <c r="D10" i="20"/>
  <c r="D10" i="15"/>
  <c r="Q10" i="15" s="1"/>
  <c r="D10" i="18"/>
  <c r="R10" i="18"/>
  <c r="R10" i="20" s="1"/>
  <c r="W42" i="15"/>
  <c r="J8" i="14"/>
  <c r="J41" i="14"/>
  <c r="G9" i="20"/>
  <c r="G9" i="15"/>
  <c r="T9" i="15" s="1"/>
  <c r="G9" i="18"/>
  <c r="G5" i="31"/>
  <c r="G5" i="27"/>
  <c r="N6" i="32" s="1"/>
  <c r="B8" i="25"/>
  <c r="B8" i="26" s="1"/>
  <c r="B8" i="29" s="1"/>
  <c r="I31" i="27"/>
  <c r="P32" i="32" s="1"/>
  <c r="I31" i="31"/>
  <c r="I6" i="25"/>
  <c r="I6" i="26" s="1"/>
  <c r="I6" i="29" s="1"/>
  <c r="V9" i="20"/>
  <c r="V42" i="15"/>
  <c r="V42" i="18" s="1"/>
  <c r="V42" i="20" s="1"/>
  <c r="I8" i="14"/>
  <c r="I41" i="14"/>
  <c r="H5" i="27"/>
  <c r="O6" i="32" s="1"/>
  <c r="H5" i="31"/>
  <c r="H9" i="20"/>
  <c r="H9" i="18"/>
  <c r="H9" i="15"/>
  <c r="U9" i="15" s="1"/>
  <c r="P44" i="20"/>
  <c r="B44" i="18"/>
  <c r="B44" i="15"/>
  <c r="B44" i="20"/>
  <c r="F42" i="20"/>
  <c r="F42" i="15"/>
  <c r="F42" i="18"/>
  <c r="O11" i="18"/>
  <c r="O11" i="20" s="1"/>
  <c r="J36" i="25"/>
  <c r="J36" i="26" s="1"/>
  <c r="J36" i="29" s="1"/>
  <c r="W10" i="22"/>
  <c r="L3" i="31" l="1"/>
  <c r="L3" i="27"/>
  <c r="S4" i="32" s="1"/>
  <c r="F5" i="31"/>
  <c r="F5" i="27"/>
  <c r="M6" i="32" s="1"/>
  <c r="K20" i="27"/>
  <c r="R21" i="32" s="1"/>
  <c r="K20" i="31"/>
  <c r="L19" i="27"/>
  <c r="S20" i="32" s="1"/>
  <c r="L19" i="31"/>
  <c r="E62" i="22"/>
  <c r="E11" i="22"/>
  <c r="C63" i="22"/>
  <c r="C12" i="22"/>
  <c r="K60" i="22"/>
  <c r="K9" i="22"/>
  <c r="J61" i="22"/>
  <c r="J10" i="22"/>
  <c r="K4" i="27"/>
  <c r="R5" i="32" s="1"/>
  <c r="K4" i="31"/>
  <c r="J20" i="31"/>
  <c r="J20" i="27"/>
  <c r="Q21" i="32" s="1"/>
  <c r="C6" i="27"/>
  <c r="J7" i="32" s="1"/>
  <c r="C6" i="31"/>
  <c r="O44" i="18"/>
  <c r="O44" i="20" s="1"/>
  <c r="B51" i="22"/>
  <c r="B38" i="22" s="1"/>
  <c r="B25" i="22" s="1"/>
  <c r="F36" i="25"/>
  <c r="F36" i="26" s="1"/>
  <c r="F36" i="29" s="1"/>
  <c r="S10" i="22"/>
  <c r="J4" i="27"/>
  <c r="Q5" i="32" s="1"/>
  <c r="J4" i="31"/>
  <c r="U42" i="15"/>
  <c r="U42" i="18" s="1"/>
  <c r="U42" i="20" s="1"/>
  <c r="H8" i="14"/>
  <c r="H41" i="14"/>
  <c r="S9" i="18"/>
  <c r="S9" i="20" s="1"/>
  <c r="E9" i="20"/>
  <c r="E9" i="15"/>
  <c r="R9" i="15" s="1"/>
  <c r="E9" i="18"/>
  <c r="S42" i="15"/>
  <c r="F8" i="14"/>
  <c r="F41" i="14"/>
  <c r="T42" i="18"/>
  <c r="G36" i="22"/>
  <c r="G23" i="22" s="1"/>
  <c r="G49" i="22"/>
  <c r="C10" i="20"/>
  <c r="C10" i="15"/>
  <c r="P10" i="15" s="1"/>
  <c r="C10" i="18"/>
  <c r="I8" i="20"/>
  <c r="I8" i="18"/>
  <c r="I8" i="15"/>
  <c r="V8" i="15" s="1"/>
  <c r="H49" i="22"/>
  <c r="H36" i="22" s="1"/>
  <c r="H23" i="22" s="1"/>
  <c r="Q43" i="18"/>
  <c r="Q43" i="20" s="1"/>
  <c r="D37" i="22"/>
  <c r="D24" i="22" s="1"/>
  <c r="D50" i="22"/>
  <c r="J30" i="31"/>
  <c r="J30" i="27"/>
  <c r="Q31" i="32" s="1"/>
  <c r="S42" i="18"/>
  <c r="S42" i="20" s="1"/>
  <c r="F36" i="22"/>
  <c r="F23" i="22"/>
  <c r="F61" i="22" s="1"/>
  <c r="F10" i="22"/>
  <c r="F49" i="22"/>
  <c r="D25" i="25"/>
  <c r="D25" i="26" s="1"/>
  <c r="D25" i="29" s="1"/>
  <c r="F6" i="25"/>
  <c r="F6" i="26" s="1"/>
  <c r="F6" i="29" s="1"/>
  <c r="K30" i="27"/>
  <c r="R31" i="32" s="1"/>
  <c r="K30" i="31"/>
  <c r="G6" i="25"/>
  <c r="G6" i="26" s="1"/>
  <c r="G6" i="29" s="1"/>
  <c r="F24" i="25"/>
  <c r="F24" i="26" s="1"/>
  <c r="F24" i="29" s="1"/>
  <c r="J41" i="20"/>
  <c r="J41" i="15"/>
  <c r="J41" i="18"/>
  <c r="Q10" i="18"/>
  <c r="T42" i="15"/>
  <c r="G8" i="14"/>
  <c r="G41" i="14"/>
  <c r="K40" i="20"/>
  <c r="K40" i="18"/>
  <c r="K40" i="15"/>
  <c r="G36" i="25"/>
  <c r="G36" i="26" s="1"/>
  <c r="G36" i="29" s="1"/>
  <c r="T10" i="22"/>
  <c r="I35" i="25"/>
  <c r="I35" i="26" s="1"/>
  <c r="I35" i="29" s="1"/>
  <c r="V9" i="22"/>
  <c r="E42" i="20"/>
  <c r="E42" i="15"/>
  <c r="E42" i="18"/>
  <c r="U9" i="18"/>
  <c r="U9" i="20" s="1"/>
  <c r="C43" i="15"/>
  <c r="C43" i="20"/>
  <c r="C43" i="18"/>
  <c r="H36" i="25"/>
  <c r="H36" i="26" s="1"/>
  <c r="H36" i="29" s="1"/>
  <c r="U10" i="22"/>
  <c r="J8" i="20"/>
  <c r="J8" i="18"/>
  <c r="J8" i="15"/>
  <c r="W8" i="15" s="1"/>
  <c r="G24" i="25"/>
  <c r="G24" i="26" s="1"/>
  <c r="G24" i="29" s="1"/>
  <c r="T42" i="20"/>
  <c r="K7" i="20"/>
  <c r="K7" i="18"/>
  <c r="K7" i="15"/>
  <c r="X7" i="15" s="1"/>
  <c r="H24" i="25"/>
  <c r="H24" i="26" s="1"/>
  <c r="H24" i="29" s="1"/>
  <c r="L29" i="27"/>
  <c r="S30" i="32" s="1"/>
  <c r="L29" i="31"/>
  <c r="T9" i="18"/>
  <c r="T9" i="20" s="1"/>
  <c r="Q43" i="15"/>
  <c r="D9" i="14"/>
  <c r="D42" i="14"/>
  <c r="H6" i="25"/>
  <c r="H6" i="26" s="1"/>
  <c r="H6" i="29" s="1"/>
  <c r="O44" i="15"/>
  <c r="B10" i="14"/>
  <c r="B43" i="14"/>
  <c r="I41" i="20"/>
  <c r="I41" i="18"/>
  <c r="I41" i="15"/>
  <c r="D7" i="25"/>
  <c r="D7" i="26" s="1"/>
  <c r="D7" i="29" s="1"/>
  <c r="Q10" i="20"/>
  <c r="F31" i="31"/>
  <c r="F31" i="27"/>
  <c r="M32" i="32" s="1"/>
  <c r="D37" i="25"/>
  <c r="D37" i="26" s="1"/>
  <c r="D37" i="29" s="1"/>
  <c r="Q11" i="22"/>
  <c r="G61" i="22" l="1"/>
  <c r="G10" i="22"/>
  <c r="G20" i="31"/>
  <c r="G20" i="27"/>
  <c r="N21" i="32" s="1"/>
  <c r="B63" i="22"/>
  <c r="B12" i="22"/>
  <c r="I20" i="31"/>
  <c r="I20" i="27"/>
  <c r="P21" i="32" s="1"/>
  <c r="D62" i="22"/>
  <c r="D11" i="22"/>
  <c r="H61" i="22"/>
  <c r="H10" i="22"/>
  <c r="G4" i="31"/>
  <c r="G4" i="27"/>
  <c r="N5" i="32" s="1"/>
  <c r="H4" i="27"/>
  <c r="O5" i="32" s="1"/>
  <c r="H4" i="31"/>
  <c r="I4" i="27"/>
  <c r="P5" i="32" s="1"/>
  <c r="I4" i="31"/>
  <c r="C50" i="22"/>
  <c r="C37" i="22" s="1"/>
  <c r="C24" i="22" s="1"/>
  <c r="D42" i="20"/>
  <c r="D42" i="15"/>
  <c r="D42" i="18"/>
  <c r="F35" i="25"/>
  <c r="F35" i="26" s="1"/>
  <c r="F35" i="29" s="1"/>
  <c r="S9" i="22"/>
  <c r="V8" i="18"/>
  <c r="V8" i="20" s="1"/>
  <c r="J35" i="25"/>
  <c r="J35" i="26" s="1"/>
  <c r="J35" i="29" s="1"/>
  <c r="W9" i="22"/>
  <c r="W8" i="18"/>
  <c r="P10" i="18"/>
  <c r="P10" i="20" s="1"/>
  <c r="F41" i="20"/>
  <c r="F41" i="18"/>
  <c r="F41" i="15"/>
  <c r="G30" i="31"/>
  <c r="G30" i="27"/>
  <c r="N31" i="32" s="1"/>
  <c r="K34" i="25"/>
  <c r="K34" i="26" s="1"/>
  <c r="K34" i="29" s="1"/>
  <c r="X8" i="22"/>
  <c r="V41" i="15"/>
  <c r="I7" i="14"/>
  <c r="I40" i="14"/>
  <c r="R42" i="18"/>
  <c r="R42" i="20" s="1"/>
  <c r="E49" i="22"/>
  <c r="E36" i="22" s="1"/>
  <c r="E23" i="22" s="1"/>
  <c r="E31" i="31"/>
  <c r="E31" i="27"/>
  <c r="L32" i="32" s="1"/>
  <c r="G41" i="18"/>
  <c r="G41" i="20"/>
  <c r="G41" i="15"/>
  <c r="I5" i="25"/>
  <c r="I5" i="26" s="1"/>
  <c r="I5" i="29" s="1"/>
  <c r="G8" i="20"/>
  <c r="G8" i="18"/>
  <c r="G8" i="15"/>
  <c r="T8" i="15" s="1"/>
  <c r="J5" i="25"/>
  <c r="J5" i="26" s="1"/>
  <c r="J5" i="29" s="1"/>
  <c r="W8" i="20"/>
  <c r="J23" i="25"/>
  <c r="J23" i="26" s="1"/>
  <c r="J23" i="29" s="1"/>
  <c r="F8" i="20"/>
  <c r="F8" i="18"/>
  <c r="F8" i="15"/>
  <c r="S8" i="15" s="1"/>
  <c r="H20" i="27"/>
  <c r="O21" i="32" s="1"/>
  <c r="H20" i="31"/>
  <c r="X40" i="18"/>
  <c r="X40" i="20" s="1"/>
  <c r="K47" i="22"/>
  <c r="K34" i="22" s="1"/>
  <c r="K21" i="22" s="1"/>
  <c r="V41" i="18"/>
  <c r="I35" i="22"/>
  <c r="I22" i="22" s="1"/>
  <c r="I48" i="22"/>
  <c r="K22" i="25"/>
  <c r="K22" i="26" s="1"/>
  <c r="K22" i="29" s="1"/>
  <c r="D9" i="15"/>
  <c r="Q9" i="15" s="1"/>
  <c r="D9" i="20"/>
  <c r="D9" i="18"/>
  <c r="P43" i="15"/>
  <c r="P43" i="18" s="1"/>
  <c r="P43" i="20" s="1"/>
  <c r="C9" i="14"/>
  <c r="C42" i="14"/>
  <c r="J48" i="22"/>
  <c r="J35" i="22" s="1"/>
  <c r="J22" i="22" s="1"/>
  <c r="B43" i="20"/>
  <c r="B43" i="15"/>
  <c r="B43" i="18"/>
  <c r="J29" i="31"/>
  <c r="J29" i="27"/>
  <c r="Q30" i="32" s="1"/>
  <c r="E5" i="31"/>
  <c r="E5" i="27"/>
  <c r="L6" i="32" s="1"/>
  <c r="X7" i="18"/>
  <c r="I30" i="31"/>
  <c r="I30" i="27"/>
  <c r="P31" i="32" s="1"/>
  <c r="R9" i="18"/>
  <c r="R9" i="20" s="1"/>
  <c r="H41" i="18"/>
  <c r="H41" i="20"/>
  <c r="H41" i="15"/>
  <c r="E6" i="25"/>
  <c r="E6" i="26" s="1"/>
  <c r="E6" i="29" s="1"/>
  <c r="C25" i="25"/>
  <c r="C25" i="26" s="1"/>
  <c r="C25" i="29" s="1"/>
  <c r="R42" i="15"/>
  <c r="E8" i="14"/>
  <c r="E41" i="14"/>
  <c r="I23" i="25"/>
  <c r="I23" i="26" s="1"/>
  <c r="I23" i="29" s="1"/>
  <c r="V41" i="20"/>
  <c r="E24" i="25"/>
  <c r="E24" i="26" s="1"/>
  <c r="E24" i="29" s="1"/>
  <c r="W41" i="15"/>
  <c r="W41" i="18" s="1"/>
  <c r="W41" i="20" s="1"/>
  <c r="J7" i="14"/>
  <c r="J40" i="14"/>
  <c r="B10" i="20"/>
  <c r="B10" i="15"/>
  <c r="O10" i="15" s="1"/>
  <c r="B10" i="18"/>
  <c r="H30" i="27"/>
  <c r="O31" i="32" s="1"/>
  <c r="H30" i="31"/>
  <c r="C7" i="25"/>
  <c r="C7" i="26" s="1"/>
  <c r="C7" i="29" s="1"/>
  <c r="C37" i="25"/>
  <c r="C37" i="26" s="1"/>
  <c r="C37" i="29" s="1"/>
  <c r="P11" i="22"/>
  <c r="K4" i="25"/>
  <c r="K4" i="26" s="1"/>
  <c r="K4" i="29" s="1"/>
  <c r="X7" i="20"/>
  <c r="X40" i="15"/>
  <c r="K6" i="14"/>
  <c r="K39" i="14"/>
  <c r="H8" i="20"/>
  <c r="H8" i="18"/>
  <c r="H8" i="15"/>
  <c r="U8" i="15" s="1"/>
  <c r="E36" i="25"/>
  <c r="E36" i="26" s="1"/>
  <c r="E36" i="29" s="1"/>
  <c r="R10" i="22"/>
  <c r="J60" i="22" l="1"/>
  <c r="J9" i="22"/>
  <c r="D5" i="27"/>
  <c r="K6" i="32" s="1"/>
  <c r="D5" i="31"/>
  <c r="C62" i="22"/>
  <c r="C11" i="22"/>
  <c r="F20" i="31"/>
  <c r="F20" i="27"/>
  <c r="M21" i="32" s="1"/>
  <c r="I60" i="22"/>
  <c r="I9" i="22"/>
  <c r="K59" i="22"/>
  <c r="K8" i="22"/>
  <c r="F4" i="31"/>
  <c r="F4" i="27"/>
  <c r="M5" i="32" s="1"/>
  <c r="K19" i="27"/>
  <c r="R20" i="32" s="1"/>
  <c r="K19" i="31"/>
  <c r="L18" i="27"/>
  <c r="S19" i="32" s="1"/>
  <c r="L18" i="31"/>
  <c r="E61" i="22"/>
  <c r="E10" i="22"/>
  <c r="J3" i="31"/>
  <c r="J3" i="27"/>
  <c r="Q4" i="32" s="1"/>
  <c r="C9" i="20"/>
  <c r="C9" i="18"/>
  <c r="C9" i="15"/>
  <c r="P9" i="15" s="1"/>
  <c r="K3" i="27"/>
  <c r="R4" i="32" s="1"/>
  <c r="K3" i="31"/>
  <c r="S41" i="15"/>
  <c r="F7" i="14"/>
  <c r="F40" i="14"/>
  <c r="T41" i="18"/>
  <c r="T41" i="20" s="1"/>
  <c r="G48" i="22"/>
  <c r="G35" i="22" s="1"/>
  <c r="G22" i="22" s="1"/>
  <c r="D6" i="25"/>
  <c r="D6" i="26" s="1"/>
  <c r="D6" i="29" s="1"/>
  <c r="Q9" i="20"/>
  <c r="T8" i="18"/>
  <c r="T8" i="20" s="1"/>
  <c r="B37" i="25"/>
  <c r="B37" i="26" s="1"/>
  <c r="B37" i="29" s="1"/>
  <c r="O11" i="22"/>
  <c r="S8" i="18"/>
  <c r="S8" i="20" s="1"/>
  <c r="G29" i="31"/>
  <c r="G29" i="27"/>
  <c r="N30" i="32" s="1"/>
  <c r="B7" i="25"/>
  <c r="B7" i="26" s="1"/>
  <c r="B7" i="29" s="1"/>
  <c r="H23" i="25"/>
  <c r="H23" i="26" s="1"/>
  <c r="H23" i="29" s="1"/>
  <c r="U41" i="20"/>
  <c r="F5" i="25"/>
  <c r="F5" i="26" s="1"/>
  <c r="F5" i="29" s="1"/>
  <c r="K29" i="27"/>
  <c r="R30" i="32" s="1"/>
  <c r="K29" i="31"/>
  <c r="H35" i="25"/>
  <c r="H35" i="26" s="1"/>
  <c r="H35" i="29" s="1"/>
  <c r="U9" i="22"/>
  <c r="K39" i="20"/>
  <c r="K39" i="18"/>
  <c r="K39" i="15"/>
  <c r="K6" i="20"/>
  <c r="K6" i="18"/>
  <c r="K6" i="15"/>
  <c r="X6" i="15" s="1"/>
  <c r="I40" i="20"/>
  <c r="I40" i="18"/>
  <c r="I40" i="15"/>
  <c r="I7" i="20"/>
  <c r="I7" i="18"/>
  <c r="I7" i="15"/>
  <c r="V7" i="15" s="1"/>
  <c r="O10" i="18"/>
  <c r="O10" i="20" s="1"/>
  <c r="L28" i="31"/>
  <c r="L28" i="27"/>
  <c r="S29" i="32" s="1"/>
  <c r="D31" i="27"/>
  <c r="K32" i="32" s="1"/>
  <c r="D31" i="31"/>
  <c r="U8" i="18"/>
  <c r="U8" i="20" s="1"/>
  <c r="J40" i="18"/>
  <c r="J40" i="20"/>
  <c r="J40" i="15"/>
  <c r="E8" i="20"/>
  <c r="E8" i="18"/>
  <c r="E8" i="15"/>
  <c r="R8" i="15" s="1"/>
  <c r="U41" i="18"/>
  <c r="H35" i="22"/>
  <c r="H22" i="22" s="1"/>
  <c r="H48" i="22"/>
  <c r="D49" i="22"/>
  <c r="D36" i="22" s="1"/>
  <c r="D23" i="22" s="1"/>
  <c r="O43" i="15"/>
  <c r="O43" i="18" s="1"/>
  <c r="O43" i="20" s="1"/>
  <c r="B9" i="14"/>
  <c r="B42" i="14"/>
  <c r="G23" i="25"/>
  <c r="G23" i="26" s="1"/>
  <c r="G23" i="29" s="1"/>
  <c r="D24" i="25"/>
  <c r="D24" i="26" s="1"/>
  <c r="D24" i="29" s="1"/>
  <c r="B25" i="25"/>
  <c r="B25" i="26" s="1"/>
  <c r="B25" i="29" s="1"/>
  <c r="S41" i="18"/>
  <c r="F48" i="22"/>
  <c r="F35" i="22" s="1"/>
  <c r="F22" i="22" s="1"/>
  <c r="Q9" i="18"/>
  <c r="F23" i="25"/>
  <c r="F23" i="26" s="1"/>
  <c r="F23" i="29" s="1"/>
  <c r="S41" i="20"/>
  <c r="F30" i="31"/>
  <c r="F30" i="27"/>
  <c r="M31" i="32" s="1"/>
  <c r="J19" i="27"/>
  <c r="Q20" i="32" s="1"/>
  <c r="J19" i="31"/>
  <c r="U41" i="15"/>
  <c r="H7" i="14"/>
  <c r="H40" i="14"/>
  <c r="G5" i="25"/>
  <c r="G5" i="26" s="1"/>
  <c r="G5" i="29" s="1"/>
  <c r="E41" i="20"/>
  <c r="E41" i="18"/>
  <c r="E41" i="15"/>
  <c r="H5" i="25"/>
  <c r="H5" i="26" s="1"/>
  <c r="H5" i="29" s="1"/>
  <c r="J7" i="20"/>
  <c r="J7" i="18"/>
  <c r="J7" i="15"/>
  <c r="W7" i="15" s="1"/>
  <c r="B37" i="22"/>
  <c r="B24" i="22"/>
  <c r="B62" i="22" s="1"/>
  <c r="B50" i="22"/>
  <c r="C42" i="20"/>
  <c r="C42" i="18"/>
  <c r="C42" i="15"/>
  <c r="T41" i="15"/>
  <c r="G7" i="14"/>
  <c r="G40" i="14"/>
  <c r="Q42" i="15"/>
  <c r="Q42" i="18" s="1"/>
  <c r="Q42" i="20" s="1"/>
  <c r="D8" i="14"/>
  <c r="D41" i="14"/>
  <c r="D36" i="25"/>
  <c r="D36" i="26" s="1"/>
  <c r="D36" i="29" s="1"/>
  <c r="Q10" i="22"/>
  <c r="G35" i="25"/>
  <c r="G35" i="26" s="1"/>
  <c r="G35" i="29" s="1"/>
  <c r="T9" i="22"/>
  <c r="E20" i="27" l="1"/>
  <c r="L21" i="32" s="1"/>
  <c r="E20" i="31"/>
  <c r="G3" i="31"/>
  <c r="G3" i="27"/>
  <c r="N4" i="32" s="1"/>
  <c r="C5" i="27"/>
  <c r="J6" i="32" s="1"/>
  <c r="C5" i="31"/>
  <c r="H3" i="27"/>
  <c r="O4" i="32" s="1"/>
  <c r="H3" i="31"/>
  <c r="G60" i="22"/>
  <c r="G9" i="22"/>
  <c r="D61" i="22"/>
  <c r="D10" i="22"/>
  <c r="H60" i="22"/>
  <c r="H9" i="22"/>
  <c r="I3" i="27"/>
  <c r="P4" i="32" s="1"/>
  <c r="I3" i="31"/>
  <c r="H19" i="27"/>
  <c r="O20" i="32" s="1"/>
  <c r="H19" i="31"/>
  <c r="F60" i="22"/>
  <c r="F9" i="22"/>
  <c r="R41" i="15"/>
  <c r="E7" i="14"/>
  <c r="E40" i="14"/>
  <c r="V7" i="18"/>
  <c r="H29" i="27"/>
  <c r="O30" i="32" s="1"/>
  <c r="H29" i="31"/>
  <c r="I4" i="25"/>
  <c r="I4" i="26" s="1"/>
  <c r="I4" i="29" s="1"/>
  <c r="V7" i="20"/>
  <c r="K21" i="25"/>
  <c r="K21" i="26" s="1"/>
  <c r="K21" i="29" s="1"/>
  <c r="E30" i="31"/>
  <c r="E30" i="27"/>
  <c r="L31" i="32" s="1"/>
  <c r="I29" i="27"/>
  <c r="P30" i="32" s="1"/>
  <c r="I29" i="31"/>
  <c r="E4" i="31"/>
  <c r="E4" i="27"/>
  <c r="L5" i="32" s="1"/>
  <c r="I22" i="25"/>
  <c r="I22" i="26" s="1"/>
  <c r="I22" i="29" s="1"/>
  <c r="C31" i="31"/>
  <c r="C31" i="27"/>
  <c r="J32" i="32" s="1"/>
  <c r="G40" i="20"/>
  <c r="G40" i="15"/>
  <c r="G40" i="18"/>
  <c r="X39" i="15"/>
  <c r="X39" i="18" s="1"/>
  <c r="X39" i="20" s="1"/>
  <c r="K5" i="14"/>
  <c r="K38" i="14"/>
  <c r="K46" i="22"/>
  <c r="K33" i="22" s="1"/>
  <c r="K20" i="22" s="1"/>
  <c r="C6" i="25"/>
  <c r="C6" i="26" s="1"/>
  <c r="C6" i="29" s="1"/>
  <c r="V40" i="15"/>
  <c r="I6" i="14"/>
  <c r="I39" i="14"/>
  <c r="C36" i="25"/>
  <c r="C36" i="26" s="1"/>
  <c r="C36" i="29" s="1"/>
  <c r="P10" i="22"/>
  <c r="D41" i="20"/>
  <c r="D41" i="18"/>
  <c r="D41" i="15"/>
  <c r="J4" i="25"/>
  <c r="J4" i="26" s="1"/>
  <c r="J4" i="29" s="1"/>
  <c r="E5" i="25"/>
  <c r="E5" i="26" s="1"/>
  <c r="E5" i="29" s="1"/>
  <c r="E35" i="25"/>
  <c r="E35" i="26" s="1"/>
  <c r="E35" i="29" s="1"/>
  <c r="R9" i="22"/>
  <c r="K33" i="25"/>
  <c r="K33" i="26" s="1"/>
  <c r="K33" i="29" s="1"/>
  <c r="X7" i="22"/>
  <c r="I19" i="31"/>
  <c r="I19" i="27"/>
  <c r="P20" i="32" s="1"/>
  <c r="F40" i="20"/>
  <c r="F40" i="18"/>
  <c r="F40" i="15"/>
  <c r="V40" i="18"/>
  <c r="V40" i="20" s="1"/>
  <c r="I47" i="22"/>
  <c r="I34" i="22" s="1"/>
  <c r="I21" i="22" s="1"/>
  <c r="F7" i="18"/>
  <c r="F7" i="20"/>
  <c r="F7" i="15"/>
  <c r="S7" i="15" s="1"/>
  <c r="W7" i="18"/>
  <c r="W7" i="20" s="1"/>
  <c r="C24" i="25"/>
  <c r="C24" i="26" s="1"/>
  <c r="C24" i="29" s="1"/>
  <c r="H40" i="20"/>
  <c r="H40" i="18"/>
  <c r="H40" i="15"/>
  <c r="D8" i="20"/>
  <c r="D8" i="18"/>
  <c r="D8" i="15"/>
  <c r="Q8" i="15" s="1"/>
  <c r="H7" i="20"/>
  <c r="H7" i="18"/>
  <c r="H7" i="15"/>
  <c r="U7" i="15" s="1"/>
  <c r="B42" i="20"/>
  <c r="B42" i="15"/>
  <c r="B42" i="18"/>
  <c r="W40" i="15"/>
  <c r="J6" i="14"/>
  <c r="J39" i="14"/>
  <c r="X6" i="18"/>
  <c r="B36" i="25"/>
  <c r="B36" i="26" s="1"/>
  <c r="B36" i="29" s="1"/>
  <c r="O10" i="22"/>
  <c r="W40" i="18"/>
  <c r="J34" i="22"/>
  <c r="J21" i="22"/>
  <c r="J59" i="22" s="1"/>
  <c r="J47" i="22"/>
  <c r="P9" i="18"/>
  <c r="P9" i="20" s="1"/>
  <c r="G7" i="20"/>
  <c r="G7" i="18"/>
  <c r="G7" i="15"/>
  <c r="T7" i="15" s="1"/>
  <c r="R41" i="18"/>
  <c r="E48" i="22"/>
  <c r="E35" i="22" s="1"/>
  <c r="E22" i="22" s="1"/>
  <c r="E23" i="25"/>
  <c r="E23" i="26" s="1"/>
  <c r="E23" i="29" s="1"/>
  <c r="R41" i="20"/>
  <c r="P42" i="15"/>
  <c r="P42" i="18" s="1"/>
  <c r="P42" i="20" s="1"/>
  <c r="C8" i="14"/>
  <c r="C41" i="14"/>
  <c r="C49" i="22"/>
  <c r="C36" i="22" s="1"/>
  <c r="C23" i="22" s="1"/>
  <c r="G19" i="31"/>
  <c r="G19" i="27"/>
  <c r="N20" i="32" s="1"/>
  <c r="R8" i="18"/>
  <c r="R8" i="20" s="1"/>
  <c r="B11" i="22"/>
  <c r="B9" i="20"/>
  <c r="B9" i="15"/>
  <c r="O9" i="15" s="1"/>
  <c r="B9" i="18"/>
  <c r="J22" i="25"/>
  <c r="J22" i="26" s="1"/>
  <c r="J22" i="29" s="1"/>
  <c r="W40" i="20"/>
  <c r="K3" i="25"/>
  <c r="K3" i="26" s="1"/>
  <c r="K3" i="29" s="1"/>
  <c r="X6" i="20"/>
  <c r="I34" i="25"/>
  <c r="I34" i="26" s="1"/>
  <c r="I34" i="29" s="1"/>
  <c r="V8" i="22"/>
  <c r="J34" i="25"/>
  <c r="J34" i="26" s="1"/>
  <c r="J34" i="29" s="1"/>
  <c r="W8" i="22"/>
  <c r="F3" i="31" l="1"/>
  <c r="F3" i="27"/>
  <c r="M4" i="32" s="1"/>
  <c r="I59" i="22"/>
  <c r="I8" i="22"/>
  <c r="D4" i="27"/>
  <c r="K5" i="32" s="1"/>
  <c r="D4" i="31"/>
  <c r="E60" i="22"/>
  <c r="E9" i="22"/>
  <c r="L17" i="31"/>
  <c r="L17" i="27"/>
  <c r="S18" i="32" s="1"/>
  <c r="D20" i="27"/>
  <c r="K21" i="32" s="1"/>
  <c r="D20" i="31"/>
  <c r="K58" i="22"/>
  <c r="K7" i="22"/>
  <c r="C61" i="22"/>
  <c r="C10" i="22"/>
  <c r="J18" i="27"/>
  <c r="Q19" i="32" s="1"/>
  <c r="J18" i="31"/>
  <c r="B24" i="25"/>
  <c r="B24" i="26" s="1"/>
  <c r="B24" i="29" s="1"/>
  <c r="T40" i="18"/>
  <c r="T40" i="20" s="1"/>
  <c r="G34" i="22"/>
  <c r="G21" i="22" s="1"/>
  <c r="G47" i="22"/>
  <c r="E40" i="20"/>
  <c r="E40" i="18"/>
  <c r="E40" i="15"/>
  <c r="J28" i="31"/>
  <c r="J28" i="27"/>
  <c r="Q29" i="32" s="1"/>
  <c r="B6" i="25"/>
  <c r="B6" i="26" s="1"/>
  <c r="B6" i="29" s="1"/>
  <c r="O42" i="15"/>
  <c r="B8" i="14"/>
  <c r="B41" i="14"/>
  <c r="U40" i="15"/>
  <c r="U40" i="18" s="1"/>
  <c r="U40" i="20" s="1"/>
  <c r="H6" i="14"/>
  <c r="H39" i="14"/>
  <c r="Q41" i="18"/>
  <c r="D48" i="22"/>
  <c r="D35" i="22" s="1"/>
  <c r="D22" i="22" s="1"/>
  <c r="T7" i="18"/>
  <c r="T7" i="20" s="1"/>
  <c r="H47" i="22"/>
  <c r="H34" i="22" s="1"/>
  <c r="H21" i="22" s="1"/>
  <c r="D23" i="25"/>
  <c r="D23" i="26" s="1"/>
  <c r="D23" i="29" s="1"/>
  <c r="Q41" i="20"/>
  <c r="G4" i="25"/>
  <c r="G4" i="26" s="1"/>
  <c r="G4" i="29" s="1"/>
  <c r="H22" i="25"/>
  <c r="H22" i="26" s="1"/>
  <c r="H22" i="29" s="1"/>
  <c r="S40" i="15"/>
  <c r="F6" i="14"/>
  <c r="F39" i="14"/>
  <c r="T40" i="15"/>
  <c r="G6" i="14"/>
  <c r="G39" i="14"/>
  <c r="E7" i="20"/>
  <c r="E7" i="18"/>
  <c r="E7" i="15"/>
  <c r="R7" i="15" s="1"/>
  <c r="U7" i="18"/>
  <c r="C30" i="27"/>
  <c r="J31" i="32" s="1"/>
  <c r="C30" i="31"/>
  <c r="J6" i="20"/>
  <c r="J6" i="18"/>
  <c r="J6" i="15"/>
  <c r="W6" i="15" s="1"/>
  <c r="I6" i="20"/>
  <c r="I6" i="18"/>
  <c r="I6" i="15"/>
  <c r="V6" i="15" s="1"/>
  <c r="F34" i="25"/>
  <c r="F34" i="26" s="1"/>
  <c r="F34" i="29" s="1"/>
  <c r="S8" i="22"/>
  <c r="D35" i="25"/>
  <c r="D35" i="26" s="1"/>
  <c r="D35" i="29" s="1"/>
  <c r="Q9" i="22"/>
  <c r="F19" i="31"/>
  <c r="F19" i="27"/>
  <c r="M20" i="32" s="1"/>
  <c r="F29" i="31"/>
  <c r="F29" i="27"/>
  <c r="M30" i="32" s="1"/>
  <c r="D30" i="27"/>
  <c r="K31" i="32" s="1"/>
  <c r="D30" i="31"/>
  <c r="J8" i="22"/>
  <c r="F4" i="25"/>
  <c r="F4" i="26" s="1"/>
  <c r="F4" i="29" s="1"/>
  <c r="S7" i="20"/>
  <c r="G22" i="25"/>
  <c r="G22" i="26" s="1"/>
  <c r="G22" i="29" s="1"/>
  <c r="H34" i="25"/>
  <c r="H34" i="26" s="1"/>
  <c r="H34" i="29" s="1"/>
  <c r="U8" i="22"/>
  <c r="J39" i="18"/>
  <c r="J39" i="20"/>
  <c r="J39" i="15"/>
  <c r="F22" i="25"/>
  <c r="F22" i="26" s="1"/>
  <c r="F22" i="29" s="1"/>
  <c r="S40" i="20"/>
  <c r="K28" i="27"/>
  <c r="R29" i="32" s="1"/>
  <c r="K28" i="31"/>
  <c r="O9" i="18"/>
  <c r="O9" i="20" s="1"/>
  <c r="C41" i="20"/>
  <c r="C41" i="18"/>
  <c r="C41" i="15"/>
  <c r="Q8" i="18"/>
  <c r="K38" i="20"/>
  <c r="K38" i="18"/>
  <c r="K38" i="15"/>
  <c r="J33" i="25"/>
  <c r="J33" i="26" s="1"/>
  <c r="J33" i="29" s="1"/>
  <c r="W7" i="22"/>
  <c r="S40" i="18"/>
  <c r="F34" i="22"/>
  <c r="F21" i="22"/>
  <c r="F59" i="22" s="1"/>
  <c r="F8" i="22"/>
  <c r="F47" i="22"/>
  <c r="K18" i="27"/>
  <c r="R19" i="32" s="1"/>
  <c r="K18" i="31"/>
  <c r="H4" i="25"/>
  <c r="H4" i="26" s="1"/>
  <c r="H4" i="29" s="1"/>
  <c r="U7" i="20"/>
  <c r="S7" i="18"/>
  <c r="I39" i="20"/>
  <c r="I39" i="18"/>
  <c r="I39" i="15"/>
  <c r="C8" i="20"/>
  <c r="C8" i="18"/>
  <c r="C8" i="15"/>
  <c r="P8" i="15" s="1"/>
  <c r="O42" i="18"/>
  <c r="O42" i="20" s="1"/>
  <c r="B49" i="22"/>
  <c r="B36" i="22" s="1"/>
  <c r="B23" i="22" s="1"/>
  <c r="D5" i="25"/>
  <c r="D5" i="26" s="1"/>
  <c r="D5" i="29" s="1"/>
  <c r="Q8" i="20"/>
  <c r="L27" i="27"/>
  <c r="S28" i="32" s="1"/>
  <c r="L27" i="31"/>
  <c r="Q41" i="15"/>
  <c r="D7" i="14"/>
  <c r="D40" i="14"/>
  <c r="K5" i="20"/>
  <c r="K5" i="18"/>
  <c r="K5" i="15"/>
  <c r="X5" i="15" s="1"/>
  <c r="G34" i="25"/>
  <c r="G34" i="26" s="1"/>
  <c r="G34" i="29" s="1"/>
  <c r="T8" i="22"/>
  <c r="B61" i="22" l="1"/>
  <c r="B10" i="22"/>
  <c r="C4" i="27"/>
  <c r="J5" i="32" s="1"/>
  <c r="C4" i="31"/>
  <c r="I18" i="31"/>
  <c r="I18" i="27"/>
  <c r="P19" i="32" s="1"/>
  <c r="H59" i="22"/>
  <c r="H8" i="22"/>
  <c r="G59" i="22"/>
  <c r="G8" i="22"/>
  <c r="H18" i="27"/>
  <c r="O19" i="32" s="1"/>
  <c r="H18" i="31"/>
  <c r="C20" i="27"/>
  <c r="J21" i="32" s="1"/>
  <c r="C20" i="31"/>
  <c r="D60" i="22"/>
  <c r="D9" i="22"/>
  <c r="K20" i="25"/>
  <c r="K20" i="26" s="1"/>
  <c r="K20" i="29" s="1"/>
  <c r="C35" i="25"/>
  <c r="C35" i="26" s="1"/>
  <c r="C35" i="29" s="1"/>
  <c r="P9" i="22"/>
  <c r="E3" i="31"/>
  <c r="E3" i="27"/>
  <c r="L4" i="32" s="1"/>
  <c r="C5" i="25"/>
  <c r="C5" i="26" s="1"/>
  <c r="C5" i="29" s="1"/>
  <c r="P8" i="20"/>
  <c r="F6" i="20"/>
  <c r="F6" i="18"/>
  <c r="F6" i="15"/>
  <c r="S6" i="15" s="1"/>
  <c r="K32" i="25"/>
  <c r="K32" i="26" s="1"/>
  <c r="K32" i="29" s="1"/>
  <c r="X6" i="22"/>
  <c r="H28" i="27"/>
  <c r="O29" i="32" s="1"/>
  <c r="H28" i="31"/>
  <c r="K45" i="22"/>
  <c r="K32" i="22" s="1"/>
  <c r="K19" i="22" s="1"/>
  <c r="P41" i="18"/>
  <c r="P41" i="20" s="1"/>
  <c r="C35" i="22"/>
  <c r="C22" i="22" s="1"/>
  <c r="C48" i="22"/>
  <c r="V6" i="18"/>
  <c r="V6" i="20" s="1"/>
  <c r="G6" i="20"/>
  <c r="G6" i="18"/>
  <c r="G6" i="15"/>
  <c r="T6" i="15" s="1"/>
  <c r="G18" i="31"/>
  <c r="G18" i="27"/>
  <c r="N19" i="32" s="1"/>
  <c r="E34" i="25"/>
  <c r="E34" i="26" s="1"/>
  <c r="E34" i="29" s="1"/>
  <c r="R8" i="22"/>
  <c r="P8" i="18"/>
  <c r="F39" i="20"/>
  <c r="F39" i="18"/>
  <c r="F39" i="15"/>
  <c r="H39" i="18"/>
  <c r="H39" i="20"/>
  <c r="H39" i="15"/>
  <c r="H6" i="20"/>
  <c r="H6" i="18"/>
  <c r="H6" i="15"/>
  <c r="U6" i="15" s="1"/>
  <c r="D40" i="20"/>
  <c r="D40" i="18"/>
  <c r="D40" i="15"/>
  <c r="K27" i="31"/>
  <c r="K27" i="27"/>
  <c r="R28" i="32" s="1"/>
  <c r="J46" i="22"/>
  <c r="J33" i="22" s="1"/>
  <c r="J20" i="22" s="1"/>
  <c r="G28" i="31"/>
  <c r="G28" i="27"/>
  <c r="N29" i="32" s="1"/>
  <c r="R7" i="18"/>
  <c r="B41" i="20"/>
  <c r="B41" i="15"/>
  <c r="B41" i="18"/>
  <c r="R40" i="18"/>
  <c r="E47" i="22"/>
  <c r="E34" i="22" s="1"/>
  <c r="E21" i="22" s="1"/>
  <c r="I33" i="25"/>
  <c r="I33" i="26" s="1"/>
  <c r="I33" i="29" s="1"/>
  <c r="V7" i="22"/>
  <c r="C23" i="25"/>
  <c r="C23" i="26" s="1"/>
  <c r="C23" i="29" s="1"/>
  <c r="I3" i="25"/>
  <c r="I3" i="26" s="1"/>
  <c r="I3" i="29" s="1"/>
  <c r="E29" i="31"/>
  <c r="E29" i="27"/>
  <c r="L30" i="32" s="1"/>
  <c r="J21" i="25"/>
  <c r="J21" i="26" s="1"/>
  <c r="J21" i="29" s="1"/>
  <c r="R40" i="15"/>
  <c r="E6" i="14"/>
  <c r="E39" i="14"/>
  <c r="I21" i="25"/>
  <c r="I21" i="26" s="1"/>
  <c r="I21" i="29" s="1"/>
  <c r="I28" i="31"/>
  <c r="I28" i="27"/>
  <c r="P29" i="32" s="1"/>
  <c r="E4" i="25"/>
  <c r="E4" i="26" s="1"/>
  <c r="E4" i="29" s="1"/>
  <c r="R7" i="20"/>
  <c r="B8" i="18"/>
  <c r="B8" i="20"/>
  <c r="B8" i="15"/>
  <c r="O8" i="15" s="1"/>
  <c r="E22" i="25"/>
  <c r="E22" i="26" s="1"/>
  <c r="E22" i="29" s="1"/>
  <c r="R40" i="20"/>
  <c r="E19" i="31"/>
  <c r="E19" i="27"/>
  <c r="L20" i="32" s="1"/>
  <c r="F33" i="25"/>
  <c r="F33" i="26" s="1"/>
  <c r="F33" i="29" s="1"/>
  <c r="S7" i="22"/>
  <c r="X5" i="18"/>
  <c r="W39" i="15"/>
  <c r="W39" i="18" s="1"/>
  <c r="W39" i="20" s="1"/>
  <c r="J5" i="14"/>
  <c r="J38" i="14"/>
  <c r="W6" i="18"/>
  <c r="K2" i="25"/>
  <c r="K2" i="26" s="1"/>
  <c r="K2" i="29" s="1"/>
  <c r="X5" i="20"/>
  <c r="V39" i="15"/>
  <c r="I5" i="14"/>
  <c r="I38" i="14"/>
  <c r="J3" i="25"/>
  <c r="J3" i="26" s="1"/>
  <c r="J3" i="29" s="1"/>
  <c r="W6" i="20"/>
  <c r="V39" i="18"/>
  <c r="V39" i="20" s="1"/>
  <c r="I20" i="22"/>
  <c r="I58" i="22" s="1"/>
  <c r="I33" i="22"/>
  <c r="I46" i="22"/>
  <c r="D7" i="20"/>
  <c r="D7" i="18"/>
  <c r="D7" i="15"/>
  <c r="Q7" i="15" s="1"/>
  <c r="X38" i="15"/>
  <c r="X38" i="18" s="1"/>
  <c r="X38" i="20" s="1"/>
  <c r="K4" i="14"/>
  <c r="K37" i="14"/>
  <c r="P41" i="15"/>
  <c r="C7" i="14"/>
  <c r="C40" i="14"/>
  <c r="G39" i="20"/>
  <c r="G39" i="18"/>
  <c r="G39" i="15"/>
  <c r="D19" i="27" l="1"/>
  <c r="K20" i="32" s="1"/>
  <c r="D19" i="31"/>
  <c r="J17" i="31"/>
  <c r="J17" i="27"/>
  <c r="Q18" i="32" s="1"/>
  <c r="K17" i="31"/>
  <c r="K17" i="27"/>
  <c r="R18" i="32" s="1"/>
  <c r="K57" i="22"/>
  <c r="K6" i="22"/>
  <c r="J58" i="22"/>
  <c r="J7" i="22"/>
  <c r="L16" i="31"/>
  <c r="L16" i="27"/>
  <c r="S17" i="32" s="1"/>
  <c r="E59" i="22"/>
  <c r="E8" i="22"/>
  <c r="C60" i="22"/>
  <c r="C9" i="22"/>
  <c r="I32" i="25"/>
  <c r="I32" i="26" s="1"/>
  <c r="I32" i="29" s="1"/>
  <c r="V6" i="22"/>
  <c r="B48" i="22"/>
  <c r="B35" i="22" s="1"/>
  <c r="B22" i="22" s="1"/>
  <c r="G3" i="25"/>
  <c r="G3" i="26" s="1"/>
  <c r="G3" i="29" s="1"/>
  <c r="H33" i="25"/>
  <c r="H33" i="26" s="1"/>
  <c r="H33" i="29" s="1"/>
  <c r="U7" i="22"/>
  <c r="Q40" i="15"/>
  <c r="D6" i="14"/>
  <c r="D39" i="14"/>
  <c r="B23" i="25"/>
  <c r="B23" i="26" s="1"/>
  <c r="B23" i="29" s="1"/>
  <c r="S39" i="15"/>
  <c r="F5" i="14"/>
  <c r="F38" i="14"/>
  <c r="J38" i="18"/>
  <c r="J38" i="20"/>
  <c r="J38" i="15"/>
  <c r="G27" i="31"/>
  <c r="G27" i="27"/>
  <c r="N28" i="32" s="1"/>
  <c r="O8" i="18"/>
  <c r="O8" i="20" s="1"/>
  <c r="E6" i="20"/>
  <c r="E6" i="18"/>
  <c r="E6" i="15"/>
  <c r="R6" i="15" s="1"/>
  <c r="U39" i="15"/>
  <c r="H5" i="14"/>
  <c r="H38" i="14"/>
  <c r="T6" i="18"/>
  <c r="T6" i="20" s="1"/>
  <c r="D3" i="27"/>
  <c r="K4" i="32" s="1"/>
  <c r="D3" i="31"/>
  <c r="H21" i="25"/>
  <c r="H21" i="26" s="1"/>
  <c r="H21" i="29" s="1"/>
  <c r="U39" i="20"/>
  <c r="D34" i="25"/>
  <c r="D34" i="26" s="1"/>
  <c r="D34" i="29" s="1"/>
  <c r="Q8" i="22"/>
  <c r="T39" i="15"/>
  <c r="G5" i="14"/>
  <c r="G38" i="14"/>
  <c r="F28" i="31"/>
  <c r="F28" i="27"/>
  <c r="M29" i="32" s="1"/>
  <c r="T39" i="18"/>
  <c r="T39" i="20" s="1"/>
  <c r="G33" i="22"/>
  <c r="G20" i="22"/>
  <c r="G58" i="22" s="1"/>
  <c r="G46" i="22"/>
  <c r="D22" i="25"/>
  <c r="D22" i="26" s="1"/>
  <c r="D22" i="29" s="1"/>
  <c r="F21" i="25"/>
  <c r="F21" i="26" s="1"/>
  <c r="F21" i="29" s="1"/>
  <c r="S39" i="20"/>
  <c r="J5" i="20"/>
  <c r="J5" i="18"/>
  <c r="J5" i="15"/>
  <c r="W5" i="15" s="1"/>
  <c r="I7" i="22"/>
  <c r="J27" i="31"/>
  <c r="J27" i="27"/>
  <c r="Q28" i="32" s="1"/>
  <c r="U39" i="18"/>
  <c r="H46" i="22"/>
  <c r="H33" i="22" s="1"/>
  <c r="H20" i="22" s="1"/>
  <c r="L26" i="31"/>
  <c r="L26" i="27"/>
  <c r="S27" i="32" s="1"/>
  <c r="F18" i="31"/>
  <c r="F18" i="27"/>
  <c r="M19" i="32" s="1"/>
  <c r="Q7" i="18"/>
  <c r="C40" i="20"/>
  <c r="C40" i="18"/>
  <c r="C40" i="15"/>
  <c r="D4" i="25"/>
  <c r="D4" i="26" s="1"/>
  <c r="D4" i="29" s="1"/>
  <c r="Q7" i="20"/>
  <c r="I38" i="20"/>
  <c r="I38" i="18"/>
  <c r="I38" i="15"/>
  <c r="U6" i="18"/>
  <c r="S6" i="18"/>
  <c r="K37" i="20"/>
  <c r="K37" i="18"/>
  <c r="K37" i="15"/>
  <c r="K4" i="20"/>
  <c r="K4" i="18"/>
  <c r="K4" i="15"/>
  <c r="X4" i="15" s="1"/>
  <c r="O41" i="15"/>
  <c r="O41" i="18" s="1"/>
  <c r="O41" i="20" s="1"/>
  <c r="B7" i="14"/>
  <c r="B40" i="14"/>
  <c r="Q40" i="18"/>
  <c r="Q40" i="20" s="1"/>
  <c r="D34" i="22"/>
  <c r="D21" i="22"/>
  <c r="D59" i="22" s="1"/>
  <c r="D47" i="22"/>
  <c r="S39" i="18"/>
  <c r="F46" i="22"/>
  <c r="F33" i="22" s="1"/>
  <c r="F20" i="22" s="1"/>
  <c r="D29" i="27"/>
  <c r="K30" i="32" s="1"/>
  <c r="D29" i="31"/>
  <c r="G21" i="25"/>
  <c r="G21" i="26" s="1"/>
  <c r="G21" i="29" s="1"/>
  <c r="C7" i="20"/>
  <c r="C7" i="18"/>
  <c r="C7" i="15"/>
  <c r="P7" i="15" s="1"/>
  <c r="I5" i="20"/>
  <c r="I5" i="18"/>
  <c r="I5" i="15"/>
  <c r="V5" i="15" s="1"/>
  <c r="B5" i="25"/>
  <c r="B5" i="26" s="1"/>
  <c r="B5" i="29" s="1"/>
  <c r="E39" i="20"/>
  <c r="E39" i="18"/>
  <c r="E39" i="15"/>
  <c r="H3" i="25"/>
  <c r="H3" i="26" s="1"/>
  <c r="H3" i="29" s="1"/>
  <c r="U6" i="20"/>
  <c r="F3" i="25"/>
  <c r="F3" i="26" s="1"/>
  <c r="F3" i="29" s="1"/>
  <c r="S6" i="20"/>
  <c r="G33" i="25"/>
  <c r="G33" i="26" s="1"/>
  <c r="G33" i="29" s="1"/>
  <c r="T7" i="22"/>
  <c r="B35" i="25"/>
  <c r="B35" i="26" s="1"/>
  <c r="B35" i="29" s="1"/>
  <c r="O9" i="22"/>
  <c r="H17" i="27" l="1"/>
  <c r="O18" i="32" s="1"/>
  <c r="H17" i="31"/>
  <c r="H58" i="22"/>
  <c r="H7" i="22"/>
  <c r="B60" i="22"/>
  <c r="B9" i="22"/>
  <c r="F58" i="22"/>
  <c r="F7" i="22"/>
  <c r="E18" i="27"/>
  <c r="L19" i="32" s="1"/>
  <c r="E18" i="31"/>
  <c r="C3" i="31"/>
  <c r="C3" i="27"/>
  <c r="J4" i="32" s="1"/>
  <c r="C19" i="31"/>
  <c r="C19" i="27"/>
  <c r="J20" i="32" s="1"/>
  <c r="X4" i="18"/>
  <c r="K31" i="25"/>
  <c r="K31" i="26" s="1"/>
  <c r="K31" i="29" s="1"/>
  <c r="X5" i="22"/>
  <c r="E28" i="31"/>
  <c r="E28" i="27"/>
  <c r="L29" i="32" s="1"/>
  <c r="D39" i="18"/>
  <c r="D39" i="20"/>
  <c r="D39" i="15"/>
  <c r="J20" i="25"/>
  <c r="J20" i="26" s="1"/>
  <c r="J20" i="29" s="1"/>
  <c r="V38" i="15"/>
  <c r="I4" i="14"/>
  <c r="I37" i="14"/>
  <c r="G5" i="20"/>
  <c r="G5" i="18"/>
  <c r="G5" i="15"/>
  <c r="T5" i="15" s="1"/>
  <c r="I2" i="25"/>
  <c r="I2" i="26" s="1"/>
  <c r="I2" i="29" s="1"/>
  <c r="D33" i="25"/>
  <c r="D33" i="26" s="1"/>
  <c r="D33" i="29" s="1"/>
  <c r="Q7" i="22"/>
  <c r="G32" i="25"/>
  <c r="G32" i="26" s="1"/>
  <c r="G32" i="29" s="1"/>
  <c r="T6" i="22"/>
  <c r="X4" i="20"/>
  <c r="W38" i="15"/>
  <c r="W38" i="18" s="1"/>
  <c r="W38" i="20" s="1"/>
  <c r="J4" i="14"/>
  <c r="J37" i="14"/>
  <c r="X37" i="15"/>
  <c r="K3" i="14"/>
  <c r="K36" i="14"/>
  <c r="D6" i="20"/>
  <c r="D6" i="18"/>
  <c r="D6" i="15"/>
  <c r="Q6" i="15" s="1"/>
  <c r="R39" i="15"/>
  <c r="E5" i="14"/>
  <c r="E38" i="14"/>
  <c r="G17" i="31"/>
  <c r="G17" i="27"/>
  <c r="N18" i="32" s="1"/>
  <c r="J19" i="22"/>
  <c r="J57" i="22" s="1"/>
  <c r="J6" i="22"/>
  <c r="J32" i="22"/>
  <c r="J45" i="22"/>
  <c r="R39" i="18"/>
  <c r="E46" i="22"/>
  <c r="E33" i="22" s="1"/>
  <c r="E20" i="22" s="1"/>
  <c r="P7" i="18"/>
  <c r="B40" i="18"/>
  <c r="B40" i="20"/>
  <c r="B40" i="15"/>
  <c r="K19" i="25"/>
  <c r="K19" i="26" s="1"/>
  <c r="K19" i="29" s="1"/>
  <c r="P40" i="15"/>
  <c r="C6" i="14"/>
  <c r="C39" i="14"/>
  <c r="H38" i="20"/>
  <c r="H38" i="18"/>
  <c r="H38" i="15"/>
  <c r="F38" i="20"/>
  <c r="F38" i="18"/>
  <c r="F38" i="15"/>
  <c r="I27" i="31"/>
  <c r="I27" i="27"/>
  <c r="P28" i="32" s="1"/>
  <c r="R6" i="18"/>
  <c r="R6" i="20" s="1"/>
  <c r="C34" i="25"/>
  <c r="C34" i="26" s="1"/>
  <c r="C34" i="29" s="1"/>
  <c r="P8" i="22"/>
  <c r="V5" i="18"/>
  <c r="V5" i="20" s="1"/>
  <c r="I20" i="25"/>
  <c r="I20" i="26" s="1"/>
  <c r="I20" i="29" s="1"/>
  <c r="W5" i="18"/>
  <c r="W5" i="20" s="1"/>
  <c r="E3" i="25"/>
  <c r="E3" i="26" s="1"/>
  <c r="E3" i="29" s="1"/>
  <c r="J2" i="25"/>
  <c r="J2" i="26" s="1"/>
  <c r="J2" i="29" s="1"/>
  <c r="E33" i="25"/>
  <c r="E33" i="26" s="1"/>
  <c r="E33" i="29" s="1"/>
  <c r="R7" i="22"/>
  <c r="I17" i="31"/>
  <c r="I17" i="27"/>
  <c r="P18" i="32" s="1"/>
  <c r="E21" i="25"/>
  <c r="E21" i="26" s="1"/>
  <c r="E21" i="29" s="1"/>
  <c r="R39" i="20"/>
  <c r="C4" i="25"/>
  <c r="C4" i="26" s="1"/>
  <c r="C4" i="29" s="1"/>
  <c r="P7" i="20"/>
  <c r="B7" i="20"/>
  <c r="B7" i="18"/>
  <c r="B7" i="15"/>
  <c r="O7" i="15" s="1"/>
  <c r="P40" i="18"/>
  <c r="P40" i="20" s="1"/>
  <c r="C47" i="22"/>
  <c r="C34" i="22" s="1"/>
  <c r="C21" i="22" s="1"/>
  <c r="H5" i="20"/>
  <c r="H5" i="18"/>
  <c r="H5" i="15"/>
  <c r="U5" i="15" s="1"/>
  <c r="F5" i="20"/>
  <c r="F5" i="18"/>
  <c r="F5" i="15"/>
  <c r="S5" i="15" s="1"/>
  <c r="J26" i="27"/>
  <c r="Q27" i="32" s="1"/>
  <c r="J26" i="31"/>
  <c r="V38" i="18"/>
  <c r="V38" i="20" s="1"/>
  <c r="I45" i="22"/>
  <c r="I32" i="22" s="1"/>
  <c r="I19" i="22" s="1"/>
  <c r="G7" i="22"/>
  <c r="D8" i="22"/>
  <c r="C29" i="31"/>
  <c r="C29" i="27"/>
  <c r="J30" i="32" s="1"/>
  <c r="X37" i="18"/>
  <c r="X37" i="20" s="1"/>
  <c r="K31" i="22"/>
  <c r="K18" i="22"/>
  <c r="K56" i="22" s="1"/>
  <c r="K44" i="22"/>
  <c r="H27" i="31"/>
  <c r="H27" i="27"/>
  <c r="O28" i="32" s="1"/>
  <c r="C22" i="25"/>
  <c r="C22" i="26" s="1"/>
  <c r="C22" i="29" s="1"/>
  <c r="G38" i="18"/>
  <c r="G38" i="20"/>
  <c r="G38" i="15"/>
  <c r="J32" i="25"/>
  <c r="J32" i="26" s="1"/>
  <c r="J32" i="29" s="1"/>
  <c r="W6" i="22"/>
  <c r="K16" i="27" l="1"/>
  <c r="R17" i="32" s="1"/>
  <c r="K16" i="31"/>
  <c r="I57" i="22"/>
  <c r="I6" i="22"/>
  <c r="L15" i="31"/>
  <c r="L15" i="27"/>
  <c r="S16" i="32" s="1"/>
  <c r="D18" i="27"/>
  <c r="K19" i="32" s="1"/>
  <c r="D18" i="31"/>
  <c r="E58" i="22"/>
  <c r="E7" i="22"/>
  <c r="J16" i="31"/>
  <c r="J16" i="27"/>
  <c r="Q17" i="32" s="1"/>
  <c r="C59" i="22"/>
  <c r="C8" i="22"/>
  <c r="T38" i="15"/>
  <c r="G4" i="14"/>
  <c r="G37" i="14"/>
  <c r="F20" i="25"/>
  <c r="F20" i="26" s="1"/>
  <c r="F20" i="29" s="1"/>
  <c r="Q39" i="15"/>
  <c r="Q39" i="18" s="1"/>
  <c r="Q39" i="20" s="1"/>
  <c r="D5" i="14"/>
  <c r="D38" i="14"/>
  <c r="T5" i="18"/>
  <c r="T38" i="18"/>
  <c r="G32" i="22"/>
  <c r="G19" i="22"/>
  <c r="G57" i="22" s="1"/>
  <c r="G6" i="22"/>
  <c r="G45" i="22"/>
  <c r="F17" i="31"/>
  <c r="F17" i="27"/>
  <c r="M18" i="32" s="1"/>
  <c r="S38" i="18"/>
  <c r="S38" i="20" s="1"/>
  <c r="F45" i="22"/>
  <c r="F32" i="22" s="1"/>
  <c r="F19" i="22" s="1"/>
  <c r="J4" i="18"/>
  <c r="J4" i="20"/>
  <c r="J4" i="15"/>
  <c r="W4" i="15" s="1"/>
  <c r="F32" i="25"/>
  <c r="F32" i="26" s="1"/>
  <c r="F32" i="29" s="1"/>
  <c r="S6" i="22"/>
  <c r="F2" i="25"/>
  <c r="F2" i="26" s="1"/>
  <c r="F2" i="29" s="1"/>
  <c r="S5" i="20"/>
  <c r="O40" i="15"/>
  <c r="O40" i="18" s="1"/>
  <c r="O40" i="20" s="1"/>
  <c r="B6" i="14"/>
  <c r="B39" i="14"/>
  <c r="K5" i="22"/>
  <c r="B22" i="25"/>
  <c r="B22" i="26" s="1"/>
  <c r="B22" i="29" s="1"/>
  <c r="D3" i="25"/>
  <c r="D3" i="26" s="1"/>
  <c r="D3" i="29" s="1"/>
  <c r="Q6" i="20"/>
  <c r="B34" i="25"/>
  <c r="B34" i="26" s="1"/>
  <c r="B34" i="29" s="1"/>
  <c r="O8" i="22"/>
  <c r="O7" i="18"/>
  <c r="B34" i="22"/>
  <c r="B21" i="22" s="1"/>
  <c r="B47" i="22"/>
  <c r="H2" i="25"/>
  <c r="H2" i="26" s="1"/>
  <c r="H2" i="29" s="1"/>
  <c r="U5" i="20"/>
  <c r="B4" i="25"/>
  <c r="B4" i="26" s="1"/>
  <c r="B4" i="29" s="1"/>
  <c r="O7" i="20"/>
  <c r="C39" i="20"/>
  <c r="C39" i="18"/>
  <c r="C39" i="15"/>
  <c r="K3" i="20"/>
  <c r="K3" i="15"/>
  <c r="X3" i="15" s="1"/>
  <c r="K3" i="18"/>
  <c r="X3" i="18" s="1"/>
  <c r="E27" i="31"/>
  <c r="E27" i="27"/>
  <c r="L28" i="32" s="1"/>
  <c r="I4" i="18"/>
  <c r="I4" i="20"/>
  <c r="I4" i="15"/>
  <c r="V4" i="15" s="1"/>
  <c r="H32" i="25"/>
  <c r="H32" i="26" s="1"/>
  <c r="H32" i="29" s="1"/>
  <c r="U6" i="22"/>
  <c r="K30" i="25"/>
  <c r="K30" i="26" s="1"/>
  <c r="K30" i="29" s="1"/>
  <c r="X4" i="22"/>
  <c r="S5" i="18"/>
  <c r="U38" i="15"/>
  <c r="H4" i="14"/>
  <c r="H37" i="14"/>
  <c r="Q6" i="18"/>
  <c r="G2" i="25"/>
  <c r="G2" i="26" s="1"/>
  <c r="G2" i="29" s="1"/>
  <c r="T5" i="20"/>
  <c r="F27" i="31"/>
  <c r="F27" i="27"/>
  <c r="M28" i="32" s="1"/>
  <c r="K36" i="18"/>
  <c r="K36" i="20"/>
  <c r="K36" i="15"/>
  <c r="D28" i="27"/>
  <c r="K29" i="32" s="1"/>
  <c r="D28" i="31"/>
  <c r="C6" i="20"/>
  <c r="C6" i="18"/>
  <c r="C6" i="15"/>
  <c r="P6" i="15" s="1"/>
  <c r="E38" i="20"/>
  <c r="E38" i="18"/>
  <c r="E38" i="15"/>
  <c r="L25" i="27"/>
  <c r="S26" i="32" s="1"/>
  <c r="L25" i="31"/>
  <c r="G20" i="25"/>
  <c r="G20" i="26" s="1"/>
  <c r="G20" i="29" s="1"/>
  <c r="T38" i="20"/>
  <c r="J31" i="25"/>
  <c r="J31" i="26" s="1"/>
  <c r="J31" i="29" s="1"/>
  <c r="W5" i="22"/>
  <c r="D21" i="25"/>
  <c r="D21" i="26" s="1"/>
  <c r="D21" i="29" s="1"/>
  <c r="U38" i="18"/>
  <c r="H45" i="22"/>
  <c r="H32" i="22" s="1"/>
  <c r="H19" i="22" s="1"/>
  <c r="H26" i="31"/>
  <c r="H26" i="27"/>
  <c r="O27" i="32" s="1"/>
  <c r="D46" i="22"/>
  <c r="D33" i="22" s="1"/>
  <c r="D20" i="22" s="1"/>
  <c r="U5" i="18"/>
  <c r="H20" i="25"/>
  <c r="H20" i="26" s="1"/>
  <c r="H20" i="29" s="1"/>
  <c r="U38" i="20"/>
  <c r="I37" i="20"/>
  <c r="I37" i="18"/>
  <c r="I37" i="15"/>
  <c r="K26" i="27"/>
  <c r="R27" i="32" s="1"/>
  <c r="K26" i="31"/>
  <c r="S38" i="15"/>
  <c r="F4" i="14"/>
  <c r="F37" i="14"/>
  <c r="E5" i="20"/>
  <c r="E5" i="18"/>
  <c r="E5" i="15"/>
  <c r="R5" i="15" s="1"/>
  <c r="J37" i="20"/>
  <c r="J37" i="18"/>
  <c r="J37" i="15"/>
  <c r="F57" i="22" l="1"/>
  <c r="F6" i="22"/>
  <c r="E17" i="31"/>
  <c r="E17" i="27"/>
  <c r="L18" i="32" s="1"/>
  <c r="C18" i="27"/>
  <c r="J19" i="32" s="1"/>
  <c r="C18" i="31"/>
  <c r="D58" i="22"/>
  <c r="D7" i="22"/>
  <c r="H57" i="22"/>
  <c r="H6" i="22"/>
  <c r="G16" i="31"/>
  <c r="G16" i="27"/>
  <c r="N17" i="32" s="1"/>
  <c r="B59" i="22"/>
  <c r="B8" i="22"/>
  <c r="X36" i="18"/>
  <c r="X36" i="20" s="1"/>
  <c r="K43" i="22"/>
  <c r="K30" i="22" s="1"/>
  <c r="K17" i="22" s="1"/>
  <c r="C21" i="25"/>
  <c r="C21" i="26" s="1"/>
  <c r="C21" i="29" s="1"/>
  <c r="V37" i="18"/>
  <c r="V37" i="20" s="1"/>
  <c r="I44" i="22"/>
  <c r="I31" i="22" s="1"/>
  <c r="I18" i="22" s="1"/>
  <c r="J19" i="25"/>
  <c r="J19" i="26" s="1"/>
  <c r="J19" i="29" s="1"/>
  <c r="R38" i="18"/>
  <c r="E19" i="22"/>
  <c r="E57" i="22" s="1"/>
  <c r="E32" i="22"/>
  <c r="E45" i="22"/>
  <c r="K18" i="25"/>
  <c r="K18" i="26" s="1"/>
  <c r="K18" i="29" s="1"/>
  <c r="V4" i="20"/>
  <c r="C20" i="22"/>
  <c r="C58" i="22" s="1"/>
  <c r="C33" i="22"/>
  <c r="C46" i="22"/>
  <c r="C28" i="31"/>
  <c r="C28" i="27"/>
  <c r="J29" i="32" s="1"/>
  <c r="B6" i="20"/>
  <c r="B6" i="18"/>
  <c r="B6" i="15"/>
  <c r="O6" i="15" s="1"/>
  <c r="W4" i="18"/>
  <c r="G4" i="20"/>
  <c r="G4" i="18"/>
  <c r="G4" i="15"/>
  <c r="T4" i="15" s="1"/>
  <c r="V37" i="15"/>
  <c r="I3" i="14"/>
  <c r="I36" i="14"/>
  <c r="E2" i="25"/>
  <c r="E2" i="26" s="1"/>
  <c r="E2" i="29" s="1"/>
  <c r="K25" i="31"/>
  <c r="K25" i="27"/>
  <c r="R26" i="32" s="1"/>
  <c r="R5" i="18"/>
  <c r="R5" i="20" s="1"/>
  <c r="P6" i="18"/>
  <c r="P6" i="20" s="1"/>
  <c r="D5" i="20"/>
  <c r="D5" i="18"/>
  <c r="D5" i="15"/>
  <c r="Q5" i="15" s="1"/>
  <c r="I16" i="27"/>
  <c r="P17" i="32" s="1"/>
  <c r="I16" i="31"/>
  <c r="I26" i="27"/>
  <c r="P27" i="32" s="1"/>
  <c r="I26" i="31"/>
  <c r="I31" i="25"/>
  <c r="I31" i="26" s="1"/>
  <c r="I31" i="29" s="1"/>
  <c r="V5" i="22"/>
  <c r="E20" i="25"/>
  <c r="E20" i="26" s="1"/>
  <c r="E20" i="29" s="1"/>
  <c r="R38" i="20"/>
  <c r="V4" i="18"/>
  <c r="G31" i="25"/>
  <c r="G31" i="26" s="1"/>
  <c r="G31" i="29" s="1"/>
  <c r="T5" i="22"/>
  <c r="I19" i="25"/>
  <c r="I19" i="26" s="1"/>
  <c r="I19" i="29" s="1"/>
  <c r="L24" i="31"/>
  <c r="L24" i="27"/>
  <c r="S25" i="32" s="1"/>
  <c r="C3" i="25"/>
  <c r="C3" i="26" s="1"/>
  <c r="C3" i="29" s="1"/>
  <c r="X3" i="20"/>
  <c r="D38" i="20"/>
  <c r="D38" i="18"/>
  <c r="D38" i="15"/>
  <c r="H16" i="27"/>
  <c r="O17" i="32" s="1"/>
  <c r="H16" i="31"/>
  <c r="H37" i="20"/>
  <c r="H37" i="18"/>
  <c r="H37" i="15"/>
  <c r="C33" i="25"/>
  <c r="C33" i="26" s="1"/>
  <c r="C33" i="29" s="1"/>
  <c r="P7" i="22"/>
  <c r="F37" i="18"/>
  <c r="F37" i="20"/>
  <c r="F37" i="15"/>
  <c r="H4" i="20"/>
  <c r="H4" i="18"/>
  <c r="H4" i="15"/>
  <c r="U4" i="15" s="1"/>
  <c r="G26" i="31"/>
  <c r="G26" i="27"/>
  <c r="N27" i="32" s="1"/>
  <c r="F4" i="18"/>
  <c r="F4" i="20"/>
  <c r="F4" i="15"/>
  <c r="S4" i="15" s="1"/>
  <c r="W37" i="15"/>
  <c r="W37" i="18" s="1"/>
  <c r="W37" i="20" s="1"/>
  <c r="J3" i="14"/>
  <c r="J36" i="14"/>
  <c r="J44" i="22"/>
  <c r="J31" i="22" s="1"/>
  <c r="J18" i="22" s="1"/>
  <c r="R38" i="15"/>
  <c r="E4" i="14"/>
  <c r="E37" i="14"/>
  <c r="X36" i="15"/>
  <c r="K2" i="14"/>
  <c r="K35" i="14"/>
  <c r="P39" i="15"/>
  <c r="P39" i="18" s="1"/>
  <c r="P39" i="20" s="1"/>
  <c r="C5" i="14"/>
  <c r="C38" i="14"/>
  <c r="B39" i="20"/>
  <c r="B39" i="18"/>
  <c r="B39" i="15"/>
  <c r="W4" i="20"/>
  <c r="G37" i="20"/>
  <c r="G37" i="18"/>
  <c r="G37" i="15"/>
  <c r="E32" i="25"/>
  <c r="E32" i="26" s="1"/>
  <c r="E32" i="29" s="1"/>
  <c r="R6" i="22"/>
  <c r="I56" i="22" l="1"/>
  <c r="I5" i="22"/>
  <c r="K15" i="27"/>
  <c r="R16" i="32" s="1"/>
  <c r="K15" i="31"/>
  <c r="J56" i="22"/>
  <c r="J5" i="22"/>
  <c r="J15" i="31"/>
  <c r="J15" i="27"/>
  <c r="Q16" i="32" s="1"/>
  <c r="K55" i="22"/>
  <c r="K4" i="22"/>
  <c r="L14" i="31"/>
  <c r="L14" i="27"/>
  <c r="S15" i="32" s="1"/>
  <c r="D17" i="27"/>
  <c r="K18" i="32" s="1"/>
  <c r="D17" i="31"/>
  <c r="T37" i="15"/>
  <c r="G3" i="14"/>
  <c r="G36" i="14"/>
  <c r="S37" i="15"/>
  <c r="F3" i="14"/>
  <c r="F36" i="14"/>
  <c r="F16" i="31"/>
  <c r="F16" i="27"/>
  <c r="M17" i="32" s="1"/>
  <c r="Q5" i="18"/>
  <c r="E6" i="22"/>
  <c r="G19" i="25"/>
  <c r="G19" i="26" s="1"/>
  <c r="G19" i="29" s="1"/>
  <c r="T37" i="20"/>
  <c r="S37" i="18"/>
  <c r="F44" i="22"/>
  <c r="F31" i="22" s="1"/>
  <c r="F18" i="22" s="1"/>
  <c r="C38" i="20"/>
  <c r="C38" i="18"/>
  <c r="C38" i="15"/>
  <c r="H19" i="25"/>
  <c r="H19" i="26" s="1"/>
  <c r="H19" i="29" s="1"/>
  <c r="C5" i="20"/>
  <c r="C5" i="18"/>
  <c r="C5" i="15"/>
  <c r="P5" i="15" s="1"/>
  <c r="E31" i="25"/>
  <c r="E31" i="26" s="1"/>
  <c r="E31" i="29" s="1"/>
  <c r="R5" i="22"/>
  <c r="S4" i="20"/>
  <c r="I36" i="18"/>
  <c r="I36" i="20"/>
  <c r="I36" i="15"/>
  <c r="K35" i="20"/>
  <c r="K35" i="15"/>
  <c r="K35" i="18"/>
  <c r="J25" i="31"/>
  <c r="J25" i="27"/>
  <c r="Q26" i="32" s="1"/>
  <c r="I3" i="15"/>
  <c r="V3" i="15" s="1"/>
  <c r="I3" i="20"/>
  <c r="I3" i="18"/>
  <c r="O39" i="15"/>
  <c r="B5" i="14"/>
  <c r="B38" i="14"/>
  <c r="D20" i="25"/>
  <c r="D20" i="26" s="1"/>
  <c r="D20" i="29" s="1"/>
  <c r="H25" i="31"/>
  <c r="H25" i="27"/>
  <c r="O26" i="32" s="1"/>
  <c r="T37" i="18"/>
  <c r="G44" i="22"/>
  <c r="G31" i="22" s="1"/>
  <c r="G18" i="22" s="1"/>
  <c r="F19" i="25"/>
  <c r="F19" i="26" s="1"/>
  <c r="F19" i="29" s="1"/>
  <c r="S37" i="20"/>
  <c r="C7" i="22"/>
  <c r="S4" i="18"/>
  <c r="Q38" i="15"/>
  <c r="Q38" i="18" s="1"/>
  <c r="Q38" i="20" s="1"/>
  <c r="D4" i="14"/>
  <c r="D37" i="14"/>
  <c r="D2" i="25"/>
  <c r="D2" i="26" s="1"/>
  <c r="D2" i="29" s="1"/>
  <c r="Q5" i="20"/>
  <c r="O6" i="18"/>
  <c r="O6" i="20" s="1"/>
  <c r="B33" i="25"/>
  <c r="B33" i="26" s="1"/>
  <c r="B33" i="29" s="1"/>
  <c r="O7" i="22"/>
  <c r="K2" i="15"/>
  <c r="X2" i="15" s="1"/>
  <c r="K2" i="20"/>
  <c r="K2" i="18"/>
  <c r="D45" i="22"/>
  <c r="D32" i="22" s="1"/>
  <c r="D19" i="22" s="1"/>
  <c r="O39" i="18"/>
  <c r="O39" i="20" s="1"/>
  <c r="B46" i="22"/>
  <c r="B33" i="22" s="1"/>
  <c r="B20" i="22" s="1"/>
  <c r="J36" i="18"/>
  <c r="J36" i="20"/>
  <c r="J36" i="15"/>
  <c r="U37" i="15"/>
  <c r="U37" i="18" s="1"/>
  <c r="U37" i="20" s="1"/>
  <c r="H3" i="14"/>
  <c r="H36" i="14"/>
  <c r="T4" i="18"/>
  <c r="T4" i="20" s="1"/>
  <c r="C32" i="25"/>
  <c r="C32" i="26" s="1"/>
  <c r="C32" i="29" s="1"/>
  <c r="P6" i="22"/>
  <c r="D32" i="25"/>
  <c r="D32" i="26" s="1"/>
  <c r="D32" i="29" s="1"/>
  <c r="Q6" i="22"/>
  <c r="D27" i="31"/>
  <c r="D27" i="27"/>
  <c r="K28" i="32" s="1"/>
  <c r="B3" i="25"/>
  <c r="B3" i="26" s="1"/>
  <c r="B3" i="29" s="1"/>
  <c r="E37" i="20"/>
  <c r="E37" i="18"/>
  <c r="E37" i="15"/>
  <c r="F26" i="31"/>
  <c r="F26" i="27"/>
  <c r="M27" i="32" s="1"/>
  <c r="B21" i="25"/>
  <c r="B21" i="26" s="1"/>
  <c r="B21" i="29" s="1"/>
  <c r="E4" i="18"/>
  <c r="E4" i="20"/>
  <c r="E4" i="15"/>
  <c r="R4" i="15" s="1"/>
  <c r="J3" i="18"/>
  <c r="J3" i="15"/>
  <c r="W3" i="15" s="1"/>
  <c r="J3" i="20"/>
  <c r="U4" i="18"/>
  <c r="U4" i="20" s="1"/>
  <c r="H44" i="22"/>
  <c r="H31" i="22" s="1"/>
  <c r="H18" i="22" s="1"/>
  <c r="H31" i="25"/>
  <c r="H31" i="26" s="1"/>
  <c r="H31" i="29" s="1"/>
  <c r="U5" i="22"/>
  <c r="F31" i="25"/>
  <c r="F31" i="26" s="1"/>
  <c r="F31" i="29" s="1"/>
  <c r="S5" i="22"/>
  <c r="E16" i="31" l="1"/>
  <c r="E16" i="27"/>
  <c r="L17" i="32" s="1"/>
  <c r="I15" i="27"/>
  <c r="P16" i="32" s="1"/>
  <c r="I15" i="31"/>
  <c r="F56" i="22"/>
  <c r="F5" i="22"/>
  <c r="C17" i="31"/>
  <c r="C17" i="27"/>
  <c r="J18" i="32" s="1"/>
  <c r="H56" i="22"/>
  <c r="H5" i="22"/>
  <c r="B58" i="22"/>
  <c r="B7" i="22"/>
  <c r="D57" i="22"/>
  <c r="D6" i="22"/>
  <c r="G56" i="22"/>
  <c r="G5" i="22"/>
  <c r="E26" i="31"/>
  <c r="E26" i="27"/>
  <c r="L27" i="32" s="1"/>
  <c r="G15" i="31"/>
  <c r="G15" i="27"/>
  <c r="N16" i="32" s="1"/>
  <c r="I30" i="22"/>
  <c r="I17" i="22" s="1"/>
  <c r="I43" i="22"/>
  <c r="G3" i="15"/>
  <c r="T3" i="15" s="1"/>
  <c r="G3" i="20"/>
  <c r="G3" i="18"/>
  <c r="T3" i="18" s="1"/>
  <c r="W3" i="18"/>
  <c r="W3" i="20" s="1"/>
  <c r="R37" i="15"/>
  <c r="R37" i="18" s="1"/>
  <c r="R37" i="20" s="1"/>
  <c r="E3" i="14"/>
  <c r="E36" i="14"/>
  <c r="W36" i="15"/>
  <c r="J2" i="14"/>
  <c r="J35" i="14"/>
  <c r="C27" i="27"/>
  <c r="J28" i="32" s="1"/>
  <c r="C27" i="31"/>
  <c r="D26" i="31"/>
  <c r="D26" i="27"/>
  <c r="K27" i="32" s="1"/>
  <c r="D37" i="20"/>
  <c r="D37" i="18"/>
  <c r="D37" i="15"/>
  <c r="P38" i="15"/>
  <c r="C4" i="14"/>
  <c r="C37" i="14"/>
  <c r="B38" i="20"/>
  <c r="B38" i="18"/>
  <c r="B38" i="15"/>
  <c r="J30" i="25"/>
  <c r="J30" i="26" s="1"/>
  <c r="J30" i="29" s="1"/>
  <c r="W4" i="22"/>
  <c r="F36" i="18"/>
  <c r="F36" i="20"/>
  <c r="F36" i="15"/>
  <c r="I25" i="31"/>
  <c r="I25" i="27"/>
  <c r="P26" i="32" s="1"/>
  <c r="K54" i="22"/>
  <c r="P5" i="18"/>
  <c r="F3" i="20"/>
  <c r="S3" i="20" s="1"/>
  <c r="F3" i="18"/>
  <c r="S3" i="18" s="1"/>
  <c r="F3" i="15"/>
  <c r="S3" i="15" s="1"/>
  <c r="J18" i="25"/>
  <c r="J18" i="26" s="1"/>
  <c r="J18" i="29" s="1"/>
  <c r="H15" i="27"/>
  <c r="O16" i="32" s="1"/>
  <c r="H15" i="31"/>
  <c r="W36" i="18"/>
  <c r="W36" i="20" s="1"/>
  <c r="J43" i="22"/>
  <c r="J30" i="22" s="1"/>
  <c r="J17" i="22" s="1"/>
  <c r="D4" i="20"/>
  <c r="D4" i="18"/>
  <c r="D4" i="15"/>
  <c r="Q4" i="15" s="1"/>
  <c r="P38" i="18"/>
  <c r="P38" i="20" s="1"/>
  <c r="C45" i="22"/>
  <c r="C32" i="22" s="1"/>
  <c r="C19" i="22" s="1"/>
  <c r="R4" i="18"/>
  <c r="R4" i="20" s="1"/>
  <c r="X35" i="15"/>
  <c r="X35" i="18" s="1"/>
  <c r="X35" i="20" s="1"/>
  <c r="K34" i="14"/>
  <c r="H36" i="18"/>
  <c r="H36" i="20"/>
  <c r="H36" i="15"/>
  <c r="X2" i="18"/>
  <c r="V3" i="18"/>
  <c r="V3" i="20" s="1"/>
  <c r="V36" i="15"/>
  <c r="V36" i="18" s="1"/>
  <c r="V36" i="20" s="1"/>
  <c r="I2" i="14"/>
  <c r="I35" i="14"/>
  <c r="C2" i="25"/>
  <c r="C2" i="26" s="1"/>
  <c r="C2" i="29" s="1"/>
  <c r="P5" i="20"/>
  <c r="E44" i="22"/>
  <c r="E31" i="22" s="1"/>
  <c r="E18" i="22" s="1"/>
  <c r="F25" i="31"/>
  <c r="F25" i="27"/>
  <c r="M26" i="32" s="1"/>
  <c r="G25" i="31"/>
  <c r="G25" i="27"/>
  <c r="N26" i="32" s="1"/>
  <c r="E19" i="25"/>
  <c r="E19" i="26" s="1"/>
  <c r="E19" i="29" s="1"/>
  <c r="B5" i="20"/>
  <c r="B5" i="18"/>
  <c r="B5" i="15"/>
  <c r="O5" i="15" s="1"/>
  <c r="C20" i="25"/>
  <c r="C20" i="26" s="1"/>
  <c r="C20" i="29" s="1"/>
  <c r="H3" i="18"/>
  <c r="H3" i="15"/>
  <c r="U3" i="15" s="1"/>
  <c r="H3" i="20"/>
  <c r="X2" i="20"/>
  <c r="I18" i="25"/>
  <c r="I18" i="26" s="1"/>
  <c r="I18" i="29" s="1"/>
  <c r="G36" i="20"/>
  <c r="G36" i="18"/>
  <c r="G36" i="15"/>
  <c r="K29" i="25"/>
  <c r="K29" i="26" s="1"/>
  <c r="K29" i="29" s="1"/>
  <c r="X3" i="22"/>
  <c r="I30" i="25"/>
  <c r="I30" i="26" s="1"/>
  <c r="I30" i="29" s="1"/>
  <c r="V4" i="22"/>
  <c r="J55" i="22" l="1"/>
  <c r="J4" i="22"/>
  <c r="K14" i="27"/>
  <c r="R15" i="32" s="1"/>
  <c r="K14" i="31"/>
  <c r="F15" i="31"/>
  <c r="F15" i="27"/>
  <c r="M16" i="32" s="1"/>
  <c r="J14" i="31"/>
  <c r="J14" i="27"/>
  <c r="Q15" i="32" s="1"/>
  <c r="D16" i="27"/>
  <c r="K17" i="32" s="1"/>
  <c r="D16" i="31"/>
  <c r="I55" i="22"/>
  <c r="I4" i="22"/>
  <c r="C57" i="22"/>
  <c r="C6" i="22"/>
  <c r="E56" i="22"/>
  <c r="E5" i="22"/>
  <c r="L23" i="31"/>
  <c r="L23" i="27"/>
  <c r="S24" i="32" s="1"/>
  <c r="I2" i="20"/>
  <c r="I2" i="18"/>
  <c r="I2" i="15"/>
  <c r="V2" i="15" s="1"/>
  <c r="I35" i="20"/>
  <c r="I35" i="15"/>
  <c r="I35" i="18"/>
  <c r="K34" i="20"/>
  <c r="K34" i="18"/>
  <c r="K34" i="15"/>
  <c r="X34" i="15" s="1"/>
  <c r="O38" i="15"/>
  <c r="O38" i="18" s="1"/>
  <c r="O38" i="20" s="1"/>
  <c r="B4" i="14"/>
  <c r="B37" i="14"/>
  <c r="D19" i="25"/>
  <c r="D19" i="26" s="1"/>
  <c r="D19" i="29" s="1"/>
  <c r="E36" i="20"/>
  <c r="E36" i="18"/>
  <c r="E36" i="15"/>
  <c r="B32" i="22"/>
  <c r="B19" i="22"/>
  <c r="B57" i="22" s="1"/>
  <c r="B6" i="22"/>
  <c r="B45" i="22"/>
  <c r="G30" i="25"/>
  <c r="G30" i="26" s="1"/>
  <c r="G30" i="29" s="1"/>
  <c r="T4" i="22"/>
  <c r="B2" i="25"/>
  <c r="O5" i="20"/>
  <c r="Q4" i="18"/>
  <c r="Q4" i="20" s="1"/>
  <c r="C37" i="20"/>
  <c r="C37" i="18"/>
  <c r="C37" i="15"/>
  <c r="F30" i="25"/>
  <c r="F30" i="26" s="1"/>
  <c r="F30" i="29" s="1"/>
  <c r="S4" i="22"/>
  <c r="C4" i="20"/>
  <c r="C4" i="18"/>
  <c r="C4" i="15"/>
  <c r="P4" i="15" s="1"/>
  <c r="G18" i="25"/>
  <c r="G18" i="26" s="1"/>
  <c r="G18" i="29" s="1"/>
  <c r="U36" i="15"/>
  <c r="H2" i="14"/>
  <c r="H35" i="14"/>
  <c r="F30" i="22"/>
  <c r="F17" i="22" s="1"/>
  <c r="F43" i="22"/>
  <c r="J35" i="20"/>
  <c r="J35" i="15"/>
  <c r="J35" i="18"/>
  <c r="T3" i="20"/>
  <c r="B32" i="25"/>
  <c r="B32" i="26" s="1"/>
  <c r="B32" i="29" s="1"/>
  <c r="O6" i="22"/>
  <c r="O5" i="18"/>
  <c r="E3" i="15"/>
  <c r="R3" i="15" s="1"/>
  <c r="E3" i="20"/>
  <c r="E3" i="18"/>
  <c r="R3" i="18" s="1"/>
  <c r="S36" i="15"/>
  <c r="S36" i="18" s="1"/>
  <c r="S36" i="20" s="1"/>
  <c r="F2" i="14"/>
  <c r="F35" i="14"/>
  <c r="D31" i="25"/>
  <c r="D31" i="26" s="1"/>
  <c r="D31" i="29" s="1"/>
  <c r="Q5" i="22"/>
  <c r="U3" i="18"/>
  <c r="U3" i="20" s="1"/>
  <c r="H18" i="25"/>
  <c r="H18" i="26" s="1"/>
  <c r="H18" i="29" s="1"/>
  <c r="K24" i="27"/>
  <c r="R25" i="32" s="1"/>
  <c r="K24" i="31"/>
  <c r="Q37" i="15"/>
  <c r="D3" i="14"/>
  <c r="D36" i="14"/>
  <c r="J2" i="15"/>
  <c r="W2" i="15" s="1"/>
  <c r="J2" i="20"/>
  <c r="J2" i="18"/>
  <c r="W2" i="18" s="1"/>
  <c r="B20" i="25"/>
  <c r="B20" i="26" s="1"/>
  <c r="B20" i="29" s="1"/>
  <c r="T36" i="15"/>
  <c r="G2" i="14"/>
  <c r="G35" i="14"/>
  <c r="T36" i="18"/>
  <c r="T36" i="20" s="1"/>
  <c r="G43" i="22"/>
  <c r="G30" i="22" s="1"/>
  <c r="G17" i="22" s="1"/>
  <c r="F18" i="25"/>
  <c r="F18" i="26" s="1"/>
  <c r="F18" i="29" s="1"/>
  <c r="J24" i="31"/>
  <c r="J24" i="27"/>
  <c r="Q25" i="32" s="1"/>
  <c r="U36" i="18"/>
  <c r="U36" i="20" s="1"/>
  <c r="H43" i="22"/>
  <c r="H30" i="22" s="1"/>
  <c r="H17" i="22" s="1"/>
  <c r="K28" i="25"/>
  <c r="K28" i="26" s="1"/>
  <c r="K28" i="29" s="1"/>
  <c r="X2" i="22"/>
  <c r="Q37" i="18"/>
  <c r="Q37" i="20" s="1"/>
  <c r="D31" i="22"/>
  <c r="D18" i="22" s="1"/>
  <c r="D44" i="22"/>
  <c r="H30" i="25"/>
  <c r="H30" i="26" s="1"/>
  <c r="H30" i="29" s="1"/>
  <c r="U4" i="22"/>
  <c r="E15" i="31" l="1"/>
  <c r="E15" i="27"/>
  <c r="L16" i="32" s="1"/>
  <c r="H14" i="27"/>
  <c r="O15" i="32" s="1"/>
  <c r="H14" i="31"/>
  <c r="G14" i="31"/>
  <c r="G14" i="27"/>
  <c r="N15" i="32" s="1"/>
  <c r="G55" i="22"/>
  <c r="G4" i="22"/>
  <c r="H55" i="22"/>
  <c r="H4" i="22"/>
  <c r="I14" i="31"/>
  <c r="I14" i="27"/>
  <c r="P15" i="32" s="1"/>
  <c r="F55" i="22"/>
  <c r="F4" i="22"/>
  <c r="C16" i="27"/>
  <c r="J17" i="32" s="1"/>
  <c r="C16" i="31"/>
  <c r="D56" i="22"/>
  <c r="D5" i="22"/>
  <c r="W2" i="20"/>
  <c r="B31" i="25"/>
  <c r="B31" i="26" s="1"/>
  <c r="B31" i="29" s="1"/>
  <c r="O5" i="22"/>
  <c r="F2" i="20"/>
  <c r="F2" i="18"/>
  <c r="S2" i="18" s="1"/>
  <c r="F2" i="15"/>
  <c r="S2" i="15" s="1"/>
  <c r="C44" i="22"/>
  <c r="C31" i="22" s="1"/>
  <c r="C18" i="22" s="1"/>
  <c r="V35" i="18"/>
  <c r="V35" i="20" s="1"/>
  <c r="E30" i="25"/>
  <c r="E30" i="26" s="1"/>
  <c r="E30" i="29" s="1"/>
  <c r="R4" i="22"/>
  <c r="I54" i="22"/>
  <c r="B4" i="20"/>
  <c r="B4" i="18"/>
  <c r="B4" i="15"/>
  <c r="O4" i="15" s="1"/>
  <c r="I24" i="27"/>
  <c r="P25" i="32" s="1"/>
  <c r="I24" i="31"/>
  <c r="G2" i="15"/>
  <c r="T2" i="15" s="1"/>
  <c r="G2" i="20"/>
  <c r="G2" i="18"/>
  <c r="D3" i="15"/>
  <c r="Q3" i="15" s="1"/>
  <c r="D3" i="20"/>
  <c r="D3" i="18"/>
  <c r="Q3" i="18" s="1"/>
  <c r="E25" i="31"/>
  <c r="E25" i="27"/>
  <c r="L26" i="32" s="1"/>
  <c r="H35" i="20"/>
  <c r="H35" i="15"/>
  <c r="H35" i="18"/>
  <c r="G24" i="31"/>
  <c r="G24" i="27"/>
  <c r="N25" i="32" s="1"/>
  <c r="B2" i="26"/>
  <c r="R36" i="15"/>
  <c r="E2" i="14"/>
  <c r="E35" i="14"/>
  <c r="I29" i="25"/>
  <c r="I29" i="26" s="1"/>
  <c r="I29" i="29" s="1"/>
  <c r="V3" i="22"/>
  <c r="C26" i="27"/>
  <c r="J27" i="32" s="1"/>
  <c r="C26" i="31"/>
  <c r="B37" i="20"/>
  <c r="B37" i="18"/>
  <c r="B37" i="15"/>
  <c r="L22" i="27"/>
  <c r="S23" i="32" s="1"/>
  <c r="L22" i="31"/>
  <c r="G35" i="20"/>
  <c r="G35" i="15"/>
  <c r="G35" i="18"/>
  <c r="C31" i="25"/>
  <c r="C31" i="26" s="1"/>
  <c r="C31" i="29" s="1"/>
  <c r="P5" i="22"/>
  <c r="D36" i="20"/>
  <c r="D36" i="18"/>
  <c r="D36" i="15"/>
  <c r="P4" i="20"/>
  <c r="W35" i="15"/>
  <c r="W35" i="18" s="1"/>
  <c r="W35" i="20" s="1"/>
  <c r="J34" i="14"/>
  <c r="H2" i="20"/>
  <c r="U2" i="20" s="1"/>
  <c r="H2" i="18"/>
  <c r="U2" i="18" s="1"/>
  <c r="H2" i="15"/>
  <c r="U2" i="15" s="1"/>
  <c r="H24" i="31"/>
  <c r="H24" i="27"/>
  <c r="O25" i="32" s="1"/>
  <c r="R36" i="18"/>
  <c r="R36" i="20" s="1"/>
  <c r="E17" i="22"/>
  <c r="E55" i="22" s="1"/>
  <c r="E4" i="22"/>
  <c r="E30" i="22"/>
  <c r="E43" i="22"/>
  <c r="X34" i="18"/>
  <c r="C19" i="25"/>
  <c r="C19" i="26" s="1"/>
  <c r="C19" i="29" s="1"/>
  <c r="V35" i="15"/>
  <c r="I34" i="14"/>
  <c r="R3" i="20"/>
  <c r="P4" i="18"/>
  <c r="K39" i="29"/>
  <c r="K40" i="29" s="1"/>
  <c r="K41" i="29"/>
  <c r="V2" i="18"/>
  <c r="V2" i="20" s="1"/>
  <c r="F35" i="20"/>
  <c r="F35" i="15"/>
  <c r="F35" i="18"/>
  <c r="J54" i="22"/>
  <c r="P37" i="15"/>
  <c r="P37" i="18" s="1"/>
  <c r="P37" i="20" s="1"/>
  <c r="C3" i="14"/>
  <c r="C36" i="14"/>
  <c r="E18" i="25"/>
  <c r="E18" i="26" s="1"/>
  <c r="E18" i="29" s="1"/>
  <c r="X34" i="20"/>
  <c r="J29" i="25"/>
  <c r="J29" i="26" s="1"/>
  <c r="J29" i="29" s="1"/>
  <c r="W3" i="22"/>
  <c r="D15" i="27" l="1"/>
  <c r="K16" i="32" s="1"/>
  <c r="D15" i="31"/>
  <c r="F14" i="31"/>
  <c r="F14" i="27"/>
  <c r="M15" i="32" s="1"/>
  <c r="C56" i="22"/>
  <c r="C5" i="22"/>
  <c r="C3" i="20"/>
  <c r="P3" i="20" s="1"/>
  <c r="C3" i="18"/>
  <c r="P3" i="18" s="1"/>
  <c r="C3" i="15"/>
  <c r="P3" i="15" s="1"/>
  <c r="B19" i="25"/>
  <c r="B19" i="26" s="1"/>
  <c r="B19" i="29" s="1"/>
  <c r="F24" i="31"/>
  <c r="F24" i="27"/>
  <c r="M25" i="32" s="1"/>
  <c r="T35" i="18"/>
  <c r="T35" i="20" s="1"/>
  <c r="B2" i="29"/>
  <c r="C41" i="26"/>
  <c r="G29" i="25"/>
  <c r="G29" i="26" s="1"/>
  <c r="G29" i="29" s="1"/>
  <c r="T3" i="22"/>
  <c r="K23" i="31"/>
  <c r="K23" i="27"/>
  <c r="R24" i="32" s="1"/>
  <c r="J28" i="25"/>
  <c r="J28" i="26" s="1"/>
  <c r="J28" i="29" s="1"/>
  <c r="W2" i="22"/>
  <c r="E29" i="25"/>
  <c r="E29" i="26" s="1"/>
  <c r="E29" i="29" s="1"/>
  <c r="R3" i="22"/>
  <c r="T35" i="15"/>
  <c r="G34" i="14"/>
  <c r="O4" i="18"/>
  <c r="O4" i="20" s="1"/>
  <c r="S35" i="15"/>
  <c r="S35" i="18" s="1"/>
  <c r="S35" i="20" s="1"/>
  <c r="F34" i="14"/>
  <c r="K44" i="29"/>
  <c r="K42" i="29"/>
  <c r="K43" i="29"/>
  <c r="D30" i="22"/>
  <c r="D17" i="22"/>
  <c r="D55" i="22" s="1"/>
  <c r="D43" i="22"/>
  <c r="G54" i="22"/>
  <c r="C25" i="31"/>
  <c r="C25" i="27"/>
  <c r="J26" i="32" s="1"/>
  <c r="F29" i="25"/>
  <c r="F29" i="26" s="1"/>
  <c r="F29" i="29" s="1"/>
  <c r="S3" i="22"/>
  <c r="D18" i="25"/>
  <c r="D18" i="26" s="1"/>
  <c r="D18" i="29" s="1"/>
  <c r="O37" i="15"/>
  <c r="O37" i="18" s="1"/>
  <c r="O37" i="20" s="1"/>
  <c r="B3" i="14"/>
  <c r="B36" i="14"/>
  <c r="E35" i="20"/>
  <c r="E35" i="15"/>
  <c r="E35" i="18"/>
  <c r="U35" i="15"/>
  <c r="U35" i="18" s="1"/>
  <c r="U35" i="20" s="1"/>
  <c r="H34" i="14"/>
  <c r="T2" i="18"/>
  <c r="I28" i="25"/>
  <c r="I28" i="26" s="1"/>
  <c r="I28" i="29" s="1"/>
  <c r="V2" i="22"/>
  <c r="J34" i="20"/>
  <c r="J34" i="18"/>
  <c r="J34" i="15"/>
  <c r="W34" i="15" s="1"/>
  <c r="I34" i="20"/>
  <c r="I34" i="18"/>
  <c r="I34" i="15"/>
  <c r="V34" i="15" s="1"/>
  <c r="S2" i="20"/>
  <c r="J23" i="31"/>
  <c r="J23" i="27"/>
  <c r="Q24" i="32" s="1"/>
  <c r="Q36" i="15"/>
  <c r="Q36" i="18" s="1"/>
  <c r="Q36" i="20" s="1"/>
  <c r="D2" i="14"/>
  <c r="D35" i="14"/>
  <c r="Q3" i="20"/>
  <c r="F54" i="22"/>
  <c r="C36" i="20"/>
  <c r="C36" i="18"/>
  <c r="C36" i="15"/>
  <c r="D25" i="31"/>
  <c r="D25" i="27"/>
  <c r="K26" i="32" s="1"/>
  <c r="B44" i="22"/>
  <c r="B31" i="22" s="1"/>
  <c r="B18" i="22" s="1"/>
  <c r="E2" i="15"/>
  <c r="R2" i="15" s="1"/>
  <c r="E2" i="20"/>
  <c r="E2" i="18"/>
  <c r="R2" i="18" s="1"/>
  <c r="H54" i="22"/>
  <c r="T2" i="20"/>
  <c r="D30" i="25"/>
  <c r="D30" i="26" s="1"/>
  <c r="D30" i="29" s="1"/>
  <c r="Q4" i="22"/>
  <c r="H29" i="25"/>
  <c r="H29" i="26" s="1"/>
  <c r="H29" i="29" s="1"/>
  <c r="U3" i="22"/>
  <c r="B56" i="22" l="1"/>
  <c r="B5" i="22"/>
  <c r="E14" i="31"/>
  <c r="E14" i="27"/>
  <c r="L15" i="32" s="1"/>
  <c r="C15" i="31"/>
  <c r="C15" i="27"/>
  <c r="J16" i="32" s="1"/>
  <c r="W34" i="20"/>
  <c r="J41" i="29"/>
  <c r="J39" i="29"/>
  <c r="J40" i="29" s="1"/>
  <c r="D35" i="20"/>
  <c r="D35" i="15"/>
  <c r="D35" i="18"/>
  <c r="I23" i="31"/>
  <c r="I23" i="27"/>
  <c r="P24" i="32" s="1"/>
  <c r="D2" i="15"/>
  <c r="Q2" i="15" s="1"/>
  <c r="D2" i="20"/>
  <c r="D2" i="18"/>
  <c r="P36" i="15"/>
  <c r="C2" i="14"/>
  <c r="C35" i="14"/>
  <c r="W34" i="18"/>
  <c r="R35" i="15"/>
  <c r="R35" i="18" s="1"/>
  <c r="R35" i="20" s="1"/>
  <c r="E34" i="14"/>
  <c r="G23" i="31"/>
  <c r="G23" i="27"/>
  <c r="N24" i="32" s="1"/>
  <c r="F34" i="15"/>
  <c r="S34" i="15" s="1"/>
  <c r="F34" i="18"/>
  <c r="S34" i="18" s="1"/>
  <c r="F34" i="20"/>
  <c r="S34" i="20" s="1"/>
  <c r="K22" i="27"/>
  <c r="R23" i="32" s="1"/>
  <c r="K22" i="31"/>
  <c r="P36" i="18"/>
  <c r="C43" i="22"/>
  <c r="C30" i="22" s="1"/>
  <c r="C17" i="22" s="1"/>
  <c r="E54" i="22"/>
  <c r="J22" i="27"/>
  <c r="Q23" i="32" s="1"/>
  <c r="J22" i="31"/>
  <c r="B36" i="18"/>
  <c r="B36" i="20"/>
  <c r="B36" i="15"/>
  <c r="D4" i="22"/>
  <c r="F28" i="25"/>
  <c r="F28" i="26" s="1"/>
  <c r="F28" i="29" s="1"/>
  <c r="S2" i="22"/>
  <c r="I41" i="29"/>
  <c r="I39" i="29"/>
  <c r="I40" i="29" s="1"/>
  <c r="B3" i="15"/>
  <c r="O3" i="15" s="1"/>
  <c r="B3" i="20"/>
  <c r="B3" i="18"/>
  <c r="O3" i="18" s="1"/>
  <c r="C30" i="25"/>
  <c r="C30" i="26" s="1"/>
  <c r="C30" i="29" s="1"/>
  <c r="P4" i="22"/>
  <c r="H28" i="25"/>
  <c r="H28" i="26" s="1"/>
  <c r="H28" i="29" s="1"/>
  <c r="U2" i="22"/>
  <c r="G28" i="25"/>
  <c r="G28" i="26" s="1"/>
  <c r="G28" i="29" s="1"/>
  <c r="T2" i="22"/>
  <c r="G34" i="15"/>
  <c r="T34" i="15" s="1"/>
  <c r="G34" i="20"/>
  <c r="G34" i="18"/>
  <c r="T34" i="18" s="1"/>
  <c r="H23" i="31"/>
  <c r="H23" i="27"/>
  <c r="O24" i="32" s="1"/>
  <c r="V34" i="18"/>
  <c r="H34" i="20"/>
  <c r="H34" i="18"/>
  <c r="H34" i="15"/>
  <c r="U34" i="15" s="1"/>
  <c r="E24" i="31"/>
  <c r="E24" i="27"/>
  <c r="L25" i="32" s="1"/>
  <c r="C18" i="25"/>
  <c r="C18" i="26" s="1"/>
  <c r="C18" i="29" s="1"/>
  <c r="P36" i="20"/>
  <c r="F23" i="31"/>
  <c r="F23" i="27"/>
  <c r="M24" i="32" s="1"/>
  <c r="D29" i="25"/>
  <c r="D29" i="26" s="1"/>
  <c r="D29" i="29" s="1"/>
  <c r="Q3" i="22"/>
  <c r="V34" i="20"/>
  <c r="R2" i="20"/>
  <c r="C55" i="22" l="1"/>
  <c r="C4" i="22"/>
  <c r="D14" i="27"/>
  <c r="K15" i="32" s="1"/>
  <c r="D14" i="31"/>
  <c r="H41" i="29"/>
  <c r="H39" i="29"/>
  <c r="H40" i="29" s="1"/>
  <c r="G22" i="31"/>
  <c r="G22" i="27"/>
  <c r="N23" i="32" s="1"/>
  <c r="E28" i="25"/>
  <c r="E28" i="26" s="1"/>
  <c r="E28" i="29" s="1"/>
  <c r="R2" i="22"/>
  <c r="E34" i="18"/>
  <c r="E34" i="15"/>
  <c r="R34" i="15" s="1"/>
  <c r="E34" i="20"/>
  <c r="Q2" i="20"/>
  <c r="J43" i="29"/>
  <c r="J44" i="29"/>
  <c r="J42" i="29"/>
  <c r="F39" i="29"/>
  <c r="F40" i="29" s="1"/>
  <c r="F41" i="29"/>
  <c r="O3" i="20"/>
  <c r="C2" i="18"/>
  <c r="C2" i="20"/>
  <c r="C2" i="15"/>
  <c r="P2" i="15" s="1"/>
  <c r="Q35" i="18"/>
  <c r="U34" i="18"/>
  <c r="H22" i="27"/>
  <c r="O23" i="32" s="1"/>
  <c r="H22" i="31"/>
  <c r="B30" i="22"/>
  <c r="B17" i="22"/>
  <c r="B55" i="22" s="1"/>
  <c r="B43" i="22"/>
  <c r="Q35" i="15"/>
  <c r="D34" i="14"/>
  <c r="D24" i="31"/>
  <c r="D24" i="27"/>
  <c r="K25" i="32" s="1"/>
  <c r="T34" i="20"/>
  <c r="E23" i="31"/>
  <c r="E23" i="27"/>
  <c r="L24" i="32" s="1"/>
  <c r="B18" i="25"/>
  <c r="U34" i="20"/>
  <c r="G41" i="29"/>
  <c r="G39" i="29"/>
  <c r="G40" i="29" s="1"/>
  <c r="Q35" i="20"/>
  <c r="D54" i="22"/>
  <c r="O36" i="15"/>
  <c r="O36" i="18" s="1"/>
  <c r="O36" i="20" s="1"/>
  <c r="B2" i="14"/>
  <c r="B35" i="14"/>
  <c r="C35" i="20"/>
  <c r="C35" i="15"/>
  <c r="C35" i="18"/>
  <c r="I22" i="27"/>
  <c r="P23" i="32" s="1"/>
  <c r="I22" i="31"/>
  <c r="I44" i="29"/>
  <c r="I43" i="29"/>
  <c r="I42" i="29"/>
  <c r="Q2" i="18"/>
  <c r="B30" i="25"/>
  <c r="B30" i="26" s="1"/>
  <c r="B30" i="29" s="1"/>
  <c r="O4" i="22"/>
  <c r="C14" i="31" l="1"/>
  <c r="C14" i="27"/>
  <c r="J15" i="32" s="1"/>
  <c r="B29" i="25"/>
  <c r="B29" i="26" s="1"/>
  <c r="B29" i="29" s="1"/>
  <c r="O3" i="22"/>
  <c r="B2" i="15"/>
  <c r="O2" i="15" s="1"/>
  <c r="B2" i="18"/>
  <c r="O2" i="18" s="1"/>
  <c r="B2" i="20"/>
  <c r="O2" i="20" s="1"/>
  <c r="B18" i="26"/>
  <c r="F42" i="29"/>
  <c r="F44" i="29"/>
  <c r="F43" i="29"/>
  <c r="R34" i="18"/>
  <c r="R34" i="20" s="1"/>
  <c r="H43" i="29"/>
  <c r="H44" i="29"/>
  <c r="H42" i="29"/>
  <c r="P35" i="18"/>
  <c r="P35" i="20" s="1"/>
  <c r="P35" i="15"/>
  <c r="C34" i="14"/>
  <c r="C54" i="22"/>
  <c r="F22" i="31"/>
  <c r="F22" i="27"/>
  <c r="M23" i="32" s="1"/>
  <c r="D28" i="25"/>
  <c r="D28" i="26" s="1"/>
  <c r="D28" i="29" s="1"/>
  <c r="Q2" i="22"/>
  <c r="B4" i="22"/>
  <c r="P2" i="18"/>
  <c r="P2" i="20" s="1"/>
  <c r="C24" i="31"/>
  <c r="C24" i="27"/>
  <c r="J25" i="32" s="1"/>
  <c r="G43" i="29"/>
  <c r="G42" i="29"/>
  <c r="G44" i="29"/>
  <c r="D34" i="20"/>
  <c r="D34" i="18"/>
  <c r="D34" i="15"/>
  <c r="Q34" i="15" s="1"/>
  <c r="B35" i="20"/>
  <c r="B35" i="15"/>
  <c r="B35" i="18"/>
  <c r="E39" i="29"/>
  <c r="E40" i="29" s="1"/>
  <c r="E41" i="29"/>
  <c r="C29" i="25"/>
  <c r="C29" i="26" s="1"/>
  <c r="C29" i="29" s="1"/>
  <c r="P3" i="22"/>
  <c r="E22" i="31" l="1"/>
  <c r="E22" i="27"/>
  <c r="L23" i="32" s="1"/>
  <c r="D41" i="29"/>
  <c r="D39" i="29"/>
  <c r="D40" i="29" s="1"/>
  <c r="B18" i="29"/>
  <c r="C42" i="26"/>
  <c r="O35" i="15"/>
  <c r="B34" i="14"/>
  <c r="C28" i="25"/>
  <c r="C28" i="26" s="1"/>
  <c r="C28" i="29" s="1"/>
  <c r="P2" i="22"/>
  <c r="E42" i="29"/>
  <c r="E44" i="29"/>
  <c r="E43" i="29"/>
  <c r="O35" i="18"/>
  <c r="O35" i="20" s="1"/>
  <c r="B54" i="22"/>
  <c r="C34" i="20"/>
  <c r="C34" i="18"/>
  <c r="C34" i="15"/>
  <c r="P34" i="15" s="1"/>
  <c r="D23" i="31"/>
  <c r="D23" i="27"/>
  <c r="K24" i="32" s="1"/>
  <c r="Q34" i="18"/>
  <c r="Q34" i="20" s="1"/>
  <c r="C23" i="31"/>
  <c r="C23" i="27"/>
  <c r="J24" i="32" s="1"/>
  <c r="P34" i="18" l="1"/>
  <c r="D22" i="27"/>
  <c r="K23" i="32" s="1"/>
  <c r="D22" i="31"/>
  <c r="D42" i="29"/>
  <c r="D44" i="29"/>
  <c r="D43" i="29"/>
  <c r="B34" i="20"/>
  <c r="B34" i="18"/>
  <c r="B34" i="15"/>
  <c r="O34" i="15" s="1"/>
  <c r="P34" i="20"/>
  <c r="C39" i="29"/>
  <c r="C40" i="29" s="1"/>
  <c r="C41" i="29"/>
  <c r="B28" i="25"/>
  <c r="O2" i="22"/>
  <c r="C44" i="29" l="1"/>
  <c r="C42" i="29"/>
  <c r="C43" i="29"/>
  <c r="O34" i="18"/>
  <c r="O34" i="20"/>
  <c r="C22" i="27"/>
  <c r="J23" i="32" s="1"/>
  <c r="C22" i="31"/>
  <c r="E41" i="32"/>
  <c r="C41" i="32"/>
  <c r="D41" i="32"/>
  <c r="F41" i="32"/>
  <c r="B41" i="32"/>
  <c r="B28" i="26"/>
  <c r="E44" i="25"/>
  <c r="D44" i="25"/>
  <c r="C45" i="25"/>
  <c r="E42" i="25"/>
  <c r="C43" i="25"/>
  <c r="O9" i="29" s="1"/>
  <c r="D42" i="25"/>
  <c r="D43" i="25"/>
  <c r="E43" i="25"/>
  <c r="C42" i="25"/>
  <c r="C44" i="25" l="1"/>
  <c r="O10" i="29"/>
  <c r="B28" i="29"/>
  <c r="C43" i="26"/>
  <c r="G42" i="26"/>
  <c r="G41" i="26"/>
  <c r="G43" i="26" s="1"/>
  <c r="D41" i="26" l="1"/>
  <c r="C47" i="26"/>
  <c r="B39" i="29"/>
  <c r="B40" i="29" s="1"/>
  <c r="B41" i="29"/>
  <c r="O5" i="29"/>
  <c r="O4" i="29"/>
  <c r="P5" i="31" l="1"/>
  <c r="C22" i="32"/>
  <c r="O7" i="29"/>
  <c r="P5" i="29"/>
  <c r="Q5" i="29"/>
  <c r="R5" i="29" s="1"/>
  <c r="B44" i="29"/>
  <c r="B42" i="29"/>
  <c r="B43" i="29"/>
  <c r="L43" i="29" s="1"/>
  <c r="C21" i="32"/>
  <c r="P4" i="31"/>
  <c r="Q4" i="29"/>
  <c r="R4" i="29" s="1"/>
  <c r="P4" i="29"/>
  <c r="O6" i="29"/>
  <c r="C19" i="32"/>
  <c r="T5" i="31"/>
  <c r="U5" i="31" s="1"/>
  <c r="B32" i="31"/>
  <c r="P3" i="31" s="1"/>
  <c r="B32" i="27"/>
  <c r="I33" i="32" s="1"/>
  <c r="B33" i="27"/>
  <c r="D47" i="26"/>
  <c r="P7" i="29" l="1"/>
  <c r="L44" i="29"/>
  <c r="C47" i="29"/>
  <c r="C48" i="29" s="1"/>
  <c r="Q6" i="29"/>
  <c r="R6" i="29" s="1"/>
  <c r="P6" i="29"/>
  <c r="I34" i="32"/>
  <c r="B33" i="31"/>
  <c r="Q4" i="31"/>
  <c r="Q6" i="31" s="1"/>
  <c r="P6" i="31"/>
  <c r="R6" i="31" s="1"/>
  <c r="S6" i="31" s="1"/>
  <c r="R4" i="31"/>
  <c r="S4" i="31" s="1"/>
  <c r="V4" i="31" s="1"/>
  <c r="V6" i="31" s="1"/>
  <c r="V7" i="31" s="1"/>
  <c r="C2" i="35"/>
  <c r="C24" i="32"/>
  <c r="D22" i="32"/>
  <c r="E22" i="32"/>
  <c r="F22" i="32" s="1"/>
  <c r="C29" i="32" s="1"/>
  <c r="D29" i="32"/>
  <c r="F29" i="32"/>
  <c r="B29" i="32"/>
  <c r="E29" i="32"/>
  <c r="G2" i="35"/>
  <c r="A29" i="32"/>
  <c r="E19" i="32"/>
  <c r="E2" i="35"/>
  <c r="E21" i="32"/>
  <c r="F21" i="32" s="1"/>
  <c r="D21" i="32"/>
  <c r="E28" i="32"/>
  <c r="F28" i="32"/>
  <c r="F30" i="32" s="1"/>
  <c r="F31" i="32" s="1"/>
  <c r="C23" i="32"/>
  <c r="Q5" i="31"/>
  <c r="P7" i="31"/>
  <c r="V5" i="31"/>
  <c r="Y5" i="31"/>
  <c r="X5" i="31"/>
  <c r="R5" i="31"/>
  <c r="W5" i="31"/>
  <c r="W4" i="31" l="1"/>
  <c r="W6" i="31" s="1"/>
  <c r="W7" i="31" s="1"/>
  <c r="F35" i="32"/>
  <c r="F38" i="32" s="1"/>
  <c r="F36" i="32"/>
  <c r="F39" i="32" s="1"/>
  <c r="E35" i="32"/>
  <c r="E38" i="32" s="1"/>
  <c r="E36" i="32"/>
  <c r="E39" i="32" s="1"/>
  <c r="C35" i="32"/>
  <c r="C38" i="32" s="1"/>
  <c r="B35" i="32"/>
  <c r="B38" i="32" s="1"/>
  <c r="B36" i="32"/>
  <c r="B39" i="32" s="1"/>
  <c r="D35" i="32"/>
  <c r="D38" i="32" s="1"/>
  <c r="D36" i="32"/>
  <c r="D39" i="32" s="1"/>
  <c r="E30" i="32"/>
  <c r="E31" i="32" s="1"/>
  <c r="Q7" i="31"/>
  <c r="U4" i="31"/>
  <c r="U6" i="31" s="1"/>
  <c r="U7" i="31" s="1"/>
  <c r="D23" i="32"/>
  <c r="E23" i="32"/>
  <c r="F23" i="32" s="1"/>
  <c r="Y4" i="31"/>
  <c r="Y6" i="31" s="1"/>
  <c r="Y7" i="31" s="1"/>
  <c r="D24" i="32"/>
  <c r="X4" i="31"/>
  <c r="X6" i="31" s="1"/>
  <c r="X7" i="31" s="1"/>
  <c r="B67" i="35"/>
  <c r="B6" i="35"/>
  <c r="B47" i="35"/>
  <c r="B27" i="35"/>
  <c r="C28" i="32"/>
  <c r="C30" i="32" s="1"/>
  <c r="C31" i="32" s="1"/>
  <c r="B28" i="35"/>
  <c r="B7" i="35"/>
  <c r="B68" i="35"/>
  <c r="B48" i="35"/>
  <c r="D28" i="32"/>
  <c r="D30" i="32" s="1"/>
  <c r="D31" i="32" s="1"/>
  <c r="B28" i="32"/>
  <c r="B30" i="32" s="1"/>
  <c r="B31" i="32" s="1"/>
  <c r="J2" i="35"/>
  <c r="R13" i="35" l="1"/>
  <c r="C47" i="35"/>
  <c r="D47" i="35" s="1"/>
  <c r="E47" i="35" s="1"/>
  <c r="F47" i="35" s="1"/>
  <c r="G47" i="35" s="1"/>
  <c r="H47" i="35" s="1"/>
  <c r="I47" i="35" s="1"/>
  <c r="J47" i="35" s="1"/>
  <c r="K47" i="35" s="1"/>
  <c r="C6" i="35"/>
  <c r="D6" i="35" s="1"/>
  <c r="E6" i="35" s="1"/>
  <c r="F6" i="35" s="1"/>
  <c r="G6" i="35" s="1"/>
  <c r="H6" i="35" s="1"/>
  <c r="I6" i="35" s="1"/>
  <c r="J6" i="35" s="1"/>
  <c r="K6" i="35" s="1"/>
  <c r="B9" i="35"/>
  <c r="B13" i="35"/>
  <c r="C34" i="35"/>
  <c r="B34" i="35" s="1"/>
  <c r="C36" i="32"/>
  <c r="C39" i="32" s="1"/>
  <c r="F75" i="35"/>
  <c r="C68" i="35"/>
  <c r="D68" i="35" s="1"/>
  <c r="E68" i="35" s="1"/>
  <c r="F68" i="35" s="1"/>
  <c r="G68" i="35" s="1"/>
  <c r="H68" i="35" s="1"/>
  <c r="I68" i="35" s="1"/>
  <c r="J68" i="35" s="1"/>
  <c r="K68" i="35" s="1"/>
  <c r="G74" i="35"/>
  <c r="B72" i="35"/>
  <c r="C72" i="35" s="1"/>
  <c r="D72" i="35" s="1"/>
  <c r="E72" i="35" s="1"/>
  <c r="F72" i="35" s="1"/>
  <c r="G72" i="35" s="1"/>
  <c r="H72" i="35" s="1"/>
  <c r="I72" i="35" s="1"/>
  <c r="J72" i="35" s="1"/>
  <c r="C27" i="35"/>
  <c r="D27" i="35" s="1"/>
  <c r="E27" i="35" s="1"/>
  <c r="F27" i="35" s="1"/>
  <c r="G27" i="35" s="1"/>
  <c r="H27" i="35" s="1"/>
  <c r="I27" i="35" s="1"/>
  <c r="J27" i="35" s="1"/>
  <c r="K27" i="35" s="1"/>
  <c r="B30" i="35"/>
  <c r="C48" i="35"/>
  <c r="D48" i="35" s="1"/>
  <c r="E48" i="35" s="1"/>
  <c r="F48" i="35" s="1"/>
  <c r="G48" i="35" s="1"/>
  <c r="H48" i="35" s="1"/>
  <c r="I48" i="35" s="1"/>
  <c r="J48" i="35" s="1"/>
  <c r="K48" i="35" s="1"/>
  <c r="F54" i="35"/>
  <c r="B52" i="35"/>
  <c r="C52" i="35" s="1"/>
  <c r="D52" i="35" s="1"/>
  <c r="E52" i="35" s="1"/>
  <c r="F52" i="35" s="1"/>
  <c r="G52" i="35" s="1"/>
  <c r="H52" i="35" s="1"/>
  <c r="I52" i="35" s="1"/>
  <c r="J52" i="35" s="1"/>
  <c r="C67" i="35"/>
  <c r="D67" i="35" s="1"/>
  <c r="E67" i="35" s="1"/>
  <c r="F67" i="35" s="1"/>
  <c r="G67" i="35" s="1"/>
  <c r="H67" i="35" s="1"/>
  <c r="I67" i="35" s="1"/>
  <c r="J67" i="35" s="1"/>
  <c r="K67" i="35" s="1"/>
  <c r="B70" i="35"/>
  <c r="C70" i="35" s="1"/>
  <c r="C14" i="35"/>
  <c r="D13" i="35"/>
  <c r="C7" i="35"/>
  <c r="D7" i="35" s="1"/>
  <c r="E7" i="35" s="1"/>
  <c r="F7" i="35" s="1"/>
  <c r="G7" i="35" s="1"/>
  <c r="H7" i="35" s="1"/>
  <c r="I7" i="35" s="1"/>
  <c r="J7" i="35" s="1"/>
  <c r="K7" i="35" s="1"/>
  <c r="C28" i="35"/>
  <c r="D28" i="35" s="1"/>
  <c r="E28" i="35" s="1"/>
  <c r="F28" i="35" s="1"/>
  <c r="G28" i="35" s="1"/>
  <c r="H28" i="35" s="1"/>
  <c r="I28" i="35" s="1"/>
  <c r="J28" i="35" s="1"/>
  <c r="K28" i="35" s="1"/>
  <c r="D35" i="35"/>
  <c r="E34" i="35"/>
  <c r="E75" i="35" l="1"/>
  <c r="D75" i="35" s="1"/>
  <c r="C75" i="35" s="1"/>
  <c r="F76" i="35"/>
  <c r="G75" i="35"/>
  <c r="H75" i="35" s="1"/>
  <c r="Q34" i="35"/>
  <c r="C30" i="35"/>
  <c r="D30" i="35" s="1"/>
  <c r="E30" i="35" s="1"/>
  <c r="F30" i="35" s="1"/>
  <c r="G30" i="35" s="1"/>
  <c r="H30" i="35" s="1"/>
  <c r="I30" i="35" s="1"/>
  <c r="J30" i="35" s="1"/>
  <c r="C9" i="35"/>
  <c r="D9" i="35" s="1"/>
  <c r="E9" i="35" s="1"/>
  <c r="F9" i="35" s="1"/>
  <c r="G9" i="35" s="1"/>
  <c r="H9" i="35" s="1"/>
  <c r="I9" i="35" s="1"/>
  <c r="J9" i="35" s="1"/>
  <c r="B11" i="35"/>
  <c r="C11" i="35" s="1"/>
  <c r="D11" i="35" s="1"/>
  <c r="E11" i="35" s="1"/>
  <c r="F11" i="35" s="1"/>
  <c r="G11" i="35" s="1"/>
  <c r="H11" i="35" s="1"/>
  <c r="I11" i="35" s="1"/>
  <c r="J11" i="35" s="1"/>
  <c r="B14" i="35"/>
  <c r="C15" i="35"/>
  <c r="D14" i="35"/>
  <c r="E14" i="35" s="1"/>
  <c r="E74" i="35"/>
  <c r="D74" i="35" s="1"/>
  <c r="C74" i="35" s="1"/>
  <c r="D70" i="35"/>
  <c r="E70" i="35" s="1"/>
  <c r="F70" i="35" s="1"/>
  <c r="G70" i="35" s="1"/>
  <c r="H70" i="35" s="1"/>
  <c r="I70" i="35" s="1"/>
  <c r="J70" i="35" s="1"/>
  <c r="R14" i="35"/>
  <c r="S13" i="35"/>
  <c r="Q13" i="35"/>
  <c r="D36" i="35"/>
  <c r="C35" i="35"/>
  <c r="E35" i="35"/>
  <c r="F35" i="35" s="1"/>
  <c r="B32" i="35"/>
  <c r="C32" i="35" s="1"/>
  <c r="D32" i="35" s="1"/>
  <c r="E32" i="35" s="1"/>
  <c r="F32" i="35" s="1"/>
  <c r="G32" i="35" s="1"/>
  <c r="H32" i="35" s="1"/>
  <c r="I32" i="35" s="1"/>
  <c r="J32" i="35" s="1"/>
  <c r="E55" i="35"/>
  <c r="B50" i="35"/>
  <c r="R34" i="35"/>
  <c r="S34" i="35" s="1"/>
  <c r="D54" i="35" l="1"/>
  <c r="C54" i="35" s="1"/>
  <c r="C50" i="35"/>
  <c r="D50" i="35" s="1"/>
  <c r="E50" i="35" s="1"/>
  <c r="F50" i="35" s="1"/>
  <c r="G50" i="35" s="1"/>
  <c r="H50" i="35" s="1"/>
  <c r="I50" i="35" s="1"/>
  <c r="J50" i="35" s="1"/>
  <c r="D55" i="35"/>
  <c r="C55" i="35" s="1"/>
  <c r="E56" i="35"/>
  <c r="F55" i="35"/>
  <c r="G55" i="35" s="1"/>
  <c r="B74" i="35"/>
  <c r="R74" i="35"/>
  <c r="B35" i="35"/>
  <c r="R35" i="35"/>
  <c r="C16" i="35"/>
  <c r="B15" i="35"/>
  <c r="D15" i="35"/>
  <c r="E15" i="35" s="1"/>
  <c r="F15" i="35" s="1"/>
  <c r="R15" i="35"/>
  <c r="G76" i="35"/>
  <c r="H76" i="35" s="1"/>
  <c r="I76" i="35" s="1"/>
  <c r="E76" i="35"/>
  <c r="D76" i="35" s="1"/>
  <c r="C76" i="35" s="1"/>
  <c r="F77" i="35"/>
  <c r="D37" i="35"/>
  <c r="C36" i="35"/>
  <c r="E36" i="35"/>
  <c r="F36" i="35" s="1"/>
  <c r="G36" i="35" s="1"/>
  <c r="E2" i="36" s="1"/>
  <c r="Q14" i="35"/>
  <c r="S14" i="35"/>
  <c r="B75" i="35"/>
  <c r="R75" i="35"/>
  <c r="F78" i="35" l="1"/>
  <c r="G77" i="35"/>
  <c r="H77" i="35" s="1"/>
  <c r="I77" i="35" s="1"/>
  <c r="J77" i="35" s="1"/>
  <c r="E77" i="35"/>
  <c r="D77" i="35" s="1"/>
  <c r="C77" i="35" s="1"/>
  <c r="S75" i="35"/>
  <c r="Q75" i="35"/>
  <c r="Q74" i="35"/>
  <c r="S74" i="35"/>
  <c r="B76" i="35"/>
  <c r="R76" i="35"/>
  <c r="D56" i="35"/>
  <c r="C56" i="35" s="1"/>
  <c r="E57" i="35"/>
  <c r="F56" i="35"/>
  <c r="G56" i="35" s="1"/>
  <c r="H56" i="35" s="1"/>
  <c r="Q15" i="35"/>
  <c r="S15" i="35"/>
  <c r="B36" i="35"/>
  <c r="R36" i="35"/>
  <c r="J2" i="36" s="1"/>
  <c r="E24" i="36" s="1"/>
  <c r="D16" i="35"/>
  <c r="E16" i="35" s="1"/>
  <c r="F16" i="35" s="1"/>
  <c r="G16" i="35" s="1"/>
  <c r="C17" i="35"/>
  <c r="B16" i="35"/>
  <c r="R16" i="35"/>
  <c r="Q35" i="35"/>
  <c r="S35" i="35"/>
  <c r="B7" i="36"/>
  <c r="C25" i="36"/>
  <c r="F2" i="37"/>
  <c r="B55" i="35"/>
  <c r="R55" i="35"/>
  <c r="D38" i="35"/>
  <c r="C37" i="35"/>
  <c r="E37" i="35"/>
  <c r="F37" i="35" s="1"/>
  <c r="G37" i="35" s="1"/>
  <c r="H37" i="35" s="1"/>
  <c r="B54" i="35"/>
  <c r="R54" i="35"/>
  <c r="Q54" i="35" l="1"/>
  <c r="S54" i="35"/>
  <c r="C2" i="36"/>
  <c r="Q36" i="35"/>
  <c r="S36" i="35"/>
  <c r="L2" i="36" s="1"/>
  <c r="D51" i="36"/>
  <c r="D46" i="36"/>
  <c r="C51" i="36"/>
  <c r="D41" i="36"/>
  <c r="C41" i="36"/>
  <c r="G36" i="36"/>
  <c r="J51" i="36"/>
  <c r="C46" i="36"/>
  <c r="J41" i="36"/>
  <c r="J31" i="36"/>
  <c r="D36" i="36"/>
  <c r="I31" i="36"/>
  <c r="C36" i="36"/>
  <c r="I36" i="36"/>
  <c r="D31" i="36"/>
  <c r="H31" i="36"/>
  <c r="F31" i="36"/>
  <c r="J36" i="36"/>
  <c r="G31" i="36"/>
  <c r="C31" i="36"/>
  <c r="H41" i="36"/>
  <c r="J46" i="36"/>
  <c r="H36" i="36"/>
  <c r="I46" i="36"/>
  <c r="I41" i="36"/>
  <c r="C7" i="36"/>
  <c r="D7" i="36" s="1"/>
  <c r="E7" i="36" s="1"/>
  <c r="F7" i="36" s="1"/>
  <c r="G7" i="36" s="1"/>
  <c r="H7" i="36" s="1"/>
  <c r="I7" i="36" s="1"/>
  <c r="J7" i="36" s="1"/>
  <c r="K7" i="36" s="1"/>
  <c r="D13" i="36"/>
  <c r="B37" i="35"/>
  <c r="R37" i="35"/>
  <c r="S16" i="35"/>
  <c r="Q16" i="35"/>
  <c r="E58" i="35"/>
  <c r="F57" i="35"/>
  <c r="G57" i="35" s="1"/>
  <c r="H57" i="35" s="1"/>
  <c r="I57" i="35" s="1"/>
  <c r="D57" i="35"/>
  <c r="C57" i="35" s="1"/>
  <c r="B17" i="35"/>
  <c r="C18" i="35"/>
  <c r="D17" i="35"/>
  <c r="E17" i="35" s="1"/>
  <c r="F17" i="35" s="1"/>
  <c r="G17" i="35" s="1"/>
  <c r="H17" i="35" s="1"/>
  <c r="R17" i="35"/>
  <c r="Q76" i="35"/>
  <c r="S76" i="35"/>
  <c r="C38" i="35"/>
  <c r="E38" i="35"/>
  <c r="F38" i="35" s="1"/>
  <c r="G38" i="35" s="1"/>
  <c r="H38" i="35" s="1"/>
  <c r="I38" i="35" s="1"/>
  <c r="D39" i="35"/>
  <c r="B77" i="35"/>
  <c r="R77" i="35"/>
  <c r="S55" i="35"/>
  <c r="Q55" i="35"/>
  <c r="B56" i="35"/>
  <c r="R56" i="35"/>
  <c r="G78" i="35"/>
  <c r="H78" i="35" s="1"/>
  <c r="I78" i="35" s="1"/>
  <c r="J78" i="35" s="1"/>
  <c r="K78" i="35" s="1"/>
  <c r="F79" i="35"/>
  <c r="E78" i="35"/>
  <c r="D78" i="35" s="1"/>
  <c r="C78" i="35" s="1"/>
  <c r="B38" i="35" l="1"/>
  <c r="R38" i="35"/>
  <c r="F58" i="35"/>
  <c r="G58" i="35" s="1"/>
  <c r="H58" i="35" s="1"/>
  <c r="I58" i="35" s="1"/>
  <c r="J58" i="35" s="1"/>
  <c r="E59" i="35"/>
  <c r="D58" i="35"/>
  <c r="C58" i="35" s="1"/>
  <c r="I37" i="36"/>
  <c r="H42" i="36"/>
  <c r="G32" i="36"/>
  <c r="B18" i="35"/>
  <c r="C19" i="35"/>
  <c r="D18" i="35"/>
  <c r="E18" i="35" s="1"/>
  <c r="F18" i="35" s="1"/>
  <c r="G18" i="35" s="1"/>
  <c r="H18" i="35" s="1"/>
  <c r="I18" i="35" s="1"/>
  <c r="R18" i="35"/>
  <c r="I47" i="36"/>
  <c r="H37" i="36"/>
  <c r="B6" i="36"/>
  <c r="C24" i="36"/>
  <c r="D2" i="37"/>
  <c r="F32" i="36"/>
  <c r="I32" i="36"/>
  <c r="R13" i="36"/>
  <c r="E25" i="36"/>
  <c r="B78" i="35"/>
  <c r="R78" i="35"/>
  <c r="Q77" i="35"/>
  <c r="S77" i="35"/>
  <c r="Q37" i="35"/>
  <c r="S37" i="35"/>
  <c r="E79" i="35"/>
  <c r="D79" i="35" s="1"/>
  <c r="C79" i="35" s="1"/>
  <c r="F80" i="35"/>
  <c r="G79" i="35"/>
  <c r="H79" i="35" s="1"/>
  <c r="I79" i="35" s="1"/>
  <c r="J79" i="35" s="1"/>
  <c r="K79" i="35" s="1"/>
  <c r="L79" i="35" s="1"/>
  <c r="D40" i="35"/>
  <c r="E39" i="35"/>
  <c r="F39" i="35" s="1"/>
  <c r="G39" i="35" s="1"/>
  <c r="H39" i="35" s="1"/>
  <c r="I39" i="35" s="1"/>
  <c r="J39" i="35" s="1"/>
  <c r="C39" i="35"/>
  <c r="S17" i="35"/>
  <c r="Q17" i="35"/>
  <c r="Q56" i="35"/>
  <c r="S56" i="35"/>
  <c r="I42" i="36"/>
  <c r="G37" i="36"/>
  <c r="B57" i="35"/>
  <c r="R57" i="35"/>
  <c r="H32" i="36"/>
  <c r="B58" i="35" l="1"/>
  <c r="R58" i="35"/>
  <c r="Q78" i="35"/>
  <c r="S78" i="35"/>
  <c r="C20" i="35"/>
  <c r="D19" i="35"/>
  <c r="E19" i="35" s="1"/>
  <c r="F19" i="35" s="1"/>
  <c r="G19" i="35" s="1"/>
  <c r="H19" i="35" s="1"/>
  <c r="I19" i="35" s="1"/>
  <c r="J19" i="35" s="1"/>
  <c r="B19" i="35"/>
  <c r="R19" i="35"/>
  <c r="B39" i="35"/>
  <c r="R39" i="35"/>
  <c r="C40" i="35"/>
  <c r="D41" i="35"/>
  <c r="E40" i="35"/>
  <c r="F40" i="35" s="1"/>
  <c r="G40" i="35" s="1"/>
  <c r="H40" i="35" s="1"/>
  <c r="I40" i="35" s="1"/>
  <c r="J40" i="35" s="1"/>
  <c r="K40" i="35" s="1"/>
  <c r="F81" i="35"/>
  <c r="G80" i="35"/>
  <c r="H80" i="35" s="1"/>
  <c r="I80" i="35" s="1"/>
  <c r="J80" i="35" s="1"/>
  <c r="K80" i="35" s="1"/>
  <c r="L80" i="35" s="1"/>
  <c r="M80" i="35" s="1"/>
  <c r="E80" i="35"/>
  <c r="D80" i="35" s="1"/>
  <c r="C80" i="35" s="1"/>
  <c r="B79" i="35"/>
  <c r="R79" i="35"/>
  <c r="J47" i="36"/>
  <c r="J52" i="36"/>
  <c r="J37" i="36"/>
  <c r="J42" i="36"/>
  <c r="J32" i="36"/>
  <c r="S18" i="35"/>
  <c r="Q18" i="35"/>
  <c r="D59" i="35"/>
  <c r="C59" i="35" s="1"/>
  <c r="F59" i="35"/>
  <c r="G59" i="35" s="1"/>
  <c r="H59" i="35" s="1"/>
  <c r="I59" i="35" s="1"/>
  <c r="J59" i="35" s="1"/>
  <c r="K59" i="35" s="1"/>
  <c r="E60" i="35"/>
  <c r="S57" i="35"/>
  <c r="Q57" i="35"/>
  <c r="C6" i="36"/>
  <c r="D6" i="36" s="1"/>
  <c r="E6" i="36" s="1"/>
  <c r="F6" i="36" s="1"/>
  <c r="G6" i="36" s="1"/>
  <c r="H6" i="36" s="1"/>
  <c r="I6" i="36" s="1"/>
  <c r="J6" i="36" s="1"/>
  <c r="K6" i="36" s="1"/>
  <c r="B13" i="36"/>
  <c r="B11" i="36"/>
  <c r="C14" i="36"/>
  <c r="Q38" i="35"/>
  <c r="S38" i="35"/>
  <c r="C21" i="35" l="1"/>
  <c r="D20" i="35"/>
  <c r="E20" i="35" s="1"/>
  <c r="F20" i="35" s="1"/>
  <c r="G20" i="35" s="1"/>
  <c r="H20" i="35" s="1"/>
  <c r="I20" i="35" s="1"/>
  <c r="J20" i="35" s="1"/>
  <c r="K20" i="35" s="1"/>
  <c r="B20" i="35"/>
  <c r="R20" i="35"/>
  <c r="F60" i="35"/>
  <c r="G60" i="35" s="1"/>
  <c r="H60" i="35" s="1"/>
  <c r="I60" i="35" s="1"/>
  <c r="J60" i="35" s="1"/>
  <c r="K60" i="35" s="1"/>
  <c r="L60" i="35" s="1"/>
  <c r="E61" i="35"/>
  <c r="D60" i="35"/>
  <c r="C60" i="35" s="1"/>
  <c r="D42" i="35"/>
  <c r="E41" i="35"/>
  <c r="F41" i="35" s="1"/>
  <c r="G41" i="35" s="1"/>
  <c r="H41" i="35" s="1"/>
  <c r="I41" i="35" s="1"/>
  <c r="J41" i="35" s="1"/>
  <c r="K41" i="35" s="1"/>
  <c r="L41" i="35" s="1"/>
  <c r="C41" i="35"/>
  <c r="C15" i="36"/>
  <c r="D14" i="36"/>
  <c r="D29" i="36"/>
  <c r="C32" i="36" s="1"/>
  <c r="B14" i="36"/>
  <c r="R14" i="36"/>
  <c r="S19" i="35"/>
  <c r="Q19" i="35"/>
  <c r="B40" i="35"/>
  <c r="R40" i="35"/>
  <c r="B59" i="35"/>
  <c r="R59" i="35"/>
  <c r="Q13" i="36"/>
  <c r="P13" i="36"/>
  <c r="S13" i="36"/>
  <c r="B80" i="35"/>
  <c r="R80" i="35"/>
  <c r="E81" i="35"/>
  <c r="D81" i="35" s="1"/>
  <c r="C81" i="35" s="1"/>
  <c r="G81" i="35"/>
  <c r="H81" i="35" s="1"/>
  <c r="I81" i="35" s="1"/>
  <c r="J81" i="35" s="1"/>
  <c r="K81" i="35" s="1"/>
  <c r="L81" i="35" s="1"/>
  <c r="M81" i="35" s="1"/>
  <c r="N81" i="35" s="1"/>
  <c r="F82" i="35"/>
  <c r="C11" i="36"/>
  <c r="D11" i="36" s="1"/>
  <c r="E11" i="36" s="1"/>
  <c r="F11" i="36" s="1"/>
  <c r="G11" i="36" s="1"/>
  <c r="H11" i="36" s="1"/>
  <c r="I11" i="36" s="1"/>
  <c r="J11" i="36" s="1"/>
  <c r="B9" i="36"/>
  <c r="C9" i="36" s="1"/>
  <c r="D9" i="36" s="1"/>
  <c r="E9" i="36" s="1"/>
  <c r="F9" i="36" s="1"/>
  <c r="G9" i="36" s="1"/>
  <c r="H9" i="36" s="1"/>
  <c r="I9" i="36" s="1"/>
  <c r="J9" i="36" s="1"/>
  <c r="Q79" i="35"/>
  <c r="S79" i="35"/>
  <c r="Q39" i="35"/>
  <c r="S39" i="35"/>
  <c r="S58" i="35"/>
  <c r="Q58" i="35"/>
  <c r="D43" i="35" l="1"/>
  <c r="E42" i="35"/>
  <c r="F42" i="35" s="1"/>
  <c r="G42" i="35" s="1"/>
  <c r="H42" i="35" s="1"/>
  <c r="I42" i="35" s="1"/>
  <c r="J42" i="35" s="1"/>
  <c r="K42" i="35" s="1"/>
  <c r="L42" i="35" s="1"/>
  <c r="M42" i="35" s="1"/>
  <c r="C42" i="35"/>
  <c r="S59" i="35"/>
  <c r="Q59" i="35"/>
  <c r="B81" i="35"/>
  <c r="R81" i="35"/>
  <c r="D15" i="36"/>
  <c r="C16" i="36"/>
  <c r="B15" i="36"/>
  <c r="D34" i="36"/>
  <c r="C37" i="36" s="1"/>
  <c r="Q14" i="36"/>
  <c r="S14" i="36"/>
  <c r="C29" i="36"/>
  <c r="P14" i="36"/>
  <c r="E14" i="36"/>
  <c r="F29" i="36" s="1"/>
  <c r="E29" i="36"/>
  <c r="B41" i="35"/>
  <c r="R41" i="35"/>
  <c r="B60" i="35"/>
  <c r="R60" i="35"/>
  <c r="F61" i="35"/>
  <c r="G61" i="35" s="1"/>
  <c r="H61" i="35" s="1"/>
  <c r="I61" i="35" s="1"/>
  <c r="J61" i="35" s="1"/>
  <c r="K61" i="35" s="1"/>
  <c r="L61" i="35" s="1"/>
  <c r="M61" i="35" s="1"/>
  <c r="D61" i="35"/>
  <c r="C61" i="35" s="1"/>
  <c r="E62" i="35"/>
  <c r="F83" i="35"/>
  <c r="G82" i="35"/>
  <c r="H82" i="35" s="1"/>
  <c r="I82" i="35" s="1"/>
  <c r="J82" i="35" s="1"/>
  <c r="K82" i="35" s="1"/>
  <c r="L82" i="35" s="1"/>
  <c r="M82" i="35" s="1"/>
  <c r="N82" i="35" s="1"/>
  <c r="O82" i="35" s="1"/>
  <c r="E82" i="35"/>
  <c r="D82" i="35" s="1"/>
  <c r="C82" i="35" s="1"/>
  <c r="S20" i="35"/>
  <c r="Q20" i="35"/>
  <c r="S40" i="35"/>
  <c r="Q40" i="35"/>
  <c r="S80" i="35"/>
  <c r="Q80" i="35"/>
  <c r="C22" i="35"/>
  <c r="B21" i="35"/>
  <c r="D21" i="35"/>
  <c r="E21" i="35" s="1"/>
  <c r="F21" i="35" s="1"/>
  <c r="G21" i="35" s="1"/>
  <c r="H21" i="35" s="1"/>
  <c r="I21" i="35" s="1"/>
  <c r="J21" i="35" s="1"/>
  <c r="K21" i="35" s="1"/>
  <c r="L21" i="35" s="1"/>
  <c r="R21" i="35"/>
  <c r="S60" i="35" l="1"/>
  <c r="Q60" i="35"/>
  <c r="B42" i="35"/>
  <c r="R42" i="35"/>
  <c r="S81" i="35"/>
  <c r="Q81" i="35"/>
  <c r="S21" i="35"/>
  <c r="Q21" i="35"/>
  <c r="G83" i="35"/>
  <c r="H83" i="35" s="1"/>
  <c r="I83" i="35" s="1"/>
  <c r="J83" i="35" s="1"/>
  <c r="K83" i="35" s="1"/>
  <c r="L83" i="35" s="1"/>
  <c r="M83" i="35" s="1"/>
  <c r="N83" i="35" s="1"/>
  <c r="O83" i="35" s="1"/>
  <c r="P83" i="35" s="1"/>
  <c r="E83" i="35"/>
  <c r="D83" i="35" s="1"/>
  <c r="C83" i="35" s="1"/>
  <c r="E30" i="36"/>
  <c r="E32" i="36"/>
  <c r="E15" i="36"/>
  <c r="E34" i="36"/>
  <c r="B82" i="35"/>
  <c r="R82" i="35"/>
  <c r="B22" i="35"/>
  <c r="D22" i="35"/>
  <c r="E22" i="35" s="1"/>
  <c r="F22" i="35" s="1"/>
  <c r="G22" i="35" s="1"/>
  <c r="H22" i="35" s="1"/>
  <c r="I22" i="35" s="1"/>
  <c r="J22" i="35" s="1"/>
  <c r="K22" i="35" s="1"/>
  <c r="L22" i="35" s="1"/>
  <c r="M22" i="35" s="1"/>
  <c r="R22" i="35"/>
  <c r="Q41" i="35"/>
  <c r="S41" i="35"/>
  <c r="E63" i="35"/>
  <c r="F62" i="35"/>
  <c r="G62" i="35" s="1"/>
  <c r="H62" i="35" s="1"/>
  <c r="I62" i="35" s="1"/>
  <c r="J62" i="35" s="1"/>
  <c r="K62" i="35" s="1"/>
  <c r="L62" i="35" s="1"/>
  <c r="M62" i="35" s="1"/>
  <c r="N62" i="35" s="1"/>
  <c r="D62" i="35"/>
  <c r="C62" i="35" s="1"/>
  <c r="C34" i="36"/>
  <c r="B61" i="35"/>
  <c r="R61" i="35"/>
  <c r="D39" i="36"/>
  <c r="C42" i="36" s="1"/>
  <c r="D16" i="36"/>
  <c r="C17" i="36"/>
  <c r="B16" i="36"/>
  <c r="C43" i="35"/>
  <c r="E43" i="35"/>
  <c r="F43" i="35" s="1"/>
  <c r="G43" i="35" s="1"/>
  <c r="H43" i="35" s="1"/>
  <c r="I43" i="35" s="1"/>
  <c r="J43" i="35" s="1"/>
  <c r="K43" i="35" s="1"/>
  <c r="L43" i="35" s="1"/>
  <c r="M43" i="35" s="1"/>
  <c r="N43" i="35" s="1"/>
  <c r="E31" i="36" l="1"/>
  <c r="D32" i="36" s="1"/>
  <c r="L32" i="36" s="1"/>
  <c r="L30" i="36"/>
  <c r="Q42" i="35"/>
  <c r="S42" i="35"/>
  <c r="C39" i="36"/>
  <c r="D17" i="36"/>
  <c r="C18" i="36"/>
  <c r="B17" i="36"/>
  <c r="D44" i="36"/>
  <c r="C47" i="36" s="1"/>
  <c r="E39" i="36"/>
  <c r="E16" i="36"/>
  <c r="M30" i="36"/>
  <c r="S61" i="35"/>
  <c r="Q61" i="35"/>
  <c r="F15" i="36"/>
  <c r="F34" i="36"/>
  <c r="E35" i="36" s="1"/>
  <c r="B43" i="35"/>
  <c r="R43" i="35"/>
  <c r="B83" i="35"/>
  <c r="R83" i="35"/>
  <c r="Q22" i="35"/>
  <c r="S22" i="35"/>
  <c r="B62" i="35"/>
  <c r="R62" i="35"/>
  <c r="Q82" i="35"/>
  <c r="S82" i="35"/>
  <c r="D63" i="35"/>
  <c r="C63" i="35" s="1"/>
  <c r="F63" i="35"/>
  <c r="G63" i="35" s="1"/>
  <c r="H63" i="35" s="1"/>
  <c r="I63" i="35" s="1"/>
  <c r="J63" i="35" s="1"/>
  <c r="K63" i="35" s="1"/>
  <c r="L63" i="35" s="1"/>
  <c r="M63" i="35" s="1"/>
  <c r="N63" i="35" s="1"/>
  <c r="O63" i="35" s="1"/>
  <c r="R15" i="36"/>
  <c r="S15" i="36" s="1"/>
  <c r="E9" i="37" l="1"/>
  <c r="E13" i="37"/>
  <c r="E7" i="37"/>
  <c r="E12" i="37"/>
  <c r="E6" i="37"/>
  <c r="E11" i="37"/>
  <c r="E10" i="37"/>
  <c r="E8" i="37"/>
  <c r="E14" i="37"/>
  <c r="E5" i="37"/>
  <c r="S43" i="35"/>
  <c r="Q43" i="35"/>
  <c r="E36" i="36"/>
  <c r="D37" i="36" s="1"/>
  <c r="G34" i="36"/>
  <c r="Q15" i="36"/>
  <c r="P15" i="36"/>
  <c r="Q83" i="35"/>
  <c r="S83" i="35"/>
  <c r="C44" i="36"/>
  <c r="D49" i="36"/>
  <c r="C52" i="36" s="1"/>
  <c r="D18" i="36"/>
  <c r="B18" i="36"/>
  <c r="C19" i="36"/>
  <c r="F39" i="36"/>
  <c r="E40" i="36" s="1"/>
  <c r="F16" i="36"/>
  <c r="R16" i="36"/>
  <c r="Q62" i="35"/>
  <c r="S62" i="35"/>
  <c r="B63" i="35"/>
  <c r="R63" i="35"/>
  <c r="E17" i="36"/>
  <c r="E44" i="36"/>
  <c r="F6" i="37"/>
  <c r="F10" i="37"/>
  <c r="F14" i="37"/>
  <c r="F5" i="37"/>
  <c r="F11" i="37"/>
  <c r="F7" i="37"/>
  <c r="M32" i="36"/>
  <c r="F13" i="37"/>
  <c r="F12" i="37"/>
  <c r="F8" i="37"/>
  <c r="F9" i="37"/>
  <c r="H2" i="37" l="1"/>
  <c r="N30" i="36"/>
  <c r="F17" i="36"/>
  <c r="F44" i="36"/>
  <c r="E45" i="36" s="1"/>
  <c r="F35" i="36"/>
  <c r="F37" i="36"/>
  <c r="C20" i="36"/>
  <c r="B19" i="36"/>
  <c r="D19" i="36"/>
  <c r="E19" i="36" s="1"/>
  <c r="F19" i="36" s="1"/>
  <c r="G19" i="36" s="1"/>
  <c r="H19" i="36" s="1"/>
  <c r="I19" i="36" s="1"/>
  <c r="J19" i="36" s="1"/>
  <c r="R19" i="36"/>
  <c r="G5" i="37"/>
  <c r="H5" i="37"/>
  <c r="E41" i="36"/>
  <c r="D42" i="36" s="1"/>
  <c r="H10" i="37"/>
  <c r="H11" i="37"/>
  <c r="G11" i="37"/>
  <c r="H6" i="37"/>
  <c r="G6" i="37"/>
  <c r="Q63" i="35"/>
  <c r="S63" i="35"/>
  <c r="H13" i="37"/>
  <c r="G13" i="37"/>
  <c r="C49" i="36"/>
  <c r="H12" i="37"/>
  <c r="G12" i="37"/>
  <c r="E49" i="36"/>
  <c r="E18" i="36"/>
  <c r="G7" i="37"/>
  <c r="H7" i="37"/>
  <c r="N32" i="36"/>
  <c r="G14" i="37"/>
  <c r="H14" i="37"/>
  <c r="G16" i="36"/>
  <c r="G39" i="36"/>
  <c r="F40" i="36" s="1"/>
  <c r="F41" i="36" s="1"/>
  <c r="E42" i="36" s="1"/>
  <c r="H8" i="37"/>
  <c r="G8" i="37"/>
  <c r="G9" i="37"/>
  <c r="H9" i="37"/>
  <c r="F36" i="36" l="1"/>
  <c r="E37" i="36" s="1"/>
  <c r="L37" i="36" s="1"/>
  <c r="L35" i="36"/>
  <c r="M35" i="36"/>
  <c r="E46" i="36"/>
  <c r="D47" i="36" s="1"/>
  <c r="F49" i="36"/>
  <c r="E50" i="36" s="1"/>
  <c r="F18" i="36"/>
  <c r="G44" i="36"/>
  <c r="F45" i="36" s="1"/>
  <c r="F46" i="36" s="1"/>
  <c r="E47" i="36" s="1"/>
  <c r="G17" i="36"/>
  <c r="P19" i="36"/>
  <c r="Q19" i="36"/>
  <c r="S19" i="36"/>
  <c r="I6" i="37"/>
  <c r="J6" i="37" s="1"/>
  <c r="I7" i="37"/>
  <c r="J7" i="37" s="1"/>
  <c r="I9" i="37"/>
  <c r="J9" i="37" s="1"/>
  <c r="I14" i="37"/>
  <c r="J14" i="37" s="1"/>
  <c r="K21" i="37"/>
  <c r="L21" i="37" s="1"/>
  <c r="K22" i="37"/>
  <c r="L22" i="37" s="1"/>
  <c r="I12" i="37"/>
  <c r="J12" i="37" s="1"/>
  <c r="I5" i="37"/>
  <c r="J5" i="37" s="1"/>
  <c r="K27" i="37"/>
  <c r="L27" i="37" s="1"/>
  <c r="K24" i="37"/>
  <c r="L24" i="37" s="1"/>
  <c r="I10" i="37"/>
  <c r="J10" i="37" s="1"/>
  <c r="I11" i="37"/>
  <c r="J11" i="37" s="1"/>
  <c r="I13" i="37"/>
  <c r="J13" i="37" s="1"/>
  <c r="K20" i="37"/>
  <c r="L20" i="37" s="1"/>
  <c r="K25" i="37"/>
  <c r="L25" i="37" s="1"/>
  <c r="K18" i="37"/>
  <c r="L18" i="37" s="1"/>
  <c r="K19" i="37"/>
  <c r="L19" i="37" s="1"/>
  <c r="I8" i="37"/>
  <c r="J8" i="37" s="1"/>
  <c r="K23" i="37"/>
  <c r="L23" i="37" s="1"/>
  <c r="K26" i="37"/>
  <c r="L26" i="37" s="1"/>
  <c r="H39" i="36"/>
  <c r="P16" i="36"/>
  <c r="Q16" i="36"/>
  <c r="S16" i="36"/>
  <c r="G10" i="37"/>
  <c r="D20" i="36"/>
  <c r="E20" i="36" s="1"/>
  <c r="F20" i="36" s="1"/>
  <c r="G20" i="36" s="1"/>
  <c r="H20" i="36" s="1"/>
  <c r="I20" i="36" s="1"/>
  <c r="J20" i="36" s="1"/>
  <c r="K20" i="36" s="1"/>
  <c r="B20" i="36"/>
  <c r="C21" i="36"/>
  <c r="R20" i="36"/>
  <c r="E51" i="36" l="1"/>
  <c r="D52" i="36" s="1"/>
  <c r="G40" i="36"/>
  <c r="G42" i="36"/>
  <c r="D21" i="36"/>
  <c r="E21" i="36" s="1"/>
  <c r="F21" i="36" s="1"/>
  <c r="G21" i="36" s="1"/>
  <c r="H21" i="36" s="1"/>
  <c r="I21" i="36" s="1"/>
  <c r="J21" i="36" s="1"/>
  <c r="K21" i="36" s="1"/>
  <c r="L21" i="36" s="1"/>
  <c r="C22" i="36"/>
  <c r="B21" i="36"/>
  <c r="R21" i="36"/>
  <c r="H44" i="36"/>
  <c r="G45" i="36" s="1"/>
  <c r="H17" i="36"/>
  <c r="R17" i="36"/>
  <c r="S17" i="36" s="1"/>
  <c r="H20" i="37"/>
  <c r="H19" i="37"/>
  <c r="H25" i="37"/>
  <c r="H21" i="37"/>
  <c r="H26" i="37"/>
  <c r="H24" i="37"/>
  <c r="H23" i="37"/>
  <c r="H18" i="37"/>
  <c r="H27" i="37"/>
  <c r="H22" i="37"/>
  <c r="G18" i="36"/>
  <c r="G49" i="36"/>
  <c r="F50" i="36" s="1"/>
  <c r="F51" i="36" s="1"/>
  <c r="E52" i="36" s="1"/>
  <c r="P20" i="36"/>
  <c r="Q20" i="36"/>
  <c r="S20" i="36"/>
  <c r="M37" i="36"/>
  <c r="N35" i="36" s="1"/>
  <c r="J18" i="37" l="1"/>
  <c r="I18" i="37"/>
  <c r="I23" i="37"/>
  <c r="J23" i="37"/>
  <c r="G41" i="36"/>
  <c r="F42" i="36" s="1"/>
  <c r="L42" i="36" s="1"/>
  <c r="L40" i="36"/>
  <c r="M40" i="36"/>
  <c r="J21" i="37"/>
  <c r="I21" i="37"/>
  <c r="I25" i="37"/>
  <c r="J25" i="37"/>
  <c r="B22" i="36"/>
  <c r="D22" i="36"/>
  <c r="E22" i="36" s="1"/>
  <c r="F22" i="36" s="1"/>
  <c r="G22" i="36" s="1"/>
  <c r="H22" i="36" s="1"/>
  <c r="I22" i="36" s="1"/>
  <c r="J22" i="36" s="1"/>
  <c r="K22" i="36" s="1"/>
  <c r="L22" i="36" s="1"/>
  <c r="M22" i="36" s="1"/>
  <c r="R22" i="36"/>
  <c r="I24" i="37"/>
  <c r="J24" i="37"/>
  <c r="I44" i="36"/>
  <c r="Q17" i="36"/>
  <c r="P17" i="36"/>
  <c r="H49" i="36"/>
  <c r="G50" i="36" s="1"/>
  <c r="H18" i="36"/>
  <c r="N37" i="36"/>
  <c r="Q21" i="36"/>
  <c r="S21" i="36"/>
  <c r="P21" i="36"/>
  <c r="J22" i="37"/>
  <c r="I22" i="37"/>
  <c r="I27" i="37"/>
  <c r="J27" i="37"/>
  <c r="I19" i="37"/>
  <c r="J19" i="37"/>
  <c r="I20" i="37"/>
  <c r="J20" i="37"/>
  <c r="I26" i="37"/>
  <c r="J26" i="37"/>
  <c r="G46" i="36"/>
  <c r="F47" i="36" s="1"/>
  <c r="Q22" i="36" l="1"/>
  <c r="S22" i="36"/>
  <c r="P22" i="36"/>
  <c r="G51" i="36"/>
  <c r="F52" i="36" s="1"/>
  <c r="H45" i="36"/>
  <c r="H47" i="36"/>
  <c r="I49" i="36"/>
  <c r="H50" i="36" s="1"/>
  <c r="H51" i="36" s="1"/>
  <c r="G52" i="36" s="1"/>
  <c r="I18" i="36"/>
  <c r="M42" i="36"/>
  <c r="N40" i="36" s="1"/>
  <c r="R18" i="36"/>
  <c r="S18" i="36" s="1"/>
  <c r="N42" i="36" l="1"/>
  <c r="J49" i="36"/>
  <c r="P18" i="36"/>
  <c r="Q18" i="36"/>
  <c r="H46" i="36"/>
  <c r="G47" i="36" s="1"/>
  <c r="L47" i="36" s="1"/>
  <c r="M47" i="36" s="1"/>
  <c r="N45" i="36" s="1"/>
  <c r="L45" i="36"/>
  <c r="M45" i="36"/>
  <c r="I50" i="36" l="1"/>
  <c r="I52" i="36"/>
  <c r="N47" i="36"/>
  <c r="I51" i="36" l="1"/>
  <c r="H52" i="36" s="1"/>
  <c r="L52" i="36" s="1"/>
  <c r="M52" i="36" s="1"/>
  <c r="N50" i="36" s="1"/>
  <c r="M50" i="36"/>
  <c r="L50" i="36"/>
  <c r="N52" i="36" l="1"/>
</calcChain>
</file>

<file path=xl/sharedStrings.xml><?xml version="1.0" encoding="utf-8"?>
<sst xmlns="http://schemas.openxmlformats.org/spreadsheetml/2006/main" count="547" uniqueCount="195">
  <si>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</si>
  <si>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</si>
  <si>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</si>
  <si>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</si>
  <si>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</si>
  <si>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</si>
  <si>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</si>
  <si>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</si>
  <si>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</si>
  <si>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</si>
  <si>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</si>
  <si>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</si>
  <si>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</si>
  <si>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</si>
  <si>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</si>
  <si>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</si>
  <si>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</si>
  <si>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</si>
  <si>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</si>
  <si>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</si>
  <si>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</si>
  <si>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</si>
  <si>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</si>
  <si>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</si>
  <si>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</si>
  <si>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</si>
  <si>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</si>
  <si>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</si>
  <si>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</si>
  <si>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</si>
  <si>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</si>
  <si>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</si>
  <si>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</si>
  <si>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</si>
  <si>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</si>
  <si>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</si>
  <si>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</si>
  <si>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</si>
  <si>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</si>
  <si>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</si>
  <si>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</si>
  <si>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</si>
  <si>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</si>
  <si>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</si>
  <si>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</si>
  <si>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</si>
  <si>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Win ER</t>
  </si>
  <si>
    <t>Lose ER</t>
  </si>
  <si>
    <t>Total ER</t>
  </si>
  <si>
    <t>Level1</t>
  </si>
  <si>
    <t>Level2</t>
  </si>
  <si>
    <t>Level3</t>
  </si>
  <si>
    <t>Level4</t>
  </si>
  <si>
    <t>Level5</t>
  </si>
  <si>
    <t>Bank roll</t>
  </si>
  <si>
    <t>Let Lose</t>
  </si>
  <si>
    <t>Unit</t>
  </si>
  <si>
    <t>Multiplier</t>
  </si>
  <si>
    <t>Return</t>
  </si>
  <si>
    <t>Blackjack MAC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</si>
  <si>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</si>
  <si>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</si>
  <si>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</si>
  <si>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</si>
  <si>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</si>
  <si>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</si>
  <si>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</si>
  <si>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</si>
  <si>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</si>
  <si>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</si>
  <si>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</si>
  <si>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</si>
  <si>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</si>
  <si>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</si>
  <si>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</si>
  <si>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</si>
  <si>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</si>
  <si>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</si>
  <si>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</si>
  <si>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</si>
  <si>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</si>
  <si>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</si>
  <si>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</si>
  <si>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Total Lost ER</t>
  </si>
  <si>
    <t>Total Win ER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</si>
  <si>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</si>
  <si>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</si>
  <si>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</si>
  <si>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</si>
  <si>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</si>
  <si>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</si>
  <si>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</si>
  <si>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</si>
  <si>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2 Level Bankroll</t>
  </si>
  <si>
    <t>3 Level Bankroll</t>
  </si>
  <si>
    <t>Levels</t>
  </si>
  <si>
    <t xml:space="preserve">x 2 </t>
  </si>
  <si>
    <t>x 3</t>
  </si>
  <si>
    <t>x 4</t>
  </si>
  <si>
    <t>x 5</t>
  </si>
  <si>
    <t>x 6</t>
  </si>
  <si>
    <t>Suggest Bankroll</t>
  </si>
  <si>
    <t>lost</t>
  </si>
  <si>
    <t>win</t>
  </si>
  <si>
    <t>Hit After Split Ace</t>
  </si>
  <si>
    <t>Max :5</t>
  </si>
  <si>
    <t>Max :100</t>
  </si>
  <si>
    <t>Min :0</t>
  </si>
  <si>
    <t>Pay Instantly</t>
  </si>
  <si>
    <t>Normal</t>
  </si>
  <si>
    <t>H</t>
  </si>
  <si>
    <t>D</t>
  </si>
  <si>
    <t>S</t>
  </si>
  <si>
    <t>R</t>
  </si>
  <si>
    <t xml:space="preserve">P </t>
  </si>
  <si>
    <t>Probabilities</t>
  </si>
  <si>
    <t>Actions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</si>
  <si>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</si>
  <si>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</si>
  <si>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</si>
  <si>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</si>
  <si>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</si>
  <si>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</si>
  <si>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</si>
  <si>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</si>
  <si>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</si>
  <si>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</si>
  <si>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</si>
  <si>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</si>
  <si>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</si>
  <si>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</si>
  <si>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</si>
  <si>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</si>
  <si>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</si>
  <si>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</si>
  <si>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</si>
  <si>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</si>
  <si>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</si>
  <si>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</si>
  <si>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</si>
  <si>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</si>
  <si>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</si>
  <si>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</si>
  <si>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</si>
  <si>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</si>
  <si>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</si>
  <si>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</si>
  <si>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</si>
  <si>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</si>
  <si>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</si>
  <si>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</si>
  <si>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</si>
  <si>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for 8 times saftey</t>
  </si>
  <si>
    <t>Total Bankroll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</si>
  <si>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</si>
  <si>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</si>
  <si>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</si>
  <si>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</si>
  <si>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</si>
  <si>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</si>
  <si>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</si>
  <si>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</si>
  <si>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</si>
  <si>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Sequence</t>
  </si>
  <si>
    <t>Strategy 2</t>
  </si>
  <si>
    <t>Strategy 3</t>
  </si>
  <si>
    <t>Strategy 4</t>
  </si>
  <si>
    <t>Win</t>
  </si>
  <si>
    <t>Lose</t>
  </si>
  <si>
    <t>INV</t>
  </si>
  <si>
    <t>Wratio</t>
  </si>
  <si>
    <t>Lratio</t>
  </si>
  <si>
    <t>Total INV</t>
  </si>
  <si>
    <t>AVG INV</t>
  </si>
  <si>
    <t>AVG Retrun</t>
  </si>
  <si>
    <t>ROI</t>
  </si>
  <si>
    <t>Bet Edge</t>
  </si>
  <si>
    <t>Just Enough</t>
  </si>
  <si>
    <t>3 x 2</t>
  </si>
  <si>
    <t>Exp Return</t>
  </si>
  <si>
    <t>1st</t>
  </si>
  <si>
    <t>2nd</t>
  </si>
  <si>
    <t>Kick Start</t>
  </si>
  <si>
    <t>Strategy:</t>
  </si>
  <si>
    <t>Half Edge</t>
  </si>
  <si>
    <t>3rd</t>
  </si>
  <si>
    <t>4th</t>
  </si>
  <si>
    <t>5th</t>
  </si>
  <si>
    <t>ROI:</t>
  </si>
  <si>
    <t>1 x 2</t>
  </si>
  <si>
    <t>1 x 3</t>
  </si>
  <si>
    <t>1 x 4</t>
  </si>
  <si>
    <t>1 x 5</t>
  </si>
  <si>
    <t>1 x 6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</si>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</sst>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* #,##0.00000_);_(* \(#,##0.000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1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7">
    <xf numFmtId="0" fontId="0" fillId="0" borderId="0" xfId="0"/>
    <xf numFmtId="0" fontId="0" fillId="0" borderId="1" xfId="0" applyBorder="1"/>
    <xf numFmtId="0" fontId="0" fillId="0" borderId="3" xfId="0" applyBorder="1"/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8" fillId="3" borderId="5" xfId="0" applyFont="1" applyFill="1" applyBorder="1" applyAlignment="1">
      <alignment horizontal="center"/>
    </xf>
    <xf numFmtId="164" fontId="6" fillId="3" borderId="3" xfId="1" applyNumberFormat="1" applyFont="1" applyFill="1" applyBorder="1"/>
    <xf numFmtId="164" fontId="6" fillId="3" borderId="1" xfId="1" applyNumberFormat="1" applyFont="1" applyFill="1" applyBorder="1"/>
    <xf numFmtId="164" fontId="6" fillId="3" borderId="16" xfId="1" applyNumberFormat="1" applyFont="1" applyFill="1" applyBorder="1"/>
    <xf numFmtId="0" fontId="8" fillId="2" borderId="7" xfId="0" applyFont="1" applyFill="1" applyBorder="1" applyAlignment="1">
      <alignment horizontal="center"/>
    </xf>
    <xf numFmtId="164" fontId="6" fillId="2" borderId="8" xfId="1" applyNumberFormat="1" applyFont="1" applyFill="1" applyBorder="1"/>
    <xf numFmtId="164" fontId="6" fillId="2" borderId="9" xfId="1" applyNumberFormat="1" applyFont="1" applyFill="1" applyBorder="1"/>
    <xf numFmtId="164" fontId="6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9" fillId="4" borderId="1" xfId="18" applyFont="1" applyFill="1" applyBorder="1" applyAlignment="1">
      <alignment horizontal="center" vertical="center"/>
    </xf>
    <xf numFmtId="0" fontId="2" fillId="0" borderId="0" xfId="18"/>
    <xf numFmtId="0" fontId="2" fillId="0" borderId="1" xfId="18" applyBorder="1" applyAlignment="1">
      <alignment horizontal="center" vertical="center"/>
    </xf>
    <xf numFmtId="0" fontId="11" fillId="4" borderId="1" xfId="18" applyFont="1" applyFill="1" applyBorder="1" applyAlignment="1">
      <alignment horizontal="center" vertical="center"/>
    </xf>
    <xf numFmtId="0" fontId="2" fillId="0" borderId="0" xfId="18" applyBorder="1" applyAlignment="1">
      <alignment horizontal="center" vertical="center"/>
    </xf>
    <xf numFmtId="0" fontId="9" fillId="4" borderId="24" xfId="18" applyFont="1" applyFill="1" applyBorder="1"/>
    <xf numFmtId="0" fontId="9" fillId="4" borderId="25" xfId="18" applyFont="1" applyFill="1" applyBorder="1"/>
    <xf numFmtId="0" fontId="2" fillId="0" borderId="9" xfId="18" applyBorder="1"/>
    <xf numFmtId="0" fontId="2" fillId="0" borderId="0" xfId="18" applyFill="1" applyBorder="1" applyAlignment="1">
      <alignment horizontal="center" vertical="center"/>
    </xf>
    <xf numFmtId="0" fontId="10" fillId="0" borderId="0" xfId="18" applyFont="1"/>
    <xf numFmtId="165" fontId="0" fillId="0" borderId="0" xfId="19" applyNumberFormat="1" applyFont="1"/>
    <xf numFmtId="0" fontId="9" fillId="4" borderId="26" xfId="18" applyFont="1" applyFill="1" applyBorder="1" applyAlignment="1">
      <alignment horizontal="center" vertical="center"/>
    </xf>
    <xf numFmtId="0" fontId="9" fillId="4" borderId="27" xfId="18" applyFont="1" applyFill="1" applyBorder="1" applyAlignment="1">
      <alignment horizontal="center" vertical="center"/>
    </xf>
    <xf numFmtId="0" fontId="9" fillId="4" borderId="28" xfId="18" applyFont="1" applyFill="1" applyBorder="1" applyAlignment="1">
      <alignment horizontal="center" vertical="center"/>
    </xf>
    <xf numFmtId="0" fontId="9" fillId="4" borderId="19" xfId="18" applyFont="1" applyFill="1" applyBorder="1" applyAlignment="1">
      <alignment horizontal="center" vertical="center"/>
    </xf>
    <xf numFmtId="0" fontId="2" fillId="0" borderId="14" xfId="18" applyBorder="1" applyAlignment="1">
      <alignment horizontal="center" vertical="center"/>
    </xf>
    <xf numFmtId="0" fontId="11" fillId="4" borderId="14" xfId="18" applyFont="1" applyFill="1" applyBorder="1" applyAlignment="1">
      <alignment horizontal="center" vertical="center"/>
    </xf>
    <xf numFmtId="0" fontId="9" fillId="4" borderId="29" xfId="18" applyFont="1" applyFill="1" applyBorder="1" applyAlignment="1">
      <alignment horizontal="center" vertical="center"/>
    </xf>
    <xf numFmtId="0" fontId="2" fillId="0" borderId="16" xfId="18" applyBorder="1" applyAlignment="1">
      <alignment horizontal="center" vertical="center"/>
    </xf>
    <xf numFmtId="0" fontId="2" fillId="0" borderId="17" xfId="18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3" xfId="18" applyFont="1" applyBorder="1"/>
    <xf numFmtId="0" fontId="10" fillId="0" borderId="32" xfId="18" applyFont="1" applyBorder="1"/>
    <xf numFmtId="0" fontId="10" fillId="0" borderId="24" xfId="18" applyFont="1" applyBorder="1"/>
    <xf numFmtId="0" fontId="13" fillId="7" borderId="17" xfId="18" applyFont="1" applyFill="1" applyBorder="1"/>
    <xf numFmtId="0" fontId="7" fillId="0" borderId="1" xfId="0" applyFont="1" applyBorder="1"/>
    <xf numFmtId="164" fontId="6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6" fillId="2" borderId="27" xfId="1" applyNumberFormat="1" applyFont="1" applyFill="1" applyBorder="1"/>
    <xf numFmtId="164" fontId="6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64" fontId="8" fillId="3" borderId="27" xfId="1" applyNumberFormat="1" applyFont="1" applyFill="1" applyBorder="1" applyAlignment="1">
      <alignment horizontal="center"/>
    </xf>
    <xf numFmtId="164" fontId="8" fillId="2" borderId="27" xfId="1" applyNumberFormat="1" applyFont="1" applyFill="1" applyBorder="1" applyAlignment="1">
      <alignment horizontal="center"/>
    </xf>
    <xf numFmtId="164" fontId="6" fillId="2" borderId="16" xfId="1" applyNumberFormat="1" applyFont="1" applyFill="1" applyBorder="1"/>
    <xf numFmtId="164" fontId="6" fillId="3" borderId="5" xfId="1" applyNumberFormat="1" applyFont="1" applyFill="1" applyBorder="1"/>
    <xf numFmtId="10" fontId="0" fillId="0" borderId="0" xfId="0" applyNumberFormat="1"/>
    <xf numFmtId="0" fontId="9" fillId="4" borderId="36" xfId="18" applyFont="1" applyFill="1" applyBorder="1" applyAlignment="1">
      <alignment horizontal="center" vertical="center"/>
    </xf>
    <xf numFmtId="0" fontId="2" fillId="0" borderId="22" xfId="18" applyBorder="1" applyAlignment="1">
      <alignment horizontal="center" vertical="center"/>
    </xf>
    <xf numFmtId="0" fontId="2" fillId="0" borderId="5" xfId="18" applyBorder="1" applyAlignment="1">
      <alignment horizontal="center" vertical="center"/>
    </xf>
    <xf numFmtId="0" fontId="2" fillId="0" borderId="6" xfId="18" applyBorder="1" applyAlignment="1">
      <alignment horizontal="center" vertical="center"/>
    </xf>
    <xf numFmtId="0" fontId="2" fillId="0" borderId="26" xfId="18" applyBorder="1"/>
    <xf numFmtId="0" fontId="2" fillId="0" borderId="28" xfId="18" applyBorder="1"/>
    <xf numFmtId="10" fontId="2" fillId="0" borderId="27" xfId="1" applyNumberFormat="1" applyFont="1" applyBorder="1"/>
    <xf numFmtId="2" fontId="2" fillId="0" borderId="27" xfId="18" applyNumberFormat="1" applyBorder="1"/>
    <xf numFmtId="0" fontId="10" fillId="0" borderId="39" xfId="18" applyFont="1" applyBorder="1"/>
    <xf numFmtId="0" fontId="10" fillId="0" borderId="40" xfId="18" applyFont="1" applyBorder="1"/>
    <xf numFmtId="0" fontId="10" fillId="0" borderId="41" xfId="18" applyFont="1" applyBorder="1"/>
    <xf numFmtId="0" fontId="2" fillId="0" borderId="36" xfId="18" applyBorder="1"/>
    <xf numFmtId="10" fontId="2" fillId="0" borderId="22" xfId="1" applyNumberFormat="1" applyFont="1" applyBorder="1"/>
    <xf numFmtId="2" fontId="2" fillId="0" borderId="22" xfId="18" applyNumberFormat="1" applyBorder="1"/>
    <xf numFmtId="0" fontId="2" fillId="0" borderId="23" xfId="18" applyBorder="1"/>
    <xf numFmtId="0" fontId="2" fillId="0" borderId="43" xfId="18" applyBorder="1"/>
    <xf numFmtId="10" fontId="2" fillId="0" borderId="45" xfId="1" applyNumberFormat="1" applyFont="1" applyBorder="1"/>
    <xf numFmtId="0" fontId="2" fillId="0" borderId="45" xfId="18" applyBorder="1"/>
    <xf numFmtId="0" fontId="2" fillId="0" borderId="46" xfId="18" applyBorder="1"/>
    <xf numFmtId="0" fontId="2" fillId="0" borderId="4" xfId="18" applyBorder="1"/>
    <xf numFmtId="10" fontId="2" fillId="0" borderId="5" xfId="1" applyNumberFormat="1" applyFont="1" applyBorder="1"/>
    <xf numFmtId="2" fontId="2" fillId="0" borderId="5" xfId="18" applyNumberFormat="1" applyBorder="1"/>
    <xf numFmtId="0" fontId="2" fillId="0" borderId="6" xfId="18" applyBorder="1"/>
    <xf numFmtId="0" fontId="2" fillId="0" borderId="1" xfId="18" applyBorder="1"/>
    <xf numFmtId="0" fontId="9" fillId="4" borderId="48" xfId="18" applyFont="1" applyFill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10" fontId="2" fillId="0" borderId="0" xfId="18" applyNumberFormat="1"/>
    <xf numFmtId="0" fontId="2" fillId="0" borderId="35" xfId="18" applyBorder="1"/>
    <xf numFmtId="0" fontId="9" fillId="4" borderId="50" xfId="18" applyFont="1" applyFill="1" applyBorder="1" applyAlignment="1">
      <alignment horizontal="center" vertical="center"/>
    </xf>
    <xf numFmtId="0" fontId="9" fillId="4" borderId="22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1" fillId="4" borderId="23" xfId="18" applyFont="1" applyFill="1" applyBorder="1" applyAlignment="1">
      <alignment horizontal="center" vertical="center"/>
    </xf>
    <xf numFmtId="0" fontId="2" fillId="0" borderId="26" xfId="18" applyBorder="1" applyAlignment="1">
      <alignment horizontal="center" vertical="center"/>
    </xf>
    <xf numFmtId="0" fontId="2" fillId="0" borderId="27" xfId="18" applyBorder="1" applyAlignment="1">
      <alignment horizontal="center" vertical="center"/>
    </xf>
    <xf numFmtId="0" fontId="2" fillId="0" borderId="28" xfId="18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9" fillId="4" borderId="34" xfId="18" applyFont="1" applyFill="1" applyBorder="1" applyAlignment="1">
      <alignment horizontal="center" vertical="center"/>
    </xf>
    <xf numFmtId="10" fontId="2" fillId="0" borderId="48" xfId="1" applyNumberFormat="1" applyFont="1" applyBorder="1" applyAlignment="1">
      <alignment horizontal="center" vertical="center"/>
    </xf>
    <xf numFmtId="10" fontId="2" fillId="0" borderId="51" xfId="1" applyNumberFormat="1" applyFont="1" applyBorder="1" applyAlignment="1">
      <alignment horizontal="center" vertical="center"/>
    </xf>
    <xf numFmtId="0" fontId="2" fillId="0" borderId="4" xfId="18" applyBorder="1" applyAlignment="1">
      <alignment horizontal="center" vertical="center"/>
    </xf>
    <xf numFmtId="10" fontId="13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0" fillId="0" borderId="52" xfId="0" applyBorder="1"/>
    <xf numFmtId="0" fontId="0" fillId="0" borderId="25" xfId="0" applyBorder="1"/>
    <xf numFmtId="0" fontId="0" fillId="0" borderId="34" xfId="0" applyBorder="1"/>
    <xf numFmtId="0" fontId="0" fillId="0" borderId="55" xfId="0" applyBorder="1"/>
    <xf numFmtId="0" fontId="0" fillId="0" borderId="31" xfId="0" applyBorder="1"/>
    <xf numFmtId="0" fontId="0" fillId="0" borderId="56" xfId="0" applyBorder="1"/>
    <xf numFmtId="166" fontId="0" fillId="0" borderId="14" xfId="20" applyNumberFormat="1" applyFont="1" applyBorder="1"/>
    <xf numFmtId="166" fontId="0" fillId="0" borderId="17" xfId="20" applyNumberFormat="1" applyFont="1" applyBorder="1"/>
    <xf numFmtId="0" fontId="10" fillId="0" borderId="57" xfId="18" applyFont="1" applyBorder="1"/>
    <xf numFmtId="0" fontId="0" fillId="0" borderId="53" xfId="0" applyBorder="1"/>
    <xf numFmtId="166" fontId="0" fillId="0" borderId="28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166" fontId="0" fillId="0" borderId="26" xfId="20" applyNumberFormat="1" applyFont="1" applyBorder="1"/>
    <xf numFmtId="0" fontId="0" fillId="0" borderId="21" xfId="0" applyBorder="1"/>
    <xf numFmtId="0" fontId="0" fillId="0" borderId="61" xfId="0" applyBorder="1"/>
    <xf numFmtId="0" fontId="0" fillId="0" borderId="36" xfId="0" applyBorder="1"/>
    <xf numFmtId="0" fontId="0" fillId="0" borderId="51" xfId="0" applyBorder="1"/>
    <xf numFmtId="0" fontId="0" fillId="0" borderId="37" xfId="0" applyBorder="1"/>
    <xf numFmtId="0" fontId="0" fillId="0" borderId="2" xfId="0" applyBorder="1"/>
    <xf numFmtId="0" fontId="0" fillId="0" borderId="4" xfId="0" applyBorder="1" applyAlignment="1"/>
    <xf numFmtId="0" fontId="0" fillId="0" borderId="39" xfId="0" applyBorder="1" applyAlignment="1"/>
    <xf numFmtId="0" fontId="0" fillId="0" borderId="41" xfId="0" applyBorder="1"/>
    <xf numFmtId="0" fontId="0" fillId="0" borderId="62" xfId="0" applyBorder="1"/>
    <xf numFmtId="0" fontId="10" fillId="0" borderId="26" xfId="18" applyFont="1" applyFill="1" applyBorder="1"/>
    <xf numFmtId="0" fontId="10" fillId="0" borderId="27" xfId="18" applyFont="1" applyFill="1" applyBorder="1"/>
    <xf numFmtId="0" fontId="10" fillId="0" borderId="28" xfId="18" applyFont="1" applyFill="1" applyBorder="1"/>
    <xf numFmtId="0" fontId="2" fillId="0" borderId="20" xfId="18" applyBorder="1"/>
    <xf numFmtId="10" fontId="0" fillId="0" borderId="3" xfId="1" applyNumberFormat="1" applyFont="1" applyBorder="1"/>
    <xf numFmtId="2" fontId="2" fillId="0" borderId="3" xfId="18" applyNumberFormat="1" applyBorder="1"/>
    <xf numFmtId="0" fontId="2" fillId="0" borderId="13" xfId="18" applyBorder="1"/>
    <xf numFmtId="0" fontId="2" fillId="0" borderId="34" xfId="18" applyBorder="1" applyAlignment="1">
      <alignment horizontal="center"/>
    </xf>
    <xf numFmtId="0" fontId="2" fillId="0" borderId="18" xfId="18" applyBorder="1" applyAlignment="1">
      <alignment horizontal="center"/>
    </xf>
    <xf numFmtId="0" fontId="10" fillId="0" borderId="29" xfId="18" applyFont="1" applyFill="1" applyBorder="1"/>
    <xf numFmtId="0" fontId="10" fillId="0" borderId="16" xfId="18" applyFont="1" applyFill="1" applyBorder="1"/>
    <xf numFmtId="0" fontId="10" fillId="0" borderId="17" xfId="18" applyFont="1" applyFill="1" applyBorder="1"/>
    <xf numFmtId="0" fontId="0" fillId="0" borderId="64" xfId="0" applyBorder="1"/>
    <xf numFmtId="167" fontId="2" fillId="0" borderId="5" xfId="20" applyNumberFormat="1" applyFont="1" applyBorder="1"/>
    <xf numFmtId="0" fontId="2" fillId="0" borderId="5" xfId="18" applyBorder="1"/>
    <xf numFmtId="0" fontId="2" fillId="0" borderId="47" xfId="18" applyBorder="1"/>
    <xf numFmtId="10" fontId="0" fillId="0" borderId="22" xfId="1" applyNumberFormat="1" applyFont="1" applyBorder="1"/>
    <xf numFmtId="0" fontId="12" fillId="0" borderId="0" xfId="0" applyFont="1" applyBorder="1" applyAlignment="1"/>
    <xf numFmtId="0" fontId="0" fillId="0" borderId="0" xfId="0" applyBorder="1"/>
    <xf numFmtId="0" fontId="0" fillId="0" borderId="50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2" fillId="0" borderId="32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7" xfId="18" applyBorder="1" applyAlignment="1">
      <alignment horizontal="center"/>
    </xf>
    <xf numFmtId="0" fontId="2" fillId="0" borderId="44" xfId="18" applyBorder="1" applyAlignment="1">
      <alignment horizontal="center"/>
    </xf>
    <xf numFmtId="0" fontId="9" fillId="4" borderId="26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0" fillId="0" borderId="38" xfId="0" applyBorder="1"/>
    <xf numFmtId="0" fontId="9" fillId="4" borderId="26" xfId="18" applyFont="1" applyFill="1" applyBorder="1" applyAlignment="1">
      <alignment horizontal="left" vertical="center"/>
    </xf>
    <xf numFmtId="0" fontId="10" fillId="0" borderId="28" xfId="18" applyFont="1" applyBorder="1"/>
    <xf numFmtId="0" fontId="10" fillId="0" borderId="17" xfId="18" applyFont="1" applyBorder="1"/>
    <xf numFmtId="0" fontId="0" fillId="0" borderId="39" xfId="0" applyBorder="1"/>
    <xf numFmtId="0" fontId="0" fillId="0" borderId="40" xfId="0" applyBorder="1"/>
    <xf numFmtId="0" fontId="0" fillId="0" borderId="1" xfId="0" applyFont="1" applyBorder="1"/>
    <xf numFmtId="0" fontId="0" fillId="0" borderId="19" xfId="0" applyFont="1" applyBorder="1"/>
    <xf numFmtId="0" fontId="0" fillId="0" borderId="14" xfId="0" applyFont="1" applyBorder="1"/>
    <xf numFmtId="0" fontId="0" fillId="0" borderId="29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53" xfId="0" applyFont="1" applyBorder="1"/>
    <xf numFmtId="0" fontId="0" fillId="0" borderId="31" xfId="0" applyFont="1" applyBorder="1"/>
    <xf numFmtId="0" fontId="0" fillId="0" borderId="5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50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1" xfId="0" applyFont="1" applyBorder="1"/>
    <xf numFmtId="0" fontId="0" fillId="0" borderId="65" xfId="0" applyBorder="1"/>
    <xf numFmtId="0" fontId="0" fillId="0" borderId="25" xfId="0" applyFill="1" applyBorder="1"/>
    <xf numFmtId="0" fontId="0" fillId="0" borderId="66" xfId="0" applyFill="1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16" xfId="0" applyFill="1" applyBorder="1"/>
    <xf numFmtId="0" fontId="0" fillId="8" borderId="17" xfId="0" applyFill="1" applyBorder="1"/>
    <xf numFmtId="0" fontId="2" fillId="0" borderId="34" xfId="18" applyBorder="1" applyAlignment="1"/>
    <xf numFmtId="0" fontId="2" fillId="0" borderId="35" xfId="18" applyBorder="1" applyAlignment="1"/>
    <xf numFmtId="0" fontId="9" fillId="4" borderId="26" xfId="18" applyFont="1" applyFill="1" applyBorder="1" applyAlignment="1">
      <alignment horizontal="left" vertical="center"/>
    </xf>
    <xf numFmtId="0" fontId="0" fillId="0" borderId="61" xfId="0" applyFill="1" applyBorder="1"/>
    <xf numFmtId="0" fontId="0" fillId="8" borderId="36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8" xfId="0" applyFill="1" applyBorder="1" applyAlignment="1" applyProtection="1">
      <alignment horizontal="left"/>
      <protection locked="0"/>
    </xf>
    <xf numFmtId="0" fontId="0" fillId="7" borderId="33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  <protection locked="0"/>
    </xf>
    <xf numFmtId="10" fontId="2" fillId="0" borderId="0" xfId="1" applyNumberFormat="1" applyFont="1"/>
    <xf numFmtId="0" fontId="7" fillId="0" borderId="0" xfId="0" applyFont="1" applyBorder="1" applyAlignment="1"/>
    <xf numFmtId="10" fontId="0" fillId="0" borderId="1" xfId="1" applyNumberFormat="1" applyFont="1" applyBorder="1"/>
    <xf numFmtId="10" fontId="7" fillId="0" borderId="0" xfId="0" applyNumberFormat="1" applyFont="1" applyBorder="1" applyAlignment="1"/>
    <xf numFmtId="0" fontId="9" fillId="4" borderId="26" xfId="18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2" fillId="0" borderId="0" xfId="18" applyBorder="1"/>
    <xf numFmtId="10" fontId="0" fillId="0" borderId="0" xfId="1" applyNumberFormat="1" applyFont="1" applyBorder="1"/>
    <xf numFmtId="0" fontId="0" fillId="8" borderId="27" xfId="0" applyFill="1" applyBorder="1"/>
    <xf numFmtId="0" fontId="7" fillId="0" borderId="59" xfId="0" applyFont="1" applyBorder="1" applyAlignment="1">
      <alignment horizontal="center"/>
    </xf>
    <xf numFmtId="0" fontId="0" fillId="0" borderId="49" xfId="0" applyBorder="1"/>
    <xf numFmtId="0" fontId="7" fillId="0" borderId="50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0" fillId="0" borderId="69" xfId="0" applyBorder="1"/>
    <xf numFmtId="0" fontId="2" fillId="0" borderId="0" xfId="18" applyFont="1" applyFill="1"/>
    <xf numFmtId="0" fontId="0" fillId="0" borderId="0" xfId="0" applyFont="1"/>
    <xf numFmtId="0" fontId="10" fillId="0" borderId="0" xfId="18" applyFont="1" applyFill="1"/>
    <xf numFmtId="0" fontId="9" fillId="4" borderId="26" xfId="18" applyFont="1" applyFill="1" applyBorder="1" applyAlignment="1">
      <alignment horizontal="left" vertical="center"/>
    </xf>
    <xf numFmtId="0" fontId="9" fillId="4" borderId="26" xfId="18" applyFont="1" applyFill="1" applyBorder="1" applyAlignment="1">
      <alignment horizontal="left" vertical="center"/>
    </xf>
    <xf numFmtId="0" fontId="0" fillId="0" borderId="9" xfId="0" applyBorder="1"/>
    <xf numFmtId="0" fontId="0" fillId="0" borderId="12" xfId="0" applyBorder="1"/>
    <xf numFmtId="0" fontId="0" fillId="0" borderId="60" xfId="0" applyBorder="1"/>
    <xf numFmtId="0" fontId="9" fillId="4" borderId="64" xfId="18" applyFont="1" applyFill="1" applyBorder="1" applyAlignment="1">
      <alignment horizontal="left" vertical="center"/>
    </xf>
    <xf numFmtId="0" fontId="9" fillId="4" borderId="67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1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19" xfId="0" applyNumberFormat="1" applyBorder="1"/>
    <xf numFmtId="0" fontId="0" fillId="0" borderId="29" xfId="0" applyNumberFormat="1" applyBorder="1"/>
    <xf numFmtId="0" fontId="0" fillId="0" borderId="16" xfId="0" applyNumberFormat="1" applyBorder="1"/>
    <xf numFmtId="0" fontId="0" fillId="0" borderId="39" xfId="0" applyNumberFormat="1" applyBorder="1"/>
    <xf numFmtId="0" fontId="0" fillId="0" borderId="40" xfId="0" applyNumberFormat="1" applyBorder="1"/>
    <xf numFmtId="0" fontId="0" fillId="0" borderId="37" xfId="0" applyNumberFormat="1" applyBorder="1"/>
    <xf numFmtId="0" fontId="0" fillId="0" borderId="53" xfId="0" applyNumberFormat="1" applyBorder="1"/>
    <xf numFmtId="0" fontId="0" fillId="0" borderId="31" xfId="0" applyNumberFormat="1" applyBorder="1"/>
    <xf numFmtId="0" fontId="0" fillId="0" borderId="56" xfId="0" applyNumberFormat="1" applyBorder="1"/>
    <xf numFmtId="0" fontId="0" fillId="0" borderId="57" xfId="0" applyBorder="1"/>
    <xf numFmtId="0" fontId="0" fillId="0" borderId="32" xfId="0" applyBorder="1"/>
    <xf numFmtId="0" fontId="0" fillId="0" borderId="24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15" xfId="0" applyBorder="1"/>
    <xf numFmtId="0" fontId="0" fillId="0" borderId="58" xfId="0" applyBorder="1"/>
    <xf numFmtId="0" fontId="7" fillId="0" borderId="3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3" fontId="0" fillId="0" borderId="1" xfId="20" applyFont="1" applyBorder="1"/>
    <xf numFmtId="43" fontId="0" fillId="0" borderId="16" xfId="20" applyFont="1" applyBorder="1"/>
    <xf numFmtId="43" fontId="0" fillId="0" borderId="3" xfId="20" applyFont="1" applyBorder="1"/>
    <xf numFmtId="0" fontId="0" fillId="0" borderId="5" xfId="0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43" fontId="0" fillId="0" borderId="20" xfId="20" applyFont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43" fontId="0" fillId="0" borderId="1" xfId="0" applyNumberFormat="1" applyBorder="1"/>
    <xf numFmtId="166" fontId="0" fillId="0" borderId="55" xfId="20" applyNumberFormat="1" applyFont="1" applyBorder="1"/>
    <xf numFmtId="166" fontId="0" fillId="0" borderId="20" xfId="20" applyNumberFormat="1" applyFont="1" applyBorder="1"/>
    <xf numFmtId="166" fontId="0" fillId="0" borderId="31" xfId="20" applyNumberFormat="1" applyFont="1" applyBorder="1"/>
    <xf numFmtId="166" fontId="0" fillId="0" borderId="56" xfId="20" applyNumberFormat="1" applyFont="1" applyBorder="1"/>
    <xf numFmtId="166" fontId="0" fillId="0" borderId="1" xfId="20" applyNumberFormat="1" applyFont="1" applyBorder="1"/>
    <xf numFmtId="43" fontId="0" fillId="0" borderId="1" xfId="20" applyNumberFormat="1" applyFont="1" applyBorder="1"/>
    <xf numFmtId="43" fontId="0" fillId="0" borderId="14" xfId="0" applyNumberFormat="1" applyBorder="1"/>
    <xf numFmtId="166" fontId="0" fillId="0" borderId="16" xfId="20" applyNumberFormat="1" applyFont="1" applyBorder="1"/>
    <xf numFmtId="43" fontId="0" fillId="0" borderId="16" xfId="20" applyNumberFormat="1" applyFont="1" applyBorder="1"/>
    <xf numFmtId="43" fontId="0" fillId="0" borderId="16" xfId="0" applyNumberFormat="1" applyBorder="1"/>
    <xf numFmtId="43" fontId="0" fillId="0" borderId="17" xfId="0" applyNumberFormat="1" applyBorder="1"/>
    <xf numFmtId="166" fontId="0" fillId="0" borderId="3" xfId="20" applyNumberFormat="1" applyFont="1" applyBorder="1"/>
    <xf numFmtId="43" fontId="0" fillId="0" borderId="3" xfId="0" applyNumberFormat="1" applyBorder="1"/>
    <xf numFmtId="43" fontId="0" fillId="0" borderId="13" xfId="0" applyNumberFormat="1" applyBorder="1"/>
    <xf numFmtId="0" fontId="7" fillId="0" borderId="6" xfId="0" applyFont="1" applyFill="1" applyBorder="1" applyAlignment="1">
      <alignment horizontal="center"/>
    </xf>
    <xf numFmtId="43" fontId="0" fillId="0" borderId="27" xfId="20" applyFont="1" applyBorder="1"/>
    <xf numFmtId="43" fontId="0" fillId="0" borderId="28" xfId="0" applyNumberFormat="1" applyBorder="1"/>
    <xf numFmtId="43" fontId="0" fillId="0" borderId="46" xfId="0" applyNumberFormat="1" applyBorder="1"/>
    <xf numFmtId="43" fontId="0" fillId="0" borderId="26" xfId="20" applyFont="1" applyBorder="1"/>
    <xf numFmtId="43" fontId="0" fillId="0" borderId="43" xfId="20" applyFont="1" applyBorder="1"/>
    <xf numFmtId="43" fontId="0" fillId="0" borderId="45" xfId="20" applyFont="1" applyBorder="1"/>
    <xf numFmtId="166" fontId="0" fillId="0" borderId="63" xfId="20" applyNumberFormat="1" applyFont="1" applyBorder="1"/>
    <xf numFmtId="166" fontId="0" fillId="0" borderId="24" xfId="20" applyNumberFormat="1" applyFont="1" applyBorder="1"/>
    <xf numFmtId="166" fontId="0" fillId="0" borderId="71" xfId="20" applyNumberFormat="1" applyFont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5" xfId="0" applyNumberFormat="1" applyBorder="1"/>
    <xf numFmtId="43" fontId="0" fillId="0" borderId="27" xfId="20" applyNumberFormat="1" applyFont="1" applyBorder="1"/>
    <xf numFmtId="43" fontId="0" fillId="0" borderId="28" xfId="20" applyNumberFormat="1" applyFont="1" applyBorder="1"/>
    <xf numFmtId="43" fontId="0" fillId="0" borderId="14" xfId="20" applyNumberFormat="1" applyFont="1" applyBorder="1"/>
    <xf numFmtId="43" fontId="0" fillId="0" borderId="17" xfId="20" applyNumberFormat="1" applyFont="1" applyBorder="1"/>
    <xf numFmtId="0" fontId="7" fillId="0" borderId="72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3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42" xfId="0" applyBorder="1"/>
    <xf numFmtId="0" fontId="0" fillId="0" borderId="30" xfId="0" applyBorder="1"/>
    <xf numFmtId="0" fontId="0" fillId="7" borderId="31" xfId="0" applyNumberFormat="1" applyFill="1" applyBorder="1"/>
    <xf numFmtId="0" fontId="0" fillId="7" borderId="19" xfId="0" applyNumberFormat="1" applyFill="1" applyBorder="1"/>
    <xf numFmtId="0" fontId="0" fillId="7" borderId="24" xfId="0" applyFill="1" applyBorder="1"/>
    <xf numFmtId="0" fontId="0" fillId="7" borderId="11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14" xfId="0" applyFill="1" applyBorder="1"/>
    <xf numFmtId="0" fontId="0" fillId="7" borderId="0" xfId="0" applyFill="1"/>
    <xf numFmtId="0" fontId="0" fillId="7" borderId="19" xfId="0" applyFill="1" applyBorder="1"/>
    <xf numFmtId="0" fontId="16" fillId="7" borderId="34" xfId="0" applyFont="1" applyFill="1" applyBorder="1" applyAlignment="1" applyProtection="1">
      <alignment horizontal="center"/>
      <protection locked="0"/>
    </xf>
    <xf numFmtId="0" fontId="16" fillId="7" borderId="18" xfId="0" applyFont="1" applyFill="1" applyBorder="1" applyAlignment="1" applyProtection="1">
      <alignment horizontal="center"/>
      <protection locked="0"/>
    </xf>
    <xf numFmtId="0" fontId="16" fillId="7" borderId="35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5" borderId="3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7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9" fontId="7" fillId="0" borderId="34" xfId="1" applyFont="1" applyBorder="1" applyAlignment="1">
      <alignment horizontal="center"/>
    </xf>
    <xf numFmtId="9" fontId="7" fillId="0" borderId="35" xfId="1" applyFont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0" xfId="0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9" fillId="4" borderId="24" xfId="18" applyFont="1" applyFill="1" applyBorder="1" applyAlignment="1">
      <alignment horizontal="left" vertical="center"/>
    </xf>
    <xf numFmtId="0" fontId="9" fillId="4" borderId="25" xfId="18" applyFont="1" applyFill="1" applyBorder="1" applyAlignment="1">
      <alignment horizontal="left" vertical="center"/>
    </xf>
    <xf numFmtId="0" fontId="9" fillId="4" borderId="31" xfId="18" applyFont="1" applyFill="1" applyBorder="1" applyAlignment="1">
      <alignment horizontal="left" vertical="center"/>
    </xf>
    <xf numFmtId="0" fontId="9" fillId="4" borderId="9" xfId="18" applyFont="1" applyFill="1" applyBorder="1" applyAlignment="1">
      <alignment horizontal="left" vertical="center"/>
    </xf>
    <xf numFmtId="0" fontId="10" fillId="0" borderId="33" xfId="18" applyFont="1" applyBorder="1" applyAlignment="1">
      <alignment horizontal="center" vertical="center"/>
    </xf>
    <xf numFmtId="0" fontId="10" fillId="0" borderId="11" xfId="18" applyFont="1" applyBorder="1" applyAlignment="1">
      <alignment horizontal="center" vertical="center"/>
    </xf>
    <xf numFmtId="0" fontId="10" fillId="0" borderId="12" xfId="18" applyFont="1" applyBorder="1" applyAlignment="1">
      <alignment horizontal="center" vertical="center"/>
    </xf>
    <xf numFmtId="0" fontId="9" fillId="4" borderId="26" xfId="18" applyFont="1" applyFill="1" applyBorder="1" applyAlignment="1">
      <alignment horizontal="left" vertical="center"/>
    </xf>
    <xf numFmtId="0" fontId="9" fillId="4" borderId="27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9" fillId="4" borderId="1" xfId="18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2" fillId="0" borderId="37" xfId="18" applyBorder="1" applyAlignment="1">
      <alignment horizontal="center"/>
    </xf>
    <xf numFmtId="0" fontId="2" fillId="0" borderId="38" xfId="18" applyBorder="1" applyAlignment="1">
      <alignment horizontal="center"/>
    </xf>
    <xf numFmtId="0" fontId="2" fillId="0" borderId="26" xfId="18" applyBorder="1" applyAlignment="1">
      <alignment horizontal="left"/>
    </xf>
    <xf numFmtId="0" fontId="2" fillId="0" borderId="32" xfId="18" applyBorder="1" applyAlignment="1">
      <alignment horizontal="left"/>
    </xf>
    <xf numFmtId="0" fontId="2" fillId="0" borderId="36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" xfId="18" applyBorder="1" applyAlignment="1">
      <alignment horizontal="center"/>
    </xf>
    <xf numFmtId="0" fontId="2" fillId="0" borderId="47" xfId="18" applyBorder="1" applyAlignment="1">
      <alignment horizontal="center"/>
    </xf>
    <xf numFmtId="0" fontId="2" fillId="0" borderId="43" xfId="18" applyBorder="1" applyAlignment="1">
      <alignment horizontal="center"/>
    </xf>
    <xf numFmtId="0" fontId="2" fillId="0" borderId="44" xfId="18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20" xfId="18" applyBorder="1" applyAlignment="1">
      <alignment horizontal="left"/>
    </xf>
    <xf numFmtId="0" fontId="2" fillId="0" borderId="63" xfId="18" applyBorder="1" applyAlignment="1">
      <alignment horizontal="left"/>
    </xf>
    <xf numFmtId="0" fontId="7" fillId="3" borderId="3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0" fillId="0" borderId="34" xfId="18" applyFont="1" applyBorder="1" applyAlignment="1">
      <alignment horizontal="center"/>
    </xf>
    <xf numFmtId="0" fontId="10" fillId="0" borderId="18" xfId="18" applyFont="1" applyBorder="1" applyAlignment="1">
      <alignment horizontal="center"/>
    </xf>
    <xf numFmtId="0" fontId="10" fillId="0" borderId="35" xfId="18" applyFont="1" applyBorder="1" applyAlignment="1">
      <alignment horizontal="center"/>
    </xf>
  </cellXfs>
  <cellStyles count="21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8" xr:uid="{00000000-0005-0000-0000-000012000000}"/>
    <cellStyle name="Percent" xfId="1" builtinId="5"/>
    <cellStyle name="Percent 2" xfId="19" xr:uid="{00000000-0005-0000-0000-000014000000}"/>
  </cellStyles>
  <dxfs count="96"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3"/>
  <sheetViews>
    <sheetView zoomScale="80" zoomScaleNormal="80" zoomScalePageLayoutView="80" workbookViewId="0">
      <selection activeCell="B7" sqref="B7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342" t="s">
        <v>154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4"/>
    </row>
    <row r="2" spans="1:19" ht="22" thickBot="1" x14ac:dyDescent="0.3">
      <c r="A2" s="348" t="s">
        <v>62</v>
      </c>
      <c r="B2" s="349"/>
      <c r="C2" s="349"/>
      <c r="D2" s="349"/>
      <c r="E2" s="349"/>
      <c r="F2" s="350"/>
      <c r="G2" s="230"/>
      <c r="I2" s="351" t="s">
        <v>23</v>
      </c>
      <c r="J2" s="351"/>
      <c r="K2" s="351"/>
      <c r="L2" s="351"/>
      <c r="M2" s="351"/>
      <c r="N2" s="351"/>
      <c r="O2" s="351"/>
      <c r="P2" s="351"/>
      <c r="Q2" s="351"/>
      <c r="R2" s="351"/>
      <c r="S2" s="351"/>
    </row>
    <row r="3" spans="1:19" ht="17" thickBot="1" x14ac:dyDescent="0.25">
      <c r="A3" s="176" t="s">
        <v>75</v>
      </c>
      <c r="B3" s="219" t="s">
        <v>73</v>
      </c>
      <c r="C3" s="164"/>
      <c r="D3" s="204" t="s">
        <v>64</v>
      </c>
      <c r="E3" s="205" t="s">
        <v>73</v>
      </c>
      <c r="F3" s="235" t="s">
        <v>74</v>
      </c>
      <c r="G3" s="206" t="s">
        <v>117</v>
      </c>
      <c r="I3" s="52" t="s">
        <v>9</v>
      </c>
      <c r="J3" s="52" t="s">
        <v>22</v>
      </c>
      <c r="K3" s="52">
        <v>2</v>
      </c>
      <c r="L3" s="52">
        <v>3</v>
      </c>
      <c r="M3" s="52">
        <v>4</v>
      </c>
      <c r="N3" s="52">
        <v>5</v>
      </c>
      <c r="O3" s="52">
        <v>6</v>
      </c>
      <c r="P3" s="52">
        <v>7</v>
      </c>
      <c r="Q3" s="52">
        <v>8</v>
      </c>
      <c r="R3" s="52">
        <v>9</v>
      </c>
      <c r="S3" s="52">
        <v>10</v>
      </c>
    </row>
    <row r="4" spans="1:19" ht="17" thickBot="1" x14ac:dyDescent="0.25">
      <c r="A4" s="176" t="s">
        <v>155</v>
      </c>
      <c r="B4" s="220" t="s">
        <v>6</v>
      </c>
      <c r="C4" s="164"/>
      <c r="D4" s="207" t="s">
        <v>64</v>
      </c>
      <c r="E4" s="203" t="s">
        <v>63</v>
      </c>
      <c r="F4" s="203" t="s">
        <v>6</v>
      </c>
      <c r="G4" s="208"/>
      <c r="I4" s="52" t="s">
        <v>20</v>
      </c>
      <c r="J4" s="53" t="str">
        <f>Summary!C3</f>
        <v>H</v>
      </c>
      <c r="K4" s="53" t="str">
        <f>Summary!D3</f>
        <v>H</v>
      </c>
      <c r="L4" s="53" t="str">
        <f>Summary!E3</f>
        <v>H</v>
      </c>
      <c r="M4" s="53" t="str">
        <f>Summary!F3</f>
        <v>H</v>
      </c>
      <c r="N4" s="53" t="str">
        <f>Summary!G3</f>
        <v>H</v>
      </c>
      <c r="O4" s="53" t="str">
        <f>Summary!H3</f>
        <v>H</v>
      </c>
      <c r="P4" s="53" t="str">
        <f>Summary!I3</f>
        <v>H</v>
      </c>
      <c r="Q4" s="53" t="str">
        <f>Summary!J3</f>
        <v>H</v>
      </c>
      <c r="R4" s="53" t="str">
        <f>Summary!K3</f>
        <v>H</v>
      </c>
      <c r="S4" s="53" t="str">
        <f>Summary!L3</f>
        <v>H</v>
      </c>
    </row>
    <row r="5" spans="1:19" ht="17" thickBot="1" x14ac:dyDescent="0.25">
      <c r="A5" s="176" t="s">
        <v>156</v>
      </c>
      <c r="B5" s="221">
        <v>4</v>
      </c>
      <c r="C5" s="178" t="str">
        <f>"True Count: " &amp; B5-4</f>
        <v>True Count: 0</v>
      </c>
      <c r="D5" s="207" t="s">
        <v>64</v>
      </c>
      <c r="E5" s="203" t="s">
        <v>107</v>
      </c>
      <c r="F5" s="203" t="s">
        <v>106</v>
      </c>
      <c r="G5" s="208"/>
      <c r="I5" s="52">
        <v>9</v>
      </c>
      <c r="J5" s="53" t="str">
        <f>Summary!C4</f>
        <v>H</v>
      </c>
      <c r="K5" s="53" t="str">
        <f>Summary!D4</f>
        <v>H</v>
      </c>
      <c r="L5" s="53" t="str">
        <f>Summary!E4</f>
        <v>D</v>
      </c>
      <c r="M5" s="53" t="str">
        <f>Summary!F4</f>
        <v>D</v>
      </c>
      <c r="N5" s="53" t="str">
        <f>Summary!G4</f>
        <v>D</v>
      </c>
      <c r="O5" s="53" t="str">
        <f>Summary!H4</f>
        <v>D</v>
      </c>
      <c r="P5" s="53" t="str">
        <f>Summary!I4</f>
        <v>H</v>
      </c>
      <c r="Q5" s="53" t="str">
        <f>Summary!J4</f>
        <v>H</v>
      </c>
      <c r="R5" s="53" t="str">
        <f>Summary!K4</f>
        <v>H</v>
      </c>
      <c r="S5" s="53" t="str">
        <f>Summary!L4</f>
        <v>H</v>
      </c>
    </row>
    <row r="6" spans="1:19" ht="17" thickBot="1" x14ac:dyDescent="0.25">
      <c r="A6" s="176" t="s">
        <v>66</v>
      </c>
      <c r="B6" s="222" t="s">
        <v>88</v>
      </c>
      <c r="C6" s="200"/>
      <c r="D6" s="207" t="s">
        <v>64</v>
      </c>
      <c r="E6" s="203" t="s">
        <v>88</v>
      </c>
      <c r="F6" s="203" t="s">
        <v>67</v>
      </c>
      <c r="G6" s="208"/>
      <c r="I6" s="52">
        <v>10</v>
      </c>
      <c r="J6" s="53" t="str">
        <f>Summary!C5</f>
        <v>H</v>
      </c>
      <c r="K6" s="53" t="str">
        <f>Summary!D5</f>
        <v>D</v>
      </c>
      <c r="L6" s="53" t="str">
        <f>Summary!E5</f>
        <v>D</v>
      </c>
      <c r="M6" s="53" t="str">
        <f>Summary!F5</f>
        <v>D</v>
      </c>
      <c r="N6" s="53" t="str">
        <f>Summary!G5</f>
        <v>D</v>
      </c>
      <c r="O6" s="53" t="str">
        <f>Summary!H5</f>
        <v>D</v>
      </c>
      <c r="P6" s="53" t="str">
        <f>Summary!I5</f>
        <v>D</v>
      </c>
      <c r="Q6" s="53" t="str">
        <f>Summary!J5</f>
        <v>D</v>
      </c>
      <c r="R6" s="53" t="str">
        <f>Summary!K5</f>
        <v>D</v>
      </c>
      <c r="S6" s="53" t="str">
        <f>Summary!L5</f>
        <v>H</v>
      </c>
    </row>
    <row r="7" spans="1:19" ht="17" thickBot="1" x14ac:dyDescent="0.25">
      <c r="A7" s="176" t="s">
        <v>72</v>
      </c>
      <c r="B7" s="223" t="s">
        <v>68</v>
      </c>
      <c r="C7" s="123"/>
      <c r="D7" s="207" t="s">
        <v>64</v>
      </c>
      <c r="E7" s="203" t="s">
        <v>68</v>
      </c>
      <c r="F7" s="203" t="s">
        <v>69</v>
      </c>
      <c r="G7" s="208"/>
      <c r="I7" s="52">
        <v>11</v>
      </c>
      <c r="J7" s="53" t="str">
        <f>Summary!C6</f>
        <v>H</v>
      </c>
      <c r="K7" s="53" t="str">
        <f>Summary!D6</f>
        <v>D</v>
      </c>
      <c r="L7" s="53" t="str">
        <f>Summary!E6</f>
        <v>D</v>
      </c>
      <c r="M7" s="53" t="str">
        <f>Summary!F6</f>
        <v>D</v>
      </c>
      <c r="N7" s="53" t="str">
        <f>Summary!G6</f>
        <v>D</v>
      </c>
      <c r="O7" s="53" t="str">
        <f>Summary!H6</f>
        <v>D</v>
      </c>
      <c r="P7" s="53" t="str">
        <f>Summary!I6</f>
        <v>D</v>
      </c>
      <c r="Q7" s="53" t="str">
        <f>Summary!J6</f>
        <v>D</v>
      </c>
      <c r="R7" s="53" t="str">
        <f>Summary!K6</f>
        <v>D</v>
      </c>
      <c r="S7" s="53" t="str">
        <f>Summary!L6</f>
        <v>D</v>
      </c>
    </row>
    <row r="8" spans="1:19" ht="17" thickBot="1" x14ac:dyDescent="0.25">
      <c r="A8" s="176" t="s">
        <v>70</v>
      </c>
      <c r="B8" s="223" t="s">
        <v>69</v>
      </c>
      <c r="C8" s="123"/>
      <c r="D8" s="207" t="s">
        <v>64</v>
      </c>
      <c r="E8" s="203" t="s">
        <v>68</v>
      </c>
      <c r="F8" s="203" t="s">
        <v>69</v>
      </c>
      <c r="G8" s="208"/>
      <c r="I8" s="52">
        <v>12</v>
      </c>
      <c r="J8" s="53" t="str">
        <f>Summary!C7</f>
        <v>H</v>
      </c>
      <c r="K8" s="53" t="str">
        <f>Summary!D7</f>
        <v>H</v>
      </c>
      <c r="L8" s="53" t="str">
        <f>Summary!E7</f>
        <v>H</v>
      </c>
      <c r="M8" s="53" t="str">
        <f>Summary!F7</f>
        <v>S</v>
      </c>
      <c r="N8" s="53" t="str">
        <f>Summary!G7</f>
        <v>S</v>
      </c>
      <c r="O8" s="53" t="str">
        <f>Summary!H7</f>
        <v>S</v>
      </c>
      <c r="P8" s="53" t="str">
        <f>Summary!I7</f>
        <v>H</v>
      </c>
      <c r="Q8" s="53" t="str">
        <f>Summary!J7</f>
        <v>H</v>
      </c>
      <c r="R8" s="53" t="str">
        <f>Summary!K7</f>
        <v>H</v>
      </c>
      <c r="S8" s="53" t="str">
        <f>Summary!L7</f>
        <v>H</v>
      </c>
    </row>
    <row r="9" spans="1:19" ht="17" thickBot="1" x14ac:dyDescent="0.25">
      <c r="A9" s="176" t="s">
        <v>87</v>
      </c>
      <c r="B9" s="223" t="s">
        <v>68</v>
      </c>
      <c r="C9" s="123"/>
      <c r="D9" s="207" t="s">
        <v>64</v>
      </c>
      <c r="E9" s="203" t="s">
        <v>68</v>
      </c>
      <c r="F9" s="203" t="s">
        <v>69</v>
      </c>
      <c r="G9" s="208"/>
      <c r="I9" s="52">
        <v>13</v>
      </c>
      <c r="J9" s="53" t="str">
        <f>Summary!C8</f>
        <v>H</v>
      </c>
      <c r="K9" s="53" t="str">
        <f>Summary!D8</f>
        <v>S</v>
      </c>
      <c r="L9" s="53" t="str">
        <f>Summary!E8</f>
        <v>S</v>
      </c>
      <c r="M9" s="53" t="str">
        <f>Summary!F8</f>
        <v>S</v>
      </c>
      <c r="N9" s="53" t="str">
        <f>Summary!G8</f>
        <v>S</v>
      </c>
      <c r="O9" s="53" t="str">
        <f>Summary!H8</f>
        <v>S</v>
      </c>
      <c r="P9" s="53" t="str">
        <f>Summary!I8</f>
        <v>H</v>
      </c>
      <c r="Q9" s="53" t="str">
        <f>Summary!J8</f>
        <v>H</v>
      </c>
      <c r="R9" s="53" t="str">
        <f>Summary!K8</f>
        <v>H</v>
      </c>
      <c r="S9" s="53" t="str">
        <f>Summary!L8</f>
        <v>H</v>
      </c>
    </row>
    <row r="10" spans="1:19" ht="17" thickBot="1" x14ac:dyDescent="0.25">
      <c r="A10" s="176" t="s">
        <v>62</v>
      </c>
      <c r="B10" s="223" t="s">
        <v>77</v>
      </c>
      <c r="C10" s="123"/>
      <c r="D10" s="207" t="s">
        <v>64</v>
      </c>
      <c r="E10" s="203" t="s">
        <v>77</v>
      </c>
      <c r="F10" s="203" t="s">
        <v>76</v>
      </c>
      <c r="G10" s="208"/>
      <c r="I10" s="52">
        <v>14</v>
      </c>
      <c r="J10" s="53" t="str">
        <f>Summary!C9</f>
        <v>H</v>
      </c>
      <c r="K10" s="53" t="str">
        <f>Summary!D9</f>
        <v>S</v>
      </c>
      <c r="L10" s="53" t="str">
        <f>Summary!E9</f>
        <v>S</v>
      </c>
      <c r="M10" s="53" t="str">
        <f>Summary!F9</f>
        <v>S</v>
      </c>
      <c r="N10" s="53" t="str">
        <f>Summary!G9</f>
        <v>S</v>
      </c>
      <c r="O10" s="53" t="str">
        <f>Summary!H9</f>
        <v>S</v>
      </c>
      <c r="P10" s="53" t="str">
        <f>Summary!I9</f>
        <v>H</v>
      </c>
      <c r="Q10" s="53" t="str">
        <f>Summary!J9</f>
        <v>H</v>
      </c>
      <c r="R10" s="53" t="str">
        <f>Summary!K9</f>
        <v>H</v>
      </c>
      <c r="S10" s="53" t="str">
        <f>Summary!L9</f>
        <v>H</v>
      </c>
    </row>
    <row r="11" spans="1:19" ht="17" thickBot="1" x14ac:dyDescent="0.25">
      <c r="A11" s="176" t="s">
        <v>85</v>
      </c>
      <c r="B11" s="223">
        <v>4</v>
      </c>
      <c r="C11" s="201" t="s">
        <v>86</v>
      </c>
      <c r="D11" s="207" t="s">
        <v>64</v>
      </c>
      <c r="E11" s="203" t="s">
        <v>71</v>
      </c>
      <c r="F11" s="203" t="s">
        <v>105</v>
      </c>
      <c r="G11" s="208"/>
      <c r="I11" s="52">
        <v>15</v>
      </c>
      <c r="J11" s="53" t="str">
        <f>Summary!C10</f>
        <v>H</v>
      </c>
      <c r="K11" s="53" t="str">
        <f>Summary!D10</f>
        <v>S</v>
      </c>
      <c r="L11" s="53" t="str">
        <f>Summary!E10</f>
        <v>S</v>
      </c>
      <c r="M11" s="53" t="str">
        <f>Summary!F10</f>
        <v>S</v>
      </c>
      <c r="N11" s="53" t="str">
        <f>Summary!G10</f>
        <v>S</v>
      </c>
      <c r="O11" s="53" t="str">
        <f>Summary!H10</f>
        <v>S</v>
      </c>
      <c r="P11" s="53" t="str">
        <f>Summary!I10</f>
        <v>H</v>
      </c>
      <c r="Q11" s="53" t="str">
        <f>Summary!J10</f>
        <v>H</v>
      </c>
      <c r="R11" s="53" t="str">
        <f>Summary!K10</f>
        <v>H</v>
      </c>
      <c r="S11" s="53" t="str">
        <f>Summary!L10</f>
        <v>R</v>
      </c>
    </row>
    <row r="12" spans="1:19" ht="17" thickBot="1" x14ac:dyDescent="0.25">
      <c r="A12" s="179" t="s">
        <v>104</v>
      </c>
      <c r="B12" s="220" t="s">
        <v>69</v>
      </c>
      <c r="C12" s="215"/>
      <c r="D12" s="207" t="s">
        <v>64</v>
      </c>
      <c r="E12" s="203" t="s">
        <v>68</v>
      </c>
      <c r="F12" s="203" t="s">
        <v>69</v>
      </c>
      <c r="G12" s="208"/>
      <c r="I12" s="52">
        <v>16</v>
      </c>
      <c r="J12" s="53" t="str">
        <f>Summary!C11</f>
        <v>H</v>
      </c>
      <c r="K12" s="53" t="str">
        <f>Summary!D11</f>
        <v>S</v>
      </c>
      <c r="L12" s="53" t="str">
        <f>Summary!E11</f>
        <v>S</v>
      </c>
      <c r="M12" s="53" t="str">
        <f>Summary!F11</f>
        <v>S</v>
      </c>
      <c r="N12" s="53" t="str">
        <f>Summary!G11</f>
        <v>S</v>
      </c>
      <c r="O12" s="53" t="str">
        <f>Summary!H11</f>
        <v>S</v>
      </c>
      <c r="P12" s="53" t="str">
        <f>Summary!I11</f>
        <v>H</v>
      </c>
      <c r="Q12" s="53" t="str">
        <f>Summary!J11</f>
        <v>H</v>
      </c>
      <c r="R12" s="53" t="str">
        <f>Summary!K11</f>
        <v>R</v>
      </c>
      <c r="S12" s="53" t="str">
        <f>Summary!L11</f>
        <v>R</v>
      </c>
    </row>
    <row r="13" spans="1:19" ht="17" thickBot="1" x14ac:dyDescent="0.25">
      <c r="A13" s="214" t="s">
        <v>119</v>
      </c>
      <c r="B13" s="220" t="s">
        <v>109</v>
      </c>
      <c r="C13" s="215"/>
      <c r="D13" s="207" t="s">
        <v>64</v>
      </c>
      <c r="E13" s="203" t="s">
        <v>108</v>
      </c>
      <c r="F13" s="203" t="s">
        <v>109</v>
      </c>
      <c r="G13" s="208"/>
      <c r="I13" s="52" t="s">
        <v>21</v>
      </c>
      <c r="J13" s="53" t="str">
        <f>Summary!C12</f>
        <v>S</v>
      </c>
      <c r="K13" s="53" t="str">
        <f>Summary!D12</f>
        <v>S</v>
      </c>
      <c r="L13" s="53" t="str">
        <f>Summary!E12</f>
        <v>S</v>
      </c>
      <c r="M13" s="53" t="str">
        <f>Summary!F12</f>
        <v>S</v>
      </c>
      <c r="N13" s="53" t="str">
        <f>Summary!G12</f>
        <v>S</v>
      </c>
      <c r="O13" s="53" t="str">
        <f>Summary!H12</f>
        <v>S</v>
      </c>
      <c r="P13" s="53" t="str">
        <f>Summary!I12</f>
        <v>S</v>
      </c>
      <c r="Q13" s="53" t="str">
        <f>Summary!J12</f>
        <v>S</v>
      </c>
      <c r="R13" s="53" t="str">
        <f>Summary!K12</f>
        <v>S</v>
      </c>
      <c r="S13" s="53" t="str">
        <f>Summary!L12</f>
        <v>S</v>
      </c>
    </row>
    <row r="14" spans="1:19" ht="17" thickBot="1" x14ac:dyDescent="0.25">
      <c r="A14" s="229" t="s">
        <v>120</v>
      </c>
      <c r="B14" s="220" t="s">
        <v>121</v>
      </c>
      <c r="C14" s="215"/>
      <c r="D14" s="216" t="s">
        <v>64</v>
      </c>
      <c r="E14" s="217" t="s">
        <v>121</v>
      </c>
      <c r="F14" s="217" t="s">
        <v>122</v>
      </c>
      <c r="G14" s="218"/>
      <c r="I14" s="52" t="s">
        <v>4</v>
      </c>
      <c r="J14" s="52" t="s">
        <v>22</v>
      </c>
      <c r="K14" s="52">
        <v>2</v>
      </c>
      <c r="L14" s="52">
        <v>3</v>
      </c>
      <c r="M14" s="52">
        <v>4</v>
      </c>
      <c r="N14" s="52">
        <v>5</v>
      </c>
      <c r="O14" s="52">
        <v>6</v>
      </c>
      <c r="P14" s="52">
        <v>7</v>
      </c>
      <c r="Q14" s="52">
        <v>8</v>
      </c>
      <c r="R14" s="52">
        <v>9</v>
      </c>
      <c r="S14" s="52">
        <v>10</v>
      </c>
    </row>
    <row r="15" spans="1:19" ht="17" thickBot="1" x14ac:dyDescent="0.25">
      <c r="A15" s="246" t="s">
        <v>145</v>
      </c>
      <c r="B15" s="220" t="s">
        <v>109</v>
      </c>
      <c r="C15" s="215"/>
      <c r="D15" s="216" t="s">
        <v>64</v>
      </c>
      <c r="E15" s="217" t="s">
        <v>108</v>
      </c>
      <c r="F15" s="217" t="s">
        <v>146</v>
      </c>
      <c r="G15" s="218" t="s">
        <v>109</v>
      </c>
      <c r="I15" s="52">
        <v>13</v>
      </c>
      <c r="J15" s="53" t="str">
        <f>Summary!C14</f>
        <v>H</v>
      </c>
      <c r="K15" s="53" t="str">
        <f>Summary!D14</f>
        <v>H</v>
      </c>
      <c r="L15" s="53" t="str">
        <f>Summary!E14</f>
        <v>H</v>
      </c>
      <c r="M15" s="53" t="str">
        <f>Summary!F14</f>
        <v>H</v>
      </c>
      <c r="N15" s="53" t="str">
        <f>Summary!G14</f>
        <v>H</v>
      </c>
      <c r="O15" s="53" t="str">
        <f>Summary!H14</f>
        <v>D</v>
      </c>
      <c r="P15" s="53" t="str">
        <f>Summary!I14</f>
        <v>H</v>
      </c>
      <c r="Q15" s="53" t="str">
        <f>Summary!J14</f>
        <v>H</v>
      </c>
      <c r="R15" s="53" t="str">
        <f>Summary!K14</f>
        <v>H</v>
      </c>
      <c r="S15" s="53" t="str">
        <f>Summary!L14</f>
        <v>H</v>
      </c>
    </row>
    <row r="16" spans="1:19" ht="17" thickBot="1" x14ac:dyDescent="0.25">
      <c r="A16" s="245" t="s">
        <v>144</v>
      </c>
      <c r="B16" s="220" t="s">
        <v>109</v>
      </c>
      <c r="C16" s="215"/>
      <c r="D16" s="216" t="s">
        <v>64</v>
      </c>
      <c r="E16" s="217" t="s">
        <v>108</v>
      </c>
      <c r="F16" s="217" t="s">
        <v>146</v>
      </c>
      <c r="G16" s="218" t="s">
        <v>109</v>
      </c>
      <c r="I16" s="52">
        <v>14</v>
      </c>
      <c r="J16" s="53" t="str">
        <f>Summary!C15</f>
        <v>H</v>
      </c>
      <c r="K16" s="53" t="str">
        <f>Summary!D15</f>
        <v>H</v>
      </c>
      <c r="L16" s="53" t="str">
        <f>Summary!E15</f>
        <v>H</v>
      </c>
      <c r="M16" s="53" t="str">
        <f>Summary!F15</f>
        <v>H</v>
      </c>
      <c r="N16" s="53" t="str">
        <f>Summary!G15</f>
        <v>D</v>
      </c>
      <c r="O16" s="53" t="str">
        <f>Summary!H15</f>
        <v>D</v>
      </c>
      <c r="P16" s="53" t="str">
        <f>Summary!I15</f>
        <v>H</v>
      </c>
      <c r="Q16" s="53" t="str">
        <f>Summary!J15</f>
        <v>H</v>
      </c>
      <c r="R16" s="53" t="str">
        <f>Summary!K15</f>
        <v>H</v>
      </c>
      <c r="S16" s="53" t="str">
        <f>Summary!L15</f>
        <v>H</v>
      </c>
    </row>
    <row r="17" spans="1:19" ht="17" thickBot="1" x14ac:dyDescent="0.25">
      <c r="A17" s="176" t="s">
        <v>118</v>
      </c>
      <c r="B17" s="224">
        <v>2</v>
      </c>
      <c r="C17" s="202" t="s">
        <v>86</v>
      </c>
      <c r="D17" s="209" t="s">
        <v>64</v>
      </c>
      <c r="E17" s="210" t="s">
        <v>71</v>
      </c>
      <c r="F17" s="210" t="s">
        <v>105</v>
      </c>
      <c r="G17" s="211"/>
      <c r="I17" s="52">
        <v>15</v>
      </c>
      <c r="J17" s="53" t="str">
        <f>Summary!C16</f>
        <v>H</v>
      </c>
      <c r="K17" s="53" t="str">
        <f>Summary!D16</f>
        <v>H</v>
      </c>
      <c r="L17" s="53" t="str">
        <f>Summary!E16</f>
        <v>H</v>
      </c>
      <c r="M17" s="53" t="str">
        <f>Summary!F16</f>
        <v>H</v>
      </c>
      <c r="N17" s="53" t="str">
        <f>Summary!G16</f>
        <v>D</v>
      </c>
      <c r="O17" s="53" t="str">
        <f>Summary!H16</f>
        <v>D</v>
      </c>
      <c r="P17" s="53" t="str">
        <f>Summary!I16</f>
        <v>H</v>
      </c>
      <c r="Q17" s="53" t="str">
        <f>Summary!J16</f>
        <v>H</v>
      </c>
      <c r="R17" s="53" t="str">
        <f>Summary!K16</f>
        <v>H</v>
      </c>
      <c r="S17" s="53" t="str">
        <f>Summary!L16</f>
        <v>H</v>
      </c>
    </row>
    <row r="18" spans="1:19" ht="17" thickBot="1" x14ac:dyDescent="0.25">
      <c r="I18" s="52">
        <v>16</v>
      </c>
      <c r="J18" s="53" t="str">
        <f>Summary!C17</f>
        <v>H</v>
      </c>
      <c r="K18" s="53" t="str">
        <f>Summary!D17</f>
        <v>H</v>
      </c>
      <c r="L18" s="53" t="str">
        <f>Summary!E17</f>
        <v>H</v>
      </c>
      <c r="M18" s="53" t="str">
        <f>Summary!F17</f>
        <v>D</v>
      </c>
      <c r="N18" s="53" t="str">
        <f>Summary!G17</f>
        <v>D</v>
      </c>
      <c r="O18" s="53" t="str">
        <f>Summary!H17</f>
        <v>D</v>
      </c>
      <c r="P18" s="53" t="str">
        <f>Summary!I17</f>
        <v>H</v>
      </c>
      <c r="Q18" s="53" t="str">
        <f>Summary!J17</f>
        <v>H</v>
      </c>
      <c r="R18" s="53" t="str">
        <f>Summary!K17</f>
        <v>H</v>
      </c>
      <c r="S18" s="53" t="str">
        <f>Summary!L17</f>
        <v>H</v>
      </c>
    </row>
    <row r="19" spans="1:19" ht="17" thickBot="1" x14ac:dyDescent="0.25">
      <c r="A19" s="52" t="s">
        <v>80</v>
      </c>
      <c r="B19" s="52"/>
      <c r="C19" s="355">
        <f>IF(Rules!$B$16=Rules!$E$16,EV!C47+'5 Cards'!G122,EV!C47)</f>
        <v>-5.3141792559054518E-3</v>
      </c>
      <c r="D19" s="356"/>
      <c r="E19" s="357" t="str">
        <f>"( "&amp; ROUND(C19*100,2)&amp; "% )"</f>
        <v>( -0.53% )</v>
      </c>
      <c r="F19" s="358"/>
      <c r="G19" s="231"/>
      <c r="I19" s="52">
        <v>17</v>
      </c>
      <c r="J19" s="53" t="str">
        <f>Summary!C18</f>
        <v>H</v>
      </c>
      <c r="K19" s="53" t="str">
        <f>Summary!D18</f>
        <v>H</v>
      </c>
      <c r="L19" s="53" t="str">
        <f>Summary!E18</f>
        <v>D</v>
      </c>
      <c r="M19" s="53" t="str">
        <f>Summary!F18</f>
        <v>D</v>
      </c>
      <c r="N19" s="53" t="str">
        <f>Summary!G18</f>
        <v>D</v>
      </c>
      <c r="O19" s="53" t="str">
        <f>Summary!H18</f>
        <v>D</v>
      </c>
      <c r="P19" s="53" t="str">
        <f>Summary!I18</f>
        <v>H</v>
      </c>
      <c r="Q19" s="53" t="str">
        <f>Summary!J18</f>
        <v>H</v>
      </c>
      <c r="R19" s="53" t="str">
        <f>Summary!K18</f>
        <v>H</v>
      </c>
      <c r="S19" s="53" t="str">
        <f>Summary!L18</f>
        <v>H</v>
      </c>
    </row>
    <row r="20" spans="1:19" ht="17" thickBot="1" x14ac:dyDescent="0.25">
      <c r="A20" s="212"/>
      <c r="B20" s="213"/>
      <c r="C20" s="52" t="s">
        <v>8</v>
      </c>
      <c r="D20" s="52" t="s">
        <v>37</v>
      </c>
      <c r="E20" s="52" t="s">
        <v>36</v>
      </c>
      <c r="F20" s="52" t="s">
        <v>38</v>
      </c>
      <c r="G20" s="232"/>
      <c r="I20" s="52">
        <v>18</v>
      </c>
      <c r="J20" s="53" t="str">
        <f>Summary!C19</f>
        <v>H</v>
      </c>
      <c r="K20" s="53" t="str">
        <f>Summary!D19</f>
        <v>S</v>
      </c>
      <c r="L20" s="53" t="str">
        <f>Summary!E19</f>
        <v>D</v>
      </c>
      <c r="M20" s="53" t="str">
        <f>Summary!F19</f>
        <v>D</v>
      </c>
      <c r="N20" s="53" t="str">
        <f>Summary!G19</f>
        <v>D</v>
      </c>
      <c r="O20" s="53" t="str">
        <f>Summary!H19</f>
        <v>D</v>
      </c>
      <c r="P20" s="53" t="str">
        <f>Summary!I19</f>
        <v>S</v>
      </c>
      <c r="Q20" s="53" t="str">
        <f>Summary!J19</f>
        <v>S</v>
      </c>
      <c r="R20" s="53" t="str">
        <f>Summary!K19</f>
        <v>H</v>
      </c>
      <c r="S20" s="53" t="str">
        <f>Summary!L19</f>
        <v>H</v>
      </c>
    </row>
    <row r="21" spans="1:19" x14ac:dyDescent="0.2">
      <c r="A21" s="52" t="s">
        <v>102</v>
      </c>
      <c r="B21" s="172"/>
      <c r="C21" s="78">
        <f>'WL Prob'!O4</f>
        <v>0.60218479745106923</v>
      </c>
      <c r="D21" s="80">
        <f>C21</f>
        <v>0.60218479745106923</v>
      </c>
      <c r="E21" s="81">
        <f>C21</f>
        <v>0.60218479745106923</v>
      </c>
      <c r="F21" s="79">
        <f>ROUND(E21*10,0)</f>
        <v>6</v>
      </c>
      <c r="G21" s="233"/>
      <c r="I21" s="52">
        <v>19</v>
      </c>
      <c r="J21" s="53" t="str">
        <f>Summary!C20</f>
        <v>S</v>
      </c>
      <c r="K21" s="53" t="str">
        <f>Summary!D20</f>
        <v>S</v>
      </c>
      <c r="L21" s="53" t="str">
        <f>Summary!E20</f>
        <v>S</v>
      </c>
      <c r="M21" s="53" t="str">
        <f>Summary!F20</f>
        <v>S</v>
      </c>
      <c r="N21" s="53" t="str">
        <f>Summary!G20</f>
        <v>S</v>
      </c>
      <c r="O21" s="53" t="str">
        <f>Summary!H20</f>
        <v>S</v>
      </c>
      <c r="P21" s="53" t="str">
        <f>Summary!I20</f>
        <v>S</v>
      </c>
      <c r="Q21" s="53" t="str">
        <f>Summary!J20</f>
        <v>S</v>
      </c>
      <c r="R21" s="53" t="str">
        <f>Summary!K20</f>
        <v>S</v>
      </c>
      <c r="S21" s="53" t="str">
        <f>Summary!L20</f>
        <v>S</v>
      </c>
    </row>
    <row r="22" spans="1:19" ht="17" thickBot="1" x14ac:dyDescent="0.25">
      <c r="A22" s="52" t="s">
        <v>103</v>
      </c>
      <c r="B22" s="173"/>
      <c r="C22" s="85">
        <f>'WL Prob'!O5</f>
        <v>0.3978152025489306</v>
      </c>
      <c r="D22" s="86">
        <f>C22</f>
        <v>0.3978152025489306</v>
      </c>
      <c r="E22" s="87">
        <f>C22</f>
        <v>0.3978152025489306</v>
      </c>
      <c r="F22" s="88">
        <f>ROUND(E22*10,0)</f>
        <v>4</v>
      </c>
      <c r="G22" s="233"/>
      <c r="I22" s="52" t="s">
        <v>10</v>
      </c>
      <c r="J22" s="52" t="s">
        <v>22</v>
      </c>
      <c r="K22" s="52">
        <v>2</v>
      </c>
      <c r="L22" s="52">
        <v>3</v>
      </c>
      <c r="M22" s="52">
        <v>4</v>
      </c>
      <c r="N22" s="52">
        <v>5</v>
      </c>
      <c r="O22" s="52">
        <v>6</v>
      </c>
      <c r="P22" s="52">
        <v>7</v>
      </c>
      <c r="Q22" s="52">
        <v>8</v>
      </c>
      <c r="R22" s="52">
        <v>9</v>
      </c>
      <c r="S22" s="52">
        <v>10</v>
      </c>
    </row>
    <row r="23" spans="1:19" ht="17" thickBot="1" x14ac:dyDescent="0.25">
      <c r="A23" s="52" t="s">
        <v>2</v>
      </c>
      <c r="B23" s="174"/>
      <c r="C23" s="93">
        <f>SUM(C21:C22)</f>
        <v>0.99999999999999978</v>
      </c>
      <c r="D23" s="94">
        <f>C23</f>
        <v>0.99999999999999978</v>
      </c>
      <c r="E23" s="95">
        <f>C23</f>
        <v>0.99999999999999978</v>
      </c>
      <c r="F23" s="96">
        <f>ROUND(E23*10,0)</f>
        <v>10</v>
      </c>
      <c r="G23" s="233"/>
      <c r="I23" s="52" t="s">
        <v>22</v>
      </c>
      <c r="J23" s="53" t="str">
        <f>Summary!C22</f>
        <v>P</v>
      </c>
      <c r="K23" s="53" t="str">
        <f>Summary!D22</f>
        <v>P</v>
      </c>
      <c r="L23" s="53" t="str">
        <f>Summary!E22</f>
        <v>P</v>
      </c>
      <c r="M23" s="53" t="str">
        <f>Summary!F22</f>
        <v>P</v>
      </c>
      <c r="N23" s="53" t="str">
        <f>Summary!G22</f>
        <v>P</v>
      </c>
      <c r="O23" s="53" t="str">
        <f>Summary!H22</f>
        <v>P</v>
      </c>
      <c r="P23" s="53" t="str">
        <f>Summary!I22</f>
        <v>P</v>
      </c>
      <c r="Q23" s="53" t="str">
        <f>Summary!J22</f>
        <v>P</v>
      </c>
      <c r="R23" s="53" t="str">
        <f>Summary!K22</f>
        <v>P</v>
      </c>
      <c r="S23" s="53" t="str">
        <f>Summary!L22</f>
        <v>P</v>
      </c>
    </row>
    <row r="24" spans="1:19" ht="17" thickBot="1" x14ac:dyDescent="0.25">
      <c r="A24" s="52" t="s">
        <v>39</v>
      </c>
      <c r="B24" s="175"/>
      <c r="C24" s="89">
        <f>C22-C21</f>
        <v>-0.20436959490213863</v>
      </c>
      <c r="D24" s="90">
        <f>D22-D21</f>
        <v>-0.20436959490213863</v>
      </c>
      <c r="E24" s="91"/>
      <c r="F24" s="92"/>
      <c r="G24" s="233"/>
      <c r="I24" s="52">
        <v>2</v>
      </c>
      <c r="J24" s="53" t="str">
        <f>Summary!C23</f>
        <v>H</v>
      </c>
      <c r="K24" s="53" t="str">
        <f>Summary!D23</f>
        <v>P</v>
      </c>
      <c r="L24" s="53" t="str">
        <f>Summary!E23</f>
        <v>P</v>
      </c>
      <c r="M24" s="53" t="str">
        <f>Summary!F23</f>
        <v>P</v>
      </c>
      <c r="N24" s="53" t="str">
        <f>Summary!G23</f>
        <v>P</v>
      </c>
      <c r="O24" s="53" t="str">
        <f>Summary!H23</f>
        <v>P</v>
      </c>
      <c r="P24" s="53" t="str">
        <f>Summary!I23</f>
        <v>P</v>
      </c>
      <c r="Q24" s="53" t="str">
        <f>Summary!J23</f>
        <v>H</v>
      </c>
      <c r="R24" s="53" t="str">
        <f>Summary!K23</f>
        <v>H</v>
      </c>
      <c r="S24" s="53" t="str">
        <f>Summary!L23</f>
        <v>H</v>
      </c>
    </row>
    <row r="25" spans="1:19" x14ac:dyDescent="0.2">
      <c r="I25" s="52">
        <v>3</v>
      </c>
      <c r="J25" s="53" t="str">
        <f>Summary!C24</f>
        <v>H</v>
      </c>
      <c r="K25" s="53" t="str">
        <f>Summary!D24</f>
        <v>P</v>
      </c>
      <c r="L25" s="53" t="str">
        <f>Summary!E24</f>
        <v>P</v>
      </c>
      <c r="M25" s="53" t="str">
        <f>Summary!F24</f>
        <v>P</v>
      </c>
      <c r="N25" s="53" t="str">
        <f>Summary!G24</f>
        <v>P</v>
      </c>
      <c r="O25" s="53" t="str">
        <f>Summary!H24</f>
        <v>P</v>
      </c>
      <c r="P25" s="53" t="str">
        <f>Summary!I24</f>
        <v>P</v>
      </c>
      <c r="Q25" s="53" t="str">
        <f>Summary!J24</f>
        <v>H</v>
      </c>
      <c r="R25" s="53" t="str">
        <f>Summary!K24</f>
        <v>H</v>
      </c>
      <c r="S25" s="53" t="str">
        <f>Summary!L24</f>
        <v>H</v>
      </c>
    </row>
    <row r="26" spans="1:19" x14ac:dyDescent="0.2">
      <c r="A26" s="52" t="s">
        <v>58</v>
      </c>
      <c r="B26" s="52" t="s">
        <v>19</v>
      </c>
      <c r="C26" s="52" t="s">
        <v>19</v>
      </c>
      <c r="D26" s="52" t="s">
        <v>19</v>
      </c>
      <c r="E26" s="52" t="s">
        <v>19</v>
      </c>
      <c r="F26" s="52" t="s">
        <v>19</v>
      </c>
      <c r="G26" s="232"/>
      <c r="I26" s="52">
        <v>4</v>
      </c>
      <c r="J26" s="53" t="str">
        <f>Summary!C25</f>
        <v>H</v>
      </c>
      <c r="K26" s="53" t="str">
        <f>Summary!D25</f>
        <v>H</v>
      </c>
      <c r="L26" s="53" t="str">
        <f>Summary!E25</f>
        <v>H</v>
      </c>
      <c r="M26" s="53" t="str">
        <f>Summary!F25</f>
        <v>H</v>
      </c>
      <c r="N26" s="53" t="str">
        <f>Summary!G25</f>
        <v>P</v>
      </c>
      <c r="O26" s="53" t="str">
        <f>Summary!H25</f>
        <v>P</v>
      </c>
      <c r="P26" s="53" t="str">
        <f>Summary!I25</f>
        <v>H</v>
      </c>
      <c r="Q26" s="53" t="str">
        <f>Summary!J25</f>
        <v>H</v>
      </c>
      <c r="R26" s="53" t="str">
        <f>Summary!K25</f>
        <v>H</v>
      </c>
      <c r="S26" s="53" t="str">
        <f>Summary!L25</f>
        <v>H</v>
      </c>
    </row>
    <row r="27" spans="1:19" ht="17" thickBot="1" x14ac:dyDescent="0.25">
      <c r="A27" s="52" t="s">
        <v>57</v>
      </c>
      <c r="B27" s="52">
        <v>2</v>
      </c>
      <c r="C27" s="52">
        <v>3</v>
      </c>
      <c r="D27" s="52">
        <v>4</v>
      </c>
      <c r="E27" s="52">
        <v>5</v>
      </c>
      <c r="F27" s="52">
        <v>6</v>
      </c>
      <c r="G27" s="232"/>
      <c r="I27" s="52">
        <v>5</v>
      </c>
      <c r="J27" s="53" t="str">
        <f>Summary!C26</f>
        <v>H</v>
      </c>
      <c r="K27" s="53" t="str">
        <f>Summary!D26</f>
        <v>D</v>
      </c>
      <c r="L27" s="53" t="str">
        <f>Summary!E26</f>
        <v>D</v>
      </c>
      <c r="M27" s="53" t="str">
        <f>Summary!F26</f>
        <v>D</v>
      </c>
      <c r="N27" s="53" t="str">
        <f>Summary!G26</f>
        <v>D</v>
      </c>
      <c r="O27" s="53" t="str">
        <f>Summary!H26</f>
        <v>D</v>
      </c>
      <c r="P27" s="53" t="str">
        <f>Summary!I26</f>
        <v>D</v>
      </c>
      <c r="Q27" s="53" t="str">
        <f>Summary!J26</f>
        <v>D</v>
      </c>
      <c r="R27" s="53" t="str">
        <f>Summary!K26</f>
        <v>D</v>
      </c>
      <c r="S27" s="53" t="str">
        <f>Summary!L26</f>
        <v>H</v>
      </c>
    </row>
    <row r="28" spans="1:19" x14ac:dyDescent="0.2">
      <c r="A28" s="125">
        <v>1</v>
      </c>
      <c r="B28" s="169">
        <f>-1*$C$21*$F$21*$A$28</f>
        <v>-3.6131087847064154</v>
      </c>
      <c r="C28" s="170">
        <f>-1*$C$21*$F$21*$A$28</f>
        <v>-3.6131087847064154</v>
      </c>
      <c r="D28" s="170">
        <f>-1*$C$21*$F$21*$A$28</f>
        <v>-3.6131087847064154</v>
      </c>
      <c r="E28" s="170">
        <f>-1*$C$21*$F$21*$A$28</f>
        <v>-3.6131087847064154</v>
      </c>
      <c r="F28" s="63">
        <f>-1*$C$21*$F$21*$A$28</f>
        <v>-3.6131087847064154</v>
      </c>
      <c r="G28" s="164"/>
      <c r="I28" s="52">
        <v>6</v>
      </c>
      <c r="J28" s="53" t="str">
        <f>Summary!C27</f>
        <v>H</v>
      </c>
      <c r="K28" s="53" t="str">
        <f>Summary!D27</f>
        <v>H</v>
      </c>
      <c r="L28" s="53" t="str">
        <f>Summary!E27</f>
        <v>P</v>
      </c>
      <c r="M28" s="53" t="str">
        <f>Summary!F27</f>
        <v>P</v>
      </c>
      <c r="N28" s="53" t="str">
        <f>Summary!G27</f>
        <v>P</v>
      </c>
      <c r="O28" s="53" t="str">
        <f>Summary!H27</f>
        <v>P</v>
      </c>
      <c r="P28" s="53" t="str">
        <f>Summary!I27</f>
        <v>H</v>
      </c>
      <c r="Q28" s="53" t="str">
        <f>Summary!J27</f>
        <v>H</v>
      </c>
      <c r="R28" s="53" t="str">
        <f>Summary!K27</f>
        <v>H</v>
      </c>
      <c r="S28" s="53" t="str">
        <f>Summary!L27</f>
        <v>H</v>
      </c>
    </row>
    <row r="29" spans="1:19" ht="17" thickBot="1" x14ac:dyDescent="0.25">
      <c r="A29" s="158">
        <f>(C19+C21)/C22</f>
        <v>1.5003715654173615</v>
      </c>
      <c r="B29" s="118">
        <f>$C$22*$F$22*$A29*B$27</f>
        <v>4.7749649455613099</v>
      </c>
      <c r="C29" s="171">
        <f>$C$22*$F$22*$A29*C$27</f>
        <v>7.1624474183419649</v>
      </c>
      <c r="D29" s="171">
        <f>$C$22*$F$22*$A29*D$27</f>
        <v>9.5499298911226198</v>
      </c>
      <c r="E29" s="171">
        <f>$C$22*$F$22*$A29*E$27</f>
        <v>11.937412363903274</v>
      </c>
      <c r="F29" s="10">
        <f>$C$22*$F$22*$A29*F$27</f>
        <v>14.32489483668393</v>
      </c>
      <c r="G29" s="164"/>
      <c r="I29" s="52">
        <v>7</v>
      </c>
      <c r="J29" s="53" t="str">
        <f>Summary!C28</f>
        <v>H</v>
      </c>
      <c r="K29" s="53" t="str">
        <f>Summary!D28</f>
        <v>P</v>
      </c>
      <c r="L29" s="53" t="str">
        <f>Summary!E28</f>
        <v>P</v>
      </c>
      <c r="M29" s="53" t="str">
        <f>Summary!F28</f>
        <v>P</v>
      </c>
      <c r="N29" s="53" t="str">
        <f>Summary!G28</f>
        <v>P</v>
      </c>
      <c r="O29" s="53" t="str">
        <f>Summary!H28</f>
        <v>P</v>
      </c>
      <c r="P29" s="53" t="str">
        <f>Summary!I28</f>
        <v>P</v>
      </c>
      <c r="Q29" s="53" t="str">
        <f>Summary!J28</f>
        <v>H</v>
      </c>
      <c r="R29" s="53" t="str">
        <f>Summary!K28</f>
        <v>H</v>
      </c>
      <c r="S29" s="53" t="str">
        <f>Summary!L28</f>
        <v>H</v>
      </c>
    </row>
    <row r="30" spans="1:19" ht="17" thickBot="1" x14ac:dyDescent="0.25">
      <c r="A30" s="52" t="s">
        <v>60</v>
      </c>
      <c r="B30" s="166">
        <f>SUM(B28:B29)</f>
        <v>1.1618561608548945</v>
      </c>
      <c r="C30" s="167">
        <f>SUM(C28:C29)</f>
        <v>3.5493386336355495</v>
      </c>
      <c r="D30" s="167">
        <f>SUM(D28:D29)</f>
        <v>5.936821106416204</v>
      </c>
      <c r="E30" s="167">
        <f>SUM(E28:E29)</f>
        <v>8.324303579196858</v>
      </c>
      <c r="F30" s="168">
        <f>SUM(F28:F29)</f>
        <v>10.711786051977514</v>
      </c>
      <c r="G30" s="164"/>
      <c r="I30" s="52">
        <v>8</v>
      </c>
      <c r="J30" s="53" t="str">
        <f>Summary!C29</f>
        <v>P</v>
      </c>
      <c r="K30" s="53" t="str">
        <f>Summary!D29</f>
        <v>P</v>
      </c>
      <c r="L30" s="53" t="str">
        <f>Summary!E29</f>
        <v>P</v>
      </c>
      <c r="M30" s="53" t="str">
        <f>Summary!F29</f>
        <v>P</v>
      </c>
      <c r="N30" s="53" t="str">
        <f>Summary!G29</f>
        <v>P</v>
      </c>
      <c r="O30" s="53" t="str">
        <f>Summary!H29</f>
        <v>P</v>
      </c>
      <c r="P30" s="53" t="str">
        <f>Summary!I29</f>
        <v>P</v>
      </c>
      <c r="Q30" s="53" t="str">
        <f>Summary!J29</f>
        <v>P</v>
      </c>
      <c r="R30" s="53" t="str">
        <f>Summary!K29</f>
        <v>R</v>
      </c>
      <c r="S30" s="53" t="str">
        <f>Summary!L29</f>
        <v>R</v>
      </c>
    </row>
    <row r="31" spans="1:19" ht="17" thickBot="1" x14ac:dyDescent="0.25">
      <c r="A31" s="52" t="s">
        <v>61</v>
      </c>
      <c r="B31" s="29">
        <f>B30/A29</f>
        <v>0.7743789522775304</v>
      </c>
      <c r="C31" s="19">
        <f>C30/A29</f>
        <v>2.3656397624732528</v>
      </c>
      <c r="D31" s="19">
        <f>D30/A29</f>
        <v>3.956900572668975</v>
      </c>
      <c r="E31" s="19">
        <f>E30/A29</f>
        <v>5.5481613828646967</v>
      </c>
      <c r="F31" s="20">
        <f>F30/A29</f>
        <v>7.1394221930604198</v>
      </c>
      <c r="G31" s="164"/>
      <c r="I31" s="52">
        <v>9</v>
      </c>
      <c r="J31" s="53" t="str">
        <f>Summary!C30</f>
        <v>S</v>
      </c>
      <c r="K31" s="53" t="str">
        <f>Summary!D30</f>
        <v>P</v>
      </c>
      <c r="L31" s="53" t="str">
        <f>Summary!E30</f>
        <v>P</v>
      </c>
      <c r="M31" s="53" t="str">
        <f>Summary!F30</f>
        <v>P</v>
      </c>
      <c r="N31" s="53" t="str">
        <f>Summary!G30</f>
        <v>P</v>
      </c>
      <c r="O31" s="53" t="str">
        <f>Summary!H30</f>
        <v>P</v>
      </c>
      <c r="P31" s="53" t="str">
        <f>Summary!I30</f>
        <v>S</v>
      </c>
      <c r="Q31" s="53" t="str">
        <f>Summary!J30</f>
        <v>P</v>
      </c>
      <c r="R31" s="53" t="str">
        <f>Summary!K30</f>
        <v>P</v>
      </c>
      <c r="S31" s="53" t="str">
        <f>Summary!L30</f>
        <v>S</v>
      </c>
    </row>
    <row r="32" spans="1:19" x14ac:dyDescent="0.2">
      <c r="A32" s="165"/>
      <c r="B32" s="164"/>
      <c r="C32" s="164"/>
      <c r="D32" s="164"/>
      <c r="E32" s="164"/>
      <c r="F32" s="164"/>
      <c r="G32" s="164"/>
      <c r="I32" s="52">
        <v>10</v>
      </c>
      <c r="J32" s="53" t="str">
        <f>Summary!C31</f>
        <v>S</v>
      </c>
      <c r="K32" s="53" t="str">
        <f>Summary!D31</f>
        <v>S</v>
      </c>
      <c r="L32" s="53" t="str">
        <f>Summary!E31</f>
        <v>S</v>
      </c>
      <c r="M32" s="53" t="str">
        <f>Summary!F31</f>
        <v>S</v>
      </c>
      <c r="N32" s="53" t="str">
        <f>Summary!G31</f>
        <v>S</v>
      </c>
      <c r="O32" s="53" t="str">
        <f>Summary!H31</f>
        <v>P</v>
      </c>
      <c r="P32" s="53" t="str">
        <f>Summary!I31</f>
        <v>S</v>
      </c>
      <c r="Q32" s="53" t="str">
        <f>Summary!J31</f>
        <v>S</v>
      </c>
      <c r="R32" s="53" t="str">
        <f>Summary!K31</f>
        <v>S</v>
      </c>
      <c r="S32" s="53" t="str">
        <f>Summary!L31</f>
        <v>S</v>
      </c>
    </row>
    <row r="33" spans="1:19" x14ac:dyDescent="0.2">
      <c r="A33" s="359" t="s">
        <v>101</v>
      </c>
      <c r="B33" s="360"/>
      <c r="C33" s="360"/>
      <c r="D33" s="360"/>
      <c r="E33" s="360"/>
      <c r="F33" s="361"/>
      <c r="G33" s="232"/>
      <c r="I33" s="352" t="str">
        <f>Summary!B32</f>
        <v>EV = -0.00531417925590545</v>
      </c>
      <c r="J33" s="352"/>
      <c r="K33" s="352"/>
      <c r="L33" s="352"/>
      <c r="M33" s="352"/>
      <c r="N33" s="352"/>
      <c r="O33" s="352"/>
      <c r="P33" s="352"/>
      <c r="Q33" s="352"/>
      <c r="R33" s="352"/>
      <c r="S33" s="352"/>
    </row>
    <row r="34" spans="1:19" x14ac:dyDescent="0.2">
      <c r="A34" s="52" t="s">
        <v>95</v>
      </c>
      <c r="B34" s="52" t="s">
        <v>96</v>
      </c>
      <c r="C34" s="52" t="s">
        <v>97</v>
      </c>
      <c r="D34" s="52" t="s">
        <v>98</v>
      </c>
      <c r="E34" s="52" t="s">
        <v>99</v>
      </c>
      <c r="F34" s="52" t="s">
        <v>100</v>
      </c>
      <c r="G34" s="232"/>
      <c r="I34" s="352" t="str">
        <f>Summary!B33</f>
        <v>EV = -0.531417925590545 %</v>
      </c>
      <c r="J34" s="352"/>
      <c r="K34" s="352"/>
      <c r="L34" s="352"/>
      <c r="M34" s="352"/>
      <c r="N34" s="352"/>
      <c r="O34" s="352"/>
      <c r="P34" s="352"/>
      <c r="Q34" s="352"/>
      <c r="R34" s="352"/>
      <c r="S34" s="352"/>
    </row>
    <row r="35" spans="1:19" x14ac:dyDescent="0.2">
      <c r="A35" s="52" t="s">
        <v>93</v>
      </c>
      <c r="B35" s="1">
        <f>(B27+1)*$F$21</f>
        <v>18</v>
      </c>
      <c r="C35" s="1">
        <f>(C27+1)*$F$21</f>
        <v>24</v>
      </c>
      <c r="D35" s="1">
        <f>(D27+1)*$F$21</f>
        <v>30</v>
      </c>
      <c r="E35" s="1">
        <f>(E27+1)*$F$21</f>
        <v>36</v>
      </c>
      <c r="F35" s="1">
        <f>(F27+1)*$F$21</f>
        <v>42</v>
      </c>
      <c r="G35" s="164"/>
      <c r="I35" s="353" t="s">
        <v>24</v>
      </c>
      <c r="J35" s="353"/>
      <c r="K35" s="353"/>
      <c r="L35" s="353"/>
      <c r="M35" s="353"/>
      <c r="N35" s="353"/>
      <c r="O35" s="353"/>
      <c r="P35" s="353"/>
      <c r="Q35" s="353"/>
      <c r="R35" s="353"/>
      <c r="S35" s="353"/>
    </row>
    <row r="36" spans="1:19" x14ac:dyDescent="0.2">
      <c r="A36" s="52" t="s">
        <v>94</v>
      </c>
      <c r="B36" s="1">
        <f>B$27^2*$F$21+B35</f>
        <v>42</v>
      </c>
      <c r="C36" s="1">
        <f t="shared" ref="C36:F36" si="0">C$27^2*$F$21+C35</f>
        <v>78</v>
      </c>
      <c r="D36" s="1">
        <f t="shared" si="0"/>
        <v>126</v>
      </c>
      <c r="E36" s="1">
        <f t="shared" si="0"/>
        <v>186</v>
      </c>
      <c r="F36" s="1">
        <f t="shared" si="0"/>
        <v>258</v>
      </c>
      <c r="G36" s="164"/>
      <c r="I36" s="354" t="s">
        <v>25</v>
      </c>
      <c r="J36" s="354"/>
      <c r="K36" s="354"/>
      <c r="L36" s="354"/>
      <c r="M36" s="354"/>
      <c r="N36" s="354"/>
      <c r="O36" s="354"/>
      <c r="P36" s="354"/>
      <c r="Q36" s="354"/>
      <c r="R36" s="354"/>
      <c r="S36" s="354"/>
    </row>
    <row r="37" spans="1:19" x14ac:dyDescent="0.2">
      <c r="A37" s="52" t="s">
        <v>153</v>
      </c>
      <c r="B37" s="359" t="s">
        <v>152</v>
      </c>
      <c r="C37" s="360"/>
      <c r="D37" s="360"/>
      <c r="E37" s="360"/>
      <c r="F37" s="361"/>
      <c r="G37" s="164"/>
      <c r="I37" s="346" t="s">
        <v>26</v>
      </c>
      <c r="J37" s="346"/>
      <c r="K37" s="346"/>
      <c r="L37" s="346"/>
      <c r="M37" s="346"/>
      <c r="N37" s="346"/>
      <c r="O37" s="346"/>
      <c r="P37" s="346"/>
      <c r="Q37" s="346"/>
      <c r="R37" s="346"/>
      <c r="S37" s="346"/>
    </row>
    <row r="38" spans="1:19" x14ac:dyDescent="0.2">
      <c r="A38" s="52" t="s">
        <v>93</v>
      </c>
      <c r="B38" s="1">
        <f>B35*8</f>
        <v>144</v>
      </c>
      <c r="C38" s="1">
        <f t="shared" ref="C38:F38" si="1">C35*8</f>
        <v>192</v>
      </c>
      <c r="D38" s="1">
        <f t="shared" si="1"/>
        <v>240</v>
      </c>
      <c r="E38" s="1">
        <f t="shared" si="1"/>
        <v>288</v>
      </c>
      <c r="F38" s="1">
        <f t="shared" si="1"/>
        <v>336</v>
      </c>
      <c r="G38" s="164"/>
      <c r="I38" s="347" t="s">
        <v>27</v>
      </c>
      <c r="J38" s="347"/>
      <c r="K38" s="347"/>
      <c r="L38" s="347"/>
      <c r="M38" s="347"/>
      <c r="N38" s="347"/>
      <c r="O38" s="347"/>
      <c r="P38" s="347"/>
      <c r="Q38" s="347"/>
      <c r="R38" s="347"/>
      <c r="S38" s="347"/>
    </row>
    <row r="39" spans="1:19" x14ac:dyDescent="0.2">
      <c r="A39" s="52" t="s">
        <v>94</v>
      </c>
      <c r="B39" s="1">
        <f>B36*8</f>
        <v>336</v>
      </c>
      <c r="C39" s="1">
        <f t="shared" ref="C39:F39" si="2">C36*8</f>
        <v>624</v>
      </c>
      <c r="D39" s="1">
        <f t="shared" si="2"/>
        <v>1008</v>
      </c>
      <c r="E39" s="1">
        <f t="shared" si="2"/>
        <v>1488</v>
      </c>
      <c r="F39" s="1">
        <f t="shared" si="2"/>
        <v>2064</v>
      </c>
      <c r="G39" s="164"/>
      <c r="I39" s="345" t="s">
        <v>28</v>
      </c>
      <c r="J39" s="345"/>
      <c r="K39" s="345"/>
      <c r="L39" s="345"/>
      <c r="M39" s="345"/>
      <c r="N39" s="345"/>
      <c r="O39" s="345"/>
      <c r="P39" s="345"/>
      <c r="Q39" s="345"/>
      <c r="R39" s="345"/>
      <c r="S39" s="345"/>
    </row>
    <row r="40" spans="1:19" x14ac:dyDescent="0.2">
      <c r="A40" s="52" t="s">
        <v>116</v>
      </c>
      <c r="B40" s="52" t="s">
        <v>110</v>
      </c>
      <c r="C40" s="52" t="s">
        <v>111</v>
      </c>
      <c r="D40" s="52" t="s">
        <v>112</v>
      </c>
      <c r="E40" s="52" t="s">
        <v>114</v>
      </c>
      <c r="F40" s="52" t="s">
        <v>113</v>
      </c>
      <c r="G40" s="2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2">
      <c r="A41" s="52" t="s">
        <v>115</v>
      </c>
      <c r="B41" s="227">
        <f>SUMIF(HSDR!O5:X19,"H",Prob!B2:K16)+SUMIF(HSDR!O36:X44,"H",Prob!B18:K26)+SUMIF(Pair!O2:X11,"H",Prob!B28:K37)</f>
        <v>0.35425930464619593</v>
      </c>
      <c r="C41" s="227">
        <f>SUMIF(HSDR!O5:X19,"D",Prob!B2:K16)+SUMIF(HSDR!O36:X44,"D",Prob!B18:K26)+SUMIF(Pair!O2:X11,"D",Prob!B28:K37)</f>
        <v>9.3554147263751261E-2</v>
      </c>
      <c r="D41" s="227">
        <f>SUMIF(HSDR!O5:X19,"S",Prob!B2:K16)+SUMIF(HSDR!O36:X44,"S",Prob!B18:K26)+SUMIF(Pair!O2:X11,"S",Prob!B28:K37)</f>
        <v>0.4306571898743044</v>
      </c>
      <c r="E41" s="227">
        <f>SUMIF(HSDR!O5:X19,"P",Prob!B2:K16)+SUMIF(HSDR!O36:X44,"P",Prob!B18:K26)+SUMIF(Pair!O2:X11,"P",Prob!B28:K37)</f>
        <v>3.0531143867511663E-2</v>
      </c>
      <c r="F41" s="227">
        <f>SUMIF(HSDR!O5:X19,"R",Prob!B2:K16)+SUMIF(HSDR!O36:X44,"R",Prob!B18:K26)+SUMIF(Pair!O2:X11,"R",Prob!B28:K37)</f>
        <v>4.3660936241728239E-2</v>
      </c>
      <c r="G41" s="234"/>
    </row>
    <row r="42" spans="1:19" x14ac:dyDescent="0.2">
      <c r="A42" s="226"/>
      <c r="B42" s="228"/>
      <c r="C42" s="226"/>
      <c r="D42" s="226"/>
      <c r="E42" s="226"/>
      <c r="F42" s="226"/>
      <c r="G42" s="226"/>
    </row>
    <row r="43" spans="1:19" x14ac:dyDescent="0.2">
      <c r="A43" s="226"/>
      <c r="B43" s="226"/>
      <c r="C43" s="226"/>
      <c r="D43" s="226"/>
      <c r="E43" s="226"/>
      <c r="F43" s="226"/>
      <c r="G43" s="226"/>
    </row>
  </sheetData>
  <sheetProtection sheet="1" objects="1" scenarios="1"/>
  <mergeCells count="14">
    <mergeCell ref="A1:S1"/>
    <mergeCell ref="I39:S39"/>
    <mergeCell ref="I37:S37"/>
    <mergeCell ref="I38:S38"/>
    <mergeCell ref="A2:F2"/>
    <mergeCell ref="I2:S2"/>
    <mergeCell ref="I33:S33"/>
    <mergeCell ref="I35:S35"/>
    <mergeCell ref="I36:S36"/>
    <mergeCell ref="C19:D19"/>
    <mergeCell ref="E19:F19"/>
    <mergeCell ref="I34:S34"/>
    <mergeCell ref="A33:F33"/>
    <mergeCell ref="B37:F37"/>
  </mergeCells>
  <phoneticPr fontId="14" type="noConversion"/>
  <conditionalFormatting sqref="J15:S21 J23:S32 J4:S13">
    <cfRule type="containsText" dxfId="95" priority="4" operator="containsText" text="S">
      <formula>NOT(ISERROR(SEARCH("S",J4)))</formula>
    </cfRule>
    <cfRule type="containsText" dxfId="94" priority="5" operator="containsText" text="H">
      <formula>NOT(ISERROR(SEARCH("H",J4)))</formula>
    </cfRule>
  </conditionalFormatting>
  <conditionalFormatting sqref="J15:S21 J23:S32 J4:S13">
    <cfRule type="containsText" dxfId="93" priority="3" operator="containsText" text="D">
      <formula>NOT(ISERROR(SEARCH("D",J4)))</formula>
    </cfRule>
  </conditionalFormatting>
  <conditionalFormatting sqref="J15:S21 J23:S32 J4:S13">
    <cfRule type="containsText" dxfId="92" priority="2" operator="containsText" text="R">
      <formula>NOT(ISERROR(SEARCH("R",J4)))</formula>
    </cfRule>
  </conditionalFormatting>
  <conditionalFormatting sqref="J15:S21 J23:S32 J4:S13">
    <cfRule type="containsText" dxfId="91" priority="1" operator="containsText" text="P">
      <formula>NOT(ISERROR(SEARCH("P",J4)))</formula>
    </cfRule>
  </conditionalFormatting>
  <dataValidations count="13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</dataValidations>
  <pageMargins left="0.7" right="0.7" top="0.75" bottom="0.75" header="0.3" footer="0.3"/>
  <pageSetup paperSize="9" scale="68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4" type="noConversion"/>
  <conditionalFormatting sqref="O2:X31">
    <cfRule type="containsText" dxfId="74" priority="16" operator="containsText" text="S">
      <formula>NOT(ISERROR(SEARCH("S",O2)))</formula>
    </cfRule>
    <cfRule type="containsText" dxfId="73" priority="17" operator="containsText" text="H">
      <formula>NOT(ISERROR(SEARCH("H",O2)))</formula>
    </cfRule>
  </conditionalFormatting>
  <conditionalFormatting sqref="O2:X31">
    <cfRule type="containsText" dxfId="72" priority="13" operator="containsText" text="D">
      <formula>NOT(ISERROR(SEARCH("D",O2)))</formula>
    </cfRule>
  </conditionalFormatting>
  <conditionalFormatting sqref="O34:X54">
    <cfRule type="containsText" dxfId="71" priority="2" operator="containsText" text="S">
      <formula>NOT(ISERROR(SEARCH("S",O34)))</formula>
    </cfRule>
    <cfRule type="containsText" dxfId="70" priority="3" operator="containsText" text="H">
      <formula>NOT(ISERROR(SEARCH("H",O34)))</formula>
    </cfRule>
  </conditionalFormatting>
  <conditionalFormatting sqref="O34:X54">
    <cfRule type="containsText" dxfId="69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S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S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S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S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S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S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S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S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S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S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4" type="noConversion"/>
  <conditionalFormatting sqref="O2:X31">
    <cfRule type="containsText" dxfId="68" priority="14" operator="containsText" text="S">
      <formula>NOT(ISERROR(SEARCH("S",O2)))</formula>
    </cfRule>
    <cfRule type="containsText" dxfId="67" priority="15" operator="containsText" text="H">
      <formula>NOT(ISERROR(SEARCH("H",O2)))</formula>
    </cfRule>
  </conditionalFormatting>
  <conditionalFormatting sqref="O2:X31">
    <cfRule type="containsText" dxfId="66" priority="13" operator="containsText" text="D">
      <formula>NOT(ISERROR(SEARCH("D",O2)))</formula>
    </cfRule>
  </conditionalFormatting>
  <conditionalFormatting sqref="O2:X31">
    <cfRule type="containsText" dxfId="65" priority="9" operator="containsText" text="R">
      <formula>NOT(ISERROR(SEARCH("R",O2)))</formula>
    </cfRule>
  </conditionalFormatting>
  <conditionalFormatting sqref="O34:X54">
    <cfRule type="containsText" dxfId="64" priority="3" operator="containsText" text="S">
      <formula>NOT(ISERROR(SEARCH("S",O34)))</formula>
    </cfRule>
    <cfRule type="containsText" dxfId="63" priority="4" operator="containsText" text="H">
      <formula>NOT(ISERROR(SEARCH("H",O34)))</formula>
    </cfRule>
  </conditionalFormatting>
  <conditionalFormatting sqref="O34:X54">
    <cfRule type="containsText" dxfId="62" priority="2" operator="containsText" text="D">
      <formula>NOT(ISERROR(SEARCH("D",O34)))</formula>
    </cfRule>
  </conditionalFormatting>
  <conditionalFormatting sqref="O34:X54">
    <cfRule type="containsText" dxfId="61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355" t="s">
        <v>89</v>
      </c>
      <c r="B1" s="356"/>
      <c r="C1" s="356"/>
      <c r="D1" s="356"/>
      <c r="E1" s="356"/>
      <c r="F1" s="356"/>
      <c r="G1" s="356"/>
      <c r="H1" s="356"/>
      <c r="I1" s="356"/>
      <c r="J1" s="356"/>
      <c r="K1" s="367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31" t="s">
        <v>7</v>
      </c>
      <c r="B2" s="182">
        <v>1</v>
      </c>
      <c r="C2" s="183">
        <v>2</v>
      </c>
      <c r="D2" s="183">
        <v>3</v>
      </c>
      <c r="E2" s="183">
        <v>4</v>
      </c>
      <c r="F2" s="183">
        <v>5</v>
      </c>
      <c r="G2" s="183">
        <v>6</v>
      </c>
      <c r="H2" s="183">
        <v>7</v>
      </c>
      <c r="I2" s="183">
        <v>8</v>
      </c>
      <c r="J2" s="183">
        <v>9</v>
      </c>
      <c r="K2" s="144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126">
        <v>1</v>
      </c>
      <c r="B3" s="169">
        <f>2*(IF(Rules!$B$12=Rules!$F$12,SUM(Stand!B36:B43)+Rules!$B$5*Stand!B44+B16,SUM(HSD!B36:B43)+Rules!$B$5*HSD!B44+B16)/(9+Rules!$B$5))</f>
        <v>0.24964002360108775</v>
      </c>
      <c r="C3" s="170">
        <f>2*(IF(Rules!$B$12=Rules!$F$12,SUM(Stand!C36:C43)+Rules!$B$5*Stand!C44+C16,SUM(HSD!C36:C43)+Rules!$B$5*HSD!C44+C16)/(9+Rules!$B$5))</f>
        <v>0.60893997246027043</v>
      </c>
      <c r="D3" s="170">
        <f>2*(IF(Rules!$B$12=Rules!$F$12,SUM(Stand!D36:D43)+Rules!$B$5*Stand!D44+D16,SUM(HSD!D36:D43)+Rules!$B$5*HSD!D44+D16)/(9+Rules!$B$5))</f>
        <v>0.65729370645788177</v>
      </c>
      <c r="E3" s="170">
        <f>2*(IF(Rules!$B$12=Rules!$F$12,SUM(Stand!E36:E43)+Rules!$B$5*Stand!E44+E16,SUM(HSD!E36:E43)+Rules!$B$5*HSD!E44+E16)/(9+Rules!$B$5))</f>
        <v>0.7068176357371978</v>
      </c>
      <c r="F3" s="170">
        <f>2*(IF(Rules!$B$12=Rules!$F$12,SUM(Stand!F36:F43)+Rules!$B$5*Stand!F44+F16,SUM(HSD!F36:F43)+Rules!$B$5*HSD!F44+F16)/(9+Rules!$B$5))</f>
        <v>0.75634348224235182</v>
      </c>
      <c r="G3" s="170">
        <f>2*(IF(Rules!$B$12=Rules!$F$12,SUM(Stand!G36:G43)+Rules!$B$5*Stand!G44+G16,SUM(HSD!G36:G43)+Rules!$B$5*HSD!G44+G16)/(9+Rules!$B$5))</f>
        <v>0.81612360245129012</v>
      </c>
      <c r="H3" s="170">
        <f>2*(IF(Rules!$B$12=Rules!$F$12,SUM(Stand!H36:H43)+Rules!$B$5*Stand!H44+H16,SUM(HSD!H36:H43)+Rules!$B$5*HSD!H44+H16)/(9+Rules!$B$5))</f>
        <v>0.63286124044017034</v>
      </c>
      <c r="I3" s="170">
        <f>2*(IF(Rules!$B$12=Rules!$F$12,SUM(Stand!I36:I43)+Rules!$B$5*Stand!I44+I16,SUM(HSD!I36:I43)+Rules!$B$5*HSD!I44+I16)/(9+Rules!$B$5))</f>
        <v>0.5067060739538094</v>
      </c>
      <c r="J3" s="170">
        <f>2*(IF(Rules!$B$12=Rules!$F$12,SUM(Stand!J36:J43)+Rules!$B$5*Stand!J44+J16,SUM(HSD!J36:J43)+Rules!$B$5*HSD!J44+J16)/(9+Rules!$B$5))</f>
        <v>0.36744267463395625</v>
      </c>
      <c r="K3" s="63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126">
        <v>2</v>
      </c>
      <c r="B4" s="117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126">
        <v>3</v>
      </c>
      <c r="B5" s="117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126">
        <v>4</v>
      </c>
      <c r="B6" s="117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126">
        <v>5</v>
      </c>
      <c r="B7" s="117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126">
        <v>6</v>
      </c>
      <c r="B8" s="117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126">
        <v>7</v>
      </c>
      <c r="B9" s="117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R</v>
      </c>
      <c r="X9" s="31" t="str">
        <f>IF(K61=IF(Rules!$B$11=2,K49,IF(Rules!$B$11=3,K36,IF(Rules!$B$11=4,K23,K10))),"P",HSDR!X16)</f>
        <v>R</v>
      </c>
    </row>
    <row r="10" spans="1:24" x14ac:dyDescent="0.2">
      <c r="A10" s="126">
        <v>8</v>
      </c>
      <c r="B10" s="117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126">
        <v>9</v>
      </c>
      <c r="B11" s="117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P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27">
        <v>10</v>
      </c>
      <c r="B12" s="118">
        <f>2*(IF(Rules!$B$9=Rules!$E$9,SUM(HSD!B13:B19)+Rules!$B$5*HSD!B20+HSD!B44+B25,SUM(HS!B13:B19)+Rules!$B$5*HS!B20+HS!B44+B25)/(9+Rules!$B$5))</f>
        <v>0.25591217102008812</v>
      </c>
      <c r="C12" s="171">
        <f>2*(IF(Rules!$B$9=Rules!$E$9,SUM(HSD!C13:C19)+Rules!$B$5*HSD!C20+HSD!C44+C25,SUM(HS!C13:C19)+Rules!$B$5*HS!C20+HS!C44+C25)/(9+Rules!$B$5))</f>
        <v>0.47702511757927396</v>
      </c>
      <c r="D12" s="171">
        <f>2*(IF(Rules!$B$9=Rules!$E$9,SUM(HSD!D13:D19)+Rules!$B$5*HSD!D20+HSD!D44+D25,SUM(HS!D13:D19)+Rules!$B$5*HS!D20+HS!D44+D25)/(9+Rules!$B$5))</f>
        <v>0.52917868575056526</v>
      </c>
      <c r="E12" s="171">
        <f>2*(IF(Rules!$B$9=Rules!$E$9,SUM(HSD!E13:E19)+Rules!$B$5*HSD!E20+HSD!E44+E25,SUM(HS!E13:E19)+Rules!$B$5*HS!E20+HS!E44+E25)/(9+Rules!$B$5))</f>
        <v>0.58267776514625602</v>
      </c>
      <c r="F12" s="171">
        <f>2*(IF(Rules!$B$9=Rules!$E$9,SUM(HSD!F13:F19)+Rules!$B$5*HSD!F20+HSD!F44+F25,SUM(HS!F13:F19)+Rules!$B$5*HS!F20+HS!F44+F25)/(9+Rules!$B$5))</f>
        <v>0.63565069498224802</v>
      </c>
      <c r="G12" s="171">
        <f>2*(IF(Rules!$B$9=Rules!$E$9,SUM(HSD!G13:G19)+Rules!$B$5*HSD!G20+HSD!G44+G25,SUM(HS!G13:G19)+Rules!$B$5*HS!G20+HS!G44+G25)/(9+Rules!$B$5))</f>
        <v>0.70770536905396042</v>
      </c>
      <c r="H12" s="171">
        <f>2*(IF(Rules!$B$9=Rules!$E$9,SUM(HSD!H13:H19)+Rules!$B$5*HSD!H20+HSD!H44+H25,SUM(HS!H13:H19)+Rules!$B$5*HS!H20+HS!H44+H25)/(9+Rules!$B$5))</f>
        <v>0.6454573388630771</v>
      </c>
      <c r="I12" s="171">
        <f>2*(IF(Rules!$B$9=Rules!$E$9,SUM(HSD!I13:I19)+Rules!$B$5*HSD!I20+HSD!I44+I25,SUM(HS!I13:I19)+Rules!$B$5*HS!I20+HS!I44+I25)/(9+Rules!$B$5))</f>
        <v>0.51682590743860801</v>
      </c>
      <c r="J12" s="171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 x14ac:dyDescent="0.25"/>
    <row r="14" spans="1:24" ht="17" thickBot="1" x14ac:dyDescent="0.25">
      <c r="A14" s="355" t="s">
        <v>90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67"/>
    </row>
    <row r="15" spans="1:24" ht="17" thickBot="1" x14ac:dyDescent="0.25">
      <c r="A15" s="140" t="s">
        <v>7</v>
      </c>
      <c r="B15" s="182">
        <v>1</v>
      </c>
      <c r="C15" s="183">
        <v>2</v>
      </c>
      <c r="D15" s="183">
        <v>3</v>
      </c>
      <c r="E15" s="183">
        <v>4</v>
      </c>
      <c r="F15" s="183">
        <v>5</v>
      </c>
      <c r="G15" s="183">
        <v>6</v>
      </c>
      <c r="H15" s="183">
        <v>7</v>
      </c>
      <c r="I15" s="183">
        <v>8</v>
      </c>
      <c r="J15" s="183">
        <v>9</v>
      </c>
      <c r="K15" s="144">
        <v>10</v>
      </c>
    </row>
    <row r="16" spans="1:24" x14ac:dyDescent="0.2">
      <c r="A16" s="131">
        <v>1</v>
      </c>
      <c r="B16" s="169">
        <f>2*(IF(Rules!$B$12=Rules!$F$12,SUM(Stand!B36:B43)+Rules!$B$5*Stand!B44+B29,SUM(HSD!B36:B43)+Rules!$B$5*HSD!B44+B29)/(9+Rules!$B$5))</f>
        <v>0.24681431015742963</v>
      </c>
      <c r="C16" s="170">
        <f>2*(IF(Rules!$B$12=Rules!$F$12,SUM(Stand!C36:C43)+Rules!$B$5*Stand!C44+C29,SUM(HSD!C36:C43)+Rules!$B$5*HSD!C44+C29)/(9+Rules!$B$5))</f>
        <v>0.60616009207593269</v>
      </c>
      <c r="D16" s="170">
        <f>2*(IF(Rules!$B$12=Rules!$F$12,SUM(Stand!D36:D43)+Rules!$B$5*Stand!D44+D29,SUM(HSD!D36:D43)+Rules!$B$5*HSD!D44+D29)/(9+Rules!$B$5))</f>
        <v>0.65448971744610962</v>
      </c>
      <c r="E16" s="170">
        <f>2*(IF(Rules!$B$12=Rules!$F$12,SUM(Stand!E36:E43)+Rules!$B$5*Stand!E44+E29,SUM(HSD!E36:E43)+Rules!$B$5*HSD!E44+E29)/(9+Rules!$B$5))</f>
        <v>0.70398794558002764</v>
      </c>
      <c r="F16" s="170">
        <f>2*(IF(Rules!$B$12=Rules!$F$12,SUM(Stand!F36:F43)+Rules!$B$5*Stand!F44+F29,SUM(HSD!F36:F43)+Rules!$B$5*HSD!F44+F29)/(9+Rules!$B$5))</f>
        <v>0.75349635733112907</v>
      </c>
      <c r="G16" s="170">
        <f>2*(IF(Rules!$B$12=Rules!$F$12,SUM(Stand!G36:G43)+Rules!$B$5*Stand!G44+G29,SUM(HSD!G36:G43)+Rules!$B$5*HSD!G44+G29)/(9+Rules!$B$5))</f>
        <v>0.81313378320418017</v>
      </c>
      <c r="H16" s="170">
        <f>2*(IF(Rules!$B$12=Rules!$F$12,SUM(Stand!H36:H43)+Rules!$B$5*Stand!H44+H29,SUM(HSD!H36:H43)+Rules!$B$5*HSD!H44+H29)/(9+Rules!$B$5))</f>
        <v>0.62944471196628327</v>
      </c>
      <c r="I16" s="170">
        <f>2*(IF(Rules!$B$12=Rules!$F$12,SUM(Stand!I36:I43)+Rules!$B$5*Stand!I44+I29,SUM(HSD!I36:I43)+Rules!$B$5*HSD!I44+I29)/(9+Rules!$B$5))</f>
        <v>0.50357012454509587</v>
      </c>
      <c r="J16" s="170">
        <f>2*(IF(Rules!$B$12=Rules!$F$12,SUM(Stand!J36:J43)+Rules!$B$5*Stand!J44+J29,SUM(HSD!J36:J43)+Rules!$B$5*HSD!J44+J29)/(9+Rules!$B$5))</f>
        <v>0.36463545349864968</v>
      </c>
      <c r="K16" s="63">
        <f>2*(IF(Rules!$B$12=Rules!$F$12,SUM(Stand!K36:K43)+Rules!$B$5*Stand!K44+K29,SUM(HSD!K36:K43)+Rules!$B$5*HSD!K44+K29)/(9+Rules!$B$5))</f>
        <v>0.30752051345957193</v>
      </c>
    </row>
    <row r="17" spans="1:11" x14ac:dyDescent="0.2">
      <c r="A17" s="126">
        <v>2</v>
      </c>
      <c r="B17" s="117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 x14ac:dyDescent="0.2">
      <c r="A18" s="126">
        <v>3</v>
      </c>
      <c r="B18" s="117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 x14ac:dyDescent="0.2">
      <c r="A19" s="126">
        <v>4</v>
      </c>
      <c r="B19" s="117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 x14ac:dyDescent="0.2">
      <c r="A20" s="126">
        <v>5</v>
      </c>
      <c r="B20" s="117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 x14ac:dyDescent="0.2">
      <c r="A21" s="126">
        <v>6</v>
      </c>
      <c r="B21" s="117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 x14ac:dyDescent="0.2">
      <c r="A22" s="126">
        <v>7</v>
      </c>
      <c r="B22" s="117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 x14ac:dyDescent="0.2">
      <c r="A23" s="126">
        <v>8</v>
      </c>
      <c r="B23" s="117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 x14ac:dyDescent="0.2">
      <c r="A24" s="126">
        <v>9</v>
      </c>
      <c r="B24" s="117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7" thickBot="1" x14ac:dyDescent="0.25">
      <c r="A25" s="127">
        <v>10</v>
      </c>
      <c r="B25" s="118">
        <f>2*(IF(Rules!$B$9=Rules!$E$9,SUM(HSD!B13:B19)+Rules!$B$5*HSD!B20+HSD!B44+B38,SUM(HS!B13:B19)+Rules!$B$5*HS!B20+HS!B44+B38)/(9+Rules!$B$5))</f>
        <v>0.25404256790190649</v>
      </c>
      <c r="C25" s="171">
        <f>2*(IF(Rules!$B$9=Rules!$E$9,SUM(HSD!C13:C19)+Rules!$B$5*HSD!C20+HSD!C44+C38,SUM(HS!C13:C19)+Rules!$B$5*HS!C20+HS!C44+C38)/(9+Rules!$B$5))</f>
        <v>0.47477335618105915</v>
      </c>
      <c r="D25" s="171">
        <f>2*(IF(Rules!$B$9=Rules!$E$9,SUM(HSD!D13:D19)+Rules!$B$5*HSD!D20+HSD!D44+D38,SUM(HS!D13:D19)+Rules!$B$5*HS!D20+HS!D44+D38)/(9+Rules!$B$5))</f>
        <v>0.52682687199935552</v>
      </c>
      <c r="E25" s="171">
        <f>2*(IF(Rules!$B$9=Rules!$E$9,SUM(HSD!E13:E19)+Rules!$B$5*HSD!E20+HSD!E44+E38,SUM(HS!E13:E19)+Rules!$B$5*HS!E20+HS!E44+E38)/(9+Rules!$B$5))</f>
        <v>0.58023077979244886</v>
      </c>
      <c r="F25" s="171">
        <f>2*(IF(Rules!$B$9=Rules!$E$9,SUM(HSD!F13:F19)+Rules!$B$5*HSD!F20+HSD!F44+F38,SUM(HS!F13:F19)+Rules!$B$5*HS!F20+HS!F44+F38)/(9+Rules!$B$5))</f>
        <v>0.63317564802789661</v>
      </c>
      <c r="G25" s="171">
        <f>2*(IF(Rules!$B$9=Rules!$E$9,SUM(HSD!G13:G19)+Rules!$B$5*HSD!G20+HSD!G44+G38,SUM(HS!G13:G19)+Rules!$B$5*HS!G20+HS!G44+G38)/(9+Rules!$B$5))</f>
        <v>0.70504978713524302</v>
      </c>
      <c r="H25" s="171">
        <f>2*(IF(Rules!$B$9=Rules!$E$9,SUM(HSD!H13:H19)+Rules!$B$5*HSD!H20+HSD!H44+H38,SUM(HS!H13:H19)+Rules!$B$5*HS!H20+HS!H44+H38)/(9+Rules!$B$5))</f>
        <v>0.64281131172356143</v>
      </c>
      <c r="I25" s="171">
        <f>2*(IF(Rules!$B$9=Rules!$E$9,SUM(HSD!I13:I19)+Rules!$B$5*HSD!I20+HSD!I44+I38,SUM(HS!I13:I19)+Rules!$B$5*HS!I20+HS!I44+I38)/(9+Rules!$B$5))</f>
        <v>0.5143953850109767</v>
      </c>
      <c r="J25" s="171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 x14ac:dyDescent="0.25"/>
    <row r="27" spans="1:11" ht="17" thickBot="1" x14ac:dyDescent="0.25">
      <c r="A27" s="355" t="s">
        <v>91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67"/>
    </row>
    <row r="28" spans="1:11" ht="17" thickBot="1" x14ac:dyDescent="0.25">
      <c r="A28" s="165" t="s">
        <v>7</v>
      </c>
      <c r="B28" s="182">
        <v>1</v>
      </c>
      <c r="C28" s="183">
        <v>2</v>
      </c>
      <c r="D28" s="183">
        <v>3</v>
      </c>
      <c r="E28" s="183">
        <v>4</v>
      </c>
      <c r="F28" s="183">
        <v>5</v>
      </c>
      <c r="G28" s="183">
        <v>6</v>
      </c>
      <c r="H28" s="183">
        <v>7</v>
      </c>
      <c r="I28" s="183">
        <v>8</v>
      </c>
      <c r="J28" s="183">
        <v>9</v>
      </c>
      <c r="K28" s="144">
        <v>10</v>
      </c>
    </row>
    <row r="29" spans="1:11" x14ac:dyDescent="0.2">
      <c r="A29" s="131">
        <v>1</v>
      </c>
      <c r="B29" s="169">
        <f>2*(IF(Rules!$B$12=Rules!$F$12,SUM(Stand!B36:B43)+Rules!$B$5*Stand!B44+B42,SUM(HSD!B36:B43)+Rules!$B$5*HSD!B44+B42)/(9+Rules!$B$5))</f>
        <v>0.22844717277365195</v>
      </c>
      <c r="C29" s="170">
        <f>2*(IF(Rules!$B$12=Rules!$F$12,SUM(Stand!C36:C43)+Rules!$B$5*Stand!C44+C42,SUM(HSD!C36:C43)+Rules!$B$5*HSD!C44+C42)/(9+Rules!$B$5))</f>
        <v>0.58809086957773749</v>
      </c>
      <c r="D29" s="170">
        <f>2*(IF(Rules!$B$12=Rules!$F$12,SUM(Stand!D36:D43)+Rules!$B$5*Stand!D44+D42,SUM(HSD!D36:D43)+Rules!$B$5*HSD!D44+D42)/(9+Rules!$B$5))</f>
        <v>0.63626378886959067</v>
      </c>
      <c r="E29" s="170">
        <f>2*(IF(Rules!$B$12=Rules!$F$12,SUM(Stand!E36:E43)+Rules!$B$5*Stand!E44+E42,SUM(HSD!E36:E43)+Rules!$B$5*HSD!E44+E42)/(9+Rules!$B$5))</f>
        <v>0.68559495955842076</v>
      </c>
      <c r="F29" s="170">
        <f>2*(IF(Rules!$B$12=Rules!$F$12,SUM(Stand!F36:F43)+Rules!$B$5*Stand!F44+F42,SUM(HSD!F36:F43)+Rules!$B$5*HSD!F44+F42)/(9+Rules!$B$5))</f>
        <v>0.73499004540818236</v>
      </c>
      <c r="G29" s="170">
        <f>2*(IF(Rules!$B$12=Rules!$F$12,SUM(Stand!G36:G43)+Rules!$B$5*Stand!G44+G42,SUM(HSD!G36:G43)+Rules!$B$5*HSD!G44+G42)/(9+Rules!$B$5))</f>
        <v>0.79369995809796545</v>
      </c>
      <c r="H29" s="170">
        <f>2*(IF(Rules!$B$12=Rules!$F$12,SUM(Stand!H36:H43)+Rules!$B$5*Stand!H44+H42,SUM(HSD!H36:H43)+Rules!$B$5*HSD!H44+H42)/(9+Rules!$B$5))</f>
        <v>0.60723727688601759</v>
      </c>
      <c r="I29" s="170">
        <f>2*(IF(Rules!$B$12=Rules!$F$12,SUM(Stand!I36:I43)+Rules!$B$5*Stand!I44+I42,SUM(HSD!I36:I43)+Rules!$B$5*HSD!I44+I42)/(9+Rules!$B$5))</f>
        <v>0.48318645338845845</v>
      </c>
      <c r="J29" s="170">
        <f>2*(IF(Rules!$B$12=Rules!$F$12,SUM(Stand!J36:J43)+Rules!$B$5*Stand!J44+J42,SUM(HSD!J36:J43)+Rules!$B$5*HSD!J44+J42)/(9+Rules!$B$5))</f>
        <v>0.34638851611915705</v>
      </c>
      <c r="K29" s="63">
        <f>2*(IF(Rules!$B$12=Rules!$F$12,SUM(Stand!K36:K43)+Rules!$B$5*Stand!K44+K42,SUM(HSD!K36:K43)+Rules!$B$5*HSD!K44+K42)/(9+Rules!$B$5))</f>
        <v>0.29047627531978187</v>
      </c>
    </row>
    <row r="30" spans="1:11" x14ac:dyDescent="0.2">
      <c r="A30" s="126">
        <v>2</v>
      </c>
      <c r="B30" s="117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 x14ac:dyDescent="0.2">
      <c r="A31" s="126">
        <v>3</v>
      </c>
      <c r="B31" s="117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 x14ac:dyDescent="0.2">
      <c r="A32" s="126">
        <v>4</v>
      </c>
      <c r="B32" s="117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 x14ac:dyDescent="0.2">
      <c r="A33" s="126">
        <v>5</v>
      </c>
      <c r="B33" s="117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 x14ac:dyDescent="0.2">
      <c r="A34" s="126">
        <v>6</v>
      </c>
      <c r="B34" s="117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 x14ac:dyDescent="0.2">
      <c r="A35" s="126">
        <v>7</v>
      </c>
      <c r="B35" s="117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 x14ac:dyDescent="0.2">
      <c r="A36" s="126">
        <v>8</v>
      </c>
      <c r="B36" s="117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 x14ac:dyDescent="0.2">
      <c r="A37" s="126">
        <v>9</v>
      </c>
      <c r="B37" s="117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7" thickBot="1" x14ac:dyDescent="0.25">
      <c r="A38" s="127">
        <v>10</v>
      </c>
      <c r="B38" s="118">
        <f>2*(IF(Rules!$B$9=Rules!$E$9,SUM(HSD!B13:B19)+Rules!$B$5*HSD!B20+HSD!B44+B51,SUM(HS!B13:B19)+Rules!$B$5*HS!B20+HS!B44+B51)/(9+Rules!$B$5))</f>
        <v>0.24189014763372588</v>
      </c>
      <c r="C38" s="171">
        <f>2*(IF(Rules!$B$9=Rules!$E$9,SUM(HSD!C13:C19)+Rules!$B$5*HSD!C20+HSD!C44+C51,SUM(HS!C13:C19)+Rules!$B$5*HS!C20+HS!C44+C51)/(9+Rules!$B$5))</f>
        <v>0.46013690709266325</v>
      </c>
      <c r="D38" s="171">
        <f>2*(IF(Rules!$B$9=Rules!$E$9,SUM(HSD!D13:D19)+Rules!$B$5*HSD!D20+HSD!D44+D51,SUM(HS!D13:D19)+Rules!$B$5*HS!D20+HS!D44+D51)/(9+Rules!$B$5))</f>
        <v>0.51154008261649231</v>
      </c>
      <c r="E38" s="171">
        <f>2*(IF(Rules!$B$9=Rules!$E$9,SUM(HSD!E13:E19)+Rules!$B$5*HSD!E20+HSD!E44+E51,SUM(HS!E13:E19)+Rules!$B$5*HS!E20+HS!E44+E51)/(9+Rules!$B$5))</f>
        <v>0.56432537499270297</v>
      </c>
      <c r="F38" s="171">
        <f>2*(IF(Rules!$B$9=Rules!$E$9,SUM(HSD!F13:F19)+Rules!$B$5*HSD!F20+HSD!F44+F51,SUM(HS!F13:F19)+Rules!$B$5*HS!F20+HS!F44+F51)/(9+Rules!$B$5))</f>
        <v>0.61708784282461282</v>
      </c>
      <c r="G38" s="171">
        <f>2*(IF(Rules!$B$9=Rules!$E$9,SUM(HSD!G13:G19)+Rules!$B$5*HSD!G20+HSD!G44+G51,SUM(HS!G13:G19)+Rules!$B$5*HS!G20+HS!G44+G51)/(9+Rules!$B$5))</f>
        <v>0.68778850466357977</v>
      </c>
      <c r="H38" s="171">
        <f>2*(IF(Rules!$B$9=Rules!$E$9,SUM(HSD!H13:H19)+Rules!$B$5*HSD!H20+HSD!H44+H51,SUM(HS!H13:H19)+Rules!$B$5*HS!H20+HS!H44+H51)/(9+Rules!$B$5))</f>
        <v>0.62561213531670967</v>
      </c>
      <c r="I38" s="171">
        <f>2*(IF(Rules!$B$9=Rules!$E$9,SUM(HSD!I13:I19)+Rules!$B$5*HSD!I20+HSD!I44+I51,SUM(HS!I13:I19)+Rules!$B$5*HS!I20+HS!I44+I51)/(9+Rules!$B$5))</f>
        <v>0.49859698923137341</v>
      </c>
      <c r="J38" s="171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 x14ac:dyDescent="0.25"/>
    <row r="40" spans="1:11" ht="17" thickBot="1" x14ac:dyDescent="0.25">
      <c r="A40" s="368" t="s">
        <v>92</v>
      </c>
      <c r="B40" s="369"/>
      <c r="C40" s="369"/>
      <c r="D40" s="369"/>
      <c r="E40" s="369"/>
      <c r="F40" s="369"/>
      <c r="G40" s="369"/>
      <c r="H40" s="369"/>
      <c r="I40" s="369"/>
      <c r="J40" s="369"/>
      <c r="K40" s="370"/>
    </row>
    <row r="41" spans="1:11" ht="17" thickBot="1" x14ac:dyDescent="0.25">
      <c r="A41" s="196" t="s">
        <v>7</v>
      </c>
      <c r="B41" s="197">
        <v>1</v>
      </c>
      <c r="C41" s="198">
        <v>2</v>
      </c>
      <c r="D41" s="198">
        <v>3</v>
      </c>
      <c r="E41" s="198">
        <v>4</v>
      </c>
      <c r="F41" s="198">
        <v>5</v>
      </c>
      <c r="G41" s="198">
        <v>6</v>
      </c>
      <c r="H41" s="198">
        <v>7</v>
      </c>
      <c r="I41" s="198">
        <v>8</v>
      </c>
      <c r="J41" s="198">
        <v>9</v>
      </c>
      <c r="K41" s="199">
        <v>10</v>
      </c>
    </row>
    <row r="42" spans="1:11" x14ac:dyDescent="0.2">
      <c r="A42" s="191">
        <v>1</v>
      </c>
      <c r="B42" s="190">
        <f>2*(IF(Rules!$B$12=Rules!$F$12,SUM(Stand!B35:B43)+Rules!$B$5*Stand!B44,SUM(HSD!B35:B43)+Rules!$B$5*HSD!B44)/(9+Rules!$B$5))</f>
        <v>0.10906077977909699</v>
      </c>
      <c r="C42" s="194">
        <f>2*(IF(Rules!$B$12=Rules!$F$12,SUM(Stand!C35:C43)+Rules!$B$5*Stand!C44,SUM(HSD!C35:C43)+Rules!$B$5*HSD!C44)/(9+Rules!$B$5))</f>
        <v>0.47064092333946894</v>
      </c>
      <c r="D42" s="194">
        <f>2*(IF(Rules!$B$12=Rules!$F$12,SUM(Stand!D35:D43)+Rules!$B$5*Stand!D44,SUM(HSD!D35:D43)+Rules!$B$5*HSD!D44)/(9+Rules!$B$5))</f>
        <v>0.51779525312221664</v>
      </c>
      <c r="E42" s="194">
        <f>2*(IF(Rules!$B$12=Rules!$F$12,SUM(Stand!E35:E43)+Rules!$B$5*Stand!E44,SUM(HSD!E35:E43)+Rules!$B$5*HSD!E44)/(9+Rules!$B$5))</f>
        <v>0.56604055041797596</v>
      </c>
      <c r="F42" s="194">
        <f>2*(IF(Rules!$B$12=Rules!$F$12,SUM(Stand!F35:F43)+Rules!$B$5*Stand!F44,SUM(HSD!F35:F43)+Rules!$B$5*HSD!F44)/(9+Rules!$B$5))</f>
        <v>0.61469901790902803</v>
      </c>
      <c r="G42" s="194">
        <f>2*(IF(Rules!$B$12=Rules!$F$12,SUM(Stand!G35:G43)+Rules!$B$5*Stand!G44,SUM(HSD!G35:G43)+Rules!$B$5*HSD!G44)/(9+Rules!$B$5))</f>
        <v>0.66738009490756944</v>
      </c>
      <c r="H42" s="194">
        <f>2*(IF(Rules!$B$12=Rules!$F$12,SUM(Stand!H35:H43)+Rules!$B$5*Stand!H44,SUM(HSD!H35:H43)+Rules!$B$5*HSD!H44)/(9+Rules!$B$5))</f>
        <v>0.46288894886429088</v>
      </c>
      <c r="I42" s="194">
        <f>2*(IF(Rules!$B$12=Rules!$F$12,SUM(Stand!I35:I43)+Rules!$B$5*Stand!I44,SUM(HSD!I35:I43)+Rules!$B$5*HSD!I44)/(9+Rules!$B$5))</f>
        <v>0.35069259087031512</v>
      </c>
      <c r="J42" s="194">
        <f>2*(IF(Rules!$B$12=Rules!$F$12,SUM(Stand!J35:J43)+Rules!$B$5*Stand!J44,SUM(HSD!J35:J43)+Rules!$B$5*HSD!J44)/(9+Rules!$B$5))</f>
        <v>0.22778342315245487</v>
      </c>
      <c r="K42" s="195">
        <f>2*(IF(Rules!$B$12=Rules!$F$12,SUM(Stand!K35:K43)+Rules!$B$5*Stand!K44,SUM(HSD!K35:K43)+Rules!$B$5*HSD!K44)/(9+Rules!$B$5))</f>
        <v>0.17968872741114625</v>
      </c>
    </row>
    <row r="43" spans="1:11" x14ac:dyDescent="0.2">
      <c r="A43" s="192">
        <v>2</v>
      </c>
      <c r="B43" s="185">
        <f>2*(IF(Rules!$B$9=Rules!$E$9,SUM(HSD!B4:B11)+Rules!$B$5*HSD!B12+HSD!B36,SUM(HS!B4:B11)+Rules!$B$5*HS!B12+HS!B36)/(9+Rules!$B$5))</f>
        <v>-0.40670736629778753</v>
      </c>
      <c r="C43" s="184">
        <f>2*(IF(Rules!$B$9=Rules!$E$9,SUM(HSD!C4:C11)+Rules!$B$5*HSD!C12+HSD!C36,SUM(HS!C4:C11)+Rules!$B$5*HS!C12+HS!C36)/(9+Rules!$B$5))</f>
        <v>-8.8887240897114625E-2</v>
      </c>
      <c r="D43" s="184">
        <f>2*(IF(Rules!$B$9=Rules!$E$9,SUM(HSD!D4:D11)+Rules!$B$5*HSD!D12+HSD!D36,SUM(HS!D4:D11)+Rules!$B$5*HS!D12+HS!D36)/(9+Rules!$B$5))</f>
        <v>-2.561613047924638E-2</v>
      </c>
      <c r="E43" s="184">
        <f>2*(IF(Rules!$B$9=Rules!$E$9,SUM(HSD!E4:E11)+Rules!$B$5*HSD!E12+HSD!E36,SUM(HS!E4:E11)+Rules!$B$5*HS!E12+HS!E36)/(9+Rules!$B$5))</f>
        <v>4.2946629568768907E-2</v>
      </c>
      <c r="F43" s="184">
        <f>2*(IF(Rules!$B$9=Rules!$E$9,SUM(HSD!F4:F11)+Rules!$B$5*HSD!F12+HSD!F36,SUM(HS!F4:F11)+Rules!$B$5*HS!F12+HS!F36)/(9+Rules!$B$5))</f>
        <v>0.12724982334843896</v>
      </c>
      <c r="G43" s="184">
        <f>2*(IF(Rules!$B$9=Rules!$E$9,SUM(HSD!G4:G11)+Rules!$B$5*HSD!G12+HSD!G36,SUM(HS!G4:G11)+Rules!$B$5*HS!G12+HS!G36)/(9+Rules!$B$5))</f>
        <v>0.19477859816579254</v>
      </c>
      <c r="H43" s="184">
        <f>2*(IF(Rules!$B$9=Rules!$E$9,SUM(HSD!H4:H11)+Rules!$B$5*HSD!H12+HSD!H36,SUM(HS!H4:H11)+Rules!$B$5*HS!H12+HS!H36)/(9+Rules!$B$5))</f>
        <v>-7.3993244927046805E-3</v>
      </c>
      <c r="I43" s="184">
        <f>2*(IF(Rules!$B$9=Rules!$E$9,SUM(HSD!I4:I11)+Rules!$B$5*HSD!I12+HSD!I36,SUM(HS!I4:I11)+Rules!$B$5*HS!I12+HS!I36)/(9+Rules!$B$5))</f>
        <v>-0.17410923184246513</v>
      </c>
      <c r="J43" s="184">
        <f>2*(IF(Rules!$B$9=Rules!$E$9,SUM(HSD!J4:J11)+Rules!$B$5*HSD!J12+HSD!J36,SUM(HS!J4:J11)+Rules!$B$5*HS!J12+HS!J36)/(9+Rules!$B$5))</f>
        <v>-0.36512119656719888</v>
      </c>
      <c r="K43" s="186">
        <f>2*(IF(Rules!$B$9=Rules!$E$9,SUM(HSD!K4:K11)+Rules!$B$5*HSD!K12+HSD!K36,SUM(HS!K4:K11)+Rules!$B$5*HS!K12+HS!K36)/(9+Rules!$B$5))</f>
        <v>-0.47473352836952315</v>
      </c>
    </row>
    <row r="44" spans="1:11" x14ac:dyDescent="0.2">
      <c r="A44" s="192">
        <v>3</v>
      </c>
      <c r="B44" s="185">
        <f>2*(IF(Rules!$B$9=Rules!$E$9,SUM(HSD!B5:B12)+Rules!$B$5*HSD!B13+HSD!B37,SUM(HS!B5:B12)+Rules!$B$5*HS!B13+HS!B37)/(9+Rules!$B$5))</f>
        <v>-0.45587498581610703</v>
      </c>
      <c r="C44" s="184">
        <f>2*(IF(Rules!$B$9=Rules!$E$9,SUM(HSD!C5:C12)+Rules!$B$5*HSD!C13+HSD!C37,SUM(HS!C5:C12)+Rules!$B$5*HS!C13+HS!C37)/(9+Rules!$B$5))</f>
        <v>-0.13816353305492138</v>
      </c>
      <c r="D44" s="184">
        <f>2*(IF(Rules!$B$9=Rules!$E$9,SUM(HSD!D5:D12)+Rules!$B$5*HSD!D13+HSD!D37,SUM(HS!D5:D12)+Rules!$B$5*HS!D13+HS!D37)/(9+Rules!$B$5))</f>
        <v>-6.3866434744217312E-2</v>
      </c>
      <c r="E44" s="184">
        <f>2*(IF(Rules!$B$9=Rules!$E$9,SUM(HSD!E5:E12)+Rules!$B$5*HSD!E13+HSD!E37,SUM(HS!E5:E12)+Rules!$B$5*HS!E13+HS!E37)/(9+Rules!$B$5))</f>
        <v>1.4624872422626991E-2</v>
      </c>
      <c r="F44" s="184">
        <f>2*(IF(Rules!$B$9=Rules!$E$9,SUM(HSD!F5:F12)+Rules!$B$5*HSD!F13+HSD!F37,SUM(HS!F5:F12)+Rules!$B$5*HS!F13+HS!F37)/(9+Rules!$B$5))</f>
        <v>0.10229274834073326</v>
      </c>
      <c r="G44" s="184">
        <f>2*(IF(Rules!$B$9=Rules!$E$9,SUM(HSD!G5:G12)+Rules!$B$5*HSD!G13+HSD!G37,SUM(HS!G5:G12)+Rules!$B$5*HS!G13+HS!G37)/(9+Rules!$B$5))</f>
        <v>0.16942022384102573</v>
      </c>
      <c r="H44" s="184">
        <f>2*(IF(Rules!$B$9=Rules!$E$9,SUM(HSD!H5:H12)+Rules!$B$5*HSD!H13+HSD!H37,SUM(HS!H5:H12)+Rules!$B$5*HS!H13+HS!H37)/(9+Rules!$B$5))</f>
        <v>-6.7760458821693514E-2</v>
      </c>
      <c r="I44" s="184">
        <f>2*(IF(Rules!$B$9=Rules!$E$9,SUM(HSD!I5:I12)+Rules!$B$5*HSD!I13+HSD!I37,SUM(HS!I5:I12)+Rules!$B$5*HS!I13+HS!I37)/(9+Rules!$B$5))</f>
        <v>-0.22966953759261269</v>
      </c>
      <c r="J44" s="184">
        <f>2*(IF(Rules!$B$9=Rules!$E$9,SUM(HSD!J5:J12)+Rules!$B$5*HSD!J13+HSD!J37,SUM(HS!J5:J12)+Rules!$B$5*HS!J13+HS!J37)/(9+Rules!$B$5))</f>
        <v>-0.41518015608743064</v>
      </c>
      <c r="K44" s="186">
        <f>2*(IF(Rules!$B$9=Rules!$E$9,SUM(HSD!K5:K12)+Rules!$B$5*HSD!K13+HSD!K37,SUM(HS!K5:K12)+Rules!$B$5*HS!K13+HS!K37)/(9+Rules!$B$5))</f>
        <v>-0.52139589164919231</v>
      </c>
    </row>
    <row r="45" spans="1:11" x14ac:dyDescent="0.2">
      <c r="A45" s="192">
        <v>4</v>
      </c>
      <c r="B45" s="185">
        <f>2*(IF(Rules!$B$9=Rules!$E$9,SUM(HSD!B6:B13)+Rules!$B$5*HSD!B14+HSD!B38,SUM(HS!B6:B13)+Rules!$B$5*HS!B14+HS!B38)/(9+Rules!$B$5))</f>
        <v>-0.50615398880781726</v>
      </c>
      <c r="C45" s="184">
        <f>2*(IF(Rules!$B$9=Rules!$E$9,SUM(HSD!C6:C13)+Rules!$B$5*HSD!C14+HSD!C38,SUM(HS!C6:C13)+Rules!$B$5*HS!C14+HS!C38)/(9+Rules!$B$5))</f>
        <v>-0.16694517949705912</v>
      </c>
      <c r="D45" s="184">
        <f>2*(IF(Rules!$B$9=Rules!$E$9,SUM(HSD!D6:D13)+Rules!$B$5*HSD!D14+HSD!D38,SUM(HS!D6:D13)+Rules!$B$5*HS!D14+HS!D38)/(9+Rules!$B$5))</f>
        <v>-9.1341346785911021E-2</v>
      </c>
      <c r="E45" s="184">
        <f>2*(IF(Rules!$B$9=Rules!$E$9,SUM(HSD!E6:E13)+Rules!$B$5*HSD!E14+HSD!E38,SUM(HS!E6:E13)+Rules!$B$5*HS!E14+HS!E38)/(9+Rules!$B$5))</f>
        <v>-1.1587386373396152E-2</v>
      </c>
      <c r="F45" s="184">
        <f>2*(IF(Rules!$B$9=Rules!$E$9,SUM(HSD!F6:F13)+Rules!$B$5*HSD!F14+HSD!F38,SUM(HS!F6:F13)+Rules!$B$5*HS!F14+HS!F38)/(9+Rules!$B$5))</f>
        <v>8.0259872887869343E-2</v>
      </c>
      <c r="G45" s="184">
        <f>2*(IF(Rules!$B$9=Rules!$E$9,SUM(HSD!G6:G13)+Rules!$B$5*HSD!G14+HSD!G38,SUM(HS!G6:G13)+Rules!$B$5*HS!G14+HS!G38)/(9+Rules!$B$5))</f>
        <v>0.14595673491924663</v>
      </c>
      <c r="H45" s="184">
        <f>2*(IF(Rules!$B$9=Rules!$E$9,SUM(HSD!H6:H13)+Rules!$B$5*HSD!H14+HSD!H38,SUM(HS!H6:H13)+Rules!$B$5*HS!H14+HS!H38)/(9+Rules!$B$5))</f>
        <v>-0.12944368385790758</v>
      </c>
      <c r="I45" s="184">
        <f>2*(IF(Rules!$B$9=Rules!$E$9,SUM(HSD!I6:I13)+Rules!$B$5*HSD!I14+HSD!I38,SUM(HS!I6:I13)+Rules!$B$5*HS!I14+HS!I38)/(9+Rules!$B$5))</f>
        <v>-0.28645408161262087</v>
      </c>
      <c r="J45" s="184">
        <f>2*(IF(Rules!$B$9=Rules!$E$9,SUM(HSD!J6:J13)+Rules!$B$5*HSD!J14+HSD!J38,SUM(HS!J6:J13)+Rules!$B$5*HS!J14+HS!J38)/(9+Rules!$B$5))</f>
        <v>-0.46635926876691297</v>
      </c>
      <c r="K45" s="186">
        <f>2*(IF(Rules!$B$9=Rules!$E$9,SUM(HSD!K6:K13)+Rules!$B$5*HSD!K14+HSD!K38,SUM(HS!K6:K13)+Rules!$B$5*HS!K14+HS!K38)/(9+Rules!$B$5))</f>
        <v>-0.5691332910255914</v>
      </c>
    </row>
    <row r="46" spans="1:11" x14ac:dyDescent="0.2">
      <c r="A46" s="192">
        <v>5</v>
      </c>
      <c r="B46" s="185">
        <f>2*(IF(Rules!$B$9=Rules!$E$9,SUM(HSD!B7:B14)+Rules!$B$5*HSD!B15+HSD!B39,SUM(HS!B7:B14)+Rules!$B$5*HS!B15+HS!B39)/(9+Rules!$B$5))</f>
        <v>-0.55714919510363936</v>
      </c>
      <c r="C46" s="184">
        <f>2*(IF(Rules!$B$9=Rules!$E$9,SUM(HSD!C7:C14)+Rules!$B$5*HSD!C15+HSD!C39,SUM(HS!C7:C14)+Rules!$B$5*HS!C15+HS!C39)/(9+Rules!$B$5))</f>
        <v>-0.19354965838671134</v>
      </c>
      <c r="D46" s="184">
        <f>2*(IF(Rules!$B$9=Rules!$E$9,SUM(HSD!D7:D14)+Rules!$B$5*HSD!D15+HSD!D39,SUM(HS!D7:D14)+Rules!$B$5*HS!D15+HS!D39)/(9+Rules!$B$5))</f>
        <v>-0.11673517270940206</v>
      </c>
      <c r="E46" s="184">
        <f>2*(IF(Rules!$B$9=Rules!$E$9,SUM(HSD!E7:E14)+Rules!$B$5*HSD!E15+HSD!E39,SUM(HS!E7:E14)+Rules!$B$5*HS!E15+HS!E39)/(9+Rules!$B$5))</f>
        <v>-3.2972744105082649E-2</v>
      </c>
      <c r="F46" s="184">
        <f>2*(IF(Rules!$B$9=Rules!$E$9,SUM(HSD!F7:F14)+Rules!$B$5*HSD!F15+HSD!F39,SUM(HS!F7:F14)+Rules!$B$5*HS!F15+HS!F39)/(9+Rules!$B$5))</f>
        <v>5.9909613271658099E-2</v>
      </c>
      <c r="G46" s="184">
        <f>2*(IF(Rules!$B$9=Rules!$E$9,SUM(HSD!G7:G14)+Rules!$B$5*HSD!G15+HSD!G39,SUM(HS!G7:G14)+Rules!$B$5*HS!G15+HS!G39)/(9+Rules!$B$5))</f>
        <v>0.12431163025768811</v>
      </c>
      <c r="H46" s="184">
        <f>2*(IF(Rules!$B$9=Rules!$E$9,SUM(HSD!H7:H14)+Rules!$B$5*HSD!H15+HSD!H39,SUM(HS!H7:H14)+Rules!$B$5*HS!H15+HS!H39)/(9+Rules!$B$5))</f>
        <v>-0.19178016550927721</v>
      </c>
      <c r="I46" s="184">
        <f>2*(IF(Rules!$B$9=Rules!$E$9,SUM(HSD!I7:I14)+Rules!$B$5*HSD!I15+HSD!I39,SUM(HS!I7:I14)+Rules!$B$5*HS!I15+HS!I39)/(9+Rules!$B$5))</f>
        <v>-0.34397238409858105</v>
      </c>
      <c r="J46" s="184">
        <f>2*(IF(Rules!$B$9=Rules!$E$9,SUM(HSD!J7:J14)+Rules!$B$5*HSD!J15+HSD!J39,SUM(HS!J7:J14)+Rules!$B$5*HS!J15+HS!J39)/(9+Rules!$B$5))</f>
        <v>-0.51825701717610007</v>
      </c>
      <c r="K46" s="186">
        <f>2*(IF(Rules!$B$9=Rules!$E$9,SUM(HSD!K7:K14)+Rules!$B$5*HSD!K15+HSD!K39,SUM(HS!K7:K14)+Rules!$B$5*HS!K15+HS!K39)/(9+Rules!$B$5))</f>
        <v>-0.61756074878418332</v>
      </c>
    </row>
    <row r="47" spans="1:11" x14ac:dyDescent="0.2">
      <c r="A47" s="192">
        <v>6</v>
      </c>
      <c r="B47" s="185">
        <f>2*(IF(Rules!$B$9=Rules!$E$9,SUM(HSD!B8:B15)+Rules!$B$5*HSD!B16+HSD!B40,SUM(HS!B8:B15)+Rules!$B$5*HS!B16+HS!B40)/(9+Rules!$B$5))</f>
        <v>-0.60829326195139866</v>
      </c>
      <c r="C47" s="184">
        <f>2*(IF(Rules!$B$9=Rules!$E$9,SUM(HSD!C8:C15)+Rules!$B$5*HSD!C16+HSD!C40,SUM(HS!C8:C15)+Rules!$B$5*HS!C16+HS!C40)/(9+Rules!$B$5))</f>
        <v>-0.21863675917925621</v>
      </c>
      <c r="D47" s="184">
        <f>2*(IF(Rules!$B$9=Rules!$E$9,SUM(HSD!D8:D15)+Rules!$B$5*HSD!D16+HSD!D40,SUM(HS!D8:D15)+Rules!$B$5*HS!D16+HS!D40)/(9+Rules!$B$5))</f>
        <v>-0.13667841243230397</v>
      </c>
      <c r="E47" s="184">
        <f>2*(IF(Rules!$B$9=Rules!$E$9,SUM(HSD!E8:E15)+Rules!$B$5*HSD!E16+HSD!E40,SUM(HS!E8:E15)+Rules!$B$5*HS!E16+HS!E40)/(9+Rules!$B$5))</f>
        <v>-4.9559710729696275E-2</v>
      </c>
      <c r="F47" s="184">
        <f>2*(IF(Rules!$B$9=Rules!$E$9,SUM(HSD!F8:F15)+Rules!$B$5*HSD!F16+HSD!F40,SUM(HS!F8:F15)+Rules!$B$5*HS!F16+HS!F40)/(9+Rules!$B$5))</f>
        <v>4.3986900993555816E-2</v>
      </c>
      <c r="G47" s="184">
        <f>2*(IF(Rules!$B$9=Rules!$E$9,SUM(HSD!G8:G15)+Rules!$B$5*HSD!G16+HSD!G40,SUM(HS!G8:G15)+Rules!$B$5*HS!G16+HS!G40)/(9+Rules!$B$5))</f>
        <v>0.10792266460833698</v>
      </c>
      <c r="H47" s="184">
        <f>2*(IF(Rules!$B$9=Rules!$E$9,SUM(HSD!H8:H15)+Rules!$B$5*HSD!H16+HSD!H40,SUM(HS!H8:H15)+Rules!$B$5*HS!H16+HS!H40)/(9+Rules!$B$5))</f>
        <v>-0.25675069621437913</v>
      </c>
      <c r="I47" s="184">
        <f>2*(IF(Rules!$B$9=Rules!$E$9,SUM(HSD!I8:I15)+Rules!$B$5*HSD!I16+HSD!I40,SUM(HS!I8:I15)+Rules!$B$5*HS!I16+HS!I40)/(9+Rules!$B$5))</f>
        <v>-0.40226953893378015</v>
      </c>
      <c r="J47" s="184">
        <f>2*(IF(Rules!$B$9=Rules!$E$9,SUM(HSD!J8:J15)+Rules!$B$5*HSD!J16+HSD!J40,SUM(HS!J8:J15)+Rules!$B$5*HS!J16+HS!J40)/(9+Rules!$B$5))</f>
        <v>-0.57030831085563405</v>
      </c>
      <c r="K47" s="186">
        <f>2*(IF(Rules!$B$9=Rules!$E$9,SUM(HSD!K8:K15)+Rules!$B$5*HSD!K16+HSD!K40,SUM(HS!K8:K15)+Rules!$B$5*HS!K16+HS!K40)/(9+Rules!$B$5))</f>
        <v>-0.66623634281105726</v>
      </c>
    </row>
    <row r="48" spans="1:11" x14ac:dyDescent="0.2">
      <c r="A48" s="192">
        <v>7</v>
      </c>
      <c r="B48" s="185">
        <f>2*(IF(Rules!$B$9=Rules!$E$9,SUM(HSD!B9:B16)+Rules!$B$5*HSD!B17+HSD!B41,SUM(HS!B9:B16)+Rules!$B$5*HS!B17+HS!B41)/(9+Rules!$B$5))</f>
        <v>-0.62014330066327394</v>
      </c>
      <c r="C48" s="184">
        <f>2*(IF(Rules!$B$9=Rules!$E$9,SUM(HSD!C9:C16)+Rules!$B$5*HSD!C17+HSD!C41,SUM(HS!C9:C16)+Rules!$B$5*HS!C17+HS!C41)/(9+Rules!$B$5))</f>
        <v>-0.1554853799924491</v>
      </c>
      <c r="D48" s="184">
        <f>2*(IF(Rules!$B$9=Rules!$E$9,SUM(HSD!D9:D16)+Rules!$B$5*HSD!D17+HSD!D41,SUM(HS!D9:D16)+Rules!$B$5*HS!D17+HS!D41)/(9+Rules!$B$5))</f>
        <v>-7.4766650789560851E-2</v>
      </c>
      <c r="E48" s="184">
        <f>2*(IF(Rules!$B$9=Rules!$E$9,SUM(HSD!E9:E16)+Rules!$B$5*HSD!E17+HSD!E41,SUM(HS!E9:E16)+Rules!$B$5*HS!E17+HS!E41)/(9+Rules!$B$5))</f>
        <v>1.0511467456082583E-2</v>
      </c>
      <c r="F48" s="184">
        <f>2*(IF(Rules!$B$9=Rules!$E$9,SUM(HSD!F9:F16)+Rules!$B$5*HSD!F17+HSD!F41,SUM(HS!F9:F16)+Rules!$B$5*HS!F17+HS!F41)/(9+Rules!$B$5))</f>
        <v>9.9964621687930175E-2</v>
      </c>
      <c r="G48" s="184">
        <f>2*(IF(Rules!$B$9=Rules!$E$9,SUM(HSD!G9:G16)+Rules!$B$5*HSD!G17+HSD!G41,SUM(HS!G9:G16)+Rules!$B$5*HS!G17+HS!G41)/(9+Rules!$B$5))</f>
        <v>0.18769123920448363</v>
      </c>
      <c r="H48" s="184">
        <f>2*(IF(Rules!$B$9=Rules!$E$9,SUM(HSD!H9:H16)+Rules!$B$5*HSD!H17+HSD!H41,SUM(HS!H9:H16)+Rules!$B$5*HS!H17+HS!H41)/(9+Rules!$B$5))</f>
        <v>-9.0500880901835723E-2</v>
      </c>
      <c r="I48" s="184">
        <f>2*(IF(Rules!$B$9=Rules!$E$9,SUM(HSD!I9:I16)+Rules!$B$5*HSD!I17+HSD!I41,SUM(HS!I9:I16)+Rules!$B$5*HS!I17+HS!I41)/(9+Rules!$B$5))</f>
        <v>-0.38899531374091001</v>
      </c>
      <c r="J48" s="184">
        <f>2*(IF(Rules!$B$9=Rules!$E$9,SUM(HSD!J9:J16)+Rules!$B$5*HSD!J17+HSD!J41,SUM(HS!J9:J16)+Rules!$B$5*HS!J17+HS!J41)/(9+Rules!$B$5))</f>
        <v>-0.55575779143393522</v>
      </c>
      <c r="K48" s="186">
        <f>2*(IF(Rules!$B$9=Rules!$E$9,SUM(HSD!K9:K16)+Rules!$B$5*HSD!K17+HSD!K41,SUM(HS!K9:K16)+Rules!$B$5*HS!K17+HS!K41)/(9+Rules!$B$5))</f>
        <v>-0.62884704485091814</v>
      </c>
    </row>
    <row r="49" spans="1:11" x14ac:dyDescent="0.2">
      <c r="A49" s="192">
        <v>8</v>
      </c>
      <c r="B49" s="185">
        <f>2*(IF(Rules!$B$9=Rules!$E$9,SUM(HSD!B10:B17)+Rules!$B$5*HSD!B18+HSD!B42,SUM(HS!B10:B17)+Rules!$B$5*HS!B18+HS!B42)/(9+Rules!$B$5))</f>
        <v>-0.39405762114832721</v>
      </c>
      <c r="C49" s="184">
        <f>2*(IF(Rules!$B$9=Rules!$E$9,SUM(HSD!C10:C17)+Rules!$B$5*HSD!C18+HSD!C42,SUM(HS!C10:C17)+Rules!$B$5*HS!C18+HS!C42)/(9+Rules!$B$5))</f>
        <v>1.9285099723172237E-2</v>
      </c>
      <c r="D49" s="184">
        <f>2*(IF(Rules!$B$9=Rules!$E$9,SUM(HSD!D10:D17)+Rules!$B$5*HSD!D18+HSD!D42,SUM(HS!D10:D17)+Rules!$B$5*HS!D18+HS!D42)/(9+Rules!$B$5))</f>
        <v>8.688786047625327E-2</v>
      </c>
      <c r="E49" s="184">
        <f>2*(IF(Rules!$B$9=Rules!$E$9,SUM(HSD!E10:E17)+Rules!$B$5*HSD!E18+HSD!E42,SUM(HS!E10:E17)+Rules!$B$5*HS!E18+HS!E42)/(9+Rules!$B$5))</f>
        <v>0.15656746918613532</v>
      </c>
      <c r="F49" s="184">
        <f>2*(IF(Rules!$B$9=Rules!$E$9,SUM(HSD!F10:F17)+Rules!$B$5*HSD!F18+HSD!F42,SUM(HS!F10:F17)+Rules!$B$5*HS!F18+HS!F42)/(9+Rules!$B$5))</f>
        <v>0.22831820480547502</v>
      </c>
      <c r="G49" s="184">
        <f>2*(IF(Rules!$B$9=Rules!$E$9,SUM(HSD!G10:G17)+Rules!$B$5*HSD!G18+HSD!G42,SUM(HS!G10:G17)+Rules!$B$5*HS!G18+HS!G42)/(9+Rules!$B$5))</f>
        <v>0.32553339738516479</v>
      </c>
      <c r="H49" s="184">
        <f>2*(IF(Rules!$B$9=Rules!$E$9,SUM(HSD!H10:H17)+Rules!$B$5*HSD!H18+HSD!H42,SUM(HS!H10:H17)+Rules!$B$5*HS!H18+HS!H42)/(9+Rules!$B$5))</f>
        <v>0.21152959698650559</v>
      </c>
      <c r="I49" s="184">
        <f>2*(IF(Rules!$B$9=Rules!$E$9,SUM(HSD!I10:I17)+Rules!$B$5*HSD!I18+HSD!I42,SUM(HS!I10:I17)+Rules!$B$5*HS!I18+HS!I42)/(9+Rules!$B$5))</f>
        <v>-8.7582327609523197E-2</v>
      </c>
      <c r="J49" s="184">
        <f>2*(IF(Rules!$B$9=Rules!$E$9,SUM(HSD!J10:J17)+Rules!$B$5*HSD!J18+HSD!J42,SUM(HS!J10:J17)+Rules!$B$5*HS!J18+HS!J42)/(9+Rules!$B$5))</f>
        <v>-0.40539957445661723</v>
      </c>
      <c r="K49" s="186">
        <f>2*(IF(Rules!$B$9=Rules!$E$9,SUM(HSD!K10:K17)+Rules!$B$5*HSD!K18+HSD!K42,SUM(HS!K10:K17)+Rules!$B$5*HS!K18+HS!K42)/(9+Rules!$B$5))</f>
        <v>-0.48948762316092631</v>
      </c>
    </row>
    <row r="50" spans="1:11" x14ac:dyDescent="0.2">
      <c r="A50" s="192">
        <v>9</v>
      </c>
      <c r="B50" s="185">
        <f>2*(IF(Rules!$B$9=Rules!$E$9,SUM(HSD!B11:B18)+Rules!$B$5*HSD!B19+HSD!B43,SUM(HS!B11:B18)+Rules!$B$5*HS!B19+HS!B43)/(9+Rules!$B$5))</f>
        <v>-0.13136155755613241</v>
      </c>
      <c r="C50" s="184">
        <f>2*(IF(Rules!$B$9=Rules!$E$9,SUM(HSD!C11:C18)+Rules!$B$5*HSD!C19+HSD!C43,SUM(HS!C11:C18)+Rules!$B$5*HS!C19+HS!C43)/(9+Rules!$B$5))</f>
        <v>0.18462902498065631</v>
      </c>
      <c r="D50" s="184">
        <f>2*(IF(Rules!$B$9=Rules!$E$9,SUM(HSD!D11:D18)+Rules!$B$5*HSD!D19+HSD!D43,SUM(HS!D11:D18)+Rules!$B$5*HS!D19+HS!D43)/(9+Rules!$B$5))</f>
        <v>0.24214017052931303</v>
      </c>
      <c r="E50" s="184">
        <f>2*(IF(Rules!$B$9=Rules!$E$9,SUM(HSD!E11:E18)+Rules!$B$5*HSD!E19+HSD!E43,SUM(HS!E11:E18)+Rules!$B$5*HS!E19+HS!E43)/(9+Rules!$B$5))</f>
        <v>0.30150334319286637</v>
      </c>
      <c r="F50" s="184">
        <f>2*(IF(Rules!$B$9=Rules!$E$9,SUM(HSD!F11:F18)+Rules!$B$5*HSD!F19+HSD!F43,SUM(HS!F11:F18)+Rules!$B$5*HS!F19+HS!F43)/(9+Rules!$B$5))</f>
        <v>0.36334825237219065</v>
      </c>
      <c r="G50" s="184">
        <f>2*(IF(Rules!$B$9=Rules!$E$9,SUM(HSD!G11:G18)+Rules!$B$5*HSD!G19+HSD!G43,SUM(HS!G11:G18)+Rules!$B$5*HS!G19+HS!G43)/(9+Rules!$B$5))</f>
        <v>0.44337460889206287</v>
      </c>
      <c r="H50" s="184">
        <f>2*(IF(Rules!$B$9=Rules!$E$9,SUM(HSD!H11:H18)+Rules!$B$5*HSD!H19+HSD!H43,SUM(HS!H11:H18)+Rules!$B$5*HS!H19+HS!H43)/(9+Rules!$B$5))</f>
        <v>0.37000371337194804</v>
      </c>
      <c r="I50" s="184">
        <f>2*(IF(Rules!$B$9=Rules!$E$9,SUM(HSD!I11:I18)+Rules!$B$5*HSD!I19+HSD!I43,SUM(HS!I11:I18)+Rules!$B$5*HS!I19+HS!I43)/(9+Rules!$B$5))</f>
        <v>0.21532327264714252</v>
      </c>
      <c r="J50" s="184">
        <f>2*(IF(Rules!$B$9=Rules!$E$9,SUM(HSD!J11:J18)+Rules!$B$5*HSD!J19+HSD!J43,SUM(HS!J11:J18)+Rules!$B$5*HS!J19+HS!J43)/(9+Rules!$B$5))</f>
        <v>-9.3659752356483508E-2</v>
      </c>
      <c r="K50" s="186">
        <f>2*(IF(Rules!$B$9=Rules!$E$9,SUM(HSD!K11:K18)+Rules!$B$5*HSD!K19+HSD!K43,SUM(HS!K11:K18)+Rules!$B$5*HS!K19+HS!K43)/(9+Rules!$B$5))</f>
        <v>-0.29664343180334263</v>
      </c>
    </row>
    <row r="51" spans="1:11" ht="17" thickBot="1" x14ac:dyDescent="0.25">
      <c r="A51" s="193">
        <v>10</v>
      </c>
      <c r="B51" s="187">
        <f>2*(IF(Rules!$B$9=Rules!$E$9,SUM(HSD!B12:B19)+Rules!$B$5*HSD!B20+HSD!B44,SUM(HS!B12:B19)+Rules!$B$5*HS!B20+HS!B44)/(9+Rules!$B$5))</f>
        <v>0.16289941589055185</v>
      </c>
      <c r="C51" s="188">
        <f>2*(IF(Rules!$B$9=Rules!$E$9,SUM(HSD!C12:C19)+Rules!$B$5*HSD!C20+HSD!C44,SUM(HS!C12:C19)+Rules!$B$5*HS!C20+HS!C44)/(9+Rules!$B$5))</f>
        <v>0.36499998801808975</v>
      </c>
      <c r="D51" s="188">
        <f>2*(IF(Rules!$B$9=Rules!$E$9,SUM(HSD!D12:D19)+Rules!$B$5*HSD!D20+HSD!D44,SUM(HS!D12:D19)+Rules!$B$5*HS!D20+HS!D44)/(9+Rules!$B$5))</f>
        <v>0.41217595162788179</v>
      </c>
      <c r="E51" s="188">
        <f>2*(IF(Rules!$B$9=Rules!$E$9,SUM(HSD!E12:E19)+Rules!$B$5*HSD!E20+HSD!E44,SUM(HS!E12:E19)+Rules!$B$5*HS!E20+HS!E44)/(9+Rules!$B$5))</f>
        <v>0.460940243794354</v>
      </c>
      <c r="F51" s="188">
        <f>2*(IF(Rules!$B$9=Rules!$E$9,SUM(HSD!F12:F19)+Rules!$B$5*HSD!F20+HSD!F44,SUM(HS!F12:F19)+Rules!$B$5*HS!F20+HS!F44)/(9+Rules!$B$5))</f>
        <v>0.51251710900326775</v>
      </c>
      <c r="G51" s="188">
        <f>2*(IF(Rules!$B$9=Rules!$E$9,SUM(HSD!G12:G19)+Rules!$B$5*HSD!G20+HSD!G44,SUM(HS!G12:G19)+Rules!$B$5*HS!G20+HS!G44)/(9+Rules!$B$5))</f>
        <v>0.57559016859776857</v>
      </c>
      <c r="H51" s="188">
        <f>2*(IF(Rules!$B$9=Rules!$E$9,SUM(HSD!H12:H19)+Rules!$B$5*HSD!H20+HSD!H44,SUM(HS!H12:H19)+Rules!$B$5*HS!H20+HS!H44)/(9+Rules!$B$5))</f>
        <v>0.51381748867217314</v>
      </c>
      <c r="I51" s="188">
        <f>2*(IF(Rules!$B$9=Rules!$E$9,SUM(HSD!I12:I19)+Rules!$B$5*HSD!I20+HSD!I44,SUM(HS!I12:I19)+Rules!$B$5*HS!I20+HS!I44)/(9+Rules!$B$5))</f>
        <v>0.39590741666395218</v>
      </c>
      <c r="J51" s="188">
        <f>2*(IF(Rules!$B$9=Rules!$E$9,SUM(HSD!J12:J19)+Rules!$B$5*HSD!J20+HSD!J44,SUM(HS!J12:J19)+Rules!$B$5*HS!J20+HS!J44)/(9+Rules!$B$5))</f>
        <v>0.2330591821385678</v>
      </c>
      <c r="K51" s="189">
        <f>2*(IF(Rules!$B$9=Rules!$E$9,SUM(HSD!K12:K19)+Rules!$B$5*HSD!K20+HSD!K44,SUM(HS!K12:K19)+Rules!$B$5*HS!K20+HS!K44)/(9+Rules!$B$5))</f>
        <v>5.061704608173629E-2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0.10906077977909699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0.17968872741114625</v>
      </c>
    </row>
    <row r="55" spans="1:11" x14ac:dyDescent="0.2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-8.4267225502711041E-2</v>
      </c>
      <c r="D55" s="1">
        <f>MAX(IF(Rules!$B$11=2,D43,IF(Rules!$B$11=3,D30,IF(Rules!$B$11=4,D17,D4))),HSDR!D4)</f>
        <v>-1.5498287197501173E-2</v>
      </c>
      <c r="E55" s="1">
        <f>MAX(IF(Rules!$B$11=2,E43,IF(Rules!$B$11=3,E30,IF(Rules!$B$11=4,E17,E4))),HSDR!E4)</f>
        <v>5.9333738978653974E-2</v>
      </c>
      <c r="F55" s="1">
        <f>MAX(IF(Rules!$B$11=2,F43,IF(Rules!$B$11=3,F30,IF(Rules!$B$11=4,F17,F4))),HSDR!F4)</f>
        <v>0.15203616947891799</v>
      </c>
      <c r="G55" s="1">
        <f>MAX(IF(Rules!$B$11=2,G43,IF(Rules!$B$11=3,G30,IF(Rules!$B$11=4,G17,G4))),HSDR!G4)</f>
        <v>0.22737886696191317</v>
      </c>
      <c r="H55" s="1">
        <f>MAX(IF(Rules!$B$11=2,H43,IF(Rules!$B$11=3,H30,IF(Rules!$B$11=4,H17,H4))),HSDR!H4)</f>
        <v>6.958050045595748E-3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-0.13992944417761496</v>
      </c>
      <c r="D56" s="1">
        <f>MAX(IF(Rules!$B$11=2,D44,IF(Rules!$B$11=3,D31,IF(Rules!$B$11=4,D18,D5))),HSDR!D6)</f>
        <v>-5.8284696427541714E-2</v>
      </c>
      <c r="E56" s="1">
        <f>MAX(IF(Rules!$B$11=2,E44,IF(Rules!$B$11=3,E31,IF(Rules!$B$11=4,E18,E5))),HSDR!E6)</f>
        <v>2.8134517976885209E-2</v>
      </c>
      <c r="F56" s="1">
        <f>MAX(IF(Rules!$B$11=2,F44,IF(Rules!$B$11=3,F31,IF(Rules!$B$11=4,F18,F5))),HSDR!F6)</f>
        <v>0.12470784634060185</v>
      </c>
      <c r="G56" s="1">
        <f>MAX(IF(Rules!$B$11=2,G44,IF(Rules!$B$11=3,G31,IF(Rules!$B$11=4,G18,G5))),HSDR!G6)</f>
        <v>0.19970541230483627</v>
      </c>
      <c r="H56" s="1">
        <f>MAX(IF(Rules!$B$11=2,H44,IF(Rules!$B$11=3,H31,IF(Rules!$B$11=4,H18,H5))),HSDR!H6)</f>
        <v>-5.8585254727766593E-2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0.10070528937626665</v>
      </c>
      <c r="G57" s="1">
        <f>MAX(IF(Rules!$B$11=2,G45,IF(Rules!$B$11=3,G32,IF(Rules!$B$11=4,G19,G6))),HSDR!G8)</f>
        <v>0.17417494269127992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-0.16236190502927889</v>
      </c>
      <c r="E59" s="1">
        <f>MAX(IF(Rules!$B$11=2,E47,IF(Rules!$B$11=3,E34,IF(Rules!$B$11=4,E21,E8))),HSDR!E12)</f>
        <v>-6.5242110257549266E-2</v>
      </c>
      <c r="F59" s="1">
        <f>MAX(IF(Rules!$B$11=2,F47,IF(Rules!$B$11=3,F34,IF(Rules!$B$11=4,F21,F8))),HSDR!F12)</f>
        <v>3.9226356320867399E-2</v>
      </c>
      <c r="G59" s="1">
        <f>MAX(IF(Rules!$B$11=2,G47,IF(Rules!$B$11=3,G34,IF(Rules!$B$11=4,G21,G8))),HSDR!G12)</f>
        <v>0.10667340682942227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-0.1963016079632402</v>
      </c>
      <c r="D60" s="1">
        <f>MAX(IF(Rules!$B$11=2,D48,IF(Rules!$B$11=3,D35,IF(Rules!$B$11=4,D22,D9))),HSDR!D14)</f>
        <v>-0.10948552726048816</v>
      </c>
      <c r="E60" s="1">
        <f>MAX(IF(Rules!$B$11=2,E48,IF(Rules!$B$11=3,E35,IF(Rules!$B$11=4,E22,E9))),HSDR!E14)</f>
        <v>-1.9921218921965758E-2</v>
      </c>
      <c r="F60" s="1">
        <f>MAX(IF(Rules!$B$11=2,F48,IF(Rules!$B$11=3,F35,IF(Rules!$B$11=4,F22,F9))),HSDR!F14)</f>
        <v>7.4563567868088848E-2</v>
      </c>
      <c r="G60" s="1">
        <f>MAX(IF(Rules!$B$11=2,G48,IF(Rules!$B$11=3,G35,IF(Rules!$B$11=4,G22,G9))),HSDR!G14)</f>
        <v>0.16472730313989489</v>
      </c>
      <c r="H60" s="1">
        <f>MAX(IF(Rules!$B$11=2,H48,IF(Rules!$B$11=3,H35,IF(Rules!$B$11=4,H22,H9))),HSDR!H14)</f>
        <v>-0.13707521359511174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">
      <c r="A61" s="1">
        <v>8</v>
      </c>
      <c r="B61" s="1">
        <f>MAX(IF(Rules!$B$11=2,B49,IF(Rules!$B$11=3,B36,IF(Rules!$B$11=4,B23,B10))),HSDR!B16)</f>
        <v>-0.47846720619452893</v>
      </c>
      <c r="C61" s="1">
        <f>MAX(IF(Rules!$B$11=2,C49,IF(Rules!$B$11=3,C36,IF(Rules!$B$11=4,C23,C10))),HSDR!C16)</f>
        <v>-4.10085652565544E-2</v>
      </c>
      <c r="D61" s="1">
        <f>MAX(IF(Rules!$B$11=2,D49,IF(Rules!$B$11=3,D36,IF(Rules!$B$11=4,D23,D10))),HSDR!D16)</f>
        <v>2.9651267038439212E-2</v>
      </c>
      <c r="E61" s="1">
        <f>MAX(IF(Rules!$B$11=2,E49,IF(Rules!$B$11=3,E36,IF(Rules!$B$11=4,E23,E10))),HSDR!E16)</f>
        <v>0.10253679913733912</v>
      </c>
      <c r="F61" s="1">
        <f>MAX(IF(Rules!$B$11=2,F49,IF(Rules!$B$11=3,F36,IF(Rules!$B$11=4,F23,F10))),HSDR!F16)</f>
        <v>0.17786869518456505</v>
      </c>
      <c r="G61" s="1">
        <f>MAX(IF(Rules!$B$11=2,G49,IF(Rules!$B$11=3,G36,IF(Rules!$B$11=4,G23,G10))),HSDR!G16)</f>
        <v>0.28114462143026464</v>
      </c>
      <c r="H61" s="1">
        <f>MAX(IF(Rules!$B$11=2,H49,IF(Rules!$B$11=3,H36,IF(Rules!$B$11=4,H23,H10))),HSDR!H16)</f>
        <v>0.17942021385705018</v>
      </c>
      <c r="I61" s="1">
        <f>MAX(IF(Rules!$B$11=2,I49,IF(Rules!$B$11=3,I36,IF(Rules!$B$11=4,I23,I10))),HSDR!I16)</f>
        <v>-0.15401156627741791</v>
      </c>
      <c r="J61" s="1">
        <f>MAX(IF(Rules!$B$11=2,J49,IF(Rules!$B$11=3,J36,IF(Rules!$B$11=4,J23,J10))),HSDR!J16)</f>
        <v>-0.5</v>
      </c>
      <c r="K61" s="1">
        <f>MAX(IF(Rules!$B$11=2,K49,IF(Rules!$B$11=3,K36,IF(Rules!$B$11=4,K23,K10))),HSDR!K16)</f>
        <v>-0.5</v>
      </c>
    </row>
    <row r="62" spans="1:11" x14ac:dyDescent="0.2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0.13385768207672508</v>
      </c>
      <c r="D62" s="1">
        <f>MAX(IF(Rules!$B$11=2,D50,IF(Rules!$B$11=3,D37,IF(Rules!$B$11=4,D24,D11))),HSDR!D18)</f>
        <v>0.19320731563116447</v>
      </c>
      <c r="E62" s="1">
        <f>MAX(IF(Rules!$B$11=2,E50,IF(Rules!$B$11=3,E37,IF(Rules!$B$11=4,E24,E11))),HSDR!E18)</f>
        <v>0.25454407563811315</v>
      </c>
      <c r="F62" s="1">
        <f>MAX(IF(Rules!$B$11=2,F50,IF(Rules!$B$11=3,F37,IF(Rules!$B$11=4,F24,F11))),HSDR!F18)</f>
        <v>0.31872977328281132</v>
      </c>
      <c r="G62" s="1">
        <f>MAX(IF(Rules!$B$11=2,G50,IF(Rules!$B$11=3,G37,IF(Rules!$B$11=4,G24,G11))),HSDR!G18)</f>
        <v>0.40361032143368897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0.19129321615782191</v>
      </c>
      <c r="J62" s="1">
        <f>MAX(IF(Rules!$B$11=2,J50,IF(Rules!$B$11=3,J37,IF(Rules!$B$11=4,J24,J11))),HSDR!J18)</f>
        <v>-0.15072067108588086</v>
      </c>
      <c r="K62" s="1">
        <f>MAX(IF(Rules!$B$11=2,K50,IF(Rules!$B$11=3,K37,IF(Rules!$B$11=4,K24,K11))),HSDR!K18)</f>
        <v>-0.17830123379648949</v>
      </c>
    </row>
    <row r="63" spans="1:11" x14ac:dyDescent="0.2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0.70504978713524302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4" type="noConversion"/>
  <conditionalFormatting sqref="O2:X11">
    <cfRule type="containsText" dxfId="60" priority="5" operator="containsText" text="S">
      <formula>NOT(ISERROR(SEARCH("S",O2)))</formula>
    </cfRule>
    <cfRule type="containsText" dxfId="59" priority="6" operator="containsText" text="H">
      <formula>NOT(ISERROR(SEARCH("H",O2)))</formula>
    </cfRule>
  </conditionalFormatting>
  <conditionalFormatting sqref="O2:X11">
    <cfRule type="containsText" dxfId="58" priority="4" operator="containsText" text="D">
      <formula>NOT(ISERROR(SEARCH("D",O2)))</formula>
    </cfRule>
  </conditionalFormatting>
  <conditionalFormatting sqref="O2:X11">
    <cfRule type="containsText" dxfId="57" priority="3" operator="containsText" text="R">
      <formula>NOT(ISERROR(SEARCH("R",O2)))</formula>
    </cfRule>
  </conditionalFormatting>
  <conditionalFormatting sqref="O2:X11">
    <cfRule type="containsText" dxfId="56" priority="2" operator="containsText" text="P">
      <formula>NOT(ISERROR(SEARCH("P",O2)))</formula>
    </cfRule>
  </conditionalFormatting>
  <conditionalFormatting sqref="O3:X11">
    <cfRule type="containsText" dxfId="55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8" t="s">
        <v>31</v>
      </c>
      <c r="C1" s="1">
        <f>Dealer!J33</f>
        <v>4.7337278106508882E-2</v>
      </c>
    </row>
    <row r="2" spans="2:3" x14ac:dyDescent="0.2">
      <c r="B2" s="58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6"/>
  <sheetViews>
    <sheetView workbookViewId="0">
      <selection activeCell="K9" sqref="K9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x14ac:dyDescent="0.2">
      <c r="A1" s="32" t="s">
        <v>9</v>
      </c>
      <c r="B1" s="32" t="s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</row>
    <row r="2" spans="1:13" x14ac:dyDescent="0.2">
      <c r="A2" s="32">
        <v>5</v>
      </c>
      <c r="B2" s="34">
        <f>$C70*1/(9+Rules!$B$5)*(9/(9+Rules!$B$5))</f>
        <v>6.3023003396239633E-4</v>
      </c>
      <c r="C2" s="34">
        <f>$C70*1/(9+Rules!$B$5)</f>
        <v>9.1033227127901696E-4</v>
      </c>
      <c r="D2" s="34">
        <f>$C70*1/(9+Rules!$B$5)</f>
        <v>9.1033227127901696E-4</v>
      </c>
      <c r="E2" s="34">
        <f>$C70*1/(9+Rules!$B$5)</f>
        <v>9.1033227127901696E-4</v>
      </c>
      <c r="F2" s="34">
        <f>$C70*1/(9+Rules!$B$5)</f>
        <v>9.1033227127901696E-4</v>
      </c>
      <c r="G2" s="34">
        <f>$C70*1/(9+Rules!$B$5)</f>
        <v>9.1033227127901696E-4</v>
      </c>
      <c r="H2" s="34">
        <f>$C70*1/(9+Rules!$B$5)</f>
        <v>9.1033227127901696E-4</v>
      </c>
      <c r="I2" s="34">
        <f>$C70*1/(9+Rules!$B$5)</f>
        <v>9.1033227127901696E-4</v>
      </c>
      <c r="J2" s="34">
        <f>$C70*1/(9+Rules!$B$5)</f>
        <v>9.1033227127901696E-4</v>
      </c>
      <c r="K2" s="34">
        <f>$C70*Rules!$B$5/(9+Rules!$B$5)*((9+Rules!$B$5-1)/(9+Rules!$B$5))</f>
        <v>3.3612268477994475E-3</v>
      </c>
    </row>
    <row r="3" spans="1:13" x14ac:dyDescent="0.2">
      <c r="A3" s="32">
        <v>6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7</v>
      </c>
      <c r="B4" s="34">
        <f>$C72*1/(9+Rules!$B$5)*(9/(9+Rules!$B$5))</f>
        <v>1.2604600679247927E-3</v>
      </c>
      <c r="C4" s="34">
        <f>$C72*1/(9+Rules!$B$5)</f>
        <v>1.8206645425580339E-3</v>
      </c>
      <c r="D4" s="34">
        <f>$C72*1/(9+Rules!$B$5)</f>
        <v>1.8206645425580339E-3</v>
      </c>
      <c r="E4" s="34">
        <f>$C72*1/(9+Rules!$B$5)</f>
        <v>1.8206645425580339E-3</v>
      </c>
      <c r="F4" s="34">
        <f>$C72*1/(9+Rules!$B$5)</f>
        <v>1.8206645425580339E-3</v>
      </c>
      <c r="G4" s="34">
        <f>$C72*1/(9+Rules!$B$5)</f>
        <v>1.8206645425580339E-3</v>
      </c>
      <c r="H4" s="34">
        <f>$C72*1/(9+Rules!$B$5)</f>
        <v>1.8206645425580339E-3</v>
      </c>
      <c r="I4" s="34">
        <f>$C72*1/(9+Rules!$B$5)</f>
        <v>1.8206645425580339E-3</v>
      </c>
      <c r="J4" s="34">
        <f>$C72*1/(9+Rules!$B$5)</f>
        <v>1.8206645425580339E-3</v>
      </c>
      <c r="K4" s="34">
        <f>$C72*Rules!$B$5/(9+Rules!$B$5)*((9+Rules!$B$5-1)/(9+Rules!$B$5))</f>
        <v>6.7224536955988951E-3</v>
      </c>
    </row>
    <row r="5" spans="1:13" x14ac:dyDescent="0.2">
      <c r="A5" s="32">
        <v>8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9</v>
      </c>
      <c r="B6" s="34">
        <f>$C74*1/(9+Rules!$B$5)*(9/(9+Rules!$B$5))</f>
        <v>1.890690101887189E-3</v>
      </c>
      <c r="C6" s="34">
        <f>$C74*1/(9+Rules!$B$5)</f>
        <v>2.730996813837051E-3</v>
      </c>
      <c r="D6" s="34">
        <f>$C74*1/(9+Rules!$B$5)</f>
        <v>2.730996813837051E-3</v>
      </c>
      <c r="E6" s="34">
        <f>$C74*1/(9+Rules!$B$5)</f>
        <v>2.730996813837051E-3</v>
      </c>
      <c r="F6" s="34">
        <f>$C74*1/(9+Rules!$B$5)</f>
        <v>2.730996813837051E-3</v>
      </c>
      <c r="G6" s="34">
        <f>$C74*1/(9+Rules!$B$5)</f>
        <v>2.730996813837051E-3</v>
      </c>
      <c r="H6" s="34">
        <f>$C74*1/(9+Rules!$B$5)</f>
        <v>2.730996813837051E-3</v>
      </c>
      <c r="I6" s="34">
        <f>$C74*1/(9+Rules!$B$5)</f>
        <v>2.730996813837051E-3</v>
      </c>
      <c r="J6" s="34">
        <f>$C74*1/(9+Rules!$B$5)</f>
        <v>2.730996813837051E-3</v>
      </c>
      <c r="K6" s="34">
        <f>$C74*Rules!$B$5/(9+Rules!$B$5)*((9+Rules!$B$5-1)/(9+Rules!$B$5))</f>
        <v>1.0083680543398343E-2</v>
      </c>
    </row>
    <row r="7" spans="1:13" x14ac:dyDescent="0.2">
      <c r="A7" s="32">
        <v>10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11</v>
      </c>
      <c r="B8" s="34">
        <f>$C76*1/(9+Rules!$B$5)*(9/(9+Rules!$B$5))</f>
        <v>2.5209201358495858E-3</v>
      </c>
      <c r="C8" s="34">
        <f>$C76*1/(9+Rules!$B$5)</f>
        <v>3.6413290851160683E-3</v>
      </c>
      <c r="D8" s="34">
        <f>$C76*1/(9+Rules!$B$5)</f>
        <v>3.6413290851160683E-3</v>
      </c>
      <c r="E8" s="34">
        <f>$C76*1/(9+Rules!$B$5)</f>
        <v>3.6413290851160683E-3</v>
      </c>
      <c r="F8" s="34">
        <f>$C76*1/(9+Rules!$B$5)</f>
        <v>3.6413290851160683E-3</v>
      </c>
      <c r="G8" s="34">
        <f>$C76*1/(9+Rules!$B$5)</f>
        <v>3.6413290851160683E-3</v>
      </c>
      <c r="H8" s="34">
        <f>$C76*1/(9+Rules!$B$5)</f>
        <v>3.6413290851160683E-3</v>
      </c>
      <c r="I8" s="34">
        <f>$C76*1/(9+Rules!$B$5)</f>
        <v>3.6413290851160683E-3</v>
      </c>
      <c r="J8" s="34">
        <f>$C76*1/(9+Rules!$B$5)</f>
        <v>3.6413290851160683E-3</v>
      </c>
      <c r="K8" s="34">
        <f>$C76*Rules!$B$5/(9+Rules!$B$5)*((9+Rules!$B$5-1)/(9+Rules!$B$5))</f>
        <v>1.3444907391197792E-2</v>
      </c>
    </row>
    <row r="9" spans="1:13" x14ac:dyDescent="0.2">
      <c r="A9" s="32">
        <v>12</v>
      </c>
      <c r="B9" s="34">
        <f>$C77*1/(9+Rules!$B$5)*(9/(9+Rules!$B$5))</f>
        <v>4.4116102377367745E-3</v>
      </c>
      <c r="C9" s="34">
        <f>$C77*1/(9+Rules!$B$5)</f>
        <v>6.3723258989531193E-3</v>
      </c>
      <c r="D9" s="34">
        <f>$C77*1/(9+Rules!$B$5)</f>
        <v>6.3723258989531193E-3</v>
      </c>
      <c r="E9" s="34">
        <f>$C77*1/(9+Rules!$B$5)</f>
        <v>6.3723258989531193E-3</v>
      </c>
      <c r="F9" s="34">
        <f>$C77*1/(9+Rules!$B$5)</f>
        <v>6.3723258989531193E-3</v>
      </c>
      <c r="G9" s="34">
        <f>$C77*1/(9+Rules!$B$5)</f>
        <v>6.3723258989531193E-3</v>
      </c>
      <c r="H9" s="34">
        <f>$C77*1/(9+Rules!$B$5)</f>
        <v>6.3723258989531193E-3</v>
      </c>
      <c r="I9" s="34">
        <f>$C77*1/(9+Rules!$B$5)</f>
        <v>6.3723258989531193E-3</v>
      </c>
      <c r="J9" s="34">
        <f>$C77*1/(9+Rules!$B$5)</f>
        <v>6.3723258989531193E-3</v>
      </c>
      <c r="K9" s="34">
        <f>$C77*Rules!$B$5/(9+Rules!$B$5)*((9+Rules!$B$5-1)/(9+Rules!$B$5))</f>
        <v>2.3528587934596133E-2</v>
      </c>
    </row>
    <row r="10" spans="1:13" x14ac:dyDescent="0.2">
      <c r="A10" s="32">
        <v>13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14</v>
      </c>
      <c r="B11" s="34">
        <f>$C79*1/(9+Rules!$B$5)*(9/(9+Rules!$B$5))</f>
        <v>3.781380203774378E-3</v>
      </c>
      <c r="C11" s="34">
        <f>$C79*1/(9+Rules!$B$5)</f>
        <v>5.461993627674102E-3</v>
      </c>
      <c r="D11" s="34">
        <f>$C79*1/(9+Rules!$B$5)</f>
        <v>5.461993627674102E-3</v>
      </c>
      <c r="E11" s="34">
        <f>$C79*1/(9+Rules!$B$5)</f>
        <v>5.461993627674102E-3</v>
      </c>
      <c r="F11" s="34">
        <f>$C79*1/(9+Rules!$B$5)</f>
        <v>5.461993627674102E-3</v>
      </c>
      <c r="G11" s="34">
        <f>$C79*1/(9+Rules!$B$5)</f>
        <v>5.461993627674102E-3</v>
      </c>
      <c r="H11" s="34">
        <f>$C79*1/(9+Rules!$B$5)</f>
        <v>5.461993627674102E-3</v>
      </c>
      <c r="I11" s="34">
        <f>$C79*1/(9+Rules!$B$5)</f>
        <v>5.461993627674102E-3</v>
      </c>
      <c r="J11" s="34">
        <f>$C79*1/(9+Rules!$B$5)</f>
        <v>5.461993627674102E-3</v>
      </c>
      <c r="K11" s="34">
        <f>$C79*Rules!$B$5/(9+Rules!$B$5)*((9+Rules!$B$5-1)/(9+Rules!$B$5))</f>
        <v>2.0167361086796686E-2</v>
      </c>
    </row>
    <row r="12" spans="1:13" x14ac:dyDescent="0.2">
      <c r="A12" s="32">
        <v>15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16</v>
      </c>
      <c r="B13" s="34">
        <f>$C81*1/(9+Rules!$B$5)*(9/(9+Rules!$B$5))</f>
        <v>3.1511501698119814E-3</v>
      </c>
      <c r="C13" s="34">
        <f>$C81*1/(9+Rules!$B$5)</f>
        <v>4.5516613563950847E-3</v>
      </c>
      <c r="D13" s="34">
        <f>$C81*1/(9+Rules!$B$5)</f>
        <v>4.5516613563950847E-3</v>
      </c>
      <c r="E13" s="34">
        <f>$C81*1/(9+Rules!$B$5)</f>
        <v>4.5516613563950847E-3</v>
      </c>
      <c r="F13" s="34">
        <f>$C81*1/(9+Rules!$B$5)</f>
        <v>4.5516613563950847E-3</v>
      </c>
      <c r="G13" s="34">
        <f>$C81*1/(9+Rules!$B$5)</f>
        <v>4.5516613563950847E-3</v>
      </c>
      <c r="H13" s="34">
        <f>$C81*1/(9+Rules!$B$5)</f>
        <v>4.5516613563950847E-3</v>
      </c>
      <c r="I13" s="34">
        <f>$C81*1/(9+Rules!$B$5)</f>
        <v>4.5516613563950847E-3</v>
      </c>
      <c r="J13" s="34">
        <f>$C81*1/(9+Rules!$B$5)</f>
        <v>4.5516613563950847E-3</v>
      </c>
      <c r="K13" s="34">
        <f>$C81*Rules!$B$5/(9+Rules!$B$5)*((9+Rules!$B$5-1)/(9+Rules!$B$5))</f>
        <v>1.6806134238997236E-2</v>
      </c>
      <c r="M13" s="225"/>
    </row>
    <row r="14" spans="1:13" x14ac:dyDescent="0.2">
      <c r="A14" s="32">
        <v>17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</row>
    <row r="15" spans="1:13" x14ac:dyDescent="0.2">
      <c r="A15" s="32">
        <v>18</v>
      </c>
      <c r="B15" s="34">
        <f>$C83*1/(9+Rules!$B$5)*(9/(9+Rules!$B$5))</f>
        <v>2.5209201358495853E-3</v>
      </c>
      <c r="C15" s="34">
        <f>$C83*1/(9+Rules!$B$5)</f>
        <v>3.6413290851160678E-3</v>
      </c>
      <c r="D15" s="34">
        <f>$C83*1/(9+Rules!$B$5)</f>
        <v>3.6413290851160678E-3</v>
      </c>
      <c r="E15" s="34">
        <f>$C83*1/(9+Rules!$B$5)</f>
        <v>3.6413290851160678E-3</v>
      </c>
      <c r="F15" s="34">
        <f>$C83*1/(9+Rules!$B$5)</f>
        <v>3.6413290851160678E-3</v>
      </c>
      <c r="G15" s="34">
        <f>$C83*1/(9+Rules!$B$5)</f>
        <v>3.6413290851160678E-3</v>
      </c>
      <c r="H15" s="34">
        <f>$C83*1/(9+Rules!$B$5)</f>
        <v>3.6413290851160678E-3</v>
      </c>
      <c r="I15" s="34">
        <f>$C83*1/(9+Rules!$B$5)</f>
        <v>3.6413290851160678E-3</v>
      </c>
      <c r="J15" s="34">
        <f>$C83*1/(9+Rules!$B$5)</f>
        <v>3.6413290851160678E-3</v>
      </c>
      <c r="K15" s="34">
        <f>$C83*Rules!$B$5/(9+Rules!$B$5)*((9+Rules!$B$5-1)/(9+Rules!$B$5))</f>
        <v>1.344490739119779E-2</v>
      </c>
    </row>
    <row r="16" spans="1:13" x14ac:dyDescent="0.2">
      <c r="A16" s="32">
        <v>19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  <c r="M16" s="33">
        <f>SUM(B2:K16)</f>
        <v>0.67644690311963807</v>
      </c>
    </row>
    <row r="17" spans="1:13" x14ac:dyDescent="0.2">
      <c r="A17" s="32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35">
        <v>10</v>
      </c>
    </row>
    <row r="18" spans="1:13" x14ac:dyDescent="0.2">
      <c r="A18" s="32">
        <v>13</v>
      </c>
      <c r="B18" s="34">
        <f>2*(1/(9+Rules!$B$5))^3*(9/(9+Rules!$B$5))</f>
        <v>6.3023003396239633E-4</v>
      </c>
      <c r="C18" s="34">
        <f>2*(1/(9+Rules!$B$5))^3</f>
        <v>9.1033227127901696E-4</v>
      </c>
      <c r="D18" s="34">
        <f>2*(1/(9+Rules!$B$5))^3</f>
        <v>9.1033227127901696E-4</v>
      </c>
      <c r="E18" s="34">
        <f>2*(1/(9+Rules!$B$5))^3</f>
        <v>9.1033227127901696E-4</v>
      </c>
      <c r="F18" s="34">
        <f>2*(1/(9+Rules!$B$5))^3</f>
        <v>9.1033227127901696E-4</v>
      </c>
      <c r="G18" s="34">
        <f>2*(1/(9+Rules!$B$5))^3</f>
        <v>9.1033227127901696E-4</v>
      </c>
      <c r="H18" s="34">
        <f>2*(1/(9+Rules!$B$5))^3</f>
        <v>9.1033227127901696E-4</v>
      </c>
      <c r="I18" s="34">
        <f>2*(1/(9+Rules!$B$5))^3</f>
        <v>9.1033227127901696E-4</v>
      </c>
      <c r="J18" s="34">
        <f>2*(1/(9+Rules!$B$5))^3</f>
        <v>9.1033227127901696E-4</v>
      </c>
      <c r="K18" s="34">
        <f>2*(1/(9+Rules!$B$5))^2*(Rules!$B$5/(9+Rules!$B$5))*((9+Rules!$B$5-1)/(9+Rules!$B$5))</f>
        <v>3.3612268477994475E-3</v>
      </c>
    </row>
    <row r="19" spans="1:13" x14ac:dyDescent="0.2">
      <c r="A19" s="32">
        <v>14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15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16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17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18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19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20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21</v>
      </c>
      <c r="B26" s="34">
        <f>2*(1/(9+Rules!$B$5))^2*(Rules!$B$5/(9+Rules!$B$5))*(9/(9+Rules!$B$5))</f>
        <v>2.5209201358495853E-3</v>
      </c>
      <c r="C26" s="34">
        <f>2*(1/(9+Rules!$B$5))^2*(Rules!$B$5/(9+Rules!$B$5))</f>
        <v>3.6413290851160678E-3</v>
      </c>
      <c r="D26" s="34">
        <f>2*(1/(9+Rules!$B$5))^2*(Rules!$B$5/(9+Rules!$B$5))</f>
        <v>3.6413290851160678E-3</v>
      </c>
      <c r="E26" s="34">
        <f>2*(1/(9+Rules!$B$5))^2*(Rules!$B$5/(9+Rules!$B$5))</f>
        <v>3.6413290851160678E-3</v>
      </c>
      <c r="F26" s="34">
        <f>2*(1/(9+Rules!$B$5))^2*(Rules!$B$5/(9+Rules!$B$5))</f>
        <v>3.6413290851160678E-3</v>
      </c>
      <c r="G26" s="34">
        <f>2*(1/(9+Rules!$B$5))^2*(Rules!$B$5/(9+Rules!$B$5))</f>
        <v>3.6413290851160678E-3</v>
      </c>
      <c r="H26" s="34">
        <f>2*(1/(9+Rules!$B$5))^2*(Rules!$B$5/(9+Rules!$B$5))</f>
        <v>3.6413290851160678E-3</v>
      </c>
      <c r="I26" s="34">
        <f>2*(1/(9+Rules!$B$5))^2*(Rules!$B$5/(9+Rules!$B$5))</f>
        <v>3.6413290851160678E-3</v>
      </c>
      <c r="J26" s="34">
        <f>2*(1/(9+Rules!$B$5))^2*(Rules!$B$5/(9+Rules!$B$5))</f>
        <v>3.6413290851160678E-3</v>
      </c>
      <c r="K26" s="34">
        <f>2*(Rules!$B$5/(9+Rules!$B$5))^2*(1/(9+Rules!$B$5))*((9+Rules!$B$5-1)/(9+Rules!$B$5))</f>
        <v>1.344490739119779E-2</v>
      </c>
      <c r="M26" s="33">
        <f>SUM(B18:K26)</f>
        <v>0.13528938062392776</v>
      </c>
    </row>
    <row r="27" spans="1:13" x14ac:dyDescent="0.2">
      <c r="A27" s="32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35">
        <v>10</v>
      </c>
    </row>
    <row r="28" spans="1:13" x14ac:dyDescent="0.2">
      <c r="A28" s="32" t="s">
        <v>1</v>
      </c>
      <c r="B28" s="34">
        <f>(1/(9+Rules!$B$5))^3*(9/(9+Rules!$B$5))</f>
        <v>3.1511501698119817E-4</v>
      </c>
      <c r="C28" s="34">
        <f>(1/(9+Rules!$B$5))^3</f>
        <v>4.5516613563950848E-4</v>
      </c>
      <c r="D28" s="34">
        <f>(1/(9+Rules!$B$5))^3</f>
        <v>4.5516613563950848E-4</v>
      </c>
      <c r="E28" s="34">
        <f>(1/(9+Rules!$B$5))^3</f>
        <v>4.5516613563950848E-4</v>
      </c>
      <c r="F28" s="34">
        <f>(1/(9+Rules!$B$5))^3</f>
        <v>4.5516613563950848E-4</v>
      </c>
      <c r="G28" s="34">
        <f>(1/(9+Rules!$B$5))^3</f>
        <v>4.5516613563950848E-4</v>
      </c>
      <c r="H28" s="34">
        <f>(1/(9+Rules!$B$5))^3</f>
        <v>4.5516613563950848E-4</v>
      </c>
      <c r="I28" s="34">
        <f>(1/(9+Rules!$B$5))^3</f>
        <v>4.5516613563950848E-4</v>
      </c>
      <c r="J28" s="34">
        <f>(1/(9+Rules!$B$5))^3</f>
        <v>4.5516613563950848E-4</v>
      </c>
      <c r="K28" s="34">
        <f>(1/(9+Rules!$B$5))^2*(Rules!$B$5/(9+Rules!$B$5))*((9+Rules!$B$5-1)/(9+Rules!$B$5))</f>
        <v>1.6806134238997238E-3</v>
      </c>
    </row>
    <row r="29" spans="1:13" x14ac:dyDescent="0.2">
      <c r="A29" s="32">
        <v>2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3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4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5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6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7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8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9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10</v>
      </c>
      <c r="B37" s="34">
        <f>(Rules!$B$5/(9+Rules!$B$5))^2*(1/(9+Rules!$B$5))*(9/(9+Rules!$B$5))</f>
        <v>5.0418402716991707E-3</v>
      </c>
      <c r="C37" s="34">
        <f>(Rules!$B$5/(9+Rules!$B$5))^2*(1/(9+Rules!$B$5))</f>
        <v>7.2826581702321357E-3</v>
      </c>
      <c r="D37" s="34">
        <f>(Rules!$B$5/(9+Rules!$B$5))^2*(1/(9+Rules!$B$5))</f>
        <v>7.2826581702321357E-3</v>
      </c>
      <c r="E37" s="34">
        <f>(Rules!$B$5/(9+Rules!$B$5))^2*(1/(9+Rules!$B$5))</f>
        <v>7.2826581702321357E-3</v>
      </c>
      <c r="F37" s="34">
        <f>(Rules!$B$5/(9+Rules!$B$5))^2*(1/(9+Rules!$B$5))</f>
        <v>7.2826581702321357E-3</v>
      </c>
      <c r="G37" s="34">
        <f>(Rules!$B$5/(9+Rules!$B$5))^2*(1/(9+Rules!$B$5))</f>
        <v>7.2826581702321357E-3</v>
      </c>
      <c r="H37" s="34">
        <f>(Rules!$B$5/(9+Rules!$B$5))^2*(1/(9+Rules!$B$5))</f>
        <v>7.2826581702321357E-3</v>
      </c>
      <c r="I37" s="34">
        <f>(Rules!$B$5/(9+Rules!$B$5))^2*(1/(9+Rules!$B$5))</f>
        <v>7.2826581702321357E-3</v>
      </c>
      <c r="J37" s="34">
        <f>(Rules!$B$5/(9+Rules!$B$5))^2*(1/(9+Rules!$B$5))</f>
        <v>7.2826581702321357E-3</v>
      </c>
      <c r="K37" s="34">
        <f>(Rules!$B$5/(9+Rules!$B$5))^3*((9+Rules!$B$5-1)/(9+Rules!$B$5))</f>
        <v>2.688981478239558E-2</v>
      </c>
      <c r="M37" s="33">
        <f>SUM(B28:K37)</f>
        <v>0.1409264381499247</v>
      </c>
    </row>
    <row r="38" spans="1:13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1:13" x14ac:dyDescent="0.2">
      <c r="A39" s="37" t="s">
        <v>11</v>
      </c>
      <c r="B39" s="38"/>
      <c r="C39" s="39">
        <f>2*(1/(9+Rules!$B$5))*(Rules!$B$5/(9+Rules!$B$5))</f>
        <v>4.7337278106508882E-2</v>
      </c>
      <c r="M39" s="33">
        <f>SUM(B2:K16,B18:K26,B28:K37)</f>
        <v>0.95266272189349366</v>
      </c>
    </row>
    <row r="40" spans="1:13" x14ac:dyDescent="0.2">
      <c r="M40" s="33">
        <f>M39+C39</f>
        <v>1.0000000000000024</v>
      </c>
    </row>
    <row r="42" spans="1:13" x14ac:dyDescent="0.2">
      <c r="C42" s="40" t="s">
        <v>12</v>
      </c>
    </row>
    <row r="43" spans="1:13" x14ac:dyDescent="0.2">
      <c r="A43" s="41" t="s">
        <v>13</v>
      </c>
      <c r="B43" s="41"/>
      <c r="C43" s="41">
        <v>2</v>
      </c>
      <c r="D43" s="41">
        <v>3</v>
      </c>
      <c r="E43" s="41">
        <v>4</v>
      </c>
      <c r="F43" s="41">
        <v>5</v>
      </c>
      <c r="G43" s="41">
        <v>6</v>
      </c>
      <c r="H43" s="41">
        <v>7</v>
      </c>
      <c r="I43" s="41">
        <v>8</v>
      </c>
      <c r="J43" s="41">
        <v>9</v>
      </c>
      <c r="K43" s="41">
        <v>10</v>
      </c>
    </row>
    <row r="44" spans="1:13" x14ac:dyDescent="0.2">
      <c r="A44" s="41">
        <v>2</v>
      </c>
      <c r="B44" s="41"/>
      <c r="D44" s="33">
        <f t="shared" ref="D44:K46" si="0">SUM(D$43,$A44)</f>
        <v>5</v>
      </c>
      <c r="E44" s="33">
        <f t="shared" si="0"/>
        <v>6</v>
      </c>
      <c r="F44" s="33">
        <f t="shared" si="0"/>
        <v>7</v>
      </c>
      <c r="G44" s="33">
        <f t="shared" si="0"/>
        <v>8</v>
      </c>
      <c r="H44" s="33">
        <f t="shared" si="0"/>
        <v>9</v>
      </c>
      <c r="I44" s="33">
        <f t="shared" si="0"/>
        <v>10</v>
      </c>
      <c r="J44" s="33">
        <f t="shared" si="0"/>
        <v>11</v>
      </c>
      <c r="K44" s="33">
        <f t="shared" si="0"/>
        <v>12</v>
      </c>
    </row>
    <row r="45" spans="1:13" x14ac:dyDescent="0.2">
      <c r="A45" s="41">
        <v>3</v>
      </c>
      <c r="B45" s="41"/>
      <c r="C45" s="33">
        <f t="shared" ref="C45:E52" si="1">SUM(C$43,$A45)</f>
        <v>5</v>
      </c>
      <c r="E45" s="33">
        <f t="shared" si="0"/>
        <v>7</v>
      </c>
      <c r="F45" s="33">
        <f t="shared" si="0"/>
        <v>8</v>
      </c>
      <c r="G45" s="33">
        <f t="shared" si="0"/>
        <v>9</v>
      </c>
      <c r="H45" s="33">
        <f t="shared" si="0"/>
        <v>10</v>
      </c>
      <c r="I45" s="33">
        <f t="shared" si="0"/>
        <v>11</v>
      </c>
      <c r="J45" s="33">
        <f t="shared" si="0"/>
        <v>12</v>
      </c>
      <c r="K45" s="33">
        <f t="shared" si="0"/>
        <v>13</v>
      </c>
    </row>
    <row r="46" spans="1:13" x14ac:dyDescent="0.2">
      <c r="A46" s="41">
        <v>4</v>
      </c>
      <c r="B46" s="41"/>
      <c r="C46" s="33">
        <f t="shared" si="1"/>
        <v>6</v>
      </c>
      <c r="D46" s="33">
        <f t="shared" si="1"/>
        <v>7</v>
      </c>
      <c r="F46" s="33">
        <f t="shared" si="0"/>
        <v>9</v>
      </c>
      <c r="G46" s="33">
        <f t="shared" si="0"/>
        <v>10</v>
      </c>
      <c r="H46" s="33">
        <f t="shared" si="0"/>
        <v>11</v>
      </c>
      <c r="I46" s="33">
        <f t="shared" si="0"/>
        <v>12</v>
      </c>
      <c r="J46" s="33">
        <f t="shared" si="0"/>
        <v>13</v>
      </c>
      <c r="K46" s="33">
        <f t="shared" si="0"/>
        <v>14</v>
      </c>
    </row>
    <row r="47" spans="1:13" x14ac:dyDescent="0.2">
      <c r="A47" s="41">
        <v>5</v>
      </c>
      <c r="B47" s="41"/>
      <c r="C47" s="33">
        <f t="shared" si="1"/>
        <v>7</v>
      </c>
      <c r="D47" s="33">
        <f t="shared" si="1"/>
        <v>8</v>
      </c>
      <c r="E47" s="33">
        <f t="shared" si="1"/>
        <v>9</v>
      </c>
      <c r="G47" s="33">
        <f>SUM(G$43,$A47)</f>
        <v>11</v>
      </c>
      <c r="H47" s="33">
        <f>SUM(H$43,$A47)</f>
        <v>12</v>
      </c>
      <c r="I47" s="33">
        <f>SUM(I$43,$A47)</f>
        <v>13</v>
      </c>
      <c r="J47" s="33">
        <f>SUM(J$43,$A47)</f>
        <v>14</v>
      </c>
      <c r="K47" s="33">
        <f>SUM(K$43,$A47)</f>
        <v>15</v>
      </c>
    </row>
    <row r="48" spans="1:13" x14ac:dyDescent="0.2">
      <c r="A48" s="41">
        <v>6</v>
      </c>
      <c r="B48" s="41"/>
      <c r="C48" s="33">
        <f t="shared" si="1"/>
        <v>8</v>
      </c>
      <c r="D48" s="33">
        <f t="shared" si="1"/>
        <v>9</v>
      </c>
      <c r="E48" s="33">
        <f t="shared" si="1"/>
        <v>10</v>
      </c>
      <c r="F48" s="33">
        <f>SUM(F$43,$A48)</f>
        <v>11</v>
      </c>
      <c r="H48" s="33">
        <f>SUM(H$43,$A48)</f>
        <v>13</v>
      </c>
      <c r="I48" s="33">
        <f>SUM(I$43,$A48)</f>
        <v>14</v>
      </c>
      <c r="J48" s="33">
        <f>SUM(J$43,$A48)</f>
        <v>15</v>
      </c>
      <c r="K48" s="33">
        <f>SUM(K$43,$A48)</f>
        <v>16</v>
      </c>
    </row>
    <row r="49" spans="1:11" x14ac:dyDescent="0.2">
      <c r="A49" s="41">
        <v>7</v>
      </c>
      <c r="B49" s="41"/>
      <c r="C49" s="33">
        <f t="shared" si="1"/>
        <v>9</v>
      </c>
      <c r="D49" s="33">
        <f t="shared" si="1"/>
        <v>10</v>
      </c>
      <c r="E49" s="33">
        <f t="shared" si="1"/>
        <v>11</v>
      </c>
      <c r="F49" s="33">
        <f>SUM(F$43,$A49)</f>
        <v>12</v>
      </c>
      <c r="G49" s="33">
        <f>SUM(G$43,$A49)</f>
        <v>13</v>
      </c>
      <c r="I49" s="33">
        <f>SUM(I$43,$A49)</f>
        <v>15</v>
      </c>
      <c r="J49" s="33">
        <f>SUM(J$43,$A49)</f>
        <v>16</v>
      </c>
      <c r="K49" s="33">
        <f>SUM(K$43,$A49)</f>
        <v>17</v>
      </c>
    </row>
    <row r="50" spans="1:11" x14ac:dyDescent="0.2">
      <c r="A50" s="41">
        <v>8</v>
      </c>
      <c r="B50" s="41"/>
      <c r="C50" s="33">
        <f t="shared" si="1"/>
        <v>10</v>
      </c>
      <c r="D50" s="33">
        <f t="shared" si="1"/>
        <v>11</v>
      </c>
      <c r="E50" s="33">
        <f t="shared" si="1"/>
        <v>12</v>
      </c>
      <c r="F50" s="33">
        <f>SUM(F$43,$A50)</f>
        <v>13</v>
      </c>
      <c r="G50" s="33">
        <f>SUM(G$43,$A50)</f>
        <v>14</v>
      </c>
      <c r="H50" s="33">
        <f>SUM(H$43,$A50)</f>
        <v>15</v>
      </c>
      <c r="J50" s="33">
        <f>SUM(J$43,$A50)</f>
        <v>17</v>
      </c>
      <c r="K50" s="33">
        <f>SUM(K$43,$A50)</f>
        <v>18</v>
      </c>
    </row>
    <row r="51" spans="1:11" x14ac:dyDescent="0.2">
      <c r="A51" s="41">
        <v>9</v>
      </c>
      <c r="B51" s="41"/>
      <c r="C51" s="33">
        <f t="shared" si="1"/>
        <v>11</v>
      </c>
      <c r="D51" s="33">
        <f t="shared" si="1"/>
        <v>12</v>
      </c>
      <c r="E51" s="33">
        <f t="shared" si="1"/>
        <v>13</v>
      </c>
      <c r="F51" s="33">
        <f>SUM(F$43,$A51)</f>
        <v>14</v>
      </c>
      <c r="G51" s="33">
        <f>SUM(G$43,$A51)</f>
        <v>15</v>
      </c>
      <c r="H51" s="33">
        <f>SUM(H$43,$A51)</f>
        <v>16</v>
      </c>
      <c r="I51" s="33">
        <f>SUM(I$43,$A51)</f>
        <v>17</v>
      </c>
      <c r="K51" s="33">
        <f>SUM(K$43,$A51)</f>
        <v>19</v>
      </c>
    </row>
    <row r="52" spans="1:11" x14ac:dyDescent="0.2">
      <c r="A52" s="41">
        <v>10</v>
      </c>
      <c r="B52" s="41"/>
      <c r="C52" s="33">
        <f t="shared" si="1"/>
        <v>12</v>
      </c>
      <c r="D52" s="33">
        <f t="shared" si="1"/>
        <v>13</v>
      </c>
      <c r="E52" s="33">
        <f t="shared" si="1"/>
        <v>14</v>
      </c>
      <c r="F52" s="33">
        <f>SUM(F$43,$A52)</f>
        <v>15</v>
      </c>
      <c r="G52" s="33">
        <f>SUM(G$43,$A52)</f>
        <v>16</v>
      </c>
      <c r="H52" s="33">
        <f>SUM(H$43,$A52)</f>
        <v>17</v>
      </c>
      <c r="I52" s="33">
        <f>SUM(I$43,$A52)</f>
        <v>18</v>
      </c>
      <c r="J52" s="33">
        <f>SUM(J$43,$A52)</f>
        <v>19</v>
      </c>
    </row>
    <row r="53" spans="1:11" x14ac:dyDescent="0.2">
      <c r="A53" s="41" t="s">
        <v>1</v>
      </c>
      <c r="B53" s="41"/>
    </row>
    <row r="55" spans="1:11" x14ac:dyDescent="0.2">
      <c r="C55" s="40" t="s">
        <v>12</v>
      </c>
    </row>
    <row r="56" spans="1:11" x14ac:dyDescent="0.2">
      <c r="A56" s="41" t="s">
        <v>13</v>
      </c>
      <c r="B56" s="41"/>
      <c r="C56" s="41">
        <v>2</v>
      </c>
      <c r="D56" s="41">
        <v>3</v>
      </c>
      <c r="E56" s="41">
        <v>4</v>
      </c>
      <c r="F56" s="41">
        <v>5</v>
      </c>
      <c r="G56" s="41">
        <v>6</v>
      </c>
      <c r="H56" s="41">
        <v>7</v>
      </c>
      <c r="I56" s="41">
        <v>8</v>
      </c>
      <c r="J56" s="41">
        <v>9</v>
      </c>
      <c r="K56" s="41">
        <v>10</v>
      </c>
    </row>
    <row r="57" spans="1:11" x14ac:dyDescent="0.2">
      <c r="A57" s="41">
        <v>2</v>
      </c>
      <c r="B57" s="41"/>
      <c r="D57" s="33">
        <f>(1/(9+Rules!$B$5))^2</f>
        <v>5.9171597633136102E-3</v>
      </c>
      <c r="E57" s="33">
        <f>(1/(9+Rules!$B$5))^2</f>
        <v>5.9171597633136102E-3</v>
      </c>
      <c r="F57" s="33">
        <f>(1/(9+Rules!$B$5))^2</f>
        <v>5.9171597633136102E-3</v>
      </c>
      <c r="G57" s="33">
        <f>(1/(9+Rules!$B$5))^2</f>
        <v>5.9171597633136102E-3</v>
      </c>
      <c r="H57" s="33">
        <f>(1/(9+Rules!$B$5))^2</f>
        <v>5.9171597633136102E-3</v>
      </c>
      <c r="I57" s="33">
        <f>(1/(9+Rules!$B$5))^2</f>
        <v>5.9171597633136102E-3</v>
      </c>
      <c r="J57" s="33">
        <f>(1/(9+Rules!$B$5))^2</f>
        <v>5.9171597633136102E-3</v>
      </c>
      <c r="K57" s="33">
        <f>(1/(9+Rules!$B$5))*(Rules!$B$5/(9+Rules!$B$5))</f>
        <v>2.3668639053254441E-2</v>
      </c>
    </row>
    <row r="58" spans="1:11" x14ac:dyDescent="0.2">
      <c r="A58" s="41">
        <v>3</v>
      </c>
      <c r="B58" s="41"/>
      <c r="C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1">
        <v>4</v>
      </c>
      <c r="B59" s="41"/>
      <c r="C59" s="33">
        <f>(1/(9+Rules!$B$5))^2</f>
        <v>5.9171597633136102E-3</v>
      </c>
      <c r="D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1">
        <v>5</v>
      </c>
      <c r="B60" s="41"/>
      <c r="C60" s="33">
        <f>(1/(9+Rules!$B$5))^2</f>
        <v>5.9171597633136102E-3</v>
      </c>
      <c r="D60" s="33">
        <f>(1/(9+Rules!$B$5))^2</f>
        <v>5.9171597633136102E-3</v>
      </c>
      <c r="E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1">
        <v>6</v>
      </c>
      <c r="B61" s="41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F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1">
        <v>7</v>
      </c>
      <c r="B62" s="41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G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1">
        <v>8</v>
      </c>
      <c r="B63" s="41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H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1">
        <v>9</v>
      </c>
      <c r="B64" s="41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I64" s="33">
        <f>(1/(9+Rules!$B$5))^2</f>
        <v>5.9171597633136102E-3</v>
      </c>
      <c r="K64" s="33">
        <f>(1/(9+Rules!$B$5))*(Rules!$B$5/(9+Rules!$B$5))</f>
        <v>2.3668639053254441E-2</v>
      </c>
    </row>
    <row r="65" spans="1:10" x14ac:dyDescent="0.2">
      <c r="A65" s="41">
        <v>10</v>
      </c>
      <c r="B65" s="41"/>
      <c r="C65" s="33">
        <f>(1/(9+Rules!$B$5))*(Rules!$B$5/(9+Rules!$B$5))</f>
        <v>2.3668639053254441E-2</v>
      </c>
      <c r="D65" s="33">
        <f>(1/(9+Rules!$B$5))*(Rules!$B$5/(9+Rules!$B$5))</f>
        <v>2.3668639053254441E-2</v>
      </c>
      <c r="E65" s="33">
        <f>(1/(9+Rules!$B$5))*(Rules!$B$5/(9+Rules!$B$5))</f>
        <v>2.3668639053254441E-2</v>
      </c>
      <c r="F65" s="33">
        <f>(1/(9+Rules!$B$5))*(Rules!$B$5/(9+Rules!$B$5))</f>
        <v>2.3668639053254441E-2</v>
      </c>
      <c r="G65" s="33">
        <f>(1/(9+Rules!$B$5))*(Rules!$B$5/(9+Rules!$B$5))</f>
        <v>2.3668639053254441E-2</v>
      </c>
      <c r="H65" s="33">
        <f>(1/(9+Rules!$B$5))*(Rules!$B$5/(9+Rules!$B$5))</f>
        <v>2.3668639053254441E-2</v>
      </c>
      <c r="I65" s="33">
        <f>(1/(9+Rules!$B$5))*(Rules!$B$5/(9+Rules!$B$5))</f>
        <v>2.3668639053254441E-2</v>
      </c>
      <c r="J65" s="33">
        <f>(1/(9+Rules!$B$5))*(Rules!$B$5/(9+Rules!$B$5))</f>
        <v>2.3668639053254441E-2</v>
      </c>
    </row>
    <row r="66" spans="1:10" x14ac:dyDescent="0.2">
      <c r="A66" s="41" t="s">
        <v>1</v>
      </c>
      <c r="B66" s="41"/>
    </row>
    <row r="68" spans="1:10" x14ac:dyDescent="0.2">
      <c r="A68" s="41"/>
      <c r="B68" s="41"/>
    </row>
    <row r="69" spans="1:10" x14ac:dyDescent="0.2">
      <c r="A69" s="33" t="s">
        <v>9</v>
      </c>
      <c r="C69" s="33" t="s">
        <v>14</v>
      </c>
      <c r="E69" s="33" t="s">
        <v>15</v>
      </c>
    </row>
    <row r="70" spans="1:10" ht="16" x14ac:dyDescent="0.2">
      <c r="A70" s="33">
        <v>5</v>
      </c>
      <c r="C70" s="33">
        <f t="shared" ref="C70:C84" si="2">SUMIF($C$44:$K$52,A70,$C$57:$K$65)</f>
        <v>1.183431952662722E-2</v>
      </c>
      <c r="E70" s="42">
        <f>C70</f>
        <v>1.183431952662722E-2</v>
      </c>
    </row>
    <row r="71" spans="1:10" ht="16" x14ac:dyDescent="0.2">
      <c r="A71" s="33">
        <v>6</v>
      </c>
      <c r="C71" s="33">
        <f t="shared" si="2"/>
        <v>1.183431952662722E-2</v>
      </c>
      <c r="E71" s="42">
        <f t="shared" ref="E71:E84" si="3">C71</f>
        <v>1.183431952662722E-2</v>
      </c>
    </row>
    <row r="72" spans="1:10" ht="16" x14ac:dyDescent="0.2">
      <c r="A72" s="33">
        <v>7</v>
      </c>
      <c r="C72" s="33">
        <f t="shared" si="2"/>
        <v>2.3668639053254441E-2</v>
      </c>
      <c r="E72" s="42">
        <f t="shared" si="3"/>
        <v>2.3668639053254441E-2</v>
      </c>
    </row>
    <row r="73" spans="1:10" ht="16" x14ac:dyDescent="0.2">
      <c r="A73" s="33">
        <v>8</v>
      </c>
      <c r="C73" s="33">
        <f t="shared" si="2"/>
        <v>2.3668639053254441E-2</v>
      </c>
      <c r="E73" s="42">
        <f t="shared" si="3"/>
        <v>2.3668639053254441E-2</v>
      </c>
    </row>
    <row r="74" spans="1:10" ht="16" x14ac:dyDescent="0.2">
      <c r="A74" s="33">
        <v>9</v>
      </c>
      <c r="C74" s="33">
        <f t="shared" si="2"/>
        <v>3.5502958579881665E-2</v>
      </c>
      <c r="E74" s="42">
        <f t="shared" si="3"/>
        <v>3.5502958579881665E-2</v>
      </c>
    </row>
    <row r="75" spans="1:10" ht="16" x14ac:dyDescent="0.2">
      <c r="A75" s="33">
        <v>10</v>
      </c>
      <c r="C75" s="33">
        <f t="shared" si="2"/>
        <v>3.5502958579881665E-2</v>
      </c>
      <c r="E75" s="42">
        <f t="shared" si="3"/>
        <v>3.5502958579881665E-2</v>
      </c>
    </row>
    <row r="76" spans="1:10" ht="16" x14ac:dyDescent="0.2">
      <c r="A76" s="33">
        <v>11</v>
      </c>
      <c r="C76" s="33">
        <f t="shared" si="2"/>
        <v>4.7337278106508889E-2</v>
      </c>
      <c r="E76" s="42">
        <f t="shared" si="3"/>
        <v>4.7337278106508889E-2</v>
      </c>
    </row>
    <row r="77" spans="1:10" ht="16" x14ac:dyDescent="0.2">
      <c r="A77" s="33">
        <v>12</v>
      </c>
      <c r="C77" s="33">
        <f t="shared" si="2"/>
        <v>8.2840236686390553E-2</v>
      </c>
      <c r="E77" s="42">
        <f t="shared" si="3"/>
        <v>8.2840236686390553E-2</v>
      </c>
    </row>
    <row r="78" spans="1:10" ht="16" x14ac:dyDescent="0.2">
      <c r="A78" s="33">
        <v>13</v>
      </c>
      <c r="C78" s="33">
        <f t="shared" si="2"/>
        <v>8.2840236686390553E-2</v>
      </c>
      <c r="E78" s="42">
        <f t="shared" si="3"/>
        <v>8.2840236686390553E-2</v>
      </c>
    </row>
    <row r="79" spans="1:10" ht="16" x14ac:dyDescent="0.2">
      <c r="A79" s="33">
        <v>14</v>
      </c>
      <c r="C79" s="33">
        <f t="shared" si="2"/>
        <v>7.1005917159763329E-2</v>
      </c>
      <c r="E79" s="42">
        <f t="shared" si="3"/>
        <v>7.1005917159763329E-2</v>
      </c>
    </row>
    <row r="80" spans="1:10" ht="16" x14ac:dyDescent="0.2">
      <c r="A80" s="33">
        <v>15</v>
      </c>
      <c r="C80" s="33">
        <f t="shared" si="2"/>
        <v>7.1005917159763329E-2</v>
      </c>
      <c r="E80" s="42">
        <f t="shared" si="3"/>
        <v>7.1005917159763329E-2</v>
      </c>
    </row>
    <row r="81" spans="1:5" ht="16" x14ac:dyDescent="0.2">
      <c r="A81" s="33">
        <v>16</v>
      </c>
      <c r="C81" s="33">
        <f t="shared" si="2"/>
        <v>5.9171597633136105E-2</v>
      </c>
      <c r="E81" s="42">
        <f t="shared" si="3"/>
        <v>5.9171597633136105E-2</v>
      </c>
    </row>
    <row r="82" spans="1:5" ht="16" x14ac:dyDescent="0.2">
      <c r="A82" s="33">
        <v>17</v>
      </c>
      <c r="C82" s="33">
        <f t="shared" si="2"/>
        <v>5.9171597633136105E-2</v>
      </c>
      <c r="E82" s="42">
        <f t="shared" si="3"/>
        <v>5.9171597633136105E-2</v>
      </c>
    </row>
    <row r="83" spans="1:5" ht="16" x14ac:dyDescent="0.2">
      <c r="A83" s="33">
        <v>18</v>
      </c>
      <c r="C83" s="33">
        <f t="shared" si="2"/>
        <v>4.7337278106508882E-2</v>
      </c>
      <c r="E83" s="42">
        <f t="shared" si="3"/>
        <v>4.7337278106508882E-2</v>
      </c>
    </row>
    <row r="84" spans="1:5" ht="16" x14ac:dyDescent="0.2">
      <c r="A84" s="33">
        <v>19</v>
      </c>
      <c r="C84" s="33">
        <f t="shared" si="2"/>
        <v>4.7337278106508882E-2</v>
      </c>
      <c r="E84" s="42">
        <f t="shared" si="3"/>
        <v>4.7337278106508882E-2</v>
      </c>
    </row>
    <row r="86" spans="1:5" x14ac:dyDescent="0.2">
      <c r="C86" s="33">
        <f>SUM(C70:C85)</f>
        <v>0.71005917159763332</v>
      </c>
    </row>
  </sheetData>
  <sheetProtection sheet="1" objects="1" scenarios="1"/>
  <phoneticPr fontId="14" type="noConversion"/>
  <conditionalFormatting sqref="B18:K26 B28:K38 B2:K16">
    <cfRule type="containsText" dxfId="54" priority="15" operator="containsText" text="R">
      <formula>NOT(ISERROR(SEARCH("R",B2)))</formula>
    </cfRule>
    <cfRule type="containsText" dxfId="53" priority="16" operator="containsText" text="D">
      <formula>NOT(ISERROR(SEARCH("D",B2)))</formula>
    </cfRule>
    <cfRule type="containsText" dxfId="52" priority="17" operator="containsText" text="S">
      <formula>NOT(ISERROR(SEARCH("S",B2)))</formula>
    </cfRule>
    <cfRule type="containsText" dxfId="51" priority="18" operator="containsText" text="H">
      <formula>NOT(ISERROR(SEARCH("H",B2)))</formula>
    </cfRule>
  </conditionalFormatting>
  <conditionalFormatting sqref="B18:K26 B28:K38 B2:K16">
    <cfRule type="containsText" dxfId="50" priority="14" operator="containsText" text="P">
      <formula>NOT(ISERROR(SEARCH("P",B2)))</formula>
    </cfRule>
  </conditionalFormatting>
  <conditionalFormatting sqref="C42">
    <cfRule type="containsText" dxfId="49" priority="10" operator="containsText" text="R">
      <formula>NOT(ISERROR(SEARCH("R",C42)))</formula>
    </cfRule>
    <cfRule type="containsText" dxfId="48" priority="11" operator="containsText" text="D">
      <formula>NOT(ISERROR(SEARCH("D",C42)))</formula>
    </cfRule>
    <cfRule type="containsText" dxfId="47" priority="12" operator="containsText" text="S">
      <formula>NOT(ISERROR(SEARCH("S",C42)))</formula>
    </cfRule>
    <cfRule type="containsText" dxfId="46" priority="13" operator="containsText" text="H">
      <formula>NOT(ISERROR(SEARCH("H",C42)))</formula>
    </cfRule>
  </conditionalFormatting>
  <conditionalFormatting sqref="C42">
    <cfRule type="containsText" dxfId="45" priority="9" operator="containsText" text="P">
      <formula>NOT(ISERROR(SEARCH("P",C42)))</formula>
    </cfRule>
  </conditionalFormatting>
  <conditionalFormatting sqref="C55">
    <cfRule type="containsText" dxfId="44" priority="5" operator="containsText" text="R">
      <formula>NOT(ISERROR(SEARCH("R",C55)))</formula>
    </cfRule>
    <cfRule type="containsText" dxfId="43" priority="6" operator="containsText" text="D">
      <formula>NOT(ISERROR(SEARCH("D",C55)))</formula>
    </cfRule>
    <cfRule type="containsText" dxfId="42" priority="7" operator="containsText" text="S">
      <formula>NOT(ISERROR(SEARCH("S",C55)))</formula>
    </cfRule>
    <cfRule type="containsText" dxfId="41" priority="8" operator="containsText" text="H">
      <formula>NOT(ISERROR(SEARCH("H",C55)))</formula>
    </cfRule>
  </conditionalFormatting>
  <conditionalFormatting sqref="C55">
    <cfRule type="containsText" dxfId="40" priority="4" operator="containsText" text="P">
      <formula>NOT(ISERROR(SEARCH("P",C55)))</formula>
    </cfRule>
  </conditionalFormatting>
  <conditionalFormatting sqref="B2:K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K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K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F122"/>
  <sheetViews>
    <sheetView topLeftCell="C93" zoomScale="85" workbookViewId="0">
      <selection activeCell="K9" sqref="K9"/>
    </sheetView>
  </sheetViews>
  <sheetFormatPr baseColWidth="10" defaultRowHeight="16" x14ac:dyDescent="0.2"/>
  <cols>
    <col min="2" max="3" width="12" bestFit="1" customWidth="1"/>
  </cols>
  <sheetData>
    <row r="2" spans="1:18" x14ac:dyDescent="0.2">
      <c r="A2" s="33"/>
      <c r="B2" s="33"/>
      <c r="C2" s="40" t="s">
        <v>12</v>
      </c>
      <c r="D2" s="33"/>
      <c r="E2" s="33"/>
      <c r="F2" s="33"/>
      <c r="G2" s="33"/>
      <c r="H2" s="33"/>
      <c r="I2" s="33"/>
      <c r="J2" s="33"/>
      <c r="K2" s="33"/>
      <c r="N2" t="s">
        <v>123</v>
      </c>
      <c r="O2" t="s">
        <v>14</v>
      </c>
      <c r="Q2" t="s">
        <v>124</v>
      </c>
      <c r="R2" t="s">
        <v>14</v>
      </c>
    </row>
    <row r="3" spans="1:18" x14ac:dyDescent="0.2">
      <c r="A3" s="41" t="s">
        <v>13</v>
      </c>
      <c r="B3" s="41"/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244">
        <v>1</v>
      </c>
      <c r="N3" s="242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1">
        <v>2</v>
      </c>
      <c r="B4" s="41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 s="243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1">
        <v>3</v>
      </c>
      <c r="B5" s="41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242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1">
        <v>4</v>
      </c>
      <c r="B6" s="41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 s="243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1">
        <v>5</v>
      </c>
      <c r="B7" s="41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242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1">
        <v>6</v>
      </c>
      <c r="B8" s="41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 s="243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1">
        <v>7</v>
      </c>
      <c r="B9" s="41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242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1">
        <v>8</v>
      </c>
      <c r="B10" s="41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 s="243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1">
        <v>9</v>
      </c>
      <c r="B11" s="41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242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1">
        <v>10</v>
      </c>
      <c r="B12" s="41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 s="243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1">
        <v>1</v>
      </c>
      <c r="B13" s="41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242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 s="243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40" t="s">
        <v>12</v>
      </c>
      <c r="D15" s="33"/>
      <c r="E15" s="33"/>
      <c r="F15" s="33"/>
      <c r="G15" s="33"/>
      <c r="H15" s="33"/>
      <c r="I15" s="33"/>
      <c r="J15" s="33"/>
      <c r="K15" s="33"/>
      <c r="N15" s="242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1" t="s">
        <v>13</v>
      </c>
      <c r="B16" s="41"/>
      <c r="C16" s="41">
        <v>2</v>
      </c>
      <c r="D16" s="41">
        <v>3</v>
      </c>
      <c r="E16" s="41">
        <v>4</v>
      </c>
      <c r="F16" s="41">
        <v>5</v>
      </c>
      <c r="G16" s="41">
        <v>6</v>
      </c>
      <c r="H16" s="41">
        <v>7</v>
      </c>
      <c r="I16" s="41">
        <v>8</v>
      </c>
      <c r="J16" s="41">
        <v>9</v>
      </c>
      <c r="K16" s="41">
        <v>10</v>
      </c>
      <c r="L16" s="244">
        <v>1</v>
      </c>
      <c r="N16" s="243">
        <v>17</v>
      </c>
      <c r="O16">
        <f t="shared" si="1"/>
        <v>5.9171597633136105E-2</v>
      </c>
    </row>
    <row r="17" spans="1:32" x14ac:dyDescent="0.2">
      <c r="A17" s="41">
        <v>2</v>
      </c>
      <c r="B17" s="41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242">
        <v>18</v>
      </c>
      <c r="O17">
        <f t="shared" si="1"/>
        <v>5.3254437869822494E-2</v>
      </c>
    </row>
    <row r="18" spans="1:32" x14ac:dyDescent="0.2">
      <c r="A18" s="41">
        <v>3</v>
      </c>
      <c r="B18" s="41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 s="243">
        <v>19</v>
      </c>
      <c r="O18">
        <f t="shared" si="1"/>
        <v>4.7337278106508882E-2</v>
      </c>
    </row>
    <row r="19" spans="1:32" x14ac:dyDescent="0.2">
      <c r="A19" s="41">
        <v>4</v>
      </c>
      <c r="B19" s="41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242">
        <v>20</v>
      </c>
      <c r="O19">
        <f t="shared" si="1"/>
        <v>9.4674556213017763E-2</v>
      </c>
    </row>
    <row r="20" spans="1:32" x14ac:dyDescent="0.2">
      <c r="A20" s="41">
        <v>5</v>
      </c>
      <c r="B20" s="41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1">
        <v>6</v>
      </c>
      <c r="B21" s="41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1">
        <v>7</v>
      </c>
      <c r="B22" s="41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1">
        <v>8</v>
      </c>
      <c r="B23" s="41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130</v>
      </c>
      <c r="T23">
        <f>SUM(O16:O19,R10:R12)</f>
        <v>0.32544378698224863</v>
      </c>
    </row>
    <row r="24" spans="1:32" x14ac:dyDescent="0.2">
      <c r="A24" s="41">
        <v>9</v>
      </c>
      <c r="B24" s="41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1">
        <v>10</v>
      </c>
      <c r="B25" s="41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244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129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125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121</v>
      </c>
      <c r="U55" t="s">
        <v>2</v>
      </c>
      <c r="V55" t="s">
        <v>130</v>
      </c>
      <c r="W55" t="s">
        <v>143</v>
      </c>
    </row>
    <row r="56" spans="1:30" x14ac:dyDescent="0.2">
      <c r="B56" t="s">
        <v>131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132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128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126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121</v>
      </c>
      <c r="T84" t="s">
        <v>2</v>
      </c>
      <c r="U84" t="s">
        <v>130</v>
      </c>
      <c r="V84" t="s">
        <v>143</v>
      </c>
      <c r="W84" t="s">
        <v>133</v>
      </c>
    </row>
    <row r="85" spans="1:30" x14ac:dyDescent="0.2">
      <c r="B85" t="s">
        <v>131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132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127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128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135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121</v>
      </c>
      <c r="S112" t="s">
        <v>2</v>
      </c>
      <c r="T112" t="s">
        <v>130</v>
      </c>
      <c r="U112" t="s">
        <v>143</v>
      </c>
      <c r="V112" t="s">
        <v>133</v>
      </c>
      <c r="W112" t="s">
        <v>134</v>
      </c>
    </row>
    <row r="113" spans="2:24" x14ac:dyDescent="0.2">
      <c r="B113" t="s">
        <v>131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132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127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41"/>
      <c r="E117" s="21" t="s">
        <v>141</v>
      </c>
      <c r="F117" s="19" t="s">
        <v>140</v>
      </c>
      <c r="G117" s="19" t="s">
        <v>142</v>
      </c>
      <c r="H117" s="20" t="s">
        <v>127</v>
      </c>
    </row>
    <row r="118" spans="2:24" x14ac:dyDescent="0.2">
      <c r="D118" s="120" t="s">
        <v>136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121" t="s">
        <v>137</v>
      </c>
      <c r="E119" s="247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121" t="s">
        <v>138</v>
      </c>
      <c r="E120" s="247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121" t="s">
        <v>139</v>
      </c>
      <c r="E121" s="247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248" t="s">
        <v>2</v>
      </c>
      <c r="E122" s="249">
        <f ca="1">SUM(E118:E121)</f>
        <v>0.68327439515423138</v>
      </c>
      <c r="F122" s="171">
        <f ca="1">SUM(F118:F121)</f>
        <v>0.28758419900186649</v>
      </c>
      <c r="G122" s="171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39" priority="7" operator="containsText" text="R">
      <formula>NOT(ISERROR(SEARCH("R",C2)))</formula>
    </cfRule>
    <cfRule type="containsText" dxfId="38" priority="8" operator="containsText" text="D">
      <formula>NOT(ISERROR(SEARCH("D",C2)))</formula>
    </cfRule>
    <cfRule type="containsText" dxfId="37" priority="9" operator="containsText" text="S">
      <formula>NOT(ISERROR(SEARCH("S",C2)))</formula>
    </cfRule>
    <cfRule type="containsText" dxfId="36" priority="10" operator="containsText" text="H">
      <formula>NOT(ISERROR(SEARCH("H",C2)))</formula>
    </cfRule>
  </conditionalFormatting>
  <conditionalFormatting sqref="C2">
    <cfRule type="containsText" dxfId="35" priority="6" operator="containsText" text="P">
      <formula>NOT(ISERROR(SEARCH("P",C2)))</formula>
    </cfRule>
  </conditionalFormatting>
  <conditionalFormatting sqref="C15">
    <cfRule type="containsText" dxfId="34" priority="2" operator="containsText" text="R">
      <formula>NOT(ISERROR(SEARCH("R",C15)))</formula>
    </cfRule>
    <cfRule type="containsText" dxfId="33" priority="3" operator="containsText" text="D">
      <formula>NOT(ISERROR(SEARCH("D",C15)))</formula>
    </cfRule>
    <cfRule type="containsText" dxfId="32" priority="4" operator="containsText" text="S">
      <formula>NOT(ISERROR(SEARCH("S",C15)))</formula>
    </cfRule>
    <cfRule type="containsText" dxfId="31" priority="5" operator="containsText" text="H">
      <formula>NOT(ISERROR(SEARCH("H",C15)))</formula>
    </cfRule>
  </conditionalFormatting>
  <conditionalFormatting sqref="C15">
    <cfRule type="containsText" dxfId="30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2" sqref="D2"/>
    </sheetView>
  </sheetViews>
  <sheetFormatPr baseColWidth="10" defaultRowHeight="16" x14ac:dyDescent="0.2"/>
  <cols>
    <col min="1" max="1" width="9.1640625" customWidth="1"/>
  </cols>
  <sheetData>
    <row r="1" spans="1:4" x14ac:dyDescent="0.2">
      <c r="B1" t="s">
        <v>151</v>
      </c>
      <c r="C1" t="s">
        <v>148</v>
      </c>
      <c r="D1" t="s">
        <v>149</v>
      </c>
    </row>
    <row r="2" spans="1:4" x14ac:dyDescent="0.2">
      <c r="A2" t="s">
        <v>150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5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1" x14ac:dyDescent="0.2">
      <c r="A1" s="32" t="s">
        <v>9</v>
      </c>
      <c r="B1" s="32" t="s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</row>
    <row r="2" spans="1:11" x14ac:dyDescent="0.2">
      <c r="A2" s="32">
        <v>5</v>
      </c>
      <c r="B2" s="34">
        <f>HSDR!B5</f>
        <v>-0.27857459755181968</v>
      </c>
      <c r="C2" s="34">
        <f>HSDR!C5</f>
        <v>-0.12821556706374745</v>
      </c>
      <c r="D2" s="34">
        <f>HSDR!D5</f>
        <v>-9.5310227261489883E-2</v>
      </c>
      <c r="E2" s="34">
        <f>HSDR!E5</f>
        <v>-6.1479464199694238E-2</v>
      </c>
      <c r="F2" s="34">
        <f>HSDR!F5</f>
        <v>-2.397897039185962E-2</v>
      </c>
      <c r="G2" s="34">
        <f>HSDR!G5</f>
        <v>-1.1863378384401623E-3</v>
      </c>
      <c r="H2" s="34">
        <f>HSDR!H5</f>
        <v>-0.11944744188414852</v>
      </c>
      <c r="I2" s="34">
        <f>HSDR!I5</f>
        <v>-0.18809330390318524</v>
      </c>
      <c r="J2" s="34">
        <f>HSDR!J5</f>
        <v>-0.26661505335795899</v>
      </c>
      <c r="K2" s="34">
        <f>HSDR!K5</f>
        <v>-0.31341164336497107</v>
      </c>
    </row>
    <row r="3" spans="1:11" x14ac:dyDescent="0.2">
      <c r="A3" s="32">
        <v>6</v>
      </c>
      <c r="B3" s="34">
        <f>HSDR!B6</f>
        <v>-0.30414663097569933</v>
      </c>
      <c r="C3" s="34">
        <f>HSDR!C6</f>
        <v>-0.14075911746001987</v>
      </c>
      <c r="D3" s="34">
        <f>HSDR!D6</f>
        <v>-0.10729107800860836</v>
      </c>
      <c r="E3" s="34">
        <f>HSDR!E6</f>
        <v>-7.2917141926387305E-2</v>
      </c>
      <c r="F3" s="34">
        <f>HSDR!F6</f>
        <v>-3.4915973330102178E-2</v>
      </c>
      <c r="G3" s="34">
        <f>HSDR!G6</f>
        <v>-1.3005835529874294E-2</v>
      </c>
      <c r="H3" s="34">
        <f>HSDR!H6</f>
        <v>-0.15193270723669944</v>
      </c>
      <c r="I3" s="34">
        <f>HSDR!I6</f>
        <v>-0.21724188132078476</v>
      </c>
      <c r="J3" s="34">
        <f>HSDR!J6</f>
        <v>-0.29264070019772598</v>
      </c>
      <c r="K3" s="34">
        <f>HSDR!K6</f>
        <v>-0.33774944037840804</v>
      </c>
    </row>
    <row r="4" spans="1:11" x14ac:dyDescent="0.2">
      <c r="A4" s="32">
        <v>7</v>
      </c>
      <c r="B4" s="34">
        <f>HSDR!B7</f>
        <v>-0.31007165033163697</v>
      </c>
      <c r="C4" s="34">
        <f>HSDR!C7</f>
        <v>-0.10918342786661633</v>
      </c>
      <c r="D4" s="34">
        <f>HSDR!D7</f>
        <v>-7.658298190446361E-2</v>
      </c>
      <c r="E4" s="34">
        <f>HSDR!E7</f>
        <v>-4.3021794004341876E-2</v>
      </c>
      <c r="F4" s="34">
        <f>HSDR!F7</f>
        <v>-7.2713609029408845E-3</v>
      </c>
      <c r="G4" s="34">
        <f>HSDR!G7</f>
        <v>2.9185342353860864E-2</v>
      </c>
      <c r="H4" s="34">
        <f>HSDR!H7</f>
        <v>-6.8807799580427764E-2</v>
      </c>
      <c r="I4" s="34">
        <f>HSDR!I7</f>
        <v>-0.21060476872434969</v>
      </c>
      <c r="J4" s="34">
        <f>HSDR!J7</f>
        <v>-0.28536544048687656</v>
      </c>
      <c r="K4" s="34">
        <f>HSDR!K7</f>
        <v>-0.31905479139833842</v>
      </c>
    </row>
    <row r="5" spans="1:11" x14ac:dyDescent="0.2">
      <c r="A5" s="32">
        <v>8</v>
      </c>
      <c r="B5" s="34">
        <f>HSDR!B8</f>
        <v>-0.1970288105741636</v>
      </c>
      <c r="C5" s="34">
        <f>HSDR!C8</f>
        <v>-2.1798188008805668E-2</v>
      </c>
      <c r="D5" s="34">
        <f>HSDR!D8</f>
        <v>8.0052625306546825E-3</v>
      </c>
      <c r="E5" s="34">
        <f>HSDR!E8</f>
        <v>3.8784473277208811E-2</v>
      </c>
      <c r="F5" s="34">
        <f>HSDR!F8</f>
        <v>7.0804635983033826E-2</v>
      </c>
      <c r="G5" s="34">
        <f>HSDR!G8</f>
        <v>0.11496015009622321</v>
      </c>
      <c r="H5" s="34">
        <f>HSDR!H8</f>
        <v>8.2207439363742862E-2</v>
      </c>
      <c r="I5" s="34">
        <f>HSDR!I8</f>
        <v>-5.9898275658656304E-2</v>
      </c>
      <c r="J5" s="34">
        <f>HSDR!J8</f>
        <v>-0.21018633199821757</v>
      </c>
      <c r="K5" s="34">
        <f>HSDR!K8</f>
        <v>-0.24937508055334259</v>
      </c>
    </row>
    <row r="6" spans="1:11" x14ac:dyDescent="0.2">
      <c r="A6" s="32">
        <v>9</v>
      </c>
      <c r="B6" s="34">
        <f>HSDR!B9</f>
        <v>-6.5680778778066204E-2</v>
      </c>
      <c r="C6" s="34">
        <f>HSDR!C9</f>
        <v>7.4446037576340524E-2</v>
      </c>
      <c r="D6" s="34">
        <f>HSDR!D9</f>
        <v>0.12081635332999649</v>
      </c>
      <c r="E6" s="34">
        <f>HSDR!E9</f>
        <v>0.18194893405242166</v>
      </c>
      <c r="F6" s="34">
        <f>HSDR!F9</f>
        <v>0.24305722487303633</v>
      </c>
      <c r="G6" s="34">
        <f>HSDR!G9</f>
        <v>0.31705474570166692</v>
      </c>
      <c r="H6" s="34">
        <f>HSDR!H9</f>
        <v>0.17186785993695267</v>
      </c>
      <c r="I6" s="34">
        <f>HSDR!I9</f>
        <v>9.8376217435392516E-2</v>
      </c>
      <c r="J6" s="34">
        <f>HSDR!J9</f>
        <v>-5.2178053462651669E-2</v>
      </c>
      <c r="K6" s="34">
        <f>HSDR!K9</f>
        <v>-0.15295298487455075</v>
      </c>
    </row>
    <row r="7" spans="1:11" x14ac:dyDescent="0.2">
      <c r="A7" s="32">
        <v>10</v>
      </c>
      <c r="B7" s="34">
        <f>HSDR!B10</f>
        <v>8.1449707945275923E-2</v>
      </c>
      <c r="C7" s="34">
        <f>HSDR!C10</f>
        <v>0.3589394124422991</v>
      </c>
      <c r="D7" s="34">
        <f>HSDR!D10</f>
        <v>0.40932067017593915</v>
      </c>
      <c r="E7" s="34">
        <f>HSDR!E10</f>
        <v>0.460940243794354</v>
      </c>
      <c r="F7" s="34">
        <f>HSDR!F10</f>
        <v>0.51251710900326775</v>
      </c>
      <c r="G7" s="34">
        <f>HSDR!G10</f>
        <v>0.57559016859776857</v>
      </c>
      <c r="H7" s="34">
        <f>HSDR!H10</f>
        <v>0.39241245528243773</v>
      </c>
      <c r="I7" s="34">
        <f>HSDR!I10</f>
        <v>0.28663571688628381</v>
      </c>
      <c r="J7" s="34">
        <f>HSDR!J10</f>
        <v>0.1443283683807712</v>
      </c>
      <c r="K7" s="34">
        <f>HSDR!K10</f>
        <v>2.5308523040868145E-2</v>
      </c>
    </row>
    <row r="8" spans="1:11" x14ac:dyDescent="0.2">
      <c r="A8" s="32">
        <v>11</v>
      </c>
      <c r="B8" s="34">
        <f>HSDR!B11</f>
        <v>0.14300128216153027</v>
      </c>
      <c r="C8" s="34">
        <f>HSDR!C11</f>
        <v>0.47064092333946889</v>
      </c>
      <c r="D8" s="34">
        <f>HSDR!D11</f>
        <v>0.51779525312221675</v>
      </c>
      <c r="E8" s="34">
        <f>HSDR!E11</f>
        <v>0.56604055041797607</v>
      </c>
      <c r="F8" s="34">
        <f>HSDR!F11</f>
        <v>0.61469901790902803</v>
      </c>
      <c r="G8" s="34">
        <f>HSDR!G11</f>
        <v>0.66738009490756944</v>
      </c>
      <c r="H8" s="34">
        <f>HSDR!H11</f>
        <v>0.46288894886429077</v>
      </c>
      <c r="I8" s="34">
        <f>HSDR!I11</f>
        <v>0.35069259087031501</v>
      </c>
      <c r="J8" s="34">
        <f>HSDR!J11</f>
        <v>0.22778342315245487</v>
      </c>
      <c r="K8" s="34">
        <f>HSDR!K11</f>
        <v>0.1796887274111463</v>
      </c>
    </row>
    <row r="9" spans="1:11" x14ac:dyDescent="0.2">
      <c r="A9" s="32">
        <v>12</v>
      </c>
      <c r="B9" s="34">
        <f>HSDR!B12</f>
        <v>-0.35054034044008009</v>
      </c>
      <c r="C9" s="34">
        <f>HSDR!C12</f>
        <v>-0.25338998596663809</v>
      </c>
      <c r="D9" s="34">
        <f>HSDR!D12</f>
        <v>-0.2336908997980866</v>
      </c>
      <c r="E9" s="34">
        <f>HSDR!E12</f>
        <v>-0.21106310899491437</v>
      </c>
      <c r="F9" s="34">
        <f>HSDR!F12</f>
        <v>-0.16719266083547524</v>
      </c>
      <c r="G9" s="34">
        <f>HSDR!G12</f>
        <v>-0.1536990158300045</v>
      </c>
      <c r="H9" s="34">
        <f>HSDR!H12</f>
        <v>-0.21284771451731424</v>
      </c>
      <c r="I9" s="34">
        <f>HSDR!I12</f>
        <v>-0.27157480502428616</v>
      </c>
      <c r="J9" s="34">
        <f>HSDR!J12</f>
        <v>-0.3400132806089356</v>
      </c>
      <c r="K9" s="34">
        <f>HSDR!K12</f>
        <v>-0.38104299284808768</v>
      </c>
    </row>
    <row r="10" spans="1:11" x14ac:dyDescent="0.2">
      <c r="A10" s="32">
        <v>13</v>
      </c>
      <c r="B10" s="34">
        <f>HSDR!B13</f>
        <v>-0.3969303161229315</v>
      </c>
      <c r="C10" s="34">
        <f>HSDR!C13</f>
        <v>-0.29278372720927726</v>
      </c>
      <c r="D10" s="34">
        <f>HSDR!D13</f>
        <v>-0.2522502292357135</v>
      </c>
      <c r="E10" s="34">
        <f>HSDR!E13</f>
        <v>-0.21106310899491437</v>
      </c>
      <c r="F10" s="34">
        <f>HSDR!F13</f>
        <v>-0.16719266083547524</v>
      </c>
      <c r="G10" s="34">
        <f>HSDR!G13</f>
        <v>-0.1536990158300045</v>
      </c>
      <c r="H10" s="34">
        <f>HSDR!H13</f>
        <v>-0.26907287776607752</v>
      </c>
      <c r="I10" s="34">
        <f>HSDR!I13</f>
        <v>-0.32360517609397998</v>
      </c>
      <c r="J10" s="34">
        <f>HSDR!J13</f>
        <v>-0.38715518913686875</v>
      </c>
      <c r="K10" s="34">
        <f>HSDR!K13</f>
        <v>-0.42525420764465277</v>
      </c>
    </row>
    <row r="11" spans="1:11" x14ac:dyDescent="0.2">
      <c r="A11" s="32">
        <v>14</v>
      </c>
      <c r="B11" s="34">
        <f>HSDR!B14</f>
        <v>-0.44000672211415065</v>
      </c>
      <c r="C11" s="34">
        <f>HSDR!C14</f>
        <v>-0.29278372720927726</v>
      </c>
      <c r="D11" s="34">
        <f>HSDR!D14</f>
        <v>-0.2522502292357135</v>
      </c>
      <c r="E11" s="34">
        <f>HSDR!E14</f>
        <v>-0.21106310899491437</v>
      </c>
      <c r="F11" s="34">
        <f>HSDR!F14</f>
        <v>-0.16719266083547524</v>
      </c>
      <c r="G11" s="34">
        <f>HSDR!G14</f>
        <v>-0.1536990158300045</v>
      </c>
      <c r="H11" s="34">
        <f>HSDR!H14</f>
        <v>-0.3212819579256434</v>
      </c>
      <c r="I11" s="34">
        <f>HSDR!I14</f>
        <v>-0.37191909208726714</v>
      </c>
      <c r="J11" s="34">
        <f>HSDR!J14</f>
        <v>-0.43092981848423528</v>
      </c>
      <c r="K11" s="34">
        <f>HSDR!K14</f>
        <v>-0.46630747852717758</v>
      </c>
    </row>
    <row r="12" spans="1:11" x14ac:dyDescent="0.2">
      <c r="A12" s="32">
        <v>15</v>
      </c>
      <c r="B12" s="34">
        <f>HSDR!B15</f>
        <v>-0.4800062419631399</v>
      </c>
      <c r="C12" s="34">
        <f>HSDR!C15</f>
        <v>-0.29278372720927726</v>
      </c>
      <c r="D12" s="34">
        <f>HSDR!D15</f>
        <v>-0.2522502292357135</v>
      </c>
      <c r="E12" s="34">
        <f>HSDR!E15</f>
        <v>-0.21106310899491437</v>
      </c>
      <c r="F12" s="34">
        <f>HSDR!F15</f>
        <v>-0.16719266083547524</v>
      </c>
      <c r="G12" s="34">
        <f>HSDR!G15</f>
        <v>-0.1536990158300045</v>
      </c>
      <c r="H12" s="34">
        <f>HSDR!H15</f>
        <v>-0.36976181807381175</v>
      </c>
      <c r="I12" s="34">
        <f>HSDR!I15</f>
        <v>-0.41678201408103371</v>
      </c>
      <c r="J12" s="34">
        <f>HSDR!J15</f>
        <v>-0.47157768859250415</v>
      </c>
      <c r="K12" s="34">
        <f>HSDR!K15</f>
        <v>-0.5</v>
      </c>
    </row>
    <row r="13" spans="1:11" x14ac:dyDescent="0.2">
      <c r="A13" s="32">
        <v>16</v>
      </c>
      <c r="B13" s="34">
        <f>HSDR!B16</f>
        <v>-0.51714865325148707</v>
      </c>
      <c r="C13" s="34">
        <f>HSDR!C16</f>
        <v>-0.29278372720927726</v>
      </c>
      <c r="D13" s="34">
        <f>HSDR!D16</f>
        <v>-0.2522502292357135</v>
      </c>
      <c r="E13" s="34">
        <f>HSDR!E16</f>
        <v>-0.21106310899491437</v>
      </c>
      <c r="F13" s="34">
        <f>HSDR!F16</f>
        <v>-0.16719266083547524</v>
      </c>
      <c r="G13" s="34">
        <f>HSDR!G16</f>
        <v>-0.1536990158300045</v>
      </c>
      <c r="H13" s="34">
        <f>HSDR!H16</f>
        <v>-0.41477883106853947</v>
      </c>
      <c r="I13" s="34">
        <f>HSDR!I16</f>
        <v>-0.45844044164667419</v>
      </c>
      <c r="J13" s="34">
        <f>HSDR!J16</f>
        <v>-0.5</v>
      </c>
      <c r="K13" s="34">
        <f>HSDR!K16</f>
        <v>-0.5</v>
      </c>
    </row>
    <row r="14" spans="1:11" x14ac:dyDescent="0.2">
      <c r="A14" s="32">
        <v>17</v>
      </c>
      <c r="B14" s="34">
        <f>HSDR!B17</f>
        <v>-0.47803347499473703</v>
      </c>
      <c r="C14" s="34">
        <f>HSDR!C17</f>
        <v>-0.15297458768154204</v>
      </c>
      <c r="D14" s="34">
        <f>HSDR!D17</f>
        <v>-0.11721624142457365</v>
      </c>
      <c r="E14" s="34">
        <f>HSDR!E17</f>
        <v>-8.0573373145316152E-2</v>
      </c>
      <c r="F14" s="34">
        <f>HSDR!F17</f>
        <v>-4.4941375564924446E-2</v>
      </c>
      <c r="G14" s="34">
        <f>HSDR!G17</f>
        <v>1.1739160673341853E-2</v>
      </c>
      <c r="H14" s="34">
        <f>HSDR!H17</f>
        <v>-0.10680898948269468</v>
      </c>
      <c r="I14" s="34">
        <f>HSDR!I17</f>
        <v>-0.38195097104844711</v>
      </c>
      <c r="J14" s="34">
        <f>HSDR!J17</f>
        <v>-0.42315423964521737</v>
      </c>
      <c r="K14" s="34">
        <f>HSDR!K17</f>
        <v>-0.41972063392881986</v>
      </c>
    </row>
    <row r="15" spans="1:11" x14ac:dyDescent="0.2">
      <c r="A15" s="32">
        <v>18</v>
      </c>
      <c r="B15" s="34">
        <f>HSDR!B18</f>
        <v>-0.10019887561319057</v>
      </c>
      <c r="C15" s="34">
        <f>HSDR!C18</f>
        <v>0.12174190222088771</v>
      </c>
      <c r="D15" s="34">
        <f>HSDR!D18</f>
        <v>0.14830007284131119</v>
      </c>
      <c r="E15" s="34">
        <f>HSDR!E18</f>
        <v>0.17585443719748528</v>
      </c>
      <c r="F15" s="34">
        <f>HSDR!F18</f>
        <v>0.19956119497617719</v>
      </c>
      <c r="G15" s="34">
        <f>HSDR!G18</f>
        <v>0.28344391604689856</v>
      </c>
      <c r="H15" s="34">
        <f>HSDR!H18</f>
        <v>0.3995541673365518</v>
      </c>
      <c r="I15" s="34">
        <f>HSDR!I18</f>
        <v>0.10595134861912359</v>
      </c>
      <c r="J15" s="34">
        <f>HSDR!J18</f>
        <v>-0.18316335667343331</v>
      </c>
      <c r="K15" s="34">
        <f>HSDR!K18</f>
        <v>-0.17830123379648949</v>
      </c>
    </row>
    <row r="16" spans="1:11" x14ac:dyDescent="0.2">
      <c r="A16" s="32">
        <v>19</v>
      </c>
      <c r="B16" s="34">
        <f>HSDR!B19</f>
        <v>0.27763572376835594</v>
      </c>
      <c r="C16" s="34">
        <f>HSDR!C19</f>
        <v>0.38630468602058993</v>
      </c>
      <c r="D16" s="34">
        <f>HSDR!D19</f>
        <v>0.4043629365977599</v>
      </c>
      <c r="E16" s="34">
        <f>HSDR!E19</f>
        <v>0.42317892482749653</v>
      </c>
      <c r="F16" s="34">
        <f>HSDR!F19</f>
        <v>0.43951210416088371</v>
      </c>
      <c r="G16" s="34">
        <f>HSDR!G19</f>
        <v>0.49597707378731914</v>
      </c>
      <c r="H16" s="34">
        <f>HSDR!H19</f>
        <v>0.6159764957534315</v>
      </c>
      <c r="I16" s="34">
        <f>HSDR!I19</f>
        <v>0.59385366828669439</v>
      </c>
      <c r="J16" s="34">
        <f>HSDR!J19</f>
        <v>0.28759675706758148</v>
      </c>
      <c r="K16" s="34">
        <f>HSDR!K19</f>
        <v>6.3118166335840831E-2</v>
      </c>
    </row>
    <row r="17" spans="1:11" x14ac:dyDescent="0.2">
      <c r="A17" s="32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35">
        <v>10</v>
      </c>
    </row>
    <row r="18" spans="1:11" x14ac:dyDescent="0.2">
      <c r="A18" s="32">
        <v>13</v>
      </c>
      <c r="B18" s="34">
        <f>HSDR!B36</f>
        <v>-5.7308046666810254E-2</v>
      </c>
      <c r="C18" s="34">
        <f>HSDR!C36</f>
        <v>4.6636132695309578E-2</v>
      </c>
      <c r="D18" s="34">
        <f>HSDR!D36</f>
        <v>7.4118813392744051E-2</v>
      </c>
      <c r="E18" s="34">
        <f>HSDR!E36</f>
        <v>0.10247714687203523</v>
      </c>
      <c r="F18" s="34">
        <f>HSDR!F36</f>
        <v>0.13336273848321728</v>
      </c>
      <c r="G18" s="34">
        <f>HSDR!G36</f>
        <v>0.17974820582791512</v>
      </c>
      <c r="H18" s="34">
        <f>HSDR!H36</f>
        <v>0.12238569517899196</v>
      </c>
      <c r="I18" s="34">
        <f>HSDR!I36</f>
        <v>5.4057070196311299E-2</v>
      </c>
      <c r="J18" s="34">
        <f>HSDR!J36</f>
        <v>-3.7694688127479885E-2</v>
      </c>
      <c r="K18" s="34">
        <f>HSDR!K36</f>
        <v>-0.10485135840627779</v>
      </c>
    </row>
    <row r="19" spans="1:11" x14ac:dyDescent="0.2">
      <c r="A19" s="32">
        <v>14</v>
      </c>
      <c r="B19" s="34">
        <f>HSDR!B37</f>
        <v>-9.3874324768310105E-2</v>
      </c>
      <c r="C19" s="34">
        <f>HSDR!C37</f>
        <v>2.2391856987839083E-2</v>
      </c>
      <c r="D19" s="34">
        <f>HSDR!D37</f>
        <v>5.0806738919282814E-2</v>
      </c>
      <c r="E19" s="34">
        <f>HSDR!E37</f>
        <v>8.0081414310110233E-2</v>
      </c>
      <c r="F19" s="34">
        <f>HSDR!F37</f>
        <v>0.12595448524867925</v>
      </c>
      <c r="G19" s="34">
        <f>HSDR!G37</f>
        <v>0.17974820582791512</v>
      </c>
      <c r="H19" s="34">
        <f>HSDR!H37</f>
        <v>7.9507488494468148E-2</v>
      </c>
      <c r="I19" s="34">
        <f>HSDR!I37</f>
        <v>1.3277219463208444E-2</v>
      </c>
      <c r="J19" s="34">
        <f>HSDR!J37</f>
        <v>-7.516318944168382E-2</v>
      </c>
      <c r="K19" s="34">
        <f>HSDR!K37</f>
        <v>-0.13946678217545452</v>
      </c>
    </row>
    <row r="20" spans="1:11" x14ac:dyDescent="0.2">
      <c r="A20" s="32">
        <v>15</v>
      </c>
      <c r="B20" s="34">
        <f>HSDR!B38</f>
        <v>-0.13002650167843849</v>
      </c>
      <c r="C20" s="34">
        <f>HSDR!C38</f>
        <v>-1.2068474052636583E-4</v>
      </c>
      <c r="D20" s="34">
        <f>HSDR!D38</f>
        <v>2.9159812622497363E-2</v>
      </c>
      <c r="E20" s="34">
        <f>HSDR!E38</f>
        <v>5.9285376931179926E-2</v>
      </c>
      <c r="F20" s="34">
        <f>HSDR!F38</f>
        <v>0.12595448524867925</v>
      </c>
      <c r="G20" s="34">
        <f>HSDR!G38</f>
        <v>0.17974820582791512</v>
      </c>
      <c r="H20" s="34">
        <f>HSDR!H38</f>
        <v>3.7028282279269235E-2</v>
      </c>
      <c r="I20" s="34">
        <f>HSDR!I38</f>
        <v>-2.7054780502901672E-2</v>
      </c>
      <c r="J20" s="34">
        <f>HSDR!J38</f>
        <v>-0.11218876868994289</v>
      </c>
      <c r="K20" s="34">
        <f>HSDR!K38</f>
        <v>-0.17370423031226784</v>
      </c>
    </row>
    <row r="21" spans="1:11" x14ac:dyDescent="0.2">
      <c r="A21" s="32">
        <v>16</v>
      </c>
      <c r="B21" s="34">
        <f>HSDR!B39</f>
        <v>-0.16563717206687348</v>
      </c>
      <c r="C21" s="34">
        <f>HSDR!C39</f>
        <v>-2.1025187774008566E-2</v>
      </c>
      <c r="D21" s="34">
        <f>HSDR!D39</f>
        <v>9.0590953469108244E-3</v>
      </c>
      <c r="E21" s="34">
        <f>HSDR!E39</f>
        <v>5.8426518743744951E-2</v>
      </c>
      <c r="F21" s="34">
        <f>HSDR!F39</f>
        <v>0.12595448524867925</v>
      </c>
      <c r="G21" s="34">
        <f>HSDR!G39</f>
        <v>0.17974820582791512</v>
      </c>
      <c r="H21" s="34">
        <f>HSDR!H39</f>
        <v>-4.8901571730158942E-3</v>
      </c>
      <c r="I21" s="34">
        <f>HSDR!I39</f>
        <v>-6.6794847920094103E-2</v>
      </c>
      <c r="J21" s="34">
        <f>HSDR!J39</f>
        <v>-0.14864353463007471</v>
      </c>
      <c r="K21" s="34">
        <f>HSDR!K39</f>
        <v>-0.20744109003068206</v>
      </c>
    </row>
    <row r="22" spans="1:11" x14ac:dyDescent="0.2">
      <c r="A22" s="32">
        <v>17</v>
      </c>
      <c r="B22" s="34">
        <f>HSDR!B40</f>
        <v>-0.17956936979241733</v>
      </c>
      <c r="C22" s="34">
        <f>HSDR!C40</f>
        <v>-4.9104358288912882E-4</v>
      </c>
      <c r="D22" s="34">
        <f>HSDR!D40</f>
        <v>5.5095284479298338E-2</v>
      </c>
      <c r="E22" s="34">
        <f>HSDR!E40</f>
        <v>0.11865255067432869</v>
      </c>
      <c r="F22" s="34">
        <f>HSDR!F40</f>
        <v>0.18237815537354879</v>
      </c>
      <c r="G22" s="34">
        <f>HSDR!G40</f>
        <v>0.2561042872909981</v>
      </c>
      <c r="H22" s="34">
        <f>HSDR!H40</f>
        <v>5.3823463716116654E-2</v>
      </c>
      <c r="I22" s="34">
        <f>HSDR!I40</f>
        <v>-7.2915398729642075E-2</v>
      </c>
      <c r="J22" s="34">
        <f>HSDR!J40</f>
        <v>-0.1497868921821332</v>
      </c>
      <c r="K22" s="34">
        <f>HSDR!K40</f>
        <v>-0.19686697623363469</v>
      </c>
    </row>
    <row r="23" spans="1:11" x14ac:dyDescent="0.2">
      <c r="A23" s="32">
        <v>18</v>
      </c>
      <c r="B23" s="34">
        <f>HSDR!B41</f>
        <v>-9.2935491769284034E-2</v>
      </c>
      <c r="C23" s="34">
        <f>HSDR!C41</f>
        <v>0.12174190222088771</v>
      </c>
      <c r="D23" s="34">
        <f>HSDR!D41</f>
        <v>0.17764127567893753</v>
      </c>
      <c r="E23" s="34">
        <f>HSDR!E41</f>
        <v>0.23700384775562167</v>
      </c>
      <c r="F23" s="34">
        <f>HSDR!F41</f>
        <v>0.29522549562328804</v>
      </c>
      <c r="G23" s="34">
        <f>HSDR!G41</f>
        <v>0.38150648207879345</v>
      </c>
      <c r="H23" s="34">
        <f>HSDR!H41</f>
        <v>0.3995541673365518</v>
      </c>
      <c r="I23" s="34">
        <f>HSDR!I41</f>
        <v>0.10595134861912359</v>
      </c>
      <c r="J23" s="34">
        <f>HSDR!J41</f>
        <v>-0.10074430758041522</v>
      </c>
      <c r="K23" s="34">
        <f>HSDR!K41</f>
        <v>-0.14380812317405353</v>
      </c>
    </row>
    <row r="24" spans="1:11" x14ac:dyDescent="0.2">
      <c r="A24" s="32">
        <v>19</v>
      </c>
      <c r="B24" s="34">
        <f>HSDR!B42</f>
        <v>0.27763572376835594</v>
      </c>
      <c r="C24" s="34">
        <f>HSDR!C42</f>
        <v>0.38630468602058993</v>
      </c>
      <c r="D24" s="34">
        <f>HSDR!D42</f>
        <v>0.4043629365977599</v>
      </c>
      <c r="E24" s="34">
        <f>HSDR!E42</f>
        <v>0.42317892482749653</v>
      </c>
      <c r="F24" s="34">
        <f>HSDR!F42</f>
        <v>0.43951210416088371</v>
      </c>
      <c r="G24" s="34">
        <f>HSDR!G42</f>
        <v>0.49597707378731914</v>
      </c>
      <c r="H24" s="34">
        <f>HSDR!H42</f>
        <v>0.6159764957534315</v>
      </c>
      <c r="I24" s="34">
        <f>HSDR!I42</f>
        <v>0.59385366828669439</v>
      </c>
      <c r="J24" s="34">
        <f>HSDR!J42</f>
        <v>0.28759675706758148</v>
      </c>
      <c r="K24" s="34">
        <f>HSDR!K42</f>
        <v>6.3118166335840831E-2</v>
      </c>
    </row>
    <row r="25" spans="1:11" x14ac:dyDescent="0.2">
      <c r="A25" s="32">
        <v>20</v>
      </c>
      <c r="B25" s="34">
        <f>HSDR!B43</f>
        <v>0.65547032314990239</v>
      </c>
      <c r="C25" s="34">
        <f>HSDR!C43</f>
        <v>0.63998657521683877</v>
      </c>
      <c r="D25" s="34">
        <f>HSDR!D43</f>
        <v>0.65027209425148136</v>
      </c>
      <c r="E25" s="34">
        <f>HSDR!E43</f>
        <v>0.66104996194807186</v>
      </c>
      <c r="F25" s="34">
        <f>HSDR!F43</f>
        <v>0.67035969063279999</v>
      </c>
      <c r="G25" s="34">
        <f>HSDR!G43</f>
        <v>0.70395857017134467</v>
      </c>
      <c r="H25" s="34">
        <f>HSDR!H43</f>
        <v>0.77322722653717491</v>
      </c>
      <c r="I25" s="34">
        <f>HSDR!I43</f>
        <v>0.79181515955189841</v>
      </c>
      <c r="J25" s="34">
        <f>HSDR!J43</f>
        <v>0.75835687080859626</v>
      </c>
      <c r="K25" s="34">
        <f>HSDR!K43</f>
        <v>0.55453756646817121</v>
      </c>
    </row>
    <row r="26" spans="1:11" x14ac:dyDescent="0.2">
      <c r="A26" s="32">
        <v>21</v>
      </c>
      <c r="B26" s="34">
        <f>IF(Rules!$B$3=Rules!$E$3,1.5,IF(Rules!$B$3=Rules!$F$3,1.2,1))</f>
        <v>1.5</v>
      </c>
      <c r="C26" s="34">
        <f>IF(Rules!$B$3=Rules!$E$3,1.5,IF(Rules!$B$3=Rules!$F$3,1.2,1))</f>
        <v>1.5</v>
      </c>
      <c r="D26" s="34">
        <f>IF(Rules!$B$3=Rules!$E$3,1.5,IF(Rules!$B$3=Rules!$F$3,1.2,1))</f>
        <v>1.5</v>
      </c>
      <c r="E26" s="34">
        <f>IF(Rules!$B$3=Rules!$E$3,1.5,IF(Rules!$B$3=Rules!$F$3,1.2,1))</f>
        <v>1.5</v>
      </c>
      <c r="F26" s="34">
        <f>IF(Rules!$B$3=Rules!$E$3,1.5,IF(Rules!$B$3=Rules!$F$3,1.2,1))</f>
        <v>1.5</v>
      </c>
      <c r="G26" s="34">
        <f>IF(Rules!$B$3=Rules!$E$3,1.5,IF(Rules!$B$3=Rules!$F$3,1.2,1))</f>
        <v>1.5</v>
      </c>
      <c r="H26" s="34">
        <f>IF(Rules!$B$3=Rules!$E$3,1.5,IF(Rules!$B$3=Rules!$F$3,1.2,1))</f>
        <v>1.5</v>
      </c>
      <c r="I26" s="34">
        <f>IF(Rules!$B$3=Rules!$E$3,1.5,IF(Rules!$B$3=Rules!$F$3,1.2,1))</f>
        <v>1.5</v>
      </c>
      <c r="J26" s="34">
        <f>IF(Rules!$B$3=Rules!$E$3,1.5,IF(Rules!$B$3=Rules!$F$3,1.2,1))</f>
        <v>1.5</v>
      </c>
      <c r="K26" s="34">
        <f>IF(Rules!$B$3=Rules!$E$3,1.5,IF(Rules!$B$3=Rules!$F$3,1.2,1))</f>
        <v>1.5</v>
      </c>
    </row>
    <row r="27" spans="1:11" x14ac:dyDescent="0.2">
      <c r="A27" s="32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35">
        <v>10</v>
      </c>
    </row>
    <row r="28" spans="1:11" x14ac:dyDescent="0.2">
      <c r="A28" s="32" t="s">
        <v>1</v>
      </c>
      <c r="B28" s="34">
        <f>Pair!B54</f>
        <v>0.10906077977909699</v>
      </c>
      <c r="C28" s="34">
        <f>Pair!C54</f>
        <v>0.47064092333946894</v>
      </c>
      <c r="D28" s="34">
        <f>Pair!D54</f>
        <v>0.51779525312221664</v>
      </c>
      <c r="E28" s="34">
        <f>Pair!E54</f>
        <v>0.56604055041797596</v>
      </c>
      <c r="F28" s="34">
        <f>Pair!F54</f>
        <v>0.61469901790902803</v>
      </c>
      <c r="G28" s="34">
        <f>Pair!G54</f>
        <v>0.66738009490756944</v>
      </c>
      <c r="H28" s="34">
        <f>Pair!H54</f>
        <v>0.46288894886429088</v>
      </c>
      <c r="I28" s="34">
        <f>Pair!I54</f>
        <v>0.35069259087031512</v>
      </c>
      <c r="J28" s="34">
        <f>Pair!J54</f>
        <v>0.22778342315245487</v>
      </c>
      <c r="K28" s="34">
        <f>Pair!K54</f>
        <v>0.17968872741114625</v>
      </c>
    </row>
    <row r="29" spans="1:11" x14ac:dyDescent="0.2">
      <c r="A29" s="32">
        <v>2</v>
      </c>
      <c r="B29" s="34">
        <f>Pair!B55</f>
        <v>-0.25307699440390863</v>
      </c>
      <c r="C29" s="34">
        <f>Pair!C55</f>
        <v>-8.4267225502711041E-2</v>
      </c>
      <c r="D29" s="34">
        <f>Pair!D55</f>
        <v>-1.5498287197501173E-2</v>
      </c>
      <c r="E29" s="34">
        <f>Pair!E55</f>
        <v>5.9333738978653974E-2</v>
      </c>
      <c r="F29" s="34">
        <f>Pair!F55</f>
        <v>0.15203616947891799</v>
      </c>
      <c r="G29" s="34">
        <f>Pair!G55</f>
        <v>0.22737886696191317</v>
      </c>
      <c r="H29" s="34">
        <f>Pair!H55</f>
        <v>6.958050045595748E-3</v>
      </c>
      <c r="I29" s="34">
        <f>Pair!I55</f>
        <v>-0.15933415266020512</v>
      </c>
      <c r="J29" s="34">
        <f>Pair!J55</f>
        <v>-0.24066617915336547</v>
      </c>
      <c r="K29" s="34">
        <f>Pair!K55</f>
        <v>-0.28919791448567511</v>
      </c>
    </row>
    <row r="30" spans="1:11" x14ac:dyDescent="0.2">
      <c r="A30" s="32">
        <v>3</v>
      </c>
      <c r="B30" s="34">
        <f>Pair!B56</f>
        <v>-0.30414663097569933</v>
      </c>
      <c r="C30" s="34">
        <f>Pair!C56</f>
        <v>-0.13992944417761496</v>
      </c>
      <c r="D30" s="34">
        <f>Pair!D56</f>
        <v>-5.8284696427541714E-2</v>
      </c>
      <c r="E30" s="34">
        <f>Pair!E56</f>
        <v>2.8134517976885209E-2</v>
      </c>
      <c r="F30" s="34">
        <f>Pair!F56</f>
        <v>0.12470784634060185</v>
      </c>
      <c r="G30" s="34">
        <f>Pair!G56</f>
        <v>0.19970541230483627</v>
      </c>
      <c r="H30" s="34">
        <f>Pair!H56</f>
        <v>-5.8585254727766593E-2</v>
      </c>
      <c r="I30" s="34">
        <f>Pair!I56</f>
        <v>-0.21724188132078476</v>
      </c>
      <c r="J30" s="34">
        <f>Pair!J56</f>
        <v>-0.29264070019772598</v>
      </c>
      <c r="K30" s="34">
        <f>Pair!K56</f>
        <v>-0.33774944037840804</v>
      </c>
    </row>
    <row r="31" spans="1:11" x14ac:dyDescent="0.2">
      <c r="A31" s="32">
        <v>4</v>
      </c>
      <c r="B31" s="34">
        <f>Pair!B57</f>
        <v>-0.1970288105741636</v>
      </c>
      <c r="C31" s="34">
        <f>Pair!C57</f>
        <v>-2.1798188008805668E-2</v>
      </c>
      <c r="D31" s="34">
        <f>Pair!D57</f>
        <v>8.0052625306546825E-3</v>
      </c>
      <c r="E31" s="34">
        <f>Pair!E57</f>
        <v>3.8784473277208811E-2</v>
      </c>
      <c r="F31" s="34">
        <f>Pair!F57</f>
        <v>0.10070528937626665</v>
      </c>
      <c r="G31" s="34">
        <f>Pair!G57</f>
        <v>0.17417494269127992</v>
      </c>
      <c r="H31" s="34">
        <f>Pair!H57</f>
        <v>8.2207439363742862E-2</v>
      </c>
      <c r="I31" s="34">
        <f>Pair!I57</f>
        <v>-5.9898275658656304E-2</v>
      </c>
      <c r="J31" s="34">
        <f>Pair!J57</f>
        <v>-0.21018633199821757</v>
      </c>
      <c r="K31" s="34">
        <f>Pair!K57</f>
        <v>-0.24937508055334259</v>
      </c>
    </row>
    <row r="32" spans="1:11" x14ac:dyDescent="0.2">
      <c r="A32" s="32">
        <v>5</v>
      </c>
      <c r="B32" s="34">
        <f>Pair!B58</f>
        <v>8.1449707945275923E-2</v>
      </c>
      <c r="C32" s="34">
        <f>Pair!C58</f>
        <v>0.3589394124422991</v>
      </c>
      <c r="D32" s="34">
        <f>Pair!D58</f>
        <v>0.40932067017593915</v>
      </c>
      <c r="E32" s="34">
        <f>Pair!E58</f>
        <v>0.460940243794354</v>
      </c>
      <c r="F32" s="34">
        <f>Pair!F58</f>
        <v>0.51251710900326775</v>
      </c>
      <c r="G32" s="34">
        <f>Pair!G58</f>
        <v>0.57559016859776857</v>
      </c>
      <c r="H32" s="34">
        <f>Pair!H58</f>
        <v>0.39241245528243773</v>
      </c>
      <c r="I32" s="34">
        <f>Pair!I58</f>
        <v>0.28663571688628381</v>
      </c>
      <c r="J32" s="34">
        <f>Pair!J58</f>
        <v>0.1443283683807712</v>
      </c>
      <c r="K32" s="34">
        <f>Pair!K58</f>
        <v>2.5308523040868145E-2</v>
      </c>
    </row>
    <row r="33" spans="1:11" x14ac:dyDescent="0.2">
      <c r="A33" s="32">
        <v>6</v>
      </c>
      <c r="B33" s="34">
        <f>Pair!B59</f>
        <v>-0.35054034044008009</v>
      </c>
      <c r="C33" s="34">
        <f>Pair!C59</f>
        <v>-0.25338998596663809</v>
      </c>
      <c r="D33" s="34">
        <f>Pair!D59</f>
        <v>-0.16236190502927889</v>
      </c>
      <c r="E33" s="34">
        <f>Pair!E59</f>
        <v>-6.5242110257549266E-2</v>
      </c>
      <c r="F33" s="34">
        <f>Pair!F59</f>
        <v>3.9226356320867399E-2</v>
      </c>
      <c r="G33" s="34">
        <f>Pair!G59</f>
        <v>0.10667340682942227</v>
      </c>
      <c r="H33" s="34">
        <f>Pair!H59</f>
        <v>-0.21284771451731424</v>
      </c>
      <c r="I33" s="34">
        <f>Pair!I59</f>
        <v>-0.27157480502428616</v>
      </c>
      <c r="J33" s="34">
        <f>Pair!J59</f>
        <v>-0.3400132806089356</v>
      </c>
      <c r="K33" s="34">
        <f>Pair!K59</f>
        <v>-0.38104299284808768</v>
      </c>
    </row>
    <row r="34" spans="1:11" x14ac:dyDescent="0.2">
      <c r="A34" s="32">
        <v>7</v>
      </c>
      <c r="B34" s="34">
        <f>Pair!B60</f>
        <v>-0.44000672211415065</v>
      </c>
      <c r="C34" s="34">
        <f>Pair!C60</f>
        <v>-0.1963016079632402</v>
      </c>
      <c r="D34" s="34">
        <f>Pair!D60</f>
        <v>-0.10948552726048816</v>
      </c>
      <c r="E34" s="34">
        <f>Pair!E60</f>
        <v>-1.9921218921965758E-2</v>
      </c>
      <c r="F34" s="34">
        <f>Pair!F60</f>
        <v>7.4563567868088848E-2</v>
      </c>
      <c r="G34" s="34">
        <f>Pair!G60</f>
        <v>0.16472730313989489</v>
      </c>
      <c r="H34" s="34">
        <f>Pair!H60</f>
        <v>-0.13707521359511174</v>
      </c>
      <c r="I34" s="34">
        <f>Pair!I60</f>
        <v>-0.37191909208726714</v>
      </c>
      <c r="J34" s="34">
        <f>Pair!J60</f>
        <v>-0.43092981848423528</v>
      </c>
      <c r="K34" s="34">
        <f>Pair!K60</f>
        <v>-0.46630747852717758</v>
      </c>
    </row>
    <row r="35" spans="1:11" x14ac:dyDescent="0.2">
      <c r="A35" s="32">
        <v>8</v>
      </c>
      <c r="B35" s="34">
        <f>Pair!B61</f>
        <v>-0.47846720619452893</v>
      </c>
      <c r="C35" s="34">
        <f>Pair!C61</f>
        <v>-4.10085652565544E-2</v>
      </c>
      <c r="D35" s="34">
        <f>Pair!D61</f>
        <v>2.9651267038439212E-2</v>
      </c>
      <c r="E35" s="34">
        <f>Pair!E61</f>
        <v>0.10253679913733912</v>
      </c>
      <c r="F35" s="34">
        <f>Pair!F61</f>
        <v>0.17786869518456505</v>
      </c>
      <c r="G35" s="34">
        <f>Pair!G61</f>
        <v>0.28114462143026464</v>
      </c>
      <c r="H35" s="34">
        <f>Pair!H61</f>
        <v>0.17942021385705018</v>
      </c>
      <c r="I35" s="34">
        <f>Pair!I61</f>
        <v>-0.15401156627741791</v>
      </c>
      <c r="J35" s="34">
        <f>Pair!J61</f>
        <v>-0.5</v>
      </c>
      <c r="K35" s="34">
        <f>Pair!K61</f>
        <v>-0.5</v>
      </c>
    </row>
    <row r="36" spans="1:11" x14ac:dyDescent="0.2">
      <c r="A36" s="32">
        <v>9</v>
      </c>
      <c r="B36" s="34">
        <f>Pair!B62</f>
        <v>-0.10019887561319057</v>
      </c>
      <c r="C36" s="34">
        <f>Pair!C62</f>
        <v>0.13385768207672508</v>
      </c>
      <c r="D36" s="34">
        <f>Pair!D62</f>
        <v>0.19320731563116447</v>
      </c>
      <c r="E36" s="34">
        <f>Pair!E62</f>
        <v>0.25454407563811315</v>
      </c>
      <c r="F36" s="34">
        <f>Pair!F62</f>
        <v>0.31872977328281132</v>
      </c>
      <c r="G36" s="34">
        <f>Pair!G62</f>
        <v>0.40361032143368897</v>
      </c>
      <c r="H36" s="34">
        <f>Pair!H62</f>
        <v>0.3995541673365518</v>
      </c>
      <c r="I36" s="34">
        <f>Pair!I62</f>
        <v>0.19129321615782191</v>
      </c>
      <c r="J36" s="34">
        <f>Pair!J62</f>
        <v>-0.15072067108588086</v>
      </c>
      <c r="K36" s="34">
        <f>Pair!K62</f>
        <v>-0.17830123379648949</v>
      </c>
    </row>
    <row r="37" spans="1:11" x14ac:dyDescent="0.2">
      <c r="A37" s="32">
        <v>10</v>
      </c>
      <c r="B37" s="34">
        <f>Pair!B63</f>
        <v>0.65547032314990239</v>
      </c>
      <c r="C37" s="34">
        <f>Pair!C63</f>
        <v>0.63998657521683877</v>
      </c>
      <c r="D37" s="34">
        <f>Pair!D63</f>
        <v>0.65027209425148136</v>
      </c>
      <c r="E37" s="34">
        <f>Pair!E63</f>
        <v>0.66104996194807186</v>
      </c>
      <c r="F37" s="34">
        <f>Pair!F63</f>
        <v>0.67035969063279999</v>
      </c>
      <c r="G37" s="34">
        <f>Pair!G63</f>
        <v>0.70504978713524302</v>
      </c>
      <c r="H37" s="34">
        <f>Pair!H63</f>
        <v>0.77322722653717491</v>
      </c>
      <c r="I37" s="34">
        <f>Pair!I63</f>
        <v>0.79181515955189841</v>
      </c>
      <c r="J37" s="34">
        <f>Pair!J63</f>
        <v>0.75835687080859626</v>
      </c>
      <c r="K37" s="34">
        <f>Pair!K63</f>
        <v>0.55453756646817121</v>
      </c>
    </row>
    <row r="38" spans="1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40" spans="1:11" x14ac:dyDescent="0.2">
      <c r="A40" s="37" t="s">
        <v>11</v>
      </c>
      <c r="B40" s="38"/>
      <c r="C40" s="39">
        <v>-1</v>
      </c>
    </row>
    <row r="42" spans="1:11" x14ac:dyDescent="0.2">
      <c r="B42" s="33" t="s">
        <v>46</v>
      </c>
      <c r="C42" s="33">
        <f>SUMIF($B$2:$K$16,"&gt;0")+SUMIF($B$18:$K$26,"&gt;0")+SUMIF($B$28:$K$37,"&gt;0")</f>
        <v>63.260355849610434</v>
      </c>
      <c r="D42" s="33">
        <f>COUNTIF($B$2:$K$16,"&gt;0")+COUNTIF($B$18:$K$26,"&gt;0")+COUNTIF($B$28:$K$37,"&gt;0")</f>
        <v>174</v>
      </c>
      <c r="E42" s="33">
        <f>AVERAGEIF($B$2:$K$16,"&gt;0")+AVERAGEIF($B$18:$K$26,"&gt;0")+AVERAGEIF($B$28:$K$37,"&gt;0")</f>
        <v>1.0685912896370811</v>
      </c>
    </row>
    <row r="43" spans="1:11" x14ac:dyDescent="0.2">
      <c r="B43" s="33" t="s">
        <v>47</v>
      </c>
      <c r="C43" s="33">
        <f>SUMIF($B$2:$K$16,"&lt;0")+SUMIF($B$18:$K$26,"&lt;0")+SUMIF($B$28:$K$37,"&lt;0")+C40</f>
        <v>-36.602557651576262</v>
      </c>
      <c r="D43" s="33">
        <f>COUNTIF($B$2:$K$16,"&lt;0")+COUNTIF($B$18:$K$26,"&lt;0")+COUNTIF($B$28:$K$37,"&lt;0")</f>
        <v>166</v>
      </c>
      <c r="E43" s="33">
        <f>AVERAGEIF($B$2:$K$16,"&lt;0")+AVERAGEIF($B$18:$K$26,"&lt;0")+AVERAGEIF($B$28:$K$37,"&lt;0")</f>
        <v>-0.56469779529476372</v>
      </c>
    </row>
    <row r="44" spans="1:11" x14ac:dyDescent="0.2">
      <c r="B44" s="33" t="s">
        <v>48</v>
      </c>
      <c r="C44" s="33">
        <f>C42-C43</f>
        <v>99.862913501186696</v>
      </c>
      <c r="D44" s="33">
        <f>COUNT($B$2:$K$16,$B$18:$K$26,$B$28:$K$37)</f>
        <v>340</v>
      </c>
      <c r="E44" s="33">
        <f>AVERAGE($B$2:$K$16,$B$18:$K$26,$B$28:$K$37)</f>
        <v>8.1346465288335848E-2</v>
      </c>
    </row>
    <row r="45" spans="1:11" x14ac:dyDescent="0.2">
      <c r="C45" s="33">
        <f>SUM($B$2:$K$16,$B$18:$K$26,$B$28:$K$37)</f>
        <v>27.65779819803419</v>
      </c>
    </row>
  </sheetData>
  <sheetProtection sheet="1" objects="1" scenarios="1"/>
  <phoneticPr fontId="14" type="noConversion"/>
  <conditionalFormatting sqref="B2:K16 B28:K38 B18:K26">
    <cfRule type="containsText" dxfId="29" priority="12" operator="containsText" text="R">
      <formula>NOT(ISERROR(SEARCH("R",B2)))</formula>
    </cfRule>
    <cfRule type="containsText" dxfId="28" priority="13" operator="containsText" text="D">
      <formula>NOT(ISERROR(SEARCH("D",B2)))</formula>
    </cfRule>
    <cfRule type="containsText" dxfId="27" priority="14" operator="containsText" text="S">
      <formula>NOT(ISERROR(SEARCH("S",B2)))</formula>
    </cfRule>
    <cfRule type="containsText" dxfId="26" priority="15" operator="containsText" text="H">
      <formula>NOT(ISERROR(SEARCH("H",B2)))</formula>
    </cfRule>
  </conditionalFormatting>
  <conditionalFormatting sqref="B2:K16 B28:K38 B18:K26">
    <cfRule type="containsText" dxfId="25" priority="11" operator="containsText" text="P">
      <formula>NOT(ISERROR(SEARCH("P",B2)))</formula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7"/>
  <sheetViews>
    <sheetView topLeftCell="A33" workbookViewId="0">
      <selection activeCell="D2" sqref="D2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1" x14ac:dyDescent="0.2">
      <c r="A1" s="43" t="s">
        <v>9</v>
      </c>
      <c r="B1" s="44" t="s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5">
        <v>10</v>
      </c>
    </row>
    <row r="2" spans="1:11" x14ac:dyDescent="0.2">
      <c r="A2" s="46">
        <v>5</v>
      </c>
      <c r="B2" s="34">
        <f>Prob!B2*ER!B2</f>
        <v>-1.755660780761442E-4</v>
      </c>
      <c r="C2" s="34">
        <f>Prob!C2*ER!C2</f>
        <v>-1.1671876837846834E-4</v>
      </c>
      <c r="D2" s="34">
        <f>Prob!D2*ER!D2</f>
        <v>-8.6763975659071366E-5</v>
      </c>
      <c r="E2" s="34">
        <f>Prob!E2*ER!E2</f>
        <v>-5.5966740281924667E-5</v>
      </c>
      <c r="F2" s="34">
        <f>Prob!F2*ER!F2</f>
        <v>-2.1828830579753868E-5</v>
      </c>
      <c r="G2" s="34">
        <f>Prob!G2*ER!G2</f>
        <v>-1.0799616189714724E-6</v>
      </c>
      <c r="H2" s="34">
        <f>Prob!H2*ER!H2</f>
        <v>-1.0873686106886531E-4</v>
      </c>
      <c r="I2" s="34">
        <f>Prob!I2*ER!I2</f>
        <v>-1.71227404554561E-4</v>
      </c>
      <c r="J2" s="34">
        <f>Prob!J2*ER!J2</f>
        <v>-2.4270828708052711E-4</v>
      </c>
      <c r="K2" s="47">
        <f>Prob!K2*ER!K2</f>
        <v>-1.0534476300912863E-3</v>
      </c>
    </row>
    <row r="3" spans="1:11" x14ac:dyDescent="0.2">
      <c r="A3" s="46">
        <v>6</v>
      </c>
      <c r="B3" s="34">
        <f>Prob!B3*ER!B3</f>
        <v>-1.9168234156936341E-4</v>
      </c>
      <c r="C3" s="34">
        <f>Prob!C3*ER!C3</f>
        <v>-1.2813756710060984E-4</v>
      </c>
      <c r="D3" s="34">
        <f>Prob!D3*ER!D3</f>
        <v>-9.7670530731550645E-5</v>
      </c>
      <c r="E3" s="34">
        <f>Prob!E3*ER!E3</f>
        <v>-6.6378827425022589E-5</v>
      </c>
      <c r="F3" s="34">
        <f>Prob!F3*ER!F3</f>
        <v>-3.17851373055095E-5</v>
      </c>
      <c r="G3" s="34">
        <f>Prob!G3*ER!G3</f>
        <v>-1.1839631797791804E-5</v>
      </c>
      <c r="H3" s="34">
        <f>Prob!H3*ER!H3</f>
        <v>-1.3830924646035455E-4</v>
      </c>
      <c r="I3" s="34">
        <f>Prob!I3*ER!I3</f>
        <v>-1.9776229523967663E-4</v>
      </c>
      <c r="J3" s="34">
        <f>Prob!J3*ER!J3</f>
        <v>-2.6640027327967777E-4</v>
      </c>
      <c r="K3" s="47">
        <f>Prob!K3*ER!K3</f>
        <v>-1.1352524868291438E-3</v>
      </c>
    </row>
    <row r="4" spans="1:11" x14ac:dyDescent="0.2">
      <c r="A4" s="46">
        <v>7</v>
      </c>
      <c r="B4" s="34">
        <f>Prob!B4*ER!B4</f>
        <v>-3.9083293343856768E-4</v>
      </c>
      <c r="C4" s="34">
        <f>Prob!C4*ER!C4</f>
        <v>-1.9878639575169113E-4</v>
      </c>
      <c r="D4" s="34">
        <f>Prob!D4*ER!D4</f>
        <v>-1.3943191971682042E-4</v>
      </c>
      <c r="E4" s="34">
        <f>Prob!E4*ER!E4</f>
        <v>-7.8328254900941066E-5</v>
      </c>
      <c r="F4" s="34">
        <f>Prob!F4*ER!F4</f>
        <v>-1.3238708972127238E-5</v>
      </c>
      <c r="G4" s="34">
        <f>Prob!G4*ER!G4</f>
        <v>5.3136717986091704E-5</v>
      </c>
      <c r="H4" s="34">
        <f>Prob!H4*ER!H4</f>
        <v>-1.252759209475244E-4</v>
      </c>
      <c r="I4" s="34">
        <f>Prob!I4*ER!I4</f>
        <v>-3.8344063491005864E-4</v>
      </c>
      <c r="J4" s="34">
        <f>Prob!J4*ER!J4</f>
        <v>-5.1955473916591097E-4</v>
      </c>
      <c r="K4" s="47">
        <f>Prob!K4*ER!K4</f>
        <v>-2.1448310615342948E-3</v>
      </c>
    </row>
    <row r="5" spans="1:11" x14ac:dyDescent="0.2">
      <c r="A5" s="46">
        <v>8</v>
      </c>
      <c r="B5" s="34">
        <f>Prob!B5*ER!B5</f>
        <v>-2.4834694795945137E-4</v>
      </c>
      <c r="C5" s="34">
        <f>Prob!C5*ER!C5</f>
        <v>-3.9687187999646193E-5</v>
      </c>
      <c r="D5" s="34">
        <f>Prob!D5*ER!D5</f>
        <v>1.4574897643431377E-5</v>
      </c>
      <c r="E5" s="34">
        <f>Prob!E5*ER!E5</f>
        <v>7.0613515297603669E-5</v>
      </c>
      <c r="F5" s="34">
        <f>Prob!F5*ER!F5</f>
        <v>1.2891149018303839E-4</v>
      </c>
      <c r="G5" s="34">
        <f>Prob!G5*ER!G5</f>
        <v>2.0930386908734315E-4</v>
      </c>
      <c r="H5" s="34">
        <f>Prob!H5*ER!H5</f>
        <v>1.4967216998405621E-4</v>
      </c>
      <c r="I5" s="34">
        <f>Prob!I5*ER!I5</f>
        <v>-1.090546666520825E-4</v>
      </c>
      <c r="J5" s="34">
        <f>Prob!J5*ER!J5</f>
        <v>-3.8267880199948582E-4</v>
      </c>
      <c r="K5" s="47">
        <f>Prob!K5*ER!K5</f>
        <v>-1.6764124318560901E-3</v>
      </c>
    </row>
    <row r="6" spans="1:11" x14ac:dyDescent="0.2">
      <c r="A6" s="46">
        <v>9</v>
      </c>
      <c r="B6" s="34">
        <f>Prob!B6*ER!B6</f>
        <v>-1.2418199831993191E-4</v>
      </c>
      <c r="C6" s="34">
        <f>Prob!C6*ER!C6</f>
        <v>2.0331189142377935E-4</v>
      </c>
      <c r="D6" s="34">
        <f>Prob!D6*ER!D6</f>
        <v>3.2994907600363178E-4</v>
      </c>
      <c r="E6" s="34">
        <f>Prob!E6*ER!E6</f>
        <v>4.9690195917821125E-4</v>
      </c>
      <c r="F6" s="34">
        <f>Prob!F6*ER!F6</f>
        <v>6.6378850670833784E-4</v>
      </c>
      <c r="G6" s="34">
        <f>Prob!G6*ER!G6</f>
        <v>8.6587550032316875E-4</v>
      </c>
      <c r="H6" s="34">
        <f>Prob!H6*ER!H6</f>
        <v>4.6937057788881025E-4</v>
      </c>
      <c r="I6" s="34">
        <f>Prob!I6*ER!I6</f>
        <v>2.6866513637339789E-4</v>
      </c>
      <c r="J6" s="34">
        <f>Prob!J6*ER!J6</f>
        <v>-1.42498097758721E-4</v>
      </c>
      <c r="K6" s="47">
        <f>Prob!K6*ER!K6</f>
        <v>-1.5423290376342085E-3</v>
      </c>
    </row>
    <row r="7" spans="1:11" x14ac:dyDescent="0.2">
      <c r="A7" s="46">
        <v>10</v>
      </c>
      <c r="B7" s="34">
        <f>Prob!B7*ER!B7</f>
        <v>1.5399615661373551E-4</v>
      </c>
      <c r="C7" s="34">
        <f>Prob!C7*ER!C7</f>
        <v>9.8026239174046187E-4</v>
      </c>
      <c r="D7" s="34">
        <f>Prob!D7*ER!D7</f>
        <v>1.1178534460881363E-3</v>
      </c>
      <c r="E7" s="34">
        <f>Prob!E7*ER!E7</f>
        <v>1.2588263371716543E-3</v>
      </c>
      <c r="F7" s="34">
        <f>Prob!F7*ER!F7</f>
        <v>1.3996825917249008E-3</v>
      </c>
      <c r="G7" s="34">
        <f>Prob!G7*ER!G7</f>
        <v>1.5719349165164371E-3</v>
      </c>
      <c r="H7" s="34">
        <f>Prob!H7*ER!H7</f>
        <v>1.0716771650863116E-3</v>
      </c>
      <c r="I7" s="34">
        <f>Prob!I7*ER!I7</f>
        <v>7.8280122954834004E-4</v>
      </c>
      <c r="J7" s="34">
        <f>Prob!J7*ER!J7</f>
        <v>3.9416031419418635E-4</v>
      </c>
      <c r="K7" s="47">
        <f>Prob!K7*ER!K7</f>
        <v>2.5520306136935081E-4</v>
      </c>
    </row>
    <row r="8" spans="1:11" x14ac:dyDescent="0.2">
      <c r="A8" s="46">
        <v>11</v>
      </c>
      <c r="B8" s="34">
        <f>Prob!B8*ER!B8</f>
        <v>3.6049481165330982E-4</v>
      </c>
      <c r="C8" s="34">
        <f>Prob!C8*ER!C8</f>
        <v>1.71375848280189E-3</v>
      </c>
      <c r="D8" s="34">
        <f>Prob!D8*ER!D8</f>
        <v>1.8854629153289646E-3</v>
      </c>
      <c r="E8" s="34">
        <f>Prob!E8*ER!E8</f>
        <v>2.0611399195920844E-3</v>
      </c>
      <c r="F8" s="34">
        <f>Prob!F8*ER!F8</f>
        <v>2.2383214125044266E-3</v>
      </c>
      <c r="G8" s="34">
        <f>Prob!G8*ER!G8</f>
        <v>2.4301505504144547E-3</v>
      </c>
      <c r="H8" s="34">
        <f>Prob!H8*ER!H8</f>
        <v>1.6855309926783464E-3</v>
      </c>
      <c r="I8" s="34">
        <f>Prob!I8*ER!I8</f>
        <v>1.2769871310707877E-3</v>
      </c>
      <c r="J8" s="34">
        <f>Prob!J8*ER!J8</f>
        <v>8.2943440383233475E-4</v>
      </c>
      <c r="K8" s="47">
        <f>Prob!K8*ER!K8</f>
        <v>2.4158982992850461E-3</v>
      </c>
    </row>
    <row r="9" spans="1:11" x14ac:dyDescent="0.2">
      <c r="A9" s="46">
        <v>12</v>
      </c>
      <c r="B9" s="34">
        <f>Prob!B9*ER!B9</f>
        <v>-1.5464473546251917E-3</v>
      </c>
      <c r="C9" s="34">
        <f>Prob!C9*ER!C9</f>
        <v>-1.6146835701105753E-3</v>
      </c>
      <c r="D9" s="34">
        <f>Prob!D9*ER!D9</f>
        <v>-1.4891545731330056E-3</v>
      </c>
      <c r="E9" s="34">
        <f>Prob!E9*ER!E9</f>
        <v>-1.3449629157618579E-3</v>
      </c>
      <c r="F9" s="34">
        <f>Prob!F9*ER!F9</f>
        <v>-1.0654061227567838E-3</v>
      </c>
      <c r="G9" s="34">
        <f>Prob!G9*ER!G9</f>
        <v>-9.7942021921714308E-4</v>
      </c>
      <c r="H9" s="34">
        <f>Prob!H9*ER!H9</f>
        <v>-1.3563350037516613E-3</v>
      </c>
      <c r="I9" s="34">
        <f>Prob!I9*ER!I9</f>
        <v>-1.7305631635594024E-3</v>
      </c>
      <c r="J9" s="34">
        <f>Prob!J9*ER!J9</f>
        <v>-2.1666754340123346E-3</v>
      </c>
      <c r="K9" s="47">
        <f>Prob!K9*ER!K9</f>
        <v>-8.9654035640879173E-3</v>
      </c>
    </row>
    <row r="10" spans="1:11" x14ac:dyDescent="0.2">
      <c r="A10" s="46">
        <v>13</v>
      </c>
      <c r="B10" s="34">
        <f>Prob!B10*ER!B10</f>
        <v>-1.751101846276019E-3</v>
      </c>
      <c r="C10" s="34">
        <f>Prob!C10*ER!C10</f>
        <v>-1.8657133276877025E-3</v>
      </c>
      <c r="D10" s="34">
        <f>Prob!D10*ER!D10</f>
        <v>-1.6074206687755985E-3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-1.7146200676946227E-3</v>
      </c>
      <c r="I10" s="34">
        <f>Prob!I10*ER!I10</f>
        <v>-2.0621176446589534E-3</v>
      </c>
      <c r="J10" s="34">
        <f>Prob!J10*ER!J10</f>
        <v>-2.4670790386509623E-3</v>
      </c>
      <c r="K10" s="47">
        <f>Prob!K10*ER!K10</f>
        <v>-1.0005631019124215E-2</v>
      </c>
    </row>
    <row r="11" spans="1:11" x14ac:dyDescent="0.2">
      <c r="A11" s="46">
        <v>14</v>
      </c>
      <c r="B11" s="34">
        <f>Prob!B11*ER!B11</f>
        <v>-1.6638327085301031E-3</v>
      </c>
      <c r="C11" s="34">
        <f>Prob!C11*ER!C11</f>
        <v>-1.5991828523037449E-3</v>
      </c>
      <c r="D11" s="34">
        <f>Prob!D11*ER!D11</f>
        <v>-1.3777891446647985E-3</v>
      </c>
      <c r="E11" s="34">
        <f>Prob!E11*ER!E11</f>
        <v>-1.1528253563673067E-3</v>
      </c>
      <c r="F11" s="34">
        <f>Prob!F11*ER!F11</f>
        <v>-9.1320524807724315E-4</v>
      </c>
      <c r="G11" s="34">
        <f>Prob!G11*ER!G11</f>
        <v>-8.3950304504326557E-4</v>
      </c>
      <c r="H11" s="34">
        <f>Prob!H11*ER!H11</f>
        <v>-1.7548400068765231E-3</v>
      </c>
      <c r="I11" s="34">
        <f>Prob!I11*ER!I11</f>
        <v>-2.0314197109909905E-3</v>
      </c>
      <c r="J11" s="34">
        <f>Prob!J11*ER!J11</f>
        <v>-2.3537359225356508E-3</v>
      </c>
      <c r="K11" s="47">
        <f>Prob!K11*ER!K11</f>
        <v>-9.4041912969312826E-3</v>
      </c>
    </row>
    <row r="12" spans="1:11" x14ac:dyDescent="0.2">
      <c r="A12" s="46">
        <v>15</v>
      </c>
      <c r="B12" s="34">
        <f>Prob!B12*ER!B12</f>
        <v>-1.8150861010475514E-3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-2.0196366940763502E-3</v>
      </c>
      <c r="I12" s="34">
        <f>Prob!I12*ER!I12</f>
        <v>-2.276460705039784E-3</v>
      </c>
      <c r="J12" s="34">
        <f>Prob!J12*ER!J12</f>
        <v>-2.5757543300455399E-3</v>
      </c>
      <c r="K12" s="47">
        <f>Prob!K12*ER!K12</f>
        <v>-1.0083680543398343E-2</v>
      </c>
    </row>
    <row r="13" spans="1:11" x14ac:dyDescent="0.2">
      <c r="A13" s="46">
        <v>16</v>
      </c>
      <c r="B13" s="34">
        <f>Prob!B13*ER!B13</f>
        <v>-1.6296130665114611E-3</v>
      </c>
      <c r="C13" s="34">
        <f>Prob!C13*ER!C13</f>
        <v>-1.3326523769197874E-3</v>
      </c>
      <c r="D13" s="34">
        <f>Prob!D13*ER!D13</f>
        <v>-1.1481576205539987E-3</v>
      </c>
      <c r="E13" s="34">
        <f>Prob!E13*ER!E13</f>
        <v>-9.6068779697275558E-4</v>
      </c>
      <c r="F13" s="34">
        <f>Prob!F13*ER!F13</f>
        <v>-7.6100437339770254E-4</v>
      </c>
      <c r="G13" s="34">
        <f>Prob!G13*ER!G13</f>
        <v>-6.9958587086938785E-4</v>
      </c>
      <c r="H13" s="34">
        <f>Prob!H13*ER!H13</f>
        <v>-1.887932776825396E-3</v>
      </c>
      <c r="I13" s="34">
        <f>Prob!I13*ER!I13</f>
        <v>-2.0866656424518627E-3</v>
      </c>
      <c r="J13" s="34">
        <f>Prob!J13*ER!J13</f>
        <v>-2.2758306781975423E-3</v>
      </c>
      <c r="K13" s="47">
        <f>Prob!K13*ER!K13</f>
        <v>-8.4030671194986178E-3</v>
      </c>
    </row>
    <row r="14" spans="1:11" x14ac:dyDescent="0.2">
      <c r="A14" s="46">
        <v>17</v>
      </c>
      <c r="B14" s="34">
        <f>Prob!B14*ER!B14</f>
        <v>-1.5063552659054771E-3</v>
      </c>
      <c r="C14" s="34">
        <f>Prob!C14*ER!C14</f>
        <v>-6.9628851926054644E-4</v>
      </c>
      <c r="D14" s="34">
        <f>Prob!D14*ER!D14</f>
        <v>-5.3352863643410867E-4</v>
      </c>
      <c r="E14" s="34">
        <f>Prob!E14*ER!E14</f>
        <v>-3.66742708899937E-4</v>
      </c>
      <c r="F14" s="34">
        <f>Prob!F14*ER!F14</f>
        <v>-2.0455792246210493E-4</v>
      </c>
      <c r="G14" s="34">
        <f>Prob!G14*ER!G14</f>
        <v>5.3432683993363013E-5</v>
      </c>
      <c r="H14" s="34">
        <f>Prob!H14*ER!H14</f>
        <v>-4.8615834994399044E-4</v>
      </c>
      <c r="I14" s="34">
        <f>Prob!I14*ER!I14</f>
        <v>-1.7385114749587944E-3</v>
      </c>
      <c r="J14" s="34">
        <f>Prob!J14*ER!J14</f>
        <v>-1.9260548003878807E-3</v>
      </c>
      <c r="K14" s="47">
        <f>Prob!K14*ER!K14</f>
        <v>-7.053881316684764E-3</v>
      </c>
    </row>
    <row r="15" spans="1:11" x14ac:dyDescent="0.2">
      <c r="A15" s="46">
        <v>18</v>
      </c>
      <c r="B15" s="34">
        <f>Prob!B15*ER!B15</f>
        <v>-2.5259336312278007E-4</v>
      </c>
      <c r="C15" s="34">
        <f>Prob!C15*ER!C15</f>
        <v>4.4330232943427485E-4</v>
      </c>
      <c r="D15" s="34">
        <f>Prob!D15*ER!D15</f>
        <v>5.4000936856189795E-4</v>
      </c>
      <c r="E15" s="34">
        <f>Prob!E15*ER!E15</f>
        <v>6.4034387691392009E-4</v>
      </c>
      <c r="F15" s="34">
        <f>Prob!F15*ER!F15</f>
        <v>7.266679835272725E-4</v>
      </c>
      <c r="G15" s="34">
        <f>Prob!G15*ER!G15</f>
        <v>1.0321125755007687E-3</v>
      </c>
      <c r="H15" s="34">
        <f>Prob!H15*ER!H15</f>
        <v>1.4549082106019185E-3</v>
      </c>
      <c r="I15" s="34">
        <f>Prob!I15*ER!I15</f>
        <v>3.8580372733408683E-4</v>
      </c>
      <c r="J15" s="34">
        <f>Prob!J15*ER!J15</f>
        <v>-6.6695805798246089E-4</v>
      </c>
      <c r="K15" s="47">
        <f>Prob!K15*ER!K15</f>
        <v>-2.3972435761301066E-3</v>
      </c>
    </row>
    <row r="16" spans="1:11" x14ac:dyDescent="0.2">
      <c r="A16" s="46">
        <v>19</v>
      </c>
      <c r="B16" s="34">
        <f>Prob!B16*ER!B16</f>
        <v>6.9989748647882174E-4</v>
      </c>
      <c r="C16" s="34">
        <f>Prob!C16*ER!C16</f>
        <v>1.4066624889234045E-3</v>
      </c>
      <c r="D16" s="34">
        <f>Prob!D16*ER!D16</f>
        <v>1.4724185219763676E-3</v>
      </c>
      <c r="E16" s="34">
        <f>Prob!E16*ER!E16</f>
        <v>1.5409337271825093E-3</v>
      </c>
      <c r="F16" s="34">
        <f>Prob!F16*ER!F16</f>
        <v>1.6004082081415886E-3</v>
      </c>
      <c r="G16" s="34">
        <f>Prob!G16*ER!G16</f>
        <v>1.8060157443325234E-3</v>
      </c>
      <c r="H16" s="34">
        <f>Prob!H16*ER!H16</f>
        <v>2.2429731297348441E-3</v>
      </c>
      <c r="I16" s="34">
        <f>Prob!I16*ER!I16</f>
        <v>2.1624166346352097E-3</v>
      </c>
      <c r="J16" s="34">
        <f>Prob!J16*ER!J16</f>
        <v>1.0472344362952445E-3</v>
      </c>
      <c r="K16" s="47">
        <f>Prob!K16*ER!K16</f>
        <v>8.4861790108759795E-4</v>
      </c>
    </row>
    <row r="17" spans="1:11" x14ac:dyDescent="0.2">
      <c r="A17" s="46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8">
        <v>10</v>
      </c>
    </row>
    <row r="18" spans="1:11" x14ac:dyDescent="0.2">
      <c r="A18" s="46">
        <v>13</v>
      </c>
      <c r="B18" s="34">
        <f>Prob!B18*ER!B18</f>
        <v>-3.6117252197142422E-5</v>
      </c>
      <c r="C18" s="34">
        <f>Prob!C18*ER!C18</f>
        <v>4.2454376600190788E-5</v>
      </c>
      <c r="D18" s="34">
        <f>Prob!D18*ER!D18</f>
        <v>6.7472747740322317E-5</v>
      </c>
      <c r="E18" s="34">
        <f>Prob!E18*ER!E18</f>
        <v>9.328825386621324E-5</v>
      </c>
      <c r="F18" s="34">
        <f>Prob!F18*ER!F18</f>
        <v>1.2140440462741674E-4</v>
      </c>
      <c r="G18" s="34">
        <f>Prob!G18*ER!G18</f>
        <v>1.6363059246965421E-4</v>
      </c>
      <c r="H18" s="34">
        <f>Prob!H18*ER!H18</f>
        <v>1.114116478643532E-4</v>
      </c>
      <c r="I18" s="34">
        <f>Prob!I18*ER!I18</f>
        <v>4.9209895490497323E-5</v>
      </c>
      <c r="J18" s="34">
        <f>Prob!J18*ER!J18</f>
        <v>-3.4314691058242955E-5</v>
      </c>
      <c r="K18" s="47">
        <f>Prob!K18*ER!K18</f>
        <v>-3.5242920090342321E-4</v>
      </c>
    </row>
    <row r="19" spans="1:11" x14ac:dyDescent="0.2">
      <c r="A19" s="46">
        <v>14</v>
      </c>
      <c r="B19" s="34">
        <f>Prob!B19*ER!B19</f>
        <v>-5.9162418886929097E-5</v>
      </c>
      <c r="C19" s="34">
        <f>Prob!C19*ER!C19</f>
        <v>2.0384030029894478E-5</v>
      </c>
      <c r="D19" s="34">
        <f>Prob!D19*ER!D19</f>
        <v>4.6251014036670753E-5</v>
      </c>
      <c r="E19" s="34">
        <f>Prob!E19*ER!E19</f>
        <v>7.2900695776158622E-5</v>
      </c>
      <c r="F19" s="34">
        <f>Prob!F19*ER!F19</f>
        <v>1.1466043263420962E-4</v>
      </c>
      <c r="G19" s="34">
        <f>Prob!G19*ER!G19</f>
        <v>1.6363059246965421E-4</v>
      </c>
      <c r="H19" s="34">
        <f>Prob!H19*ER!H19</f>
        <v>7.2378232584859498E-5</v>
      </c>
      <c r="I19" s="34">
        <f>Prob!I19*ER!I19</f>
        <v>1.2086681350212513E-5</v>
      </c>
      <c r="J19" s="34">
        <f>Prob!J19*ER!J19</f>
        <v>-6.8423476961023064E-5</v>
      </c>
      <c r="K19" s="47">
        <f>Prob!K19*ER!K19</f>
        <v>-4.6877949262433521E-4</v>
      </c>
    </row>
    <row r="20" spans="1:11" x14ac:dyDescent="0.2">
      <c r="A20" s="46">
        <v>15</v>
      </c>
      <c r="B20" s="34">
        <f>Prob!B20*ER!B20</f>
        <v>-8.1946606568813872E-5</v>
      </c>
      <c r="C20" s="34">
        <f>Prob!C20*ER!C20</f>
        <v>-1.0986321395208543E-7</v>
      </c>
      <c r="D20" s="34">
        <f>Prob!D20*ER!D20</f>
        <v>2.6545118454708574E-5</v>
      </c>
      <c r="E20" s="34">
        <f>Prob!E20*ER!E20</f>
        <v>5.3969391835393658E-5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3.3708040308847741E-5</v>
      </c>
      <c r="I20" s="34">
        <f>Prob!I20*ER!I20</f>
        <v>-2.4628839784161744E-5</v>
      </c>
      <c r="J20" s="34">
        <f>Prob!J20*ER!J20</f>
        <v>-1.0212905661351197E-4</v>
      </c>
      <c r="K20" s="47">
        <f>Prob!K20*ER!K20</f>
        <v>-5.838593225019333E-4</v>
      </c>
    </row>
    <row r="21" spans="1:11" x14ac:dyDescent="0.2">
      <c r="A21" s="46">
        <v>16</v>
      </c>
      <c r="B21" s="34">
        <f>Prob!B21*ER!B21</f>
        <v>-1.0438952057714096E-4</v>
      </c>
      <c r="C21" s="34">
        <f>Prob!C21*ER!C21</f>
        <v>-1.9139906940381036E-5</v>
      </c>
      <c r="D21" s="34">
        <f>Prob!D21*ER!D21</f>
        <v>8.2467868428865046E-6</v>
      </c>
      <c r="E21" s="34">
        <f>Prob!E21*ER!E21</f>
        <v>5.31875455109194E-5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-4.4516678862229355E-6</v>
      </c>
      <c r="I21" s="34">
        <f>Prob!I21*ER!I21</f>
        <v>-6.0805505616835785E-5</v>
      </c>
      <c r="J21" s="34">
        <f>Prob!J21*ER!J21</f>
        <v>-1.3531500649073712E-4</v>
      </c>
      <c r="K21" s="47">
        <f>Prob!K21*ER!K21</f>
        <v>-6.9725656114791085E-4</v>
      </c>
    </row>
    <row r="22" spans="1:11" x14ac:dyDescent="0.2">
      <c r="A22" s="46">
        <v>17</v>
      </c>
      <c r="B22" s="34">
        <f>Prob!B22*ER!B22</f>
        <v>-1.1317001002288128E-4</v>
      </c>
      <c r="C22" s="34">
        <f>Prob!C22*ER!C22</f>
        <v>-4.4701282010844689E-7</v>
      </c>
      <c r="D22" s="34">
        <f>Prob!D22*ER!D22</f>
        <v>5.0155015456803226E-5</v>
      </c>
      <c r="E22" s="34">
        <f>Prob!E22*ER!E22</f>
        <v>1.0801324594841029E-4</v>
      </c>
      <c r="F22" s="34">
        <f>Prob!F22*ER!F22</f>
        <v>1.6602472041288012E-4</v>
      </c>
      <c r="G22" s="34">
        <f>Prob!G22*ER!G22</f>
        <v>2.3313999753390817E-4</v>
      </c>
      <c r="H22" s="34">
        <f>Prob!H22*ER!H22</f>
        <v>4.8997235972796233E-5</v>
      </c>
      <c r="I22" s="34">
        <f>Prob!I22*ER!I22</f>
        <v>-6.6377240536770221E-5</v>
      </c>
      <c r="J22" s="34">
        <f>Prob!J22*ER!J22</f>
        <v>-1.3635584176798654E-4</v>
      </c>
      <c r="K22" s="47">
        <f>Prob!K22*ER!K22</f>
        <v>-6.6171456596158867E-4</v>
      </c>
    </row>
    <row r="23" spans="1:11" x14ac:dyDescent="0.2">
      <c r="A23" s="46">
        <v>18</v>
      </c>
      <c r="B23" s="34">
        <f>Prob!B23*ER!B23</f>
        <v>-5.8570738134067882E-5</v>
      </c>
      <c r="C23" s="34">
        <f>Prob!C23*ER!C23</f>
        <v>1.1082558235856871E-4</v>
      </c>
      <c r="D23" s="34">
        <f>Prob!D23*ER!D23</f>
        <v>1.6171258596170919E-4</v>
      </c>
      <c r="E23" s="34">
        <f>Prob!E23*ER!E23</f>
        <v>2.1575225102924141E-4</v>
      </c>
      <c r="F23" s="34">
        <f>Prob!F23*ER!F23</f>
        <v>2.6875329597022131E-4</v>
      </c>
      <c r="G23" s="34">
        <f>Prob!G23*ER!G23</f>
        <v>3.4729766233845561E-4</v>
      </c>
      <c r="H23" s="34">
        <f>Prob!H23*ER!H23</f>
        <v>3.6372705265047962E-4</v>
      </c>
      <c r="I23" s="34">
        <f>Prob!I23*ER!I23</f>
        <v>9.6450931833521708E-5</v>
      </c>
      <c r="J23" s="34">
        <f>Prob!J23*ER!J23</f>
        <v>-9.171079433811128E-5</v>
      </c>
      <c r="K23" s="47">
        <f>Prob!K23*ER!K23</f>
        <v>-4.8337172454427865E-4</v>
      </c>
    </row>
    <row r="24" spans="1:11" x14ac:dyDescent="0.2">
      <c r="A24" s="46">
        <v>19</v>
      </c>
      <c r="B24" s="34">
        <f>Prob!B24*ER!B24</f>
        <v>1.7497437161970544E-4</v>
      </c>
      <c r="C24" s="34">
        <f>Prob!C24*ER!C24</f>
        <v>3.5166562223085113E-4</v>
      </c>
      <c r="D24" s="34">
        <f>Prob!D24*ER!D24</f>
        <v>3.681046304940919E-4</v>
      </c>
      <c r="E24" s="34">
        <f>Prob!E24*ER!E24</f>
        <v>3.8523343179562732E-4</v>
      </c>
      <c r="F24" s="34">
        <f>Prob!F24*ER!F24</f>
        <v>4.0010205203539715E-4</v>
      </c>
      <c r="G24" s="34">
        <f>Prob!G24*ER!G24</f>
        <v>4.5150393608313084E-4</v>
      </c>
      <c r="H24" s="34">
        <f>Prob!H24*ER!H24</f>
        <v>5.6074328243371102E-4</v>
      </c>
      <c r="I24" s="34">
        <f>Prob!I24*ER!I24</f>
        <v>5.4060415865880243E-4</v>
      </c>
      <c r="J24" s="34">
        <f>Prob!J24*ER!J24</f>
        <v>2.6180860907381112E-4</v>
      </c>
      <c r="K24" s="47">
        <f>Prob!K24*ER!K24</f>
        <v>2.1215447527189949E-4</v>
      </c>
    </row>
    <row r="25" spans="1:11" x14ac:dyDescent="0.2">
      <c r="A25" s="46">
        <v>20</v>
      </c>
      <c r="B25" s="34">
        <f>Prob!B25*ER!B25</f>
        <v>4.1309708402010589E-4</v>
      </c>
      <c r="C25" s="34">
        <f>Prob!C25*ER!C25</f>
        <v>5.8260043260522428E-4</v>
      </c>
      <c r="D25" s="34">
        <f>Prob!D25*ER!D25</f>
        <v>5.9196367250931401E-4</v>
      </c>
      <c r="E25" s="34">
        <f>Prob!E25*ER!E25</f>
        <v>6.0177511328909602E-4</v>
      </c>
      <c r="F25" s="34">
        <f>Prob!F25*ER!F25</f>
        <v>6.1025005974765594E-4</v>
      </c>
      <c r="G25" s="34">
        <f>Prob!G25*ER!G25</f>
        <v>6.4083620407040943E-4</v>
      </c>
      <c r="H25" s="34">
        <f>Prob!H25*ER!H25</f>
        <v>7.0389369734836138E-4</v>
      </c>
      <c r="I25" s="34">
        <f>Prob!I25*ER!I25</f>
        <v>7.2081489262803688E-4</v>
      </c>
      <c r="J25" s="34">
        <f>Prob!J25*ER!J25</f>
        <v>6.9035673264323746E-4</v>
      </c>
      <c r="K25" s="47">
        <f>Prob!K25*ER!K25</f>
        <v>1.8639265565261877E-3</v>
      </c>
    </row>
    <row r="26" spans="1:11" x14ac:dyDescent="0.2">
      <c r="A26" s="46">
        <v>21</v>
      </c>
      <c r="B26" s="34">
        <f>Prob!B26*ER!B26</f>
        <v>3.781380203774378E-3</v>
      </c>
      <c r="C26" s="34">
        <f>Prob!C26*ER!C26</f>
        <v>5.461993627674102E-3</v>
      </c>
      <c r="D26" s="34">
        <f>Prob!D26*ER!D26</f>
        <v>5.461993627674102E-3</v>
      </c>
      <c r="E26" s="34">
        <f>Prob!E26*ER!E26</f>
        <v>5.461993627674102E-3</v>
      </c>
      <c r="F26" s="34">
        <f>Prob!F26*ER!F26</f>
        <v>5.461993627674102E-3</v>
      </c>
      <c r="G26" s="34">
        <f>Prob!G26*ER!G26</f>
        <v>5.461993627674102E-3</v>
      </c>
      <c r="H26" s="34">
        <f>Prob!H26*ER!H26</f>
        <v>5.461993627674102E-3</v>
      </c>
      <c r="I26" s="34">
        <f>Prob!I26*ER!I26</f>
        <v>5.461993627674102E-3</v>
      </c>
      <c r="J26" s="34">
        <f>Prob!J26*ER!J26</f>
        <v>5.461993627674102E-3</v>
      </c>
      <c r="K26" s="47">
        <f>Prob!K26*ER!K26</f>
        <v>2.0167361086796686E-2</v>
      </c>
    </row>
    <row r="27" spans="1:11" x14ac:dyDescent="0.2">
      <c r="A27" s="46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8">
        <v>10</v>
      </c>
    </row>
    <row r="28" spans="1:11" x14ac:dyDescent="0.2">
      <c r="A28" s="46" t="s">
        <v>1</v>
      </c>
      <c r="B28" s="34">
        <f>Prob!B28*ER!B28</f>
        <v>3.4366689472072862E-5</v>
      </c>
      <c r="C28" s="34">
        <f>Prob!C28*ER!C28</f>
        <v>2.1421981035023624E-4</v>
      </c>
      <c r="D28" s="34">
        <f>Prob!D28*ER!D28</f>
        <v>2.3568286441612049E-4</v>
      </c>
      <c r="E28" s="34">
        <f>Prob!E28*ER!E28</f>
        <v>2.5764248994901049E-4</v>
      </c>
      <c r="F28" s="34">
        <f>Prob!F28*ER!F28</f>
        <v>2.7979017656305332E-4</v>
      </c>
      <c r="G28" s="34">
        <f>Prob!G28*ER!G28</f>
        <v>3.0376881880180679E-4</v>
      </c>
      <c r="H28" s="34">
        <f>Prob!H28*ER!H28</f>
        <v>2.1069137408479333E-4</v>
      </c>
      <c r="I28" s="34">
        <f>Prob!I28*ER!I28</f>
        <v>1.5962339138384852E-4</v>
      </c>
      <c r="J28" s="34">
        <f>Prob!J28*ER!J28</f>
        <v>1.0367930047904183E-4</v>
      </c>
      <c r="K28" s="47">
        <f>Prob!K28*ER!K28</f>
        <v>3.0198728741063065E-4</v>
      </c>
    </row>
    <row r="29" spans="1:11" x14ac:dyDescent="0.2">
      <c r="A29" s="46">
        <v>2</v>
      </c>
      <c r="B29" s="34">
        <f>Prob!B29*ER!B29</f>
        <v>-7.9748361389138256E-5</v>
      </c>
      <c r="C29" s="34">
        <f>Prob!C29*ER!C29</f>
        <v>-3.835558739313202E-5</v>
      </c>
      <c r="D29" s="34">
        <f>Prob!D29*ER!D29</f>
        <v>-7.0542954927178762E-6</v>
      </c>
      <c r="E29" s="34">
        <f>Prob!E29*ER!E29</f>
        <v>2.7006708683957206E-5</v>
      </c>
      <c r="F29" s="34">
        <f>Prob!F29*ER!F29</f>
        <v>6.9201715739152479E-5</v>
      </c>
      <c r="G29" s="34">
        <f>Prob!G29*ER!G29</f>
        <v>1.0349516020114392E-4</v>
      </c>
      <c r="H29" s="34">
        <f>Prob!H29*ER!H29</f>
        <v>3.1670687508401225E-6</v>
      </c>
      <c r="I29" s="34">
        <f>Prob!I29*ER!I29</f>
        <v>-7.2523510541741069E-5</v>
      </c>
      <c r="J29" s="34">
        <f>Prob!J29*ER!J29</f>
        <v>-1.0954309474436299E-4</v>
      </c>
      <c r="K29" s="47">
        <f>Prob!K29*ER!K29</f>
        <v>-4.8602989724842998E-4</v>
      </c>
    </row>
    <row r="30" spans="1:11" x14ac:dyDescent="0.2">
      <c r="A30" s="46">
        <v>3</v>
      </c>
      <c r="B30" s="34">
        <f>Prob!B30*ER!B30</f>
        <v>-9.5841170784681705E-5</v>
      </c>
      <c r="C30" s="34">
        <f>Prob!C30*ER!C30</f>
        <v>-6.3691144368509318E-5</v>
      </c>
      <c r="D30" s="34">
        <f>Prob!D30*ER!D30</f>
        <v>-2.6529220039846027E-5</v>
      </c>
      <c r="E30" s="34">
        <f>Prob!E30*ER!E30</f>
        <v>1.2805879825619122E-5</v>
      </c>
      <c r="F30" s="34">
        <f>Prob!F30*ER!F30</f>
        <v>5.6762788502777363E-5</v>
      </c>
      <c r="G30" s="34">
        <f>Prob!G30*ER!G30</f>
        <v>9.0899140785087064E-5</v>
      </c>
      <c r="H30" s="34">
        <f>Prob!H30*ER!H30</f>
        <v>-2.6666023999893766E-5</v>
      </c>
      <c r="I30" s="34">
        <f>Prob!I30*ER!I30</f>
        <v>-9.8881147619838314E-5</v>
      </c>
      <c r="J30" s="34">
        <f>Prob!J30*ER!J30</f>
        <v>-1.3320013663983889E-4</v>
      </c>
      <c r="K30" s="47">
        <f>Prob!K30*ER!K30</f>
        <v>-5.6762624341457192E-4</v>
      </c>
    </row>
    <row r="31" spans="1:11" x14ac:dyDescent="0.2">
      <c r="A31" s="46">
        <v>4</v>
      </c>
      <c r="B31" s="34">
        <f>Prob!B31*ER!B31</f>
        <v>-6.2086736989862843E-5</v>
      </c>
      <c r="C31" s="34">
        <f>Prob!C31*ER!C31</f>
        <v>-9.9217969999115483E-6</v>
      </c>
      <c r="D31" s="34">
        <f>Prob!D31*ER!D31</f>
        <v>3.6437244108578442E-6</v>
      </c>
      <c r="E31" s="34">
        <f>Prob!E31*ER!E31</f>
        <v>1.7653378824400917E-5</v>
      </c>
      <c r="F31" s="34">
        <f>Prob!F31*ER!F31</f>
        <v>4.583763740385374E-5</v>
      </c>
      <c r="G31" s="34">
        <f>Prob!G31*ER!G31</f>
        <v>7.9278535590022726E-5</v>
      </c>
      <c r="H31" s="34">
        <f>Prob!H31*ER!H31</f>
        <v>3.7418042496014052E-5</v>
      </c>
      <c r="I31" s="34">
        <f>Prob!I31*ER!I31</f>
        <v>-2.7263666663020625E-5</v>
      </c>
      <c r="J31" s="34">
        <f>Prob!J31*ER!J31</f>
        <v>-9.5669700499871456E-5</v>
      </c>
      <c r="K31" s="47">
        <f>Prob!K31*ER!K31</f>
        <v>-4.1910310796402253E-4</v>
      </c>
    </row>
    <row r="32" spans="1:11" x14ac:dyDescent="0.2">
      <c r="A32" s="46">
        <v>5</v>
      </c>
      <c r="B32" s="34">
        <f>Prob!B32*ER!B32</f>
        <v>2.5666026102289253E-5</v>
      </c>
      <c r="C32" s="34">
        <f>Prob!C32*ER!C32</f>
        <v>1.6337706529007698E-4</v>
      </c>
      <c r="D32" s="34">
        <f>Prob!D32*ER!D32</f>
        <v>1.8630890768135604E-4</v>
      </c>
      <c r="E32" s="34">
        <f>Prob!E32*ER!E32</f>
        <v>2.0980438952860903E-4</v>
      </c>
      <c r="F32" s="34">
        <f>Prob!F32*ER!F32</f>
        <v>2.3328043195415012E-4</v>
      </c>
      <c r="G32" s="34">
        <f>Prob!G32*ER!G32</f>
        <v>2.6198915275273951E-4</v>
      </c>
      <c r="H32" s="34">
        <f>Prob!H32*ER!H32</f>
        <v>1.7861286084771861E-4</v>
      </c>
      <c r="I32" s="34">
        <f>Prob!I32*ER!I32</f>
        <v>1.3046687159139E-4</v>
      </c>
      <c r="J32" s="34">
        <f>Prob!J32*ER!J32</f>
        <v>6.5693385699031059E-5</v>
      </c>
      <c r="K32" s="47">
        <f>Prob!K32*ER!K32</f>
        <v>4.2533843561558463E-5</v>
      </c>
    </row>
    <row r="33" spans="1:11" x14ac:dyDescent="0.2">
      <c r="A33" s="46">
        <v>6</v>
      </c>
      <c r="B33" s="34">
        <f>Prob!B33*ER!B33</f>
        <v>-1.1046052533037082E-4</v>
      </c>
      <c r="C33" s="34">
        <f>Prob!C33*ER!C33</f>
        <v>-1.1533454072218394E-4</v>
      </c>
      <c r="D33" s="34">
        <f>Prob!D33*ER!D33</f>
        <v>-7.3901640887245748E-5</v>
      </c>
      <c r="E33" s="34">
        <f>Prob!E33*ER!E33</f>
        <v>-2.9695999206895436E-5</v>
      </c>
      <c r="F33" s="34">
        <f>Prob!F33*ER!F33</f>
        <v>1.785450902178762E-5</v>
      </c>
      <c r="G33" s="34">
        <f>Prob!G33*ER!G33</f>
        <v>4.8554122362049288E-5</v>
      </c>
      <c r="H33" s="34">
        <f>Prob!H33*ER!H33</f>
        <v>-9.6881071696547228E-5</v>
      </c>
      <c r="I33" s="34">
        <f>Prob!I33*ER!I33</f>
        <v>-1.2361165453995732E-4</v>
      </c>
      <c r="J33" s="34">
        <f>Prob!J33*ER!J33</f>
        <v>-1.5476253100088104E-4</v>
      </c>
      <c r="K33" s="47">
        <f>Prob!K33*ER!K33</f>
        <v>-6.4038596886342258E-4</v>
      </c>
    </row>
    <row r="34" spans="1:11" x14ac:dyDescent="0.2">
      <c r="A34" s="46">
        <v>7</v>
      </c>
      <c r="B34" s="34">
        <f>Prob!B34*ER!B34</f>
        <v>-1.3865272571084194E-4</v>
      </c>
      <c r="C34" s="34">
        <f>Prob!C34*ER!C34</f>
        <v>-8.9349844316449805E-5</v>
      </c>
      <c r="D34" s="34">
        <f>Prob!D34*ER!D34</f>
        <v>-4.9834104351610453E-5</v>
      </c>
      <c r="E34" s="34">
        <f>Prob!E34*ER!E34</f>
        <v>-9.0674642339398095E-6</v>
      </c>
      <c r="F34" s="34">
        <f>Prob!F34*ER!F34</f>
        <v>3.3938811046012223E-5</v>
      </c>
      <c r="G34" s="34">
        <f>Prob!G34*ER!G34</f>
        <v>7.4978290004503836E-5</v>
      </c>
      <c r="H34" s="34">
        <f>Prob!H34*ER!H34</f>
        <v>-6.2391995264047222E-5</v>
      </c>
      <c r="I34" s="34">
        <f>Prob!I34*ER!I34</f>
        <v>-1.6928497591591588E-4</v>
      </c>
      <c r="J34" s="34">
        <f>Prob!J34*ER!J34</f>
        <v>-1.961446602113042E-4</v>
      </c>
      <c r="K34" s="47">
        <f>Prob!K34*ER!K34</f>
        <v>-7.8368260807760678E-4</v>
      </c>
    </row>
    <row r="35" spans="1:11" x14ac:dyDescent="0.2">
      <c r="A35" s="46">
        <v>8</v>
      </c>
      <c r="B35" s="34">
        <f>Prob!B35*ER!B35</f>
        <v>-1.5077220180493542E-4</v>
      </c>
      <c r="C35" s="34">
        <f>Prob!C35*ER!C35</f>
        <v>-1.8665710175946474E-5</v>
      </c>
      <c r="D35" s="34">
        <f>Prob!D35*ER!D35</f>
        <v>1.349625263470151E-5</v>
      </c>
      <c r="E35" s="34">
        <f>Prob!E35*ER!E35</f>
        <v>4.6671278624187139E-5</v>
      </c>
      <c r="F35" s="34">
        <f>Prob!F35*ER!F35</f>
        <v>8.0959806638400127E-5</v>
      </c>
      <c r="G35" s="34">
        <f>Prob!G35*ER!G35</f>
        <v>1.2796751089224609E-4</v>
      </c>
      <c r="H35" s="34">
        <f>Prob!H35*ER!H35</f>
        <v>8.1666005396927724E-5</v>
      </c>
      <c r="I35" s="34">
        <f>Prob!I35*ER!I35</f>
        <v>-7.0100849466280354E-5</v>
      </c>
      <c r="J35" s="34">
        <f>Prob!J35*ER!J35</f>
        <v>-2.2758306781975424E-4</v>
      </c>
      <c r="K35" s="47">
        <f>Prob!K35*ER!K35</f>
        <v>-8.4030671194986189E-4</v>
      </c>
    </row>
    <row r="36" spans="1:11" x14ac:dyDescent="0.2">
      <c r="A36" s="46">
        <v>9</v>
      </c>
      <c r="B36" s="34">
        <f>Prob!B36*ER!B36</f>
        <v>-3.1574170390347508E-5</v>
      </c>
      <c r="C36" s="34">
        <f>Prob!C36*ER!C36</f>
        <v>6.0927483876524848E-5</v>
      </c>
      <c r="D36" s="34">
        <f>Prob!D36*ER!D36</f>
        <v>8.7941427233119939E-5</v>
      </c>
      <c r="E36" s="34">
        <f>Prob!E36*ER!E36</f>
        <v>1.1585984325813071E-4</v>
      </c>
      <c r="F36" s="34">
        <f>Prob!F36*ER!F36</f>
        <v>1.4507499921839387E-4</v>
      </c>
      <c r="G36" s="34">
        <f>Prob!G36*ER!G36</f>
        <v>1.8370975031119208E-4</v>
      </c>
      <c r="H36" s="34">
        <f>Prob!H36*ER!H36</f>
        <v>1.8186352632523981E-4</v>
      </c>
      <c r="I36" s="34">
        <f>Prob!I36*ER!I36</f>
        <v>8.707019397260899E-5</v>
      </c>
      <c r="J36" s="34">
        <f>Prob!J36*ER!J36</f>
        <v>-6.860294541915379E-5</v>
      </c>
      <c r="K36" s="47">
        <f>Prob!K36*ER!K36</f>
        <v>-2.9965544701626332E-4</v>
      </c>
    </row>
    <row r="37" spans="1:11" ht="16" thickBot="1" x14ac:dyDescent="0.25">
      <c r="A37" s="49">
        <v>10</v>
      </c>
      <c r="B37" s="50">
        <f>Prob!B37*ER!B37</f>
        <v>3.3047766721608471E-3</v>
      </c>
      <c r="C37" s="50">
        <f>Prob!C37*ER!C37</f>
        <v>4.6608034608417942E-3</v>
      </c>
      <c r="D37" s="50">
        <f>Prob!D37*ER!D37</f>
        <v>4.7357093800745121E-3</v>
      </c>
      <c r="E37" s="50">
        <f>Prob!E37*ER!E37</f>
        <v>4.8142009063127681E-3</v>
      </c>
      <c r="F37" s="50">
        <f>Prob!F37*ER!F37</f>
        <v>4.8820004779812475E-3</v>
      </c>
      <c r="G37" s="50">
        <f>Prob!G37*ER!G37</f>
        <v>5.1346365927009054E-3</v>
      </c>
      <c r="H37" s="50">
        <f>Prob!H37*ER!H37</f>
        <v>5.631149578786891E-3</v>
      </c>
      <c r="I37" s="50">
        <f>Prob!I37*ER!I37</f>
        <v>5.766519141024295E-3</v>
      </c>
      <c r="J37" s="50">
        <f>Prob!J37*ER!J37</f>
        <v>5.5228538611458997E-3</v>
      </c>
      <c r="K37" s="51">
        <f>Prob!K37*ER!K37</f>
        <v>1.4911412452209501E-2</v>
      </c>
    </row>
    <row r="38" spans="1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1:11" x14ac:dyDescent="0.2">
      <c r="A39" s="373" t="s">
        <v>11</v>
      </c>
      <c r="B39" s="374"/>
      <c r="C39" s="39">
        <f>Blackjack!C3*ER!C40</f>
        <v>-4.5096460207975919E-2</v>
      </c>
    </row>
    <row r="40" spans="1:11" ht="16" thickBot="1" x14ac:dyDescent="0.25"/>
    <row r="41" spans="1:11" x14ac:dyDescent="0.2">
      <c r="A41" s="380" t="s">
        <v>16</v>
      </c>
      <c r="B41" s="381"/>
      <c r="C41" s="55">
        <f>SUM(B2:K16)</f>
        <v>-9.6526607161070171E-2</v>
      </c>
      <c r="D41" s="377">
        <f>SUM(C41:C43)</f>
        <v>3.9782280952070467E-2</v>
      </c>
      <c r="F41" s="176" t="s">
        <v>81</v>
      </c>
      <c r="G41" s="180">
        <f>SUMIF($B$2:$K$16,"&gt;0")+SUMIF($B$18:$K$26,"&gt;0")+ SUMIF($B$28:$K$37,"&gt;0")</f>
        <v>0.19763611356035593</v>
      </c>
    </row>
    <row r="42" spans="1:11" ht="16" thickBot="1" x14ac:dyDescent="0.25">
      <c r="A42" s="382" t="s">
        <v>17</v>
      </c>
      <c r="B42" s="383"/>
      <c r="C42" s="56">
        <f>SUM(B18:K26)</f>
        <v>7.8380375117117845E-2</v>
      </c>
      <c r="D42" s="378"/>
      <c r="F42" s="177" t="s">
        <v>82</v>
      </c>
      <c r="G42" s="181">
        <f>SUMIF($B$2:$K$16,"&lt;0")+SUMIF($B$18:$K$26,"&lt;0")+ SUMIF($B$28:$K$37,"&lt;0")+C39</f>
        <v>-0.20295029281626137</v>
      </c>
    </row>
    <row r="43" spans="1:11" ht="16" thickBot="1" x14ac:dyDescent="0.25">
      <c r="A43" s="382" t="s">
        <v>18</v>
      </c>
      <c r="B43" s="383"/>
      <c r="C43" s="56">
        <f>SUM(B28:K37)</f>
        <v>5.7928512996022793E-2</v>
      </c>
      <c r="D43" s="379"/>
      <c r="F43" s="177" t="s">
        <v>2</v>
      </c>
      <c r="G43" s="181">
        <f>G41+G42</f>
        <v>-5.3141792559054379E-3</v>
      </c>
    </row>
    <row r="44" spans="1:11" x14ac:dyDescent="0.2">
      <c r="A44" s="375" t="s">
        <v>29</v>
      </c>
      <c r="B44" s="376"/>
      <c r="C44" s="54">
        <f>C39</f>
        <v>-4.5096460207975919E-2</v>
      </c>
    </row>
    <row r="45" spans="1:11" x14ac:dyDescent="0.2">
      <c r="A45" s="250" t="s">
        <v>147</v>
      </c>
      <c r="B45" s="251"/>
      <c r="C45" s="54">
        <f>IF(Rules!$B$15=Rules!$E$15,'Three 7 Cards'!$D$2,IF(Rules!$B$15=Rules!$F$15,2*'Three 7 Cards'!$D$2,0))</f>
        <v>0</v>
      </c>
    </row>
    <row r="46" spans="1:11" ht="16" thickBot="1" x14ac:dyDescent="0.25">
      <c r="A46" s="250" t="s">
        <v>144</v>
      </c>
      <c r="B46" s="251"/>
      <c r="C46" s="54">
        <f>IF(Rules!$B$16=Rules!$E$16,'5 Cards'!$G$122,IF(Rules!$B$16=Rules!$F$16,2*'5 Cards'!$G$122,0))</f>
        <v>0</v>
      </c>
    </row>
    <row r="47" spans="1:11" ht="16" thickBot="1" x14ac:dyDescent="0.25">
      <c r="A47" s="371" t="s">
        <v>19</v>
      </c>
      <c r="B47" s="372"/>
      <c r="C47" s="57">
        <f>SUM(C41:C46)</f>
        <v>-5.3141792559054518E-3</v>
      </c>
      <c r="D47" s="116">
        <f>C47</f>
        <v>-5.3141792559054518E-3</v>
      </c>
    </row>
  </sheetData>
  <sheetProtection sheet="1" objects="1" scenarios="1"/>
  <mergeCells count="7">
    <mergeCell ref="A47:B47"/>
    <mergeCell ref="A39:B39"/>
    <mergeCell ref="A44:B44"/>
    <mergeCell ref="D41:D43"/>
    <mergeCell ref="A41:B41"/>
    <mergeCell ref="A42:B42"/>
    <mergeCell ref="A43:B43"/>
  </mergeCells>
  <phoneticPr fontId="14" type="noConversion"/>
  <conditionalFormatting sqref="B2:K16 B18:K26 B28:K38">
    <cfRule type="containsText" dxfId="24" priority="15" operator="containsText" text="R">
      <formula>NOT(ISERROR(SEARCH("R",B2)))</formula>
    </cfRule>
    <cfRule type="containsText" dxfId="23" priority="16" operator="containsText" text="D">
      <formula>NOT(ISERROR(SEARCH("D",B2)))</formula>
    </cfRule>
    <cfRule type="containsText" dxfId="22" priority="17" operator="containsText" text="S">
      <formula>NOT(ISERROR(SEARCH("S",B2)))</formula>
    </cfRule>
    <cfRule type="containsText" dxfId="21" priority="18" operator="containsText" text="H">
      <formula>NOT(ISERROR(SEARCH("H",B2)))</formula>
    </cfRule>
  </conditionalFormatting>
  <conditionalFormatting sqref="B2:K16 B18:K26 B28:K38">
    <cfRule type="containsText" dxfId="20" priority="14" operator="containsText" text="P">
      <formula>NOT(ISERROR(SEARCH("P",B2)))</formula>
    </cfRule>
  </conditionalFormatting>
  <conditionalFormatting sqref="B2:K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83"/>
  <sheetViews>
    <sheetView topLeftCell="A11" workbookViewId="0">
      <selection activeCell="B7" sqref="B7"/>
    </sheetView>
  </sheetViews>
  <sheetFormatPr baseColWidth="10" defaultRowHeight="16" x14ac:dyDescent="0.2"/>
  <cols>
    <col min="2" max="2" width="10.83203125" style="255"/>
  </cols>
  <sheetData>
    <row r="2" spans="1:19" x14ac:dyDescent="0.2">
      <c r="A2" t="s">
        <v>40</v>
      </c>
      <c r="B2" s="254" t="s">
        <v>159</v>
      </c>
      <c r="C2" s="253">
        <f>Rules!C22</f>
        <v>0.3978152025489306</v>
      </c>
      <c r="D2" s="252" t="s">
        <v>160</v>
      </c>
      <c r="E2" s="253">
        <f>Rules!C21</f>
        <v>0.60218479745106923</v>
      </c>
      <c r="F2" s="252" t="s">
        <v>161</v>
      </c>
      <c r="G2" s="253">
        <f>Rules!C19</f>
        <v>-5.3141792559054518E-3</v>
      </c>
      <c r="I2" t="s">
        <v>58</v>
      </c>
      <c r="J2">
        <f>(G2+E2)/C2</f>
        <v>1.5003715654173615</v>
      </c>
    </row>
    <row r="4" spans="1:19" x14ac:dyDescent="0.2">
      <c r="A4" s="362" t="s">
        <v>162</v>
      </c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</row>
    <row r="5" spans="1:19" x14ac:dyDescent="0.2">
      <c r="A5" t="s">
        <v>163</v>
      </c>
      <c r="B5" s="25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5">
        <f>$C$2</f>
        <v>0.3978152025489306</v>
      </c>
      <c r="C6">
        <f>B6*$C$2</f>
        <v>0.15825693537904667</v>
      </c>
      <c r="D6">
        <f t="shared" ref="D6:K6" si="0">C6*$C$2</f>
        <v>6.2957014802588473E-2</v>
      </c>
      <c r="E6">
        <f t="shared" si="0"/>
        <v>2.5045257595567756E-2</v>
      </c>
      <c r="F6">
        <f t="shared" si="0"/>
        <v>9.96338422327093E-3</v>
      </c>
      <c r="G6">
        <f t="shared" si="0"/>
        <v>3.9635857128533444E-3</v>
      </c>
      <c r="H6">
        <f t="shared" si="0"/>
        <v>1.5767746531788007E-3</v>
      </c>
      <c r="I6">
        <f t="shared" si="0"/>
        <v>6.2726492802834437E-4</v>
      </c>
      <c r="J6">
        <f t="shared" si="0"/>
        <v>2.495355243954362E-4</v>
      </c>
      <c r="K6">
        <f t="shared" si="0"/>
        <v>9.9269025180524062E-5</v>
      </c>
    </row>
    <row r="7" spans="1:19" x14ac:dyDescent="0.2">
      <c r="A7" t="s">
        <v>158</v>
      </c>
      <c r="B7" s="255">
        <f>$E$2</f>
        <v>0.60218479745106923</v>
      </c>
      <c r="C7">
        <f>B7*$E$2</f>
        <v>0.3626265302811853</v>
      </c>
      <c r="D7">
        <f t="shared" ref="D7:K7" si="1">C7*$E$2</f>
        <v>0.21836818368775959</v>
      </c>
      <c r="E7">
        <f t="shared" si="1"/>
        <v>0.13149800046377139</v>
      </c>
      <c r="F7">
        <f t="shared" si="1"/>
        <v>7.9186096774496784E-2</v>
      </c>
      <c r="G7">
        <f t="shared" si="1"/>
        <v>4.7684663647091112E-2</v>
      </c>
      <c r="H7">
        <f t="shared" si="1"/>
        <v>2.8714979519845925E-2</v>
      </c>
      <c r="I7">
        <f t="shared" si="1"/>
        <v>1.7291724125970021E-2</v>
      </c>
      <c r="J7">
        <f t="shared" si="1"/>
        <v>1.0412813390377024E-2</v>
      </c>
      <c r="K7">
        <f t="shared" si="1"/>
        <v>6.2704379223799695E-3</v>
      </c>
    </row>
    <row r="8" spans="1:19" x14ac:dyDescent="0.2">
      <c r="B8" s="255">
        <v>1</v>
      </c>
      <c r="C8">
        <v>2</v>
      </c>
      <c r="D8">
        <v>3</v>
      </c>
      <c r="E8" s="255">
        <v>4</v>
      </c>
      <c r="F8">
        <v>5</v>
      </c>
      <c r="G8">
        <v>6</v>
      </c>
      <c r="H8" s="255">
        <v>7</v>
      </c>
      <c r="I8">
        <v>8</v>
      </c>
      <c r="J8">
        <v>9</v>
      </c>
      <c r="K8" s="255"/>
    </row>
    <row r="9" spans="1:19" x14ac:dyDescent="0.2">
      <c r="B9" s="255">
        <f>B6+C6*B7</f>
        <v>0.49311512312538874</v>
      </c>
      <c r="C9">
        <f>B9+D6*C7</f>
        <v>0.51594500696011258</v>
      </c>
      <c r="D9">
        <f>C9+E6*D7</f>
        <v>0.52141409437124875</v>
      </c>
      <c r="E9">
        <f t="shared" ref="E9:J9" si="2">D9+F6*E7</f>
        <v>0.52272425947446122</v>
      </c>
      <c r="F9">
        <f t="shared" si="2"/>
        <v>0.52303812035629327</v>
      </c>
      <c r="G9">
        <f t="shared" si="2"/>
        <v>0.52311330832527736</v>
      </c>
      <c r="H9">
        <f t="shared" si="2"/>
        <v>0.52313132022483921</v>
      </c>
      <c r="I9">
        <f t="shared" si="2"/>
        <v>0.52313563512428674</v>
      </c>
      <c r="J9">
        <f t="shared" si="2"/>
        <v>0.52313666879412135</v>
      </c>
    </row>
    <row r="10" spans="1:19" x14ac:dyDescent="0.2">
      <c r="B10" s="255">
        <v>-1</v>
      </c>
      <c r="C10">
        <v>-2</v>
      </c>
      <c r="D10" s="255">
        <v>-3</v>
      </c>
      <c r="E10">
        <v>-4</v>
      </c>
      <c r="F10" s="255">
        <v>-5</v>
      </c>
      <c r="G10">
        <v>-6</v>
      </c>
      <c r="H10" s="255">
        <v>-7</v>
      </c>
      <c r="I10">
        <v>-8</v>
      </c>
      <c r="J10" s="255">
        <v>-9</v>
      </c>
      <c r="K10" s="255"/>
    </row>
    <row r="11" spans="1:19" ht="17" thickBot="1" x14ac:dyDescent="0.25">
      <c r="B11" s="255">
        <f>B7+B6*C7</f>
        <v>0.74644314404449486</v>
      </c>
      <c r="C11">
        <f>B11+C6*D7</f>
        <v>0.78100142357920843</v>
      </c>
      <c r="D11">
        <f>C11+D6*E7</f>
        <v>0.78928014514091682</v>
      </c>
      <c r="E11">
        <f>D11+E6*F7</f>
        <v>0.79126338133262164</v>
      </c>
      <c r="F11">
        <f t="shared" ref="F11:J11" si="3">E11+F6*G7</f>
        <v>0.79173848195809504</v>
      </c>
      <c r="G11">
        <f t="shared" si="3"/>
        <v>0.79185229624066478</v>
      </c>
      <c r="H11">
        <f t="shared" si="3"/>
        <v>0.79187956139297633</v>
      </c>
      <c r="I11">
        <f t="shared" si="3"/>
        <v>0.79188609298561818</v>
      </c>
      <c r="J11">
        <f t="shared" si="3"/>
        <v>0.79188765768263336</v>
      </c>
    </row>
    <row r="12" spans="1:19" ht="17" thickBot="1" x14ac:dyDescent="0.25">
      <c r="A12" s="264"/>
      <c r="B12" s="140">
        <v>1</v>
      </c>
      <c r="C12" s="275">
        <v>0</v>
      </c>
      <c r="D12" s="272">
        <v>-1</v>
      </c>
      <c r="E12" s="183">
        <v>-2</v>
      </c>
      <c r="F12" s="183">
        <v>-3</v>
      </c>
      <c r="G12" s="183">
        <v>-4</v>
      </c>
      <c r="H12" s="183">
        <v>-5</v>
      </c>
      <c r="I12" s="183">
        <v>-6</v>
      </c>
      <c r="J12" s="183">
        <v>-7</v>
      </c>
      <c r="K12" s="183">
        <v>-8</v>
      </c>
      <c r="L12" s="183">
        <v>-9</v>
      </c>
      <c r="M12" s="144">
        <v>-10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5">
        <v>1</v>
      </c>
      <c r="B13" s="131">
        <f>C13*$B$6</f>
        <v>0.3978152025489306</v>
      </c>
      <c r="C13" s="119">
        <v>1</v>
      </c>
      <c r="D13" s="273">
        <f>C13*B7</f>
        <v>0.60218479745106923</v>
      </c>
      <c r="E13" s="170"/>
      <c r="F13" s="170"/>
      <c r="G13" s="170"/>
      <c r="H13" s="170"/>
      <c r="I13" s="170"/>
      <c r="J13" s="170"/>
      <c r="K13" s="170"/>
      <c r="L13" s="170"/>
      <c r="M13" s="63"/>
      <c r="Q13" s="28">
        <f>B13-D13</f>
        <v>-0.20436959490213863</v>
      </c>
      <c r="R13" s="2">
        <f>1+($J$2-1)*SUM(C13)</f>
        <v>1.5003715654173615</v>
      </c>
      <c r="S13" s="8">
        <f>B13*R13-D13*COUNT(D13:M13)</f>
        <v>-5.3141792559054934E-3</v>
      </c>
    </row>
    <row r="14" spans="1:19" x14ac:dyDescent="0.2">
      <c r="A14" s="266">
        <v>2</v>
      </c>
      <c r="B14" s="126">
        <f t="shared" ref="B14:B22" si="4">C14*$B$6</f>
        <v>0.4931151231253888</v>
      </c>
      <c r="C14" s="121">
        <f>C13+B7*B6</f>
        <v>1.2395582671698839</v>
      </c>
      <c r="D14" s="247">
        <f>C14*B7</f>
        <v>0.74644314404449497</v>
      </c>
      <c r="E14" s="1">
        <f>D14*B7</f>
        <v>0.44949671350517351</v>
      </c>
      <c r="F14" s="1"/>
      <c r="G14" s="1"/>
      <c r="H14" s="1"/>
      <c r="I14" s="1"/>
      <c r="J14" s="1"/>
      <c r="K14" s="1"/>
      <c r="L14" s="1"/>
      <c r="M14" s="9"/>
      <c r="Q14" s="117">
        <f>B14-E14</f>
        <v>4.3618409620215293E-2</v>
      </c>
      <c r="R14" s="1">
        <f>1+($J$2-1)*SUM(C14:D14)*$B$6</f>
        <v>1.3953243363832839</v>
      </c>
      <c r="S14" s="9">
        <f>B14*R14-E14*COUNT(D14:M14)</f>
        <v>-0.2109378950748525</v>
      </c>
    </row>
    <row r="15" spans="1:19" x14ac:dyDescent="0.2">
      <c r="A15" s="266">
        <v>3</v>
      </c>
      <c r="B15" s="126">
        <f t="shared" si="4"/>
        <v>0.5159450069601127</v>
      </c>
      <c r="C15" s="121">
        <f>C14+C6*C7</f>
        <v>1.2969464305393215</v>
      </c>
      <c r="D15" s="247">
        <f>C15*$B$11</f>
        <v>0.96809677126905613</v>
      </c>
      <c r="E15" s="1">
        <f>D15*B6</f>
        <v>0.38512361314936533</v>
      </c>
      <c r="F15" s="1">
        <f>E15*B6</f>
        <v>0.15320802817139076</v>
      </c>
      <c r="G15" s="1"/>
      <c r="H15" s="1"/>
      <c r="I15" s="1"/>
      <c r="J15" s="1"/>
      <c r="K15" s="1"/>
      <c r="L15" s="1"/>
      <c r="M15" s="9"/>
      <c r="Q15" s="117">
        <f>B15-F15</f>
        <v>0.36273697878872191</v>
      </c>
      <c r="R15" s="1">
        <f>1+($J$2-1)*SUM(C15:E15)*$B$6</f>
        <v>1.5275300568832673</v>
      </c>
      <c r="S15" s="9">
        <f>B15*R15-F15*COUNT(D15:M15)</f>
        <v>0.32849742131624637</v>
      </c>
    </row>
    <row r="16" spans="1:19" x14ac:dyDescent="0.2">
      <c r="A16" s="266">
        <v>4</v>
      </c>
      <c r="B16" s="126">
        <f t="shared" si="4"/>
        <v>0.52141409437124897</v>
      </c>
      <c r="C16" s="121">
        <f>C15+D6*D7</f>
        <v>1.3106942395121661</v>
      </c>
      <c r="D16" s="247">
        <f>C16*$C$11</f>
        <v>1.0236540669360696</v>
      </c>
      <c r="E16" s="1">
        <f>D16*$B$11</f>
        <v>0.76409956013769365</v>
      </c>
      <c r="F16" s="1">
        <f>E16*B7</f>
        <v>0.46012913885396817</v>
      </c>
      <c r="G16" s="1">
        <f>F16*B7</f>
        <v>0.27708277228211176</v>
      </c>
      <c r="H16" s="1"/>
      <c r="I16" s="1"/>
      <c r="J16" s="1"/>
      <c r="K16" s="1"/>
      <c r="L16" s="1"/>
      <c r="M16" s="9"/>
      <c r="Q16" s="117">
        <f>B16-G16</f>
        <v>0.24433132208913722</v>
      </c>
      <c r="R16" s="1">
        <f>1+($J$2-1)*SUM(C16:F16)*$B$6</f>
        <v>1.7083540249269666</v>
      </c>
      <c r="S16" s="9">
        <f>B16*R16-G16*COUNT(D16:M16)</f>
        <v>-0.21757122235567461</v>
      </c>
    </row>
    <row r="17" spans="1:19" x14ac:dyDescent="0.2">
      <c r="A17" s="266">
        <v>5</v>
      </c>
      <c r="B17" s="126">
        <f t="shared" si="4"/>
        <v>0.52272425947446133</v>
      </c>
      <c r="C17" s="121">
        <f>C16+E6*E7</f>
        <v>1.3139876408070834</v>
      </c>
      <c r="D17" s="247">
        <f>C17*$D$11</f>
        <v>1.0371043558495856</v>
      </c>
      <c r="E17" s="1">
        <f>D17*$C$11</f>
        <v>0.80997997831872437</v>
      </c>
      <c r="F17" s="1">
        <f>E17*$B$11</f>
        <v>0.60460400162932038</v>
      </c>
      <c r="G17" s="1">
        <f>F17*B7</f>
        <v>0.3640833382592582</v>
      </c>
      <c r="H17" s="1">
        <f>G17*B7</f>
        <v>0.21924545130496054</v>
      </c>
      <c r="I17" s="1"/>
      <c r="J17" s="1"/>
      <c r="K17" s="1"/>
      <c r="L17" s="1"/>
      <c r="M17" s="9"/>
      <c r="Q17" s="117">
        <f>B17-H17</f>
        <v>0.30347880816950079</v>
      </c>
      <c r="R17" s="1">
        <f>1+($J$2-1)*SUM(C17:G17)*$B$6</f>
        <v>1.822050956939151</v>
      </c>
      <c r="S17" s="9">
        <f>B17*R17-H17*COUNT(D17:M17)</f>
        <v>-0.1437970193340512</v>
      </c>
    </row>
    <row r="18" spans="1:19" x14ac:dyDescent="0.2">
      <c r="A18" s="266">
        <v>6</v>
      </c>
      <c r="B18" s="126">
        <f t="shared" si="4"/>
        <v>0.52303812035629338</v>
      </c>
      <c r="C18" s="121">
        <f>C17+F6*F7</f>
        <v>1.3147766023143888</v>
      </c>
      <c r="D18" s="247">
        <f>C18*$E$11</f>
        <v>1.0403345800442989</v>
      </c>
      <c r="E18" s="1">
        <f>D18*$D$11</f>
        <v>0.82111542833247897</v>
      </c>
      <c r="F18" s="1">
        <f>E18*$C$11</f>
        <v>0.6412923184505176</v>
      </c>
      <c r="G18" s="1">
        <f>F18*$B$11</f>
        <v>0.47868825443578777</v>
      </c>
      <c r="H18" s="1">
        <f>G18*B7</f>
        <v>0.28825878953962075</v>
      </c>
      <c r="I18" s="1">
        <f>H18*B7</f>
        <v>0.1735850607924069</v>
      </c>
      <c r="J18" s="1"/>
      <c r="K18" s="1"/>
      <c r="L18" s="1"/>
      <c r="M18" s="9"/>
      <c r="Q18" s="117">
        <f>B18-I18</f>
        <v>0.3494530595638865</v>
      </c>
      <c r="R18" s="1">
        <f>1+($J$2-1)*SUM(C18:H18)*$B$6</f>
        <v>1.9125627797948357</v>
      </c>
      <c r="S18" s="9">
        <f>B18*R18-I18*COUNT(D18:M18)</f>
        <v>-4.116712334714312E-2</v>
      </c>
    </row>
    <row r="19" spans="1:19" x14ac:dyDescent="0.2">
      <c r="A19" s="266">
        <v>7</v>
      </c>
      <c r="B19" s="126">
        <f t="shared" si="4"/>
        <v>0.52311330832527747</v>
      </c>
      <c r="C19" s="121">
        <f>C18+G6*G7</f>
        <v>1.3149656045659426</v>
      </c>
      <c r="D19" s="247">
        <f>C19*$F$11</f>
        <v>1.0411088715861481</v>
      </c>
      <c r="E19" s="1">
        <f>D19*$E$11</f>
        <v>0.82379132606664573</v>
      </c>
      <c r="F19" s="1">
        <f>E19*$D$11</f>
        <v>0.65020213740371047</v>
      </c>
      <c r="G19" s="1">
        <f>F19*$C$11</f>
        <v>0.50780879492654196</v>
      </c>
      <c r="H19" s="1">
        <f>G19*$B$11</f>
        <v>0.37905039345841413</v>
      </c>
      <c r="I19" s="1">
        <f>H19*B7</f>
        <v>0.22825838440850321</v>
      </c>
      <c r="J19" s="1">
        <f>I19*B7</f>
        <v>0.13745372898154282</v>
      </c>
      <c r="K19" s="1"/>
      <c r="L19" s="1"/>
      <c r="M19" s="9"/>
      <c r="Q19" s="117">
        <f>B19-J19</f>
        <v>0.38565957934373463</v>
      </c>
      <c r="R19" s="1">
        <f>1+($J$2-1)*SUM(C19:I19)*$B$6</f>
        <v>1.9843659576216783</v>
      </c>
      <c r="S19" s="9">
        <f>B19*R19-J19*COUNT(D19:M19)</f>
        <v>7.5872138148733836E-2</v>
      </c>
    </row>
    <row r="20" spans="1:19" x14ac:dyDescent="0.2">
      <c r="A20" s="266">
        <v>8</v>
      </c>
      <c r="B20" s="126">
        <f t="shared" si="4"/>
        <v>0.52311762322472488</v>
      </c>
      <c r="C20" s="121">
        <f>C19+I6*I7</f>
        <v>1.314976451058032</v>
      </c>
      <c r="D20" s="247">
        <f>C20*$G$11</f>
        <v>1.0412671222727028</v>
      </c>
      <c r="E20" s="1">
        <f>D20*$F$11</f>
        <v>0.8244112507010638</v>
      </c>
      <c r="F20" s="1">
        <f>E20*$E$11</f>
        <v>0.6523264338383794</v>
      </c>
      <c r="G20" s="1">
        <f>F20*$D$11</f>
        <v>0.51486830237921277</v>
      </c>
      <c r="H20" s="1">
        <f>G20*$C$11</f>
        <v>0.40211287711397553</v>
      </c>
      <c r="I20" s="1">
        <f>H20*$B$11</f>
        <v>0.30015440025373352</v>
      </c>
      <c r="J20" s="1">
        <f>I20*$B$7</f>
        <v>0.18074841672084169</v>
      </c>
      <c r="K20" s="1">
        <f>J20*$B$7</f>
        <v>0.10884394871264151</v>
      </c>
      <c r="L20" s="1"/>
      <c r="M20" s="9"/>
      <c r="Q20" s="117">
        <f>B20-K20</f>
        <v>0.41427367451208336</v>
      </c>
      <c r="R20" s="1">
        <f>1+($J$2-1)*SUM(C20:J20)*$B$6</f>
        <v>2.041232057391678</v>
      </c>
      <c r="S20" s="9">
        <f>B20*R20-K20*COUNT(D20:M20)</f>
        <v>0.19705287261171767</v>
      </c>
    </row>
    <row r="21" spans="1:19" x14ac:dyDescent="0.2">
      <c r="A21" s="266">
        <v>9</v>
      </c>
      <c r="B21" s="126">
        <f t="shared" si="4"/>
        <v>0.52311865689455961</v>
      </c>
      <c r="C21" s="121">
        <f>C20+J6*J7</f>
        <v>1.3149790494248819</v>
      </c>
      <c r="D21" s="247">
        <f>C21*$H$11</f>
        <v>1.0413050328995284</v>
      </c>
      <c r="E21" s="1">
        <f>D21*$G$11</f>
        <v>0.82455978138845254</v>
      </c>
      <c r="F21" s="1">
        <f>E21*$F$11</f>
        <v>0.6528357096001921</v>
      </c>
      <c r="G21" s="1">
        <f>F21*$E$11</f>
        <v>0.51656499103292941</v>
      </c>
      <c r="H21" s="1">
        <f>G21*$D$11</f>
        <v>0.40771449109718694</v>
      </c>
      <c r="I21" s="1">
        <f>H21*$C$11</f>
        <v>0.31842559796077552</v>
      </c>
      <c r="J21" s="1">
        <f>I21*$B$11</f>
        <v>0.23768660448608958</v>
      </c>
      <c r="K21" s="1">
        <f>J21*$B$7</f>
        <v>0.14313125977928826</v>
      </c>
      <c r="L21" s="1">
        <f>K21*$B$7</f>
        <v>8.6191468679107069E-2</v>
      </c>
      <c r="M21" s="9"/>
      <c r="Q21" s="117">
        <f>B21-L21</f>
        <v>0.43692718821545251</v>
      </c>
      <c r="R21" s="1">
        <f>1+($J$2-1)*SUM(C21:K21)*$B$6</f>
        <v>2.0862857154203374</v>
      </c>
      <c r="S21" s="9">
        <f>B21*R21-L21*COUNT(D21:M21)</f>
        <v>0.3156517632370287</v>
      </c>
    </row>
    <row r="22" spans="1:19" ht="17" thickBot="1" x14ac:dyDescent="0.25">
      <c r="A22" s="267">
        <v>10</v>
      </c>
      <c r="B22" s="127">
        <f t="shared" si="4"/>
        <v>0.52311890451871401</v>
      </c>
      <c r="C22" s="248">
        <f>C21+K6*K7</f>
        <v>1.3149796718851419</v>
      </c>
      <c r="D22" s="274">
        <f>C22*$I$11</f>
        <v>1.0413141147246352</v>
      </c>
      <c r="E22" s="171">
        <f>D22*$H$11</f>
        <v>0.82459536444045956</v>
      </c>
      <c r="F22" s="171">
        <f>E22*$G$11</f>
        <v>0.65295773280158576</v>
      </c>
      <c r="G22" s="171">
        <f>F22*$F$11</f>
        <v>0.516971764151127</v>
      </c>
      <c r="H22" s="171">
        <f>G22*$E$11</f>
        <v>0.40906082615571132</v>
      </c>
      <c r="I22" s="171">
        <f>H22*$D$11</f>
        <v>0.32286358823964317</v>
      </c>
      <c r="J22" s="171">
        <f>I22*$C$11</f>
        <v>0.2521569220370527</v>
      </c>
      <c r="K22" s="171">
        <f>J22*$B$11</f>
        <v>0.18822080567792018</v>
      </c>
      <c r="L22" s="171">
        <f>K22*$B$7</f>
        <v>0.11334370774323543</v>
      </c>
      <c r="M22" s="10">
        <f>L22*$B$7</f>
        <v>6.8253857689713412E-2</v>
      </c>
      <c r="Q22" s="118">
        <f>B22-M22</f>
        <v>0.45486504682900059</v>
      </c>
      <c r="R22" s="171">
        <f>1+($J$2-1)*SUM(C22:L22)*$B$6</f>
        <v>2.1219687833960648</v>
      </c>
      <c r="S22" s="10">
        <f>B22*R22-M22*COUNT(D22:M22)</f>
        <v>0.4275034084959235</v>
      </c>
    </row>
    <row r="25" spans="1:19" x14ac:dyDescent="0.2">
      <c r="A25" s="362" t="s">
        <v>164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</row>
    <row r="26" spans="1:19" x14ac:dyDescent="0.2">
      <c r="A26" t="s">
        <v>163</v>
      </c>
      <c r="B26" s="255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9" x14ac:dyDescent="0.2">
      <c r="A27" t="s">
        <v>157</v>
      </c>
      <c r="B27" s="255">
        <f>$C$2</f>
        <v>0.3978152025489306</v>
      </c>
      <c r="C27">
        <f>B27*$C$2</f>
        <v>0.15825693537904667</v>
      </c>
      <c r="D27">
        <f t="shared" ref="D27:K27" si="5">C27*$C$2</f>
        <v>6.2957014802588473E-2</v>
      </c>
      <c r="E27">
        <f t="shared" si="5"/>
        <v>2.5045257595567756E-2</v>
      </c>
      <c r="F27">
        <f t="shared" si="5"/>
        <v>9.96338422327093E-3</v>
      </c>
      <c r="G27">
        <f t="shared" si="5"/>
        <v>3.9635857128533444E-3</v>
      </c>
      <c r="H27">
        <f t="shared" si="5"/>
        <v>1.5767746531788007E-3</v>
      </c>
      <c r="I27">
        <f t="shared" si="5"/>
        <v>6.2726492802834437E-4</v>
      </c>
      <c r="J27">
        <f t="shared" si="5"/>
        <v>2.495355243954362E-4</v>
      </c>
      <c r="K27">
        <f t="shared" si="5"/>
        <v>9.9269025180524062E-5</v>
      </c>
    </row>
    <row r="28" spans="1:19" x14ac:dyDescent="0.2">
      <c r="A28" t="s">
        <v>158</v>
      </c>
      <c r="B28" s="255">
        <f>$E$2</f>
        <v>0.60218479745106923</v>
      </c>
      <c r="C28">
        <f>B28*$E$2</f>
        <v>0.3626265302811853</v>
      </c>
      <c r="D28">
        <f t="shared" ref="D28:K28" si="6">C28*$E$2</f>
        <v>0.21836818368775959</v>
      </c>
      <c r="E28">
        <f t="shared" si="6"/>
        <v>0.13149800046377139</v>
      </c>
      <c r="F28">
        <f t="shared" si="6"/>
        <v>7.9186096774496784E-2</v>
      </c>
      <c r="G28">
        <f t="shared" si="6"/>
        <v>4.7684663647091112E-2</v>
      </c>
      <c r="H28">
        <f t="shared" si="6"/>
        <v>2.8714979519845925E-2</v>
      </c>
      <c r="I28">
        <f t="shared" si="6"/>
        <v>1.7291724125970021E-2</v>
      </c>
      <c r="J28">
        <f t="shared" si="6"/>
        <v>1.0412813390377024E-2</v>
      </c>
      <c r="K28">
        <f t="shared" si="6"/>
        <v>6.2704379223799695E-3</v>
      </c>
    </row>
    <row r="29" spans="1:19" x14ac:dyDescent="0.2">
      <c r="B29" s="255">
        <v>1</v>
      </c>
      <c r="C29">
        <v>2</v>
      </c>
      <c r="D29">
        <v>3</v>
      </c>
      <c r="E29" s="255">
        <v>4</v>
      </c>
      <c r="F29">
        <v>5</v>
      </c>
      <c r="G29">
        <v>6</v>
      </c>
      <c r="H29" s="255">
        <v>7</v>
      </c>
      <c r="I29">
        <v>8</v>
      </c>
      <c r="J29">
        <v>9</v>
      </c>
      <c r="K29" s="255"/>
    </row>
    <row r="30" spans="1:19" x14ac:dyDescent="0.2">
      <c r="B30" s="255">
        <f>B27+C27*B28</f>
        <v>0.49311512312538874</v>
      </c>
      <c r="C30">
        <f>B30+D27*C28</f>
        <v>0.51594500696011258</v>
      </c>
      <c r="D30">
        <f>C30+E27*D28</f>
        <v>0.52141409437124875</v>
      </c>
      <c r="E30">
        <f t="shared" ref="E30:J30" si="7">D30+F27*E28</f>
        <v>0.52272425947446122</v>
      </c>
      <c r="F30">
        <f t="shared" si="7"/>
        <v>0.52303812035629327</v>
      </c>
      <c r="G30">
        <f t="shared" si="7"/>
        <v>0.52311330832527736</v>
      </c>
      <c r="H30">
        <f t="shared" si="7"/>
        <v>0.52313132022483921</v>
      </c>
      <c r="I30">
        <f t="shared" si="7"/>
        <v>0.52313563512428674</v>
      </c>
      <c r="J30">
        <f t="shared" si="7"/>
        <v>0.52313666879412135</v>
      </c>
    </row>
    <row r="31" spans="1:19" x14ac:dyDescent="0.2">
      <c r="B31" s="255">
        <v>-1</v>
      </c>
      <c r="C31">
        <v>-2</v>
      </c>
      <c r="D31" s="255">
        <v>-3</v>
      </c>
      <c r="E31">
        <v>-4</v>
      </c>
      <c r="F31" s="255">
        <v>-5</v>
      </c>
      <c r="G31">
        <v>-6</v>
      </c>
      <c r="H31" s="255">
        <v>-7</v>
      </c>
      <c r="I31">
        <v>-8</v>
      </c>
      <c r="J31" s="255">
        <v>-9</v>
      </c>
      <c r="K31" s="255"/>
    </row>
    <row r="32" spans="1:19" ht="17" thickBot="1" x14ac:dyDescent="0.25">
      <c r="B32" s="255">
        <f>B28+B27*C28</f>
        <v>0.74644314404449486</v>
      </c>
      <c r="C32">
        <f t="shared" ref="C32:J32" si="8">B32+C27*D28</f>
        <v>0.78100142357920843</v>
      </c>
      <c r="D32">
        <f t="shared" si="8"/>
        <v>0.78928014514091682</v>
      </c>
      <c r="E32">
        <f t="shared" si="8"/>
        <v>0.79126338133262164</v>
      </c>
      <c r="F32">
        <f t="shared" si="8"/>
        <v>0.79173848195809504</v>
      </c>
      <c r="G32">
        <f t="shared" si="8"/>
        <v>0.79185229624066478</v>
      </c>
      <c r="H32">
        <f t="shared" si="8"/>
        <v>0.79187956139297633</v>
      </c>
      <c r="I32">
        <f t="shared" si="8"/>
        <v>0.79188609298561818</v>
      </c>
      <c r="J32">
        <f t="shared" si="8"/>
        <v>0.79188765768263336</v>
      </c>
    </row>
    <row r="33" spans="1:19" ht="17" thickBot="1" x14ac:dyDescent="0.25">
      <c r="A33" s="264"/>
      <c r="B33" s="262">
        <v>2</v>
      </c>
      <c r="C33" s="268">
        <v>1</v>
      </c>
      <c r="D33" s="275">
        <v>0</v>
      </c>
      <c r="E33" s="272">
        <v>-1</v>
      </c>
      <c r="F33" s="183">
        <v>-2</v>
      </c>
      <c r="G33" s="183">
        <v>-3</v>
      </c>
      <c r="H33" s="183">
        <v>-4</v>
      </c>
      <c r="I33" s="183">
        <v>-5</v>
      </c>
      <c r="J33" s="183">
        <v>-6</v>
      </c>
      <c r="K33" s="183">
        <v>-7</v>
      </c>
      <c r="L33" s="183">
        <v>-8</v>
      </c>
      <c r="M33" s="183">
        <v>-9</v>
      </c>
      <c r="N33" s="144">
        <v>-10</v>
      </c>
      <c r="Q33" s="29" t="s">
        <v>61</v>
      </c>
      <c r="R33" s="19" t="s">
        <v>58</v>
      </c>
      <c r="S33" s="20" t="s">
        <v>60</v>
      </c>
    </row>
    <row r="34" spans="1:19" x14ac:dyDescent="0.2">
      <c r="A34" s="265">
        <v>1</v>
      </c>
      <c r="B34" s="257">
        <f>C34*$B$27</f>
        <v>0.15825693537904667</v>
      </c>
      <c r="C34" s="269">
        <f>D34*$B$6</f>
        <v>0.3978152025489306</v>
      </c>
      <c r="D34" s="119">
        <v>1</v>
      </c>
      <c r="E34" s="273">
        <f>D34*B28</f>
        <v>0.60218479745106923</v>
      </c>
      <c r="F34" s="170"/>
      <c r="G34" s="170"/>
      <c r="H34" s="170"/>
      <c r="I34" s="170"/>
      <c r="J34" s="170"/>
      <c r="K34" s="170"/>
      <c r="L34" s="170"/>
      <c r="M34" s="170"/>
      <c r="N34" s="63"/>
      <c r="Q34" s="28">
        <f>B34-E34</f>
        <v>-0.44392786207202256</v>
      </c>
      <c r="R34" s="2">
        <f>1+($J$2-1)*SUM(C34:D34)*$B$27</f>
        <v>1.2782426861400009</v>
      </c>
      <c r="S34" s="8">
        <f>B34*R34*2-E34*COUNT(E34:N34)</f>
        <v>-0.1976032570926749</v>
      </c>
    </row>
    <row r="35" spans="1:19" x14ac:dyDescent="0.2">
      <c r="A35" s="266">
        <v>2</v>
      </c>
      <c r="B35" s="259">
        <f t="shared" ref="B35:B43" si="9">C35*$B$27</f>
        <v>0.23408044979308809</v>
      </c>
      <c r="C35" s="270">
        <f t="shared" ref="C35:C43" si="10">D35*$B$6</f>
        <v>0.58841504370184694</v>
      </c>
      <c r="D35" s="121">
        <f>D34+(B28*B27*2)</f>
        <v>1.4791165343397676</v>
      </c>
      <c r="E35" s="247">
        <f>D35*B28</f>
        <v>0.89070149063792048</v>
      </c>
      <c r="F35" s="1">
        <f>E35*B28</f>
        <v>0.5363668967291616</v>
      </c>
      <c r="G35" s="1"/>
      <c r="H35" s="1"/>
      <c r="I35" s="1"/>
      <c r="J35" s="1"/>
      <c r="K35" s="1"/>
      <c r="L35" s="1"/>
      <c r="M35" s="1"/>
      <c r="N35" s="9"/>
      <c r="Q35" s="117">
        <f>B35-F35</f>
        <v>-0.30228644693607354</v>
      </c>
      <c r="R35" s="1">
        <f>1+($J$2-1)*SUM(C35:E35)*$B$27</f>
        <v>1.5888523130644367</v>
      </c>
      <c r="S35" s="9">
        <f>B35*R35*2-F35*COUNT(E35:N35)</f>
        <v>-0.32889526526449964</v>
      </c>
    </row>
    <row r="36" spans="1:19" s="340" customFormat="1" x14ac:dyDescent="0.2">
      <c r="A36" s="333">
        <v>3</v>
      </c>
      <c r="B36" s="334">
        <f t="shared" si="9"/>
        <v>0.24316252465496735</v>
      </c>
      <c r="C36" s="335">
        <f t="shared" si="10"/>
        <v>0.61124492753657089</v>
      </c>
      <c r="D36" s="336">
        <f>D35+C27*C28</f>
        <v>1.5365046977092052</v>
      </c>
      <c r="E36" s="337">
        <f>D36*$B$32</f>
        <v>1.1469133973971952</v>
      </c>
      <c r="F36" s="338">
        <f>E36*B27</f>
        <v>0.45625958549164736</v>
      </c>
      <c r="G36" s="338">
        <f>F36*B27</f>
        <v>0.18150699941725082</v>
      </c>
      <c r="H36" s="338"/>
      <c r="I36" s="338"/>
      <c r="J36" s="338"/>
      <c r="K36" s="338"/>
      <c r="L36" s="338"/>
      <c r="M36" s="338"/>
      <c r="N36" s="339"/>
      <c r="Q36" s="341">
        <f>B36-G36</f>
        <v>6.165552523771653E-2</v>
      </c>
      <c r="R36" s="338">
        <f>1+($J$2-1)*SUM(C36:F36)*$B$27</f>
        <v>1.7466414588190893</v>
      </c>
      <c r="S36" s="339">
        <f>B36*R36*2-G36*COUNT(E36:N36)</f>
        <v>0.30491449533521742</v>
      </c>
    </row>
    <row r="37" spans="1:19" x14ac:dyDescent="0.2">
      <c r="A37" s="266">
        <v>4</v>
      </c>
      <c r="B37" s="259">
        <f t="shared" si="9"/>
        <v>0.24533821077118631</v>
      </c>
      <c r="C37" s="270">
        <f t="shared" si="10"/>
        <v>0.61671401494770706</v>
      </c>
      <c r="D37" s="121">
        <f>D36+D27*D28</f>
        <v>1.5502525066820498</v>
      </c>
      <c r="E37" s="247">
        <f>D37*$C$11</f>
        <v>1.2107494146259172</v>
      </c>
      <c r="F37" s="1">
        <f>E37*$B$11</f>
        <v>0.90375559970340136</v>
      </c>
      <c r="G37" s="1">
        <f>F37*B28</f>
        <v>0.54422788275266232</v>
      </c>
      <c r="H37" s="1">
        <f>G37*B28</f>
        <v>0.3277257573426362</v>
      </c>
      <c r="I37" s="1"/>
      <c r="J37" s="1"/>
      <c r="K37" s="1"/>
      <c r="L37" s="1"/>
      <c r="M37" s="1"/>
      <c r="N37" s="9"/>
      <c r="Q37" s="117">
        <f>B37-H37</f>
        <v>-8.2387546571449893E-2</v>
      </c>
      <c r="R37" s="1">
        <f>1+($J$2-1)*SUM(C37:G37)*$B$27</f>
        <v>1.9605816035754506</v>
      </c>
      <c r="S37" s="9">
        <f>B37*R37*2-H37*COUNT(E37:N37)</f>
        <v>-0.34889186398633609</v>
      </c>
    </row>
    <row r="38" spans="1:19" x14ac:dyDescent="0.2">
      <c r="A38" s="266">
        <v>5</v>
      </c>
      <c r="B38" s="259">
        <f t="shared" si="9"/>
        <v>0.2458594143670933</v>
      </c>
      <c r="C38" s="270">
        <f t="shared" si="10"/>
        <v>0.61802418005091952</v>
      </c>
      <c r="D38" s="121">
        <f>D37+E27*E28</f>
        <v>1.5535459079769671</v>
      </c>
      <c r="E38" s="247">
        <f>D38*$D$11</f>
        <v>1.2261829397311381</v>
      </c>
      <c r="F38" s="1">
        <f>E38*$C$11</f>
        <v>0.95765062149855762</v>
      </c>
      <c r="G38" s="1">
        <f>F38*$B$11</f>
        <v>0.71483174080754786</v>
      </c>
      <c r="H38" s="1">
        <f>G38*B28</f>
        <v>0.43046080704978845</v>
      </c>
      <c r="I38" s="1">
        <f>H38*B28</f>
        <v>0.25921695390390065</v>
      </c>
      <c r="J38" s="1"/>
      <c r="K38" s="1"/>
      <c r="L38" s="1"/>
      <c r="M38" s="1"/>
      <c r="N38" s="9"/>
      <c r="Q38" s="117">
        <f>B38-I38</f>
        <v>-1.335753953680735E-2</v>
      </c>
      <c r="R38" s="1">
        <f>1+($J$2-1)*SUM(C38:H38)*$B$27</f>
        <v>2.0949433678603642</v>
      </c>
      <c r="S38" s="9">
        <f>B38*R38*2-I38*COUNT(E38:N38)</f>
        <v>-0.2659616704107528</v>
      </c>
    </row>
    <row r="39" spans="1:19" x14ac:dyDescent="0.2">
      <c r="A39" s="266">
        <v>6</v>
      </c>
      <c r="B39" s="259">
        <f t="shared" si="9"/>
        <v>0.24598427299737147</v>
      </c>
      <c r="C39" s="270">
        <f t="shared" si="10"/>
        <v>0.61833804093275146</v>
      </c>
      <c r="D39" s="121">
        <f>D38+F27*F28</f>
        <v>1.5543348694842725</v>
      </c>
      <c r="E39" s="247">
        <f>D39*$E$11</f>
        <v>1.2298882645513245</v>
      </c>
      <c r="F39" s="1">
        <f>E39*$D$11</f>
        <v>0.97072638795217969</v>
      </c>
      <c r="G39" s="1">
        <f>F39*$C$11</f>
        <v>0.75813869089655528</v>
      </c>
      <c r="H39" s="1">
        <f>G39*$B$11</f>
        <v>0.56590742805460215</v>
      </c>
      <c r="I39" s="1">
        <f>H39*B28</f>
        <v>0.34078084993911611</v>
      </c>
      <c r="J39" s="1">
        <f>I39*B28</f>
        <v>0.20521304709578986</v>
      </c>
      <c r="K39" s="1"/>
      <c r="L39" s="1"/>
      <c r="M39" s="1"/>
      <c r="N39" s="9"/>
      <c r="Q39" s="117">
        <f>B39-J39</f>
        <v>4.0771225901581609E-2</v>
      </c>
      <c r="R39" s="1">
        <f>1+($J$2-1)*SUM(C39:I39)*$B$27</f>
        <v>2.2019193978491596</v>
      </c>
      <c r="S39" s="9">
        <f>B39*R39*2-J39*COUNT(E39:N39)</f>
        <v>-0.14800319801726824</v>
      </c>
    </row>
    <row r="40" spans="1:19" x14ac:dyDescent="0.2">
      <c r="A40" s="266">
        <v>7</v>
      </c>
      <c r="B40" s="259">
        <f t="shared" si="9"/>
        <v>0.24601418391448213</v>
      </c>
      <c r="C40" s="270">
        <f t="shared" si="10"/>
        <v>0.61841322890173556</v>
      </c>
      <c r="D40" s="121">
        <f>D39+G27*G28</f>
        <v>1.5545238717358263</v>
      </c>
      <c r="E40" s="247">
        <f>D40*$F$11</f>
        <v>1.2307763703757435</v>
      </c>
      <c r="F40" s="1">
        <f>E40*$E$11</f>
        <v>0.97386827248780194</v>
      </c>
      <c r="G40" s="1">
        <f>F40*$D$11</f>
        <v>0.76865489145730626</v>
      </c>
      <c r="H40" s="1">
        <f>G40*$C$11</f>
        <v>0.60032056446927817</v>
      </c>
      <c r="I40" s="1">
        <f>H40*$B$11</f>
        <v>0.44810516957701385</v>
      </c>
      <c r="J40" s="1">
        <f>I40*B28</f>
        <v>0.26984212077851111</v>
      </c>
      <c r="K40" s="1">
        <f>J40*B28</f>
        <v>0.16249482284477468</v>
      </c>
      <c r="L40" s="1"/>
      <c r="M40" s="1"/>
      <c r="N40" s="9"/>
      <c r="Q40" s="117">
        <f>B40-K40</f>
        <v>8.3519361069707448E-2</v>
      </c>
      <c r="R40" s="1">
        <f>1+($J$2-1)*SUM(C40:J40)*$B$27</f>
        <v>2.2867946281607385</v>
      </c>
      <c r="S40" s="9">
        <f>B40*R40*2-K40*COUNT(E40:N40)</f>
        <v>-1.2295931459451293E-2</v>
      </c>
    </row>
    <row r="41" spans="1:19" x14ac:dyDescent="0.2">
      <c r="A41" s="266">
        <v>8</v>
      </c>
      <c r="B41" s="259">
        <f t="shared" si="9"/>
        <v>0.2460159004470798</v>
      </c>
      <c r="C41" s="270">
        <f t="shared" si="10"/>
        <v>0.61841754380118308</v>
      </c>
      <c r="D41" s="121">
        <f>D40+I27*I28</f>
        <v>1.5545347182279157</v>
      </c>
      <c r="E41" s="247">
        <f>D41*$G$11</f>
        <v>1.2309618862146099</v>
      </c>
      <c r="F41" s="1">
        <f>E41*$F$11</f>
        <v>0.97459989513982859</v>
      </c>
      <c r="G41" s="1">
        <f>F41*$E$11</f>
        <v>0.77116520847475922</v>
      </c>
      <c r="H41" s="1">
        <f>G41*$D$11</f>
        <v>0.60866538767258338</v>
      </c>
      <c r="I41" s="1">
        <f>H41*$C$11</f>
        <v>0.47536853425567838</v>
      </c>
      <c r="J41" s="1">
        <f>I41*$B$11</f>
        <v>0.35483558328963172</v>
      </c>
      <c r="K41" s="1">
        <f>J41*$B$7</f>
        <v>0.21367659385169888</v>
      </c>
      <c r="L41" s="1">
        <f>K41*$B$7</f>
        <v>0.12867279638861967</v>
      </c>
      <c r="M41" s="1"/>
      <c r="N41" s="9"/>
      <c r="Q41" s="117">
        <f>B41-L41</f>
        <v>0.11734310405846013</v>
      </c>
      <c r="R41" s="1">
        <f>1+($J$2-1)*SUM(C41:K41)*$B$27</f>
        <v>2.3540197945482948</v>
      </c>
      <c r="S41" s="9">
        <f>B41*R41*2-L41*COUNT(E41:N41)</f>
        <v>0.12887022774313972</v>
      </c>
    </row>
    <row r="42" spans="1:19" x14ac:dyDescent="0.2">
      <c r="A42" s="266">
        <v>9</v>
      </c>
      <c r="B42" s="259">
        <f t="shared" si="9"/>
        <v>0.24601631165665444</v>
      </c>
      <c r="C42" s="270">
        <f t="shared" si="10"/>
        <v>0.61841857747101769</v>
      </c>
      <c r="D42" s="121">
        <f>D41+J27*J28</f>
        <v>1.5545373165947656</v>
      </c>
      <c r="E42" s="247">
        <f>D42*$H$11</f>
        <v>1.2310063284340773</v>
      </c>
      <c r="F42" s="1">
        <f>E42*$G$11</f>
        <v>0.9747751878573141</v>
      </c>
      <c r="G42" s="1">
        <f>F42*$F$11</f>
        <v>0.77176702748456683</v>
      </c>
      <c r="H42" s="1">
        <f>G42*$E$11</f>
        <v>0.61067098776846473</v>
      </c>
      <c r="I42" s="1">
        <f>H42*$D$11</f>
        <v>0.48199048585924087</v>
      </c>
      <c r="J42" s="1">
        <f>I42*$C$11</f>
        <v>0.37643525560770147</v>
      </c>
      <c r="K42" s="1">
        <f>J42*$B$11</f>
        <v>0.28098751572500574</v>
      </c>
      <c r="L42" s="1">
        <f>K42*$B$7</f>
        <v>0.1692064102431417</v>
      </c>
      <c r="M42" s="1">
        <f>L42*$B$7</f>
        <v>0.10189352787968881</v>
      </c>
      <c r="N42" s="9"/>
      <c r="Q42" s="117">
        <f>B42-M42</f>
        <v>0.14412278377696564</v>
      </c>
      <c r="R42" s="1">
        <f>1+($J$2-1)*SUM(C42:L42)*$B$27</f>
        <v>2.4072810007798306</v>
      </c>
      <c r="S42" s="9">
        <f>B42*R42*2-M42*COUNT(E42:N42)</f>
        <v>0.26741903494878838</v>
      </c>
    </row>
    <row r="43" spans="1:19" ht="17" thickBot="1" x14ac:dyDescent="0.25">
      <c r="A43" s="267">
        <v>10</v>
      </c>
      <c r="B43" s="260">
        <f t="shared" si="9"/>
        <v>0.24601641016530756</v>
      </c>
      <c r="C43" s="271">
        <f t="shared" si="10"/>
        <v>0.6184188250951721</v>
      </c>
      <c r="D43" s="248">
        <f>D42+K27*K28</f>
        <v>1.5545379390550256</v>
      </c>
      <c r="E43" s="274">
        <f>D43*$I$11</f>
        <v>1.2310169749561992</v>
      </c>
      <c r="F43" s="171">
        <f>E43*$H$11</f>
        <v>0.97481718219562352</v>
      </c>
      <c r="G43" s="171">
        <f>F43*$G$11</f>
        <v>0.77191122413645896</v>
      </c>
      <c r="H43" s="171">
        <f>G43*$F$11</f>
        <v>0.61115182080421482</v>
      </c>
      <c r="I43" s="171">
        <f>H43*$E$11</f>
        <v>0.48358205623713146</v>
      </c>
      <c r="J43" s="171">
        <f>I43*$D$11</f>
        <v>0.38168171553438612</v>
      </c>
      <c r="K43" s="171">
        <f>J43*$C$11</f>
        <v>0.29809396318651005</v>
      </c>
      <c r="L43" s="171">
        <f>K43*$B$11</f>
        <v>0.22251019510162245</v>
      </c>
      <c r="M43" s="171">
        <f>L43*$B$7</f>
        <v>0.13399225676806842</v>
      </c>
      <c r="N43" s="10">
        <f>M43*$B$7</f>
        <v>8.0688100001890944E-2</v>
      </c>
      <c r="Q43" s="118">
        <f>B43-N43</f>
        <v>0.16532831016341662</v>
      </c>
      <c r="R43" s="171">
        <f>1+($J$2-1)*SUM(C43:M43)*$B$27</f>
        <v>2.4494646373564892</v>
      </c>
      <c r="S43" s="10">
        <f>B43*R43*2-N43*COUNT(E43:N43)</f>
        <v>0.3983359937997113</v>
      </c>
    </row>
    <row r="45" spans="1:19" x14ac:dyDescent="0.2">
      <c r="A45" s="362" t="s">
        <v>165</v>
      </c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</row>
    <row r="46" spans="1:19" x14ac:dyDescent="0.2">
      <c r="A46" t="s">
        <v>163</v>
      </c>
      <c r="B46" s="255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</row>
    <row r="47" spans="1:19" x14ac:dyDescent="0.2">
      <c r="A47" t="s">
        <v>157</v>
      </c>
      <c r="B47" s="255">
        <f>$C$2</f>
        <v>0.3978152025489306</v>
      </c>
      <c r="C47">
        <f>B47*$C$2</f>
        <v>0.15825693537904667</v>
      </c>
      <c r="D47">
        <f t="shared" ref="D47:K47" si="11">C47*$C$2</f>
        <v>6.2957014802588473E-2</v>
      </c>
      <c r="E47">
        <f t="shared" si="11"/>
        <v>2.5045257595567756E-2</v>
      </c>
      <c r="F47">
        <f t="shared" si="11"/>
        <v>9.96338422327093E-3</v>
      </c>
      <c r="G47">
        <f t="shared" si="11"/>
        <v>3.9635857128533444E-3</v>
      </c>
      <c r="H47">
        <f t="shared" si="11"/>
        <v>1.5767746531788007E-3</v>
      </c>
      <c r="I47">
        <f t="shared" si="11"/>
        <v>6.2726492802834437E-4</v>
      </c>
      <c r="J47">
        <f t="shared" si="11"/>
        <v>2.495355243954362E-4</v>
      </c>
      <c r="K47">
        <f t="shared" si="11"/>
        <v>9.9269025180524062E-5</v>
      </c>
    </row>
    <row r="48" spans="1:19" x14ac:dyDescent="0.2">
      <c r="A48" t="s">
        <v>158</v>
      </c>
      <c r="B48" s="255">
        <f>$E$2</f>
        <v>0.60218479745106923</v>
      </c>
      <c r="C48">
        <f>B48*$E$2</f>
        <v>0.3626265302811853</v>
      </c>
      <c r="D48">
        <f t="shared" ref="D48:K48" si="12">C48*$E$2</f>
        <v>0.21836818368775959</v>
      </c>
      <c r="E48">
        <f t="shared" si="12"/>
        <v>0.13149800046377139</v>
      </c>
      <c r="F48">
        <f t="shared" si="12"/>
        <v>7.9186096774496784E-2</v>
      </c>
      <c r="G48">
        <f t="shared" si="12"/>
        <v>4.7684663647091112E-2</v>
      </c>
      <c r="H48">
        <f t="shared" si="12"/>
        <v>2.8714979519845925E-2</v>
      </c>
      <c r="I48">
        <f t="shared" si="12"/>
        <v>1.7291724125970021E-2</v>
      </c>
      <c r="J48">
        <f t="shared" si="12"/>
        <v>1.0412813390377024E-2</v>
      </c>
      <c r="K48">
        <f t="shared" si="12"/>
        <v>6.2704379223799695E-3</v>
      </c>
    </row>
    <row r="49" spans="1:19" x14ac:dyDescent="0.2">
      <c r="B49" s="255">
        <v>1</v>
      </c>
      <c r="C49">
        <v>2</v>
      </c>
      <c r="D49">
        <v>3</v>
      </c>
      <c r="E49" s="255">
        <v>4</v>
      </c>
      <c r="F49">
        <v>5</v>
      </c>
      <c r="G49">
        <v>6</v>
      </c>
      <c r="H49" s="255">
        <v>7</v>
      </c>
      <c r="I49">
        <v>8</v>
      </c>
      <c r="J49">
        <v>9</v>
      </c>
      <c r="K49" s="255"/>
    </row>
    <row r="50" spans="1:19" x14ac:dyDescent="0.2">
      <c r="B50" s="255">
        <f>B47+C47*B48</f>
        <v>0.49311512312538874</v>
      </c>
      <c r="C50">
        <f>B50+D47*C48</f>
        <v>0.51594500696011258</v>
      </c>
      <c r="D50">
        <f>C50+E47*D48</f>
        <v>0.52141409437124875</v>
      </c>
      <c r="E50">
        <f t="shared" ref="E50:J50" si="13">D50+F47*E48</f>
        <v>0.52272425947446122</v>
      </c>
      <c r="F50">
        <f t="shared" si="13"/>
        <v>0.52303812035629327</v>
      </c>
      <c r="G50">
        <f t="shared" si="13"/>
        <v>0.52311330832527736</v>
      </c>
      <c r="H50">
        <f t="shared" si="13"/>
        <v>0.52313132022483921</v>
      </c>
      <c r="I50">
        <f t="shared" si="13"/>
        <v>0.52313563512428674</v>
      </c>
      <c r="J50">
        <f t="shared" si="13"/>
        <v>0.52313666879412135</v>
      </c>
    </row>
    <row r="51" spans="1:19" x14ac:dyDescent="0.2">
      <c r="B51" s="255">
        <v>-1</v>
      </c>
      <c r="C51">
        <v>-2</v>
      </c>
      <c r="D51" s="255">
        <v>-3</v>
      </c>
      <c r="E51">
        <v>-4</v>
      </c>
      <c r="F51" s="255">
        <v>-5</v>
      </c>
      <c r="G51">
        <v>-6</v>
      </c>
      <c r="H51" s="255">
        <v>-7</v>
      </c>
      <c r="I51">
        <v>-8</v>
      </c>
      <c r="J51" s="255">
        <v>-9</v>
      </c>
      <c r="K51" s="255"/>
    </row>
    <row r="52" spans="1:19" ht="17" thickBot="1" x14ac:dyDescent="0.25">
      <c r="B52" s="255">
        <f>B48+B47*C48</f>
        <v>0.74644314404449486</v>
      </c>
      <c r="C52">
        <f>B52+C47*D48</f>
        <v>0.78100142357920843</v>
      </c>
      <c r="D52">
        <f>C52+D47*E48</f>
        <v>0.78928014514091682</v>
      </c>
      <c r="E52">
        <f>D52+E47*F48</f>
        <v>0.79126338133262164</v>
      </c>
      <c r="F52">
        <f t="shared" ref="F52:J52" si="14">E52+F47*G48</f>
        <v>0.79173848195809504</v>
      </c>
      <c r="G52">
        <f t="shared" si="14"/>
        <v>0.79185229624066478</v>
      </c>
      <c r="H52">
        <f t="shared" si="14"/>
        <v>0.79187956139297633</v>
      </c>
      <c r="I52">
        <f t="shared" si="14"/>
        <v>0.79188609298561818</v>
      </c>
      <c r="J52">
        <f t="shared" si="14"/>
        <v>0.79188765768263336</v>
      </c>
    </row>
    <row r="53" spans="1:19" ht="17" thickBot="1" x14ac:dyDescent="0.25">
      <c r="A53" s="264"/>
      <c r="B53" s="262">
        <v>3</v>
      </c>
      <c r="C53" s="263">
        <v>2</v>
      </c>
      <c r="D53" s="268">
        <v>1</v>
      </c>
      <c r="E53" s="275">
        <v>0</v>
      </c>
      <c r="F53" s="272">
        <v>-1</v>
      </c>
      <c r="G53" s="183">
        <v>-2</v>
      </c>
      <c r="H53" s="183">
        <v>-3</v>
      </c>
      <c r="I53" s="183">
        <v>-4</v>
      </c>
      <c r="J53" s="183">
        <v>-5</v>
      </c>
      <c r="K53" s="183">
        <v>-6</v>
      </c>
      <c r="L53" s="183">
        <v>-7</v>
      </c>
      <c r="M53" s="183">
        <v>-8</v>
      </c>
      <c r="N53" s="183">
        <v>-9</v>
      </c>
      <c r="O53" s="144">
        <v>-10</v>
      </c>
      <c r="Q53" s="29" t="s">
        <v>61</v>
      </c>
      <c r="R53" s="19" t="s">
        <v>58</v>
      </c>
      <c r="S53" s="20" t="s">
        <v>60</v>
      </c>
    </row>
    <row r="54" spans="1:19" x14ac:dyDescent="0.2">
      <c r="A54" s="265">
        <v>1</v>
      </c>
      <c r="B54" s="257">
        <f>C54*$B$47</f>
        <v>7.8038888174885288E-2</v>
      </c>
      <c r="C54" s="258">
        <f>D54*$B$47</f>
        <v>0.19616869258606737</v>
      </c>
      <c r="D54" s="269">
        <f>E54*$B$50</f>
        <v>0.49311512312538874</v>
      </c>
      <c r="E54" s="119">
        <v>1</v>
      </c>
      <c r="F54" s="273">
        <f>E54*B48</f>
        <v>0.60218479745106923</v>
      </c>
      <c r="G54" s="170"/>
      <c r="H54" s="170"/>
      <c r="I54" s="170"/>
      <c r="J54" s="170"/>
      <c r="K54" s="170"/>
      <c r="L54" s="170"/>
      <c r="M54" s="170"/>
      <c r="N54" s="170"/>
      <c r="O54" s="63"/>
      <c r="Q54" s="28">
        <f>B54-F54</f>
        <v>-0.52414590927618399</v>
      </c>
      <c r="R54" s="2">
        <f>1+($J$2-1)*SUM(C54:E54)*$B$47</f>
        <v>1.3362610920808986</v>
      </c>
      <c r="S54" s="8">
        <f>B54*R54*3-F54*COUNT(F54:O54)</f>
        <v>-0.28934380763901524</v>
      </c>
    </row>
    <row r="55" spans="1:19" x14ac:dyDescent="0.2">
      <c r="A55" s="266">
        <v>2</v>
      </c>
      <c r="B55" s="259">
        <f t="shared" ref="B55:C63" si="15">C55*$B$47</f>
        <v>0.11990711828471461</v>
      </c>
      <c r="C55" s="256">
        <f t="shared" si="15"/>
        <v>0.30141411770196547</v>
      </c>
      <c r="D55" s="270">
        <f>E55*$B$50</f>
        <v>0.75767370319361294</v>
      </c>
      <c r="E55" s="121">
        <f>E54+(B48*B47*2)+C47*C48</f>
        <v>1.5365046977092052</v>
      </c>
      <c r="F55" s="247">
        <f>E55*B48</f>
        <v>0.92525977017263406</v>
      </c>
      <c r="G55" s="1">
        <f>F55*B48</f>
        <v>0.55717736729103051</v>
      </c>
      <c r="H55" s="1"/>
      <c r="I55" s="1"/>
      <c r="J55" s="1"/>
      <c r="K55" s="1"/>
      <c r="L55" s="1"/>
      <c r="M55" s="1"/>
      <c r="N55" s="1"/>
      <c r="O55" s="9"/>
      <c r="Q55" s="117">
        <f>B55-G55</f>
        <v>-0.43727024900631589</v>
      </c>
      <c r="R55" s="1">
        <f>1+($J$2-1)*SUM(C55:F55)*$B$47</f>
        <v>1.7008447157715803</v>
      </c>
      <c r="S55" s="9">
        <f>B55*R55*3-G55*COUNT(F55:O55)</f>
        <v>-0.50252456902819709</v>
      </c>
    </row>
    <row r="56" spans="1:19" x14ac:dyDescent="0.2">
      <c r="A56" s="266">
        <v>3</v>
      </c>
      <c r="B56" s="259">
        <f t="shared" si="15"/>
        <v>0.12886413521221377</v>
      </c>
      <c r="C56" s="256">
        <f>D56*$B$47</f>
        <v>0.32392963965816185</v>
      </c>
      <c r="D56" s="270">
        <f>E56*$B$50</f>
        <v>0.81427164568533306</v>
      </c>
      <c r="E56" s="121">
        <f>E55+(C47*C48*2)</f>
        <v>1.65128102444808</v>
      </c>
      <c r="F56" s="247">
        <f>E56*$B$11</f>
        <v>1.2325873995900392</v>
      </c>
      <c r="G56" s="1">
        <f>F56*B47</f>
        <v>0.4903420060271711</v>
      </c>
      <c r="H56" s="1">
        <f>G56*B47</f>
        <v>0.19506550444594803</v>
      </c>
      <c r="I56" s="1"/>
      <c r="J56" s="1"/>
      <c r="K56" s="1"/>
      <c r="L56" s="1"/>
      <c r="M56" s="1"/>
      <c r="N56" s="1"/>
      <c r="O56" s="9"/>
      <c r="Q56" s="117">
        <f>B56-H56</f>
        <v>-6.6201369233734264E-2</v>
      </c>
      <c r="R56" s="1">
        <f>1+($J$2-1)*SUM(C56:G56)*$B$47</f>
        <v>1.8982199895776275</v>
      </c>
      <c r="S56" s="9">
        <f>B56*R56*3-H56*COUNT(F56:O56)</f>
        <v>0.1486409188605311</v>
      </c>
    </row>
    <row r="57" spans="1:19" x14ac:dyDescent="0.2">
      <c r="A57" s="266">
        <v>4</v>
      </c>
      <c r="B57" s="259">
        <f t="shared" si="15"/>
        <v>0.12993699893929525</v>
      </c>
      <c r="C57" s="256">
        <f t="shared" si="15"/>
        <v>0.32662652937028774</v>
      </c>
      <c r="D57" s="270">
        <f t="shared" ref="D57:D63" si="16">E57*$B$50</f>
        <v>0.82105089819968169</v>
      </c>
      <c r="E57" s="121">
        <f>E56+D47*D48</f>
        <v>1.6650288334209247</v>
      </c>
      <c r="F57" s="247">
        <f>E57*$C$11</f>
        <v>1.3003898892021708</v>
      </c>
      <c r="G57" s="1">
        <f>F57*$B$11</f>
        <v>0.97066711737974065</v>
      </c>
      <c r="H57" s="1">
        <f>G57*B48</f>
        <v>0.58452098147173237</v>
      </c>
      <c r="I57" s="1">
        <f>H57*B48</f>
        <v>0.35198964883345535</v>
      </c>
      <c r="J57" s="1"/>
      <c r="K57" s="1"/>
      <c r="L57" s="1"/>
      <c r="M57" s="1"/>
      <c r="N57" s="1"/>
      <c r="O57" s="9"/>
      <c r="Q57" s="117">
        <f>B57-I57</f>
        <v>-0.2220526498941601</v>
      </c>
      <c r="R57" s="1">
        <f>1+($J$2-1)*SUM(C57:H57)*$B$47</f>
        <v>2.128302677194557</v>
      </c>
      <c r="S57" s="9">
        <f>B57*R57*3-I57*COUNT(F57:O57)</f>
        <v>-0.57832280720643625</v>
      </c>
    </row>
    <row r="58" spans="1:19" x14ac:dyDescent="0.2">
      <c r="A58" s="266">
        <v>5</v>
      </c>
      <c r="B58" s="259">
        <f t="shared" si="15"/>
        <v>0.13019401231466432</v>
      </c>
      <c r="C58" s="256">
        <f t="shared" si="15"/>
        <v>0.32727259159647293</v>
      </c>
      <c r="D58" s="270">
        <f t="shared" si="16"/>
        <v>0.8226749241847261</v>
      </c>
      <c r="E58" s="121">
        <f>E57+E47*E48</f>
        <v>1.668322234715842</v>
      </c>
      <c r="F58" s="247">
        <f>E58*$D$11</f>
        <v>1.3167736155583385</v>
      </c>
      <c r="G58" s="1">
        <f>F58*$C$11</f>
        <v>1.0284020682826036</v>
      </c>
      <c r="H58" s="1">
        <f>G58*$B$11</f>
        <v>0.7676436731907279</v>
      </c>
      <c r="I58" s="1">
        <f>H58*B48</f>
        <v>0.46226334985495326</v>
      </c>
      <c r="J58" s="1">
        <f>I58*B48</f>
        <v>0.27836796170145778</v>
      </c>
      <c r="K58" s="1"/>
      <c r="L58" s="1"/>
      <c r="M58" s="1"/>
      <c r="N58" s="1"/>
      <c r="O58" s="9"/>
      <c r="Q58" s="117">
        <f>B58-J58</f>
        <v>-0.14817394938679346</v>
      </c>
      <c r="R58" s="1">
        <f>1+($J$2-1)*SUM(C58:I58)*$B$47</f>
        <v>2.2726314307773712</v>
      </c>
      <c r="S58" s="9">
        <f>B58*R58*3-J58*COUNT(F58:O58)</f>
        <v>-0.50419079505132225</v>
      </c>
    </row>
    <row r="59" spans="1:19" x14ac:dyDescent="0.2">
      <c r="A59" s="266">
        <v>6</v>
      </c>
      <c r="B59" s="259">
        <f t="shared" si="15"/>
        <v>0.1302555819935072</v>
      </c>
      <c r="C59" s="256">
        <f t="shared" si="15"/>
        <v>0.32742736114386173</v>
      </c>
      <c r="D59" s="270">
        <f t="shared" si="16"/>
        <v>0.82306397303554213</v>
      </c>
      <c r="E59" s="121">
        <f>E58+F47*F48</f>
        <v>1.6691111962231473</v>
      </c>
      <c r="F59" s="247">
        <f>E59*$E$11</f>
        <v>1.3207065689436646</v>
      </c>
      <c r="G59" s="1">
        <f>F59*$D$11</f>
        <v>1.0424074724244179</v>
      </c>
      <c r="H59" s="1">
        <f>G59*$C$11</f>
        <v>0.8141217199130748</v>
      </c>
      <c r="I59" s="1">
        <f>H59*$B$11</f>
        <v>0.60769557624682724</v>
      </c>
      <c r="J59" s="1">
        <f>I59*B48</f>
        <v>0.36594503749410645</v>
      </c>
      <c r="K59" s="1">
        <f>J59*B48</f>
        <v>0.22036653828161243</v>
      </c>
      <c r="L59" s="1"/>
      <c r="M59" s="1"/>
      <c r="N59" s="1"/>
      <c r="O59" s="9"/>
      <c r="Q59" s="117">
        <f>B59-K59</f>
        <v>-9.0110956288105226E-2</v>
      </c>
      <c r="R59" s="1">
        <f>1+($J$2-1)*SUM(C59:J59)*$B$47</f>
        <v>2.387511575772602</v>
      </c>
      <c r="S59" s="9">
        <f>B59*R59*3-K59*COUNT(F59:O59)</f>
        <v>-0.38923910023418729</v>
      </c>
    </row>
    <row r="60" spans="1:19" x14ac:dyDescent="0.2">
      <c r="A60" s="266">
        <v>7</v>
      </c>
      <c r="B60" s="259">
        <f t="shared" si="15"/>
        <v>0.13027033151908102</v>
      </c>
      <c r="C60" s="256">
        <f t="shared" si="15"/>
        <v>0.32746443746844489</v>
      </c>
      <c r="D60" s="270">
        <f t="shared" si="16"/>
        <v>0.82315717290408807</v>
      </c>
      <c r="E60" s="121">
        <f>E59+G47*G48</f>
        <v>1.6693001984747011</v>
      </c>
      <c r="F60" s="247">
        <f>E60*$F$11</f>
        <v>1.3216492050727067</v>
      </c>
      <c r="G60" s="1">
        <f>F60*$E$11</f>
        <v>1.0457726189414014</v>
      </c>
      <c r="H60" s="1">
        <f>G60*$D$11</f>
        <v>0.82540756446246599</v>
      </c>
      <c r="I60" s="1">
        <f>H60*$C$11</f>
        <v>0.64464448287823317</v>
      </c>
      <c r="J60" s="1">
        <f>I60*$B$11</f>
        <v>0.48119045459056592</v>
      </c>
      <c r="K60" s="1">
        <f>J60*B48</f>
        <v>0.28976557643300788</v>
      </c>
      <c r="L60" s="1">
        <f>K60*B48</f>
        <v>0.17449242495260317</v>
      </c>
      <c r="M60" s="1"/>
      <c r="N60" s="1"/>
      <c r="O60" s="9"/>
      <c r="Q60" s="117">
        <f>B60-L60</f>
        <v>-4.4222093433522153E-2</v>
      </c>
      <c r="R60" s="1">
        <f>1+($J$2-1)*SUM(C60:K60)*$B$47</f>
        <v>2.4786536374444221</v>
      </c>
      <c r="S60" s="9">
        <f>B60*R60*3-L60*COUNT(F60:O60)</f>
        <v>-0.25276188145563938</v>
      </c>
    </row>
    <row r="61" spans="1:19" x14ac:dyDescent="0.2">
      <c r="A61" s="266">
        <v>8</v>
      </c>
      <c r="B61" s="259">
        <f t="shared" si="15"/>
        <v>0.13027117796726428</v>
      </c>
      <c r="C61" s="256">
        <f t="shared" si="15"/>
        <v>0.32746656521061723</v>
      </c>
      <c r="D61" s="270">
        <f t="shared" si="16"/>
        <v>0.82316252147337021</v>
      </c>
      <c r="E61" s="121">
        <f>E60+I47*I48</f>
        <v>1.6693110449667905</v>
      </c>
      <c r="F61" s="247">
        <f>E61*$G$11</f>
        <v>1.3218477840968568</v>
      </c>
      <c r="G61" s="1">
        <f>F61*$F$11</f>
        <v>1.0465577579605172</v>
      </c>
      <c r="H61" s="1">
        <f>G61*$E$11</f>
        <v>0.82810283032372622</v>
      </c>
      <c r="I61" s="1">
        <f>H61*$D$11</f>
        <v>0.6536051221095146</v>
      </c>
      <c r="J61" s="1">
        <f>I61*$C$11</f>
        <v>0.51046653082619331</v>
      </c>
      <c r="K61" s="1">
        <f>J61*$B$11</f>
        <v>0.38103424219938981</v>
      </c>
      <c r="L61" s="1">
        <f>K61*$B$7</f>
        <v>0.2294530279607612</v>
      </c>
      <c r="M61" s="1">
        <f>L61*$B$7</f>
        <v>0.13817312516708552</v>
      </c>
      <c r="N61" s="1"/>
      <c r="O61" s="9"/>
      <c r="Q61" s="117">
        <f>B61-M61</f>
        <v>-7.9019471998212354E-3</v>
      </c>
      <c r="R61" s="1">
        <f>1+($J$2-1)*SUM(C61:L61)*$B$47</f>
        <v>2.5508422217098015</v>
      </c>
      <c r="S61" s="9">
        <f>B61*R61*3-M61*COUNT(F61:O61)</f>
        <v>-0.10848133824437611</v>
      </c>
    </row>
    <row r="62" spans="1:19" x14ac:dyDescent="0.2">
      <c r="A62" s="266">
        <v>9</v>
      </c>
      <c r="B62" s="259">
        <f t="shared" si="15"/>
        <v>0.13027138074092431</v>
      </c>
      <c r="C62" s="256">
        <f t="shared" si="15"/>
        <v>0.32746707492884503</v>
      </c>
      <c r="D62" s="270">
        <f t="shared" si="16"/>
        <v>0.82316380276735934</v>
      </c>
      <c r="E62" s="121">
        <f>E61+J47*J48</f>
        <v>1.6693136433336404</v>
      </c>
      <c r="F62" s="247">
        <f>E62*$H$11</f>
        <v>1.3218953557103545</v>
      </c>
      <c r="G62" s="1">
        <f>F62*$G$11</f>
        <v>1.0467458728091146</v>
      </c>
      <c r="H62" s="1">
        <f>G62*$F$11</f>
        <v>0.82874898833378963</v>
      </c>
      <c r="I62" s="1">
        <f>H62*$E$11</f>
        <v>0.65575872678498381</v>
      </c>
      <c r="J62" s="1">
        <f>I62*$D$11</f>
        <v>0.51757734305427483</v>
      </c>
      <c r="K62" s="1">
        <f>J62*$C$11</f>
        <v>0.40422864173773299</v>
      </c>
      <c r="L62" s="1">
        <f>K62*$B$11</f>
        <v>0.30173369825154911</v>
      </c>
      <c r="M62" s="1">
        <f>L62*$B$7</f>
        <v>0.18169944596577114</v>
      </c>
      <c r="N62" s="1">
        <f>M62*$B$7</f>
        <v>0.1094166440658694</v>
      </c>
      <c r="O62" s="9"/>
      <c r="Q62" s="117">
        <f>B62-N62</f>
        <v>2.0854736675054913E-2</v>
      </c>
      <c r="R62" s="1">
        <f>1+($J$2-1)*SUM(C62:M62)*$B$47</f>
        <v>2.6080358521629705</v>
      </c>
      <c r="S62" s="9">
        <f>B62*R62*3-N62*COUNT(F62:O62)</f>
        <v>3.4507497856485325E-2</v>
      </c>
    </row>
    <row r="63" spans="1:19" ht="17" thickBot="1" x14ac:dyDescent="0.25">
      <c r="A63" s="267">
        <v>10</v>
      </c>
      <c r="B63" s="260">
        <f t="shared" si="15"/>
        <v>0.13027142931703095</v>
      </c>
      <c r="C63" s="261">
        <f t="shared" si="15"/>
        <v>0.32746719703606042</v>
      </c>
      <c r="D63" s="271">
        <f t="shared" si="16"/>
        <v>0.82316410971192711</v>
      </c>
      <c r="E63" s="248">
        <f>E62+K47*K48</f>
        <v>1.6693142657939004</v>
      </c>
      <c r="F63" s="274">
        <f>E63*$I$11</f>
        <v>1.3219067519046876</v>
      </c>
      <c r="G63" s="171">
        <f>F63*$H$11</f>
        <v>1.046790938900698</v>
      </c>
      <c r="H63" s="171">
        <f>G63*$G$11</f>
        <v>0.82890380865243907</v>
      </c>
      <c r="I63" s="171">
        <f>H63*$F$11</f>
        <v>0.65627504315176544</v>
      </c>
      <c r="J63" s="171">
        <f>I63*$E$11</f>
        <v>0.51928640972847806</v>
      </c>
      <c r="K63" s="171">
        <f>J63*$D$11</f>
        <v>0.40986245284019879</v>
      </c>
      <c r="L63" s="171">
        <f>K63*$C$11</f>
        <v>0.32010315913986143</v>
      </c>
      <c r="M63" s="171">
        <f>L63*$B$11</f>
        <v>0.23893880852693344</v>
      </c>
      <c r="N63" s="171">
        <f>M63*$B$7</f>
        <v>0.14388531801599122</v>
      </c>
      <c r="O63" s="10">
        <f>N63*$B$7</f>
        <v>8.6645551085642356E-2</v>
      </c>
      <c r="Q63" s="118">
        <f>B63-O63</f>
        <v>4.3625878231388596E-2</v>
      </c>
      <c r="R63" s="171">
        <f>1+($J$2-1)*SUM(C63:N63)*$B$47</f>
        <v>2.6533340311369984</v>
      </c>
      <c r="S63" s="10">
        <f>B63*R63*3-O63*COUNT(F63:O63)</f>
        <v>0.17050533921878519</v>
      </c>
    </row>
    <row r="65" spans="1:19" x14ac:dyDescent="0.2">
      <c r="A65" s="362" t="s">
        <v>166</v>
      </c>
      <c r="B65" s="362"/>
      <c r="C65" s="362"/>
      <c r="D65" s="362"/>
      <c r="E65" s="362"/>
      <c r="F65" s="362"/>
      <c r="G65" s="362"/>
      <c r="H65" s="362"/>
      <c r="I65" s="362"/>
      <c r="J65" s="362"/>
      <c r="K65" s="362"/>
      <c r="L65" s="362"/>
      <c r="M65" s="362"/>
      <c r="N65" s="362"/>
      <c r="O65" s="362"/>
      <c r="P65" s="362"/>
      <c r="Q65" s="362"/>
      <c r="R65" s="362"/>
      <c r="S65" s="362"/>
    </row>
    <row r="66" spans="1:19" x14ac:dyDescent="0.2">
      <c r="A66" t="s">
        <v>163</v>
      </c>
      <c r="B66" s="255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19" x14ac:dyDescent="0.2">
      <c r="A67" t="s">
        <v>157</v>
      </c>
      <c r="B67" s="255">
        <f>$C$2</f>
        <v>0.3978152025489306</v>
      </c>
      <c r="C67">
        <f>B67*$C$2</f>
        <v>0.15825693537904667</v>
      </c>
      <c r="D67">
        <f t="shared" ref="D67:K67" si="17">C67*$C$2</f>
        <v>6.2957014802588473E-2</v>
      </c>
      <c r="E67">
        <f t="shared" si="17"/>
        <v>2.5045257595567756E-2</v>
      </c>
      <c r="F67">
        <f t="shared" si="17"/>
        <v>9.96338422327093E-3</v>
      </c>
      <c r="G67">
        <f t="shared" si="17"/>
        <v>3.9635857128533444E-3</v>
      </c>
      <c r="H67">
        <f t="shared" si="17"/>
        <v>1.5767746531788007E-3</v>
      </c>
      <c r="I67">
        <f t="shared" si="17"/>
        <v>6.2726492802834437E-4</v>
      </c>
      <c r="J67">
        <f t="shared" si="17"/>
        <v>2.495355243954362E-4</v>
      </c>
      <c r="K67">
        <f t="shared" si="17"/>
        <v>9.9269025180524062E-5</v>
      </c>
    </row>
    <row r="68" spans="1:19" x14ac:dyDescent="0.2">
      <c r="A68" t="s">
        <v>158</v>
      </c>
      <c r="B68" s="255">
        <f>$E$2</f>
        <v>0.60218479745106923</v>
      </c>
      <c r="C68">
        <f>B68*$E$2</f>
        <v>0.3626265302811853</v>
      </c>
      <c r="D68">
        <f t="shared" ref="D68:K68" si="18">C68*$E$2</f>
        <v>0.21836818368775959</v>
      </c>
      <c r="E68">
        <f t="shared" si="18"/>
        <v>0.13149800046377139</v>
      </c>
      <c r="F68">
        <f t="shared" si="18"/>
        <v>7.9186096774496784E-2</v>
      </c>
      <c r="G68">
        <f t="shared" si="18"/>
        <v>4.7684663647091112E-2</v>
      </c>
      <c r="H68">
        <f t="shared" si="18"/>
        <v>2.8714979519845925E-2</v>
      </c>
      <c r="I68">
        <f t="shared" si="18"/>
        <v>1.7291724125970021E-2</v>
      </c>
      <c r="J68">
        <f t="shared" si="18"/>
        <v>1.0412813390377024E-2</v>
      </c>
      <c r="K68">
        <f t="shared" si="18"/>
        <v>6.2704379223799695E-3</v>
      </c>
    </row>
    <row r="69" spans="1:19" x14ac:dyDescent="0.2">
      <c r="B69" s="255">
        <v>1</v>
      </c>
      <c r="C69">
        <v>2</v>
      </c>
      <c r="D69">
        <v>3</v>
      </c>
      <c r="E69" s="255">
        <v>4</v>
      </c>
      <c r="F69">
        <v>5</v>
      </c>
      <c r="G69">
        <v>6</v>
      </c>
      <c r="H69" s="255">
        <v>7</v>
      </c>
      <c r="I69">
        <v>8</v>
      </c>
      <c r="J69">
        <v>9</v>
      </c>
      <c r="K69" s="255"/>
    </row>
    <row r="70" spans="1:19" x14ac:dyDescent="0.2">
      <c r="B70" s="255">
        <f>B67+C67*B68</f>
        <v>0.49311512312538874</v>
      </c>
      <c r="C70">
        <f>B70+D67*C68</f>
        <v>0.51594500696011258</v>
      </c>
      <c r="D70">
        <f>C70+E67*D68</f>
        <v>0.52141409437124875</v>
      </c>
      <c r="E70">
        <f t="shared" ref="E70:J70" si="19">D70+F67*E68</f>
        <v>0.52272425947446122</v>
      </c>
      <c r="F70">
        <f t="shared" si="19"/>
        <v>0.52303812035629327</v>
      </c>
      <c r="G70">
        <f t="shared" si="19"/>
        <v>0.52311330832527736</v>
      </c>
      <c r="H70">
        <f t="shared" si="19"/>
        <v>0.52313132022483921</v>
      </c>
      <c r="I70">
        <f t="shared" si="19"/>
        <v>0.52313563512428674</v>
      </c>
      <c r="J70">
        <f t="shared" si="19"/>
        <v>0.52313666879412135</v>
      </c>
    </row>
    <row r="71" spans="1:19" x14ac:dyDescent="0.2">
      <c r="B71" s="255">
        <v>-1</v>
      </c>
      <c r="C71">
        <v>-2</v>
      </c>
      <c r="D71" s="255">
        <v>-3</v>
      </c>
      <c r="E71">
        <v>-4</v>
      </c>
      <c r="F71" s="255">
        <v>-5</v>
      </c>
      <c r="G71">
        <v>-6</v>
      </c>
      <c r="H71" s="255">
        <v>-7</v>
      </c>
      <c r="I71">
        <v>-8</v>
      </c>
      <c r="J71" s="255">
        <v>-9</v>
      </c>
      <c r="K71" s="255"/>
    </row>
    <row r="72" spans="1:19" ht="17" thickBot="1" x14ac:dyDescent="0.25">
      <c r="B72" s="255">
        <f>B68+B67*C68</f>
        <v>0.74644314404449486</v>
      </c>
      <c r="C72">
        <f>B72+C67*D68</f>
        <v>0.78100142357920843</v>
      </c>
      <c r="D72">
        <f>C72+D67*E68</f>
        <v>0.78928014514091682</v>
      </c>
      <c r="E72">
        <f>D72+E67*F68</f>
        <v>0.79126338133262164</v>
      </c>
      <c r="F72">
        <f t="shared" ref="F72:J72" si="20">E72+F67*G68</f>
        <v>0.79173848195809504</v>
      </c>
      <c r="G72">
        <f t="shared" si="20"/>
        <v>0.79185229624066478</v>
      </c>
      <c r="H72">
        <f t="shared" si="20"/>
        <v>0.79187956139297633</v>
      </c>
      <c r="I72">
        <f t="shared" si="20"/>
        <v>0.79188609298561818</v>
      </c>
      <c r="J72">
        <f t="shared" si="20"/>
        <v>0.79188765768263336</v>
      </c>
    </row>
    <row r="73" spans="1:19" ht="17" thickBot="1" x14ac:dyDescent="0.25">
      <c r="A73" s="264"/>
      <c r="B73" s="262">
        <v>4</v>
      </c>
      <c r="C73" s="263">
        <v>3</v>
      </c>
      <c r="D73" s="263">
        <v>2</v>
      </c>
      <c r="E73" s="268">
        <v>1</v>
      </c>
      <c r="F73" s="275">
        <v>0</v>
      </c>
      <c r="G73" s="272">
        <v>-1</v>
      </c>
      <c r="H73" s="183">
        <v>-2</v>
      </c>
      <c r="I73" s="183">
        <v>-3</v>
      </c>
      <c r="J73" s="183">
        <v>-4</v>
      </c>
      <c r="K73" s="183">
        <v>-5</v>
      </c>
      <c r="L73" s="183">
        <v>-6</v>
      </c>
      <c r="M73" s="183">
        <v>-7</v>
      </c>
      <c r="N73" s="183">
        <v>-8</v>
      </c>
      <c r="O73" s="183">
        <v>-9</v>
      </c>
      <c r="P73" s="268">
        <v>-10</v>
      </c>
      <c r="Q73" s="29" t="s">
        <v>61</v>
      </c>
      <c r="R73" s="19" t="s">
        <v>58</v>
      </c>
      <c r="S73" s="20" t="s">
        <v>60</v>
      </c>
    </row>
    <row r="74" spans="1:19" x14ac:dyDescent="0.2">
      <c r="A74" s="265">
        <v>1</v>
      </c>
      <c r="B74" s="257">
        <f>C74*$B$67</f>
        <v>4.0263774702550638E-2</v>
      </c>
      <c r="C74" s="258">
        <f>D74*$B$47</f>
        <v>0.10121225746167471</v>
      </c>
      <c r="D74" s="170">
        <f>E74*$B$70</f>
        <v>0.25442028563306546</v>
      </c>
      <c r="E74" s="269">
        <f>F74*$C$70</f>
        <v>0.51594500696011258</v>
      </c>
      <c r="F74" s="119">
        <v>1</v>
      </c>
      <c r="G74" s="273">
        <f>F74*B68</f>
        <v>0.60218479745106923</v>
      </c>
      <c r="H74" s="170"/>
      <c r="I74" s="170"/>
      <c r="J74" s="170"/>
      <c r="K74" s="170"/>
      <c r="L74" s="170"/>
      <c r="M74" s="170"/>
      <c r="N74" s="170"/>
      <c r="O74" s="170"/>
      <c r="P74" s="269"/>
      <c r="Q74" s="28">
        <f>B74-G74</f>
        <v>-0.56192102274851863</v>
      </c>
      <c r="R74" s="2">
        <f>1+($J$2-1)*SUM(C74:F74)*$B$47</f>
        <v>1.3725476471403275</v>
      </c>
      <c r="S74" s="8">
        <f>B74*R74*4-G74*COUNT(G74:P74)</f>
        <v>-0.38112900051917276</v>
      </c>
    </row>
    <row r="75" spans="1:19" x14ac:dyDescent="0.2">
      <c r="A75" s="266">
        <v>2</v>
      </c>
      <c r="B75" s="259">
        <f t="shared" ref="B75:B83" si="21">C75*$B$67</f>
        <v>6.1865478977974106E-2</v>
      </c>
      <c r="C75" s="256">
        <f t="shared" ref="C75" si="22">D75*$B$47</f>
        <v>0.15551310905561674</v>
      </c>
      <c r="D75" s="1">
        <f t="shared" ref="D75:D83" si="23">E75*$B$70</f>
        <v>0.39091796406772289</v>
      </c>
      <c r="E75" s="270">
        <f t="shared" ref="E75:E83" si="24">F75*$C$70</f>
        <v>0.79275192695382157</v>
      </c>
      <c r="F75" s="121">
        <f>F74+(B68*B67*2)+C67*C68</f>
        <v>1.5365046977092052</v>
      </c>
      <c r="G75" s="247">
        <f>F75*B68</f>
        <v>0.92525977017263406</v>
      </c>
      <c r="H75" s="1">
        <f>G75*B68</f>
        <v>0.55717736729103051</v>
      </c>
      <c r="I75" s="1"/>
      <c r="J75" s="1"/>
      <c r="K75" s="1"/>
      <c r="L75" s="1"/>
      <c r="M75" s="1"/>
      <c r="N75" s="1"/>
      <c r="O75" s="1"/>
      <c r="P75" s="270"/>
      <c r="Q75" s="117">
        <f>B75-H75</f>
        <v>-0.49531188831305639</v>
      </c>
      <c r="R75" s="1">
        <f>1+($J$2-1)*SUM(C75:G75)*$B$47</f>
        <v>1.7565991780840764</v>
      </c>
      <c r="S75" s="9">
        <f>B75*R75*4-H75*COUNT(G75:P75)</f>
        <v>-0.67966333648411292</v>
      </c>
    </row>
    <row r="76" spans="1:19" x14ac:dyDescent="0.2">
      <c r="A76" s="266">
        <v>3</v>
      </c>
      <c r="B76" s="259">
        <f t="shared" si="21"/>
        <v>6.6486807138974507E-2</v>
      </c>
      <c r="C76" s="256">
        <f t="shared" ref="C76" si="25">D76*$B$47</f>
        <v>0.16712988018801705</v>
      </c>
      <c r="D76" s="1">
        <f t="shared" si="23"/>
        <v>0.42011938990054148</v>
      </c>
      <c r="E76" s="270">
        <f t="shared" si="24"/>
        <v>0.85197019965196652</v>
      </c>
      <c r="F76" s="121">
        <f>F75+(C67*C68*2)</f>
        <v>1.65128102444808</v>
      </c>
      <c r="G76" s="247">
        <f>F76*$B$11</f>
        <v>1.2325873995900392</v>
      </c>
      <c r="H76" s="1">
        <f>G76*B67</f>
        <v>0.4903420060271711</v>
      </c>
      <c r="I76" s="1">
        <f>H76*B67</f>
        <v>0.19506550444594803</v>
      </c>
      <c r="J76" s="1"/>
      <c r="K76" s="1"/>
      <c r="L76" s="1"/>
      <c r="M76" s="1"/>
      <c r="N76" s="1"/>
      <c r="O76" s="1"/>
      <c r="P76" s="270"/>
      <c r="Q76" s="117">
        <f>B76-I76</f>
        <v>-0.12857869730697352</v>
      </c>
      <c r="R76" s="1">
        <f>1+($J$2-1)*SUM(C76:H76)*$B$47</f>
        <v>1.9581392893898528</v>
      </c>
      <c r="S76" s="9">
        <f>B76*R76*4-I76*COUNT(G76:P76)</f>
        <v>-6.4434796198197142E-2</v>
      </c>
    </row>
    <row r="77" spans="1:19" x14ac:dyDescent="0.2">
      <c r="A77" s="266">
        <v>4</v>
      </c>
      <c r="B77" s="259">
        <f t="shared" si="21"/>
        <v>6.7040345822110825E-2</v>
      </c>
      <c r="C77" s="256">
        <f t="shared" ref="C77" si="26">D77*$B$47</f>
        <v>0.16852132696931052</v>
      </c>
      <c r="D77" s="1">
        <f t="shared" si="23"/>
        <v>0.42361711138624142</v>
      </c>
      <c r="E77" s="270">
        <f t="shared" si="24"/>
        <v>0.85906331304814709</v>
      </c>
      <c r="F77" s="121">
        <f>F76+D67*D68</f>
        <v>1.6650288334209247</v>
      </c>
      <c r="G77" s="247">
        <f>F77*$C$11</f>
        <v>1.3003898892021708</v>
      </c>
      <c r="H77" s="1">
        <f>G77*$B$11</f>
        <v>0.97066711737974065</v>
      </c>
      <c r="I77" s="1">
        <f>H77*B68</f>
        <v>0.58452098147173237</v>
      </c>
      <c r="J77" s="1">
        <f>I77*B68</f>
        <v>0.35198964883345535</v>
      </c>
      <c r="K77" s="1"/>
      <c r="L77" s="1"/>
      <c r="M77" s="1"/>
      <c r="N77" s="1"/>
      <c r="O77" s="1"/>
      <c r="P77" s="270"/>
      <c r="Q77" s="117">
        <f>B77-J77</f>
        <v>-0.28494930301134452</v>
      </c>
      <c r="R77" s="1">
        <f>1+($J$2-1)*SUM(C77:I77)*$B$47</f>
        <v>2.1887208376340217</v>
      </c>
      <c r="S77" s="9">
        <f>B77*R77*4-J77*COUNT(G77:P77)</f>
        <v>-0.82102818788164178</v>
      </c>
    </row>
    <row r="78" spans="1:19" x14ac:dyDescent="0.2">
      <c r="A78" s="266">
        <v>5</v>
      </c>
      <c r="B78" s="259">
        <f t="shared" si="21"/>
        <v>6.7172950589854466E-2</v>
      </c>
      <c r="C78" s="256">
        <f t="shared" ref="C78" si="27">D78*$B$47</f>
        <v>0.16885465954909631</v>
      </c>
      <c r="D78" s="1">
        <f t="shared" si="23"/>
        <v>0.42445501948439862</v>
      </c>
      <c r="E78" s="270">
        <f t="shared" si="24"/>
        <v>0.8607625270021757</v>
      </c>
      <c r="F78" s="121">
        <f>F77+E67*E68</f>
        <v>1.668322234715842</v>
      </c>
      <c r="G78" s="247">
        <f>F78*$D$11</f>
        <v>1.3167736155583385</v>
      </c>
      <c r="H78" s="1">
        <f>G78*$C$11</f>
        <v>1.0284020682826036</v>
      </c>
      <c r="I78" s="1">
        <f>H78*$B$11</f>
        <v>0.7676436731907279</v>
      </c>
      <c r="J78" s="1">
        <f>I78*B68</f>
        <v>0.46226334985495326</v>
      </c>
      <c r="K78" s="1">
        <f>J78*B68</f>
        <v>0.27836796170145778</v>
      </c>
      <c r="L78" s="1"/>
      <c r="M78" s="1"/>
      <c r="N78" s="1"/>
      <c r="O78" s="1"/>
      <c r="P78" s="270"/>
      <c r="Q78" s="117">
        <f>B78-K78</f>
        <v>-0.21119501111160333</v>
      </c>
      <c r="R78" s="1">
        <f>1+($J$2-1)*SUM(C78:J78)*$B$47</f>
        <v>2.3331690974042569</v>
      </c>
      <c r="S78" s="9">
        <f>B78*R78*4-K78*COUNT(G78:P78)</f>
        <v>-0.76493639851644302</v>
      </c>
    </row>
    <row r="79" spans="1:19" x14ac:dyDescent="0.2">
      <c r="A79" s="266">
        <v>6</v>
      </c>
      <c r="B79" s="259">
        <f t="shared" si="21"/>
        <v>6.720471715823359E-2</v>
      </c>
      <c r="C79" s="256">
        <f t="shared" ref="C79" si="28">D79*$B$47</f>
        <v>0.16893451212430105</v>
      </c>
      <c r="D79" s="1">
        <f t="shared" si="23"/>
        <v>0.42465574729644073</v>
      </c>
      <c r="E79" s="270">
        <f t="shared" si="24"/>
        <v>0.86116958775255359</v>
      </c>
      <c r="F79" s="121">
        <f>F78+F67*F68</f>
        <v>1.6691111962231473</v>
      </c>
      <c r="G79" s="247">
        <f>F79*$E$11</f>
        <v>1.3207065689436646</v>
      </c>
      <c r="H79" s="1">
        <f>G79*$D$11</f>
        <v>1.0424074724244179</v>
      </c>
      <c r="I79" s="1">
        <f>H79*$C$11</f>
        <v>0.8141217199130748</v>
      </c>
      <c r="J79" s="1">
        <f>I79*$B$11</f>
        <v>0.60769557624682724</v>
      </c>
      <c r="K79" s="1">
        <f>J79*B68</f>
        <v>0.36594503749410645</v>
      </c>
      <c r="L79" s="1">
        <f>K79*B68</f>
        <v>0.22036653828161243</v>
      </c>
      <c r="M79" s="1"/>
      <c r="N79" s="1"/>
      <c r="O79" s="1"/>
      <c r="P79" s="270"/>
      <c r="Q79" s="117">
        <f>B79-L79</f>
        <v>-0.15316182112337884</v>
      </c>
      <c r="R79" s="1">
        <f>1+($J$2-1)*SUM(C79:K79)*$B$47</f>
        <v>2.4480778710946627</v>
      </c>
      <c r="S79" s="9">
        <f>B79*R79*4-L79*COUNT(G79:P79)</f>
        <v>-0.66410970605668473</v>
      </c>
    </row>
    <row r="80" spans="1:19" x14ac:dyDescent="0.2">
      <c r="A80" s="266">
        <v>7</v>
      </c>
      <c r="B80" s="259">
        <f t="shared" si="21"/>
        <v>6.7212327102308428E-2</v>
      </c>
      <c r="C80" s="256">
        <f t="shared" ref="C80" si="29">D80*$B$47</f>
        <v>0.16895364146884614</v>
      </c>
      <c r="D80" s="1">
        <f t="shared" si="23"/>
        <v>0.42470383330326633</v>
      </c>
      <c r="E80" s="270">
        <f t="shared" si="24"/>
        <v>0.86126710252054695</v>
      </c>
      <c r="F80" s="121">
        <f>F79+G67*G68</f>
        <v>1.6693001984747011</v>
      </c>
      <c r="G80" s="247">
        <f>F80*$F$11</f>
        <v>1.3216492050727067</v>
      </c>
      <c r="H80" s="1">
        <f>G80*$E$11</f>
        <v>1.0457726189414014</v>
      </c>
      <c r="I80" s="1">
        <f>H80*$D$11</f>
        <v>0.82540756446246599</v>
      </c>
      <c r="J80" s="1">
        <f>I80*$C$11</f>
        <v>0.64464448287823317</v>
      </c>
      <c r="K80" s="1">
        <f>J80*$B$11</f>
        <v>0.48119045459056592</v>
      </c>
      <c r="L80" s="1">
        <f>K80*B68</f>
        <v>0.28976557643300788</v>
      </c>
      <c r="M80" s="1">
        <f>L80*B68</f>
        <v>0.17449242495260317</v>
      </c>
      <c r="N80" s="1"/>
      <c r="O80" s="1"/>
      <c r="P80" s="270"/>
      <c r="Q80" s="117">
        <f>B80-M80</f>
        <v>-0.10728009785029474</v>
      </c>
      <c r="R80" s="1">
        <f>1+($J$2-1)*SUM(C80:L80)*$B$47</f>
        <v>2.5392267910070898</v>
      </c>
      <c r="S80" s="9">
        <f>B80*R80*4-M80*COUNT(G80:P80)</f>
        <v>-0.53877760801176822</v>
      </c>
    </row>
    <row r="81" spans="1:19" x14ac:dyDescent="0.2">
      <c r="A81" s="266">
        <v>8</v>
      </c>
      <c r="B81" s="259">
        <f t="shared" si="21"/>
        <v>6.7212763823022229E-2</v>
      </c>
      <c r="C81" s="256">
        <f t="shared" ref="C81" si="30">D81*$B$47</f>
        <v>0.16895473926679605</v>
      </c>
      <c r="D81" s="1">
        <f t="shared" si="23"/>
        <v>0.42470659287088181</v>
      </c>
      <c r="E81" s="270">
        <f t="shared" si="24"/>
        <v>0.86127269871398349</v>
      </c>
      <c r="F81" s="121">
        <f>F80+I67*I68</f>
        <v>1.6693110449667905</v>
      </c>
      <c r="G81" s="247">
        <f>F81*$G$11</f>
        <v>1.3218477840968568</v>
      </c>
      <c r="H81" s="1">
        <f>G81*$F$11</f>
        <v>1.0465577579605172</v>
      </c>
      <c r="I81" s="1">
        <f>H81*$E$11</f>
        <v>0.82810283032372622</v>
      </c>
      <c r="J81" s="1">
        <f>I81*$D$11</f>
        <v>0.6536051221095146</v>
      </c>
      <c r="K81" s="1">
        <f>J81*$C$11</f>
        <v>0.51046653082619331</v>
      </c>
      <c r="L81" s="1">
        <f>K81*$B$11</f>
        <v>0.38103424219938981</v>
      </c>
      <c r="M81" s="1">
        <f>L81*$B$7</f>
        <v>0.2294530279607612</v>
      </c>
      <c r="N81" s="1">
        <f>M81*$B$7</f>
        <v>0.13817312516708552</v>
      </c>
      <c r="O81" s="1"/>
      <c r="P81" s="270"/>
      <c r="Q81" s="117">
        <f>B81-N81</f>
        <v>-7.0960361344063291E-2</v>
      </c>
      <c r="R81" s="1">
        <f>1+($J$2-1)*SUM(C81:M81)*$B$47</f>
        <v>2.6114157688543012</v>
      </c>
      <c r="S81" s="9">
        <f>B81*R81*4-N81*COUNT(G81:P81)</f>
        <v>-0.40330311607380354</v>
      </c>
    </row>
    <row r="82" spans="1:19" x14ac:dyDescent="0.2">
      <c r="A82" s="266">
        <v>9</v>
      </c>
      <c r="B82" s="259">
        <f t="shared" si="21"/>
        <v>6.7212868443079665E-2</v>
      </c>
      <c r="C82" s="256">
        <f t="shared" ref="C82" si="31">D82*$B$47</f>
        <v>0.16895500225337065</v>
      </c>
      <c r="D82" s="1">
        <f t="shared" si="23"/>
        <v>0.42470725394811798</v>
      </c>
      <c r="E82" s="270">
        <f t="shared" si="24"/>
        <v>0.86127403932838598</v>
      </c>
      <c r="F82" s="121">
        <f>F81+J67*J68</f>
        <v>1.6693136433336404</v>
      </c>
      <c r="G82" s="247">
        <f>F82*$H$11</f>
        <v>1.3218953557103545</v>
      </c>
      <c r="H82" s="1">
        <f>G82*$G$11</f>
        <v>1.0467458728091146</v>
      </c>
      <c r="I82" s="1">
        <f>H82*$F$11</f>
        <v>0.82874898833378963</v>
      </c>
      <c r="J82" s="1">
        <f>I82*$E$11</f>
        <v>0.65575872678498381</v>
      </c>
      <c r="K82" s="1">
        <f>J82*$D$11</f>
        <v>0.51757734305427483</v>
      </c>
      <c r="L82" s="1">
        <f>K82*$C$11</f>
        <v>0.40422864173773299</v>
      </c>
      <c r="M82" s="1">
        <f>L82*$B$11</f>
        <v>0.30173369825154911</v>
      </c>
      <c r="N82" s="1">
        <f>M82*$B$7</f>
        <v>0.18169944596577114</v>
      </c>
      <c r="O82" s="1">
        <f>N82*$B$7</f>
        <v>0.1094166440658694</v>
      </c>
      <c r="P82" s="270"/>
      <c r="Q82" s="117">
        <f>B82-O82</f>
        <v>-4.2203775622789735E-2</v>
      </c>
      <c r="R82" s="1">
        <f>1+($J$2-1)*SUM(C82:N82)*$B$47</f>
        <v>2.6686094935932525</v>
      </c>
      <c r="S82" s="9">
        <f>B82*R82*4-O82*COUNT(G82:P82)</f>
        <v>-0.26729020131747772</v>
      </c>
    </row>
    <row r="83" spans="1:19" ht="17" thickBot="1" x14ac:dyDescent="0.25">
      <c r="A83" s="267">
        <v>10</v>
      </c>
      <c r="B83" s="260">
        <f t="shared" si="21"/>
        <v>6.7212893505679341E-2</v>
      </c>
      <c r="C83" s="261">
        <f t="shared" ref="C83" si="32">D83*$B$47</f>
        <v>0.16895506525397874</v>
      </c>
      <c r="D83" s="171">
        <f t="shared" si="23"/>
        <v>0.4247074123146351</v>
      </c>
      <c r="E83" s="271">
        <f t="shared" si="24"/>
        <v>0.86127436048364914</v>
      </c>
      <c r="F83" s="248">
        <f>F82+K67*K68</f>
        <v>1.6693142657939004</v>
      </c>
      <c r="G83" s="274">
        <f>F83*$I$11</f>
        <v>1.3219067519046876</v>
      </c>
      <c r="H83" s="171">
        <f>G83*$H$11</f>
        <v>1.046790938900698</v>
      </c>
      <c r="I83" s="171">
        <f>H83*$G$11</f>
        <v>0.82890380865243907</v>
      </c>
      <c r="J83" s="171">
        <f>I83*$F$11</f>
        <v>0.65627504315176544</v>
      </c>
      <c r="K83" s="171">
        <f>J83*$E$11</f>
        <v>0.51928640972847806</v>
      </c>
      <c r="L83" s="171">
        <f>K83*$D$11</f>
        <v>0.40986245284019879</v>
      </c>
      <c r="M83" s="171">
        <f>L83*$C$11</f>
        <v>0.32010315913986143</v>
      </c>
      <c r="N83" s="171">
        <f>M83*$B$11</f>
        <v>0.23893880852693344</v>
      </c>
      <c r="O83" s="171">
        <f>N83*$B$7</f>
        <v>0.14388531801599122</v>
      </c>
      <c r="P83" s="271">
        <f>O83*$B$7</f>
        <v>8.6645551085642356E-2</v>
      </c>
      <c r="Q83" s="118">
        <f>B83-P83</f>
        <v>-1.9432657579963014E-2</v>
      </c>
      <c r="R83" s="171">
        <f>1+($J$2-1)*SUM(C83:O83)*$B$47</f>
        <v>2.7139076951542185</v>
      </c>
      <c r="S83" s="10">
        <f>B83*R83*4-P83*COUNT(G83:P83)</f>
        <v>-0.1368171552618469</v>
      </c>
    </row>
  </sheetData>
  <mergeCells count="4">
    <mergeCell ref="A65:S65"/>
    <mergeCell ref="A45:S45"/>
    <mergeCell ref="A25:S25"/>
    <mergeCell ref="A4:S4"/>
  </mergeCells>
  <conditionalFormatting sqref="Q34">
    <cfRule type="cellIs" dxfId="90" priority="5" operator="lessThanOrEqual">
      <formula>0</formula>
    </cfRule>
    <cfRule type="cellIs" dxfId="89" priority="6" operator="greaterThan">
      <formula>0</formula>
    </cfRule>
  </conditionalFormatting>
  <conditionalFormatting sqref="Q74:S83 Q54:S63 Q35:Q43 R34:S43">
    <cfRule type="cellIs" dxfId="88" priority="3" operator="lessThanOrEqual">
      <formula>0</formula>
    </cfRule>
    <cfRule type="cellIs" dxfId="87" priority="4" operator="greaterThan">
      <formula>0</formula>
    </cfRule>
  </conditionalFormatting>
  <conditionalFormatting sqref="Q13:S22">
    <cfRule type="cellIs" dxfId="86" priority="1" operator="lessThanOrEqual">
      <formula>0</formula>
    </cfRule>
    <cfRule type="cellIs" dxfId="85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L38"/>
  <sheetViews>
    <sheetView tabSelected="1" workbookViewId="0">
      <selection activeCell="B1" sqref="B1:L1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384" t="s">
        <v>23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</row>
    <row r="2" spans="2:12" x14ac:dyDescent="0.2">
      <c r="B2" s="52" t="s">
        <v>9</v>
      </c>
      <c r="C2" s="52" t="s">
        <v>22</v>
      </c>
      <c r="D2" s="52">
        <v>2</v>
      </c>
      <c r="E2" s="52">
        <v>3</v>
      </c>
      <c r="F2" s="52">
        <v>4</v>
      </c>
      <c r="G2" s="52">
        <v>5</v>
      </c>
      <c r="H2" s="52">
        <v>6</v>
      </c>
      <c r="I2" s="52">
        <v>7</v>
      </c>
      <c r="J2" s="52">
        <v>8</v>
      </c>
      <c r="K2" s="52">
        <v>9</v>
      </c>
      <c r="L2" s="52">
        <v>10</v>
      </c>
    </row>
    <row r="3" spans="2:12" x14ac:dyDescent="0.2">
      <c r="B3" s="52" t="s">
        <v>20</v>
      </c>
      <c r="C3" s="53" t="str">
        <f>HSDR!O8</f>
        <v>H</v>
      </c>
      <c r="D3" s="53" t="str">
        <f>HSDR!P8</f>
        <v>H</v>
      </c>
      <c r="E3" s="53" t="str">
        <f>HSDR!Q8</f>
        <v>H</v>
      </c>
      <c r="F3" s="53" t="str">
        <f>HSDR!R8</f>
        <v>H</v>
      </c>
      <c r="G3" s="53" t="str">
        <f>HSDR!S8</f>
        <v>H</v>
      </c>
      <c r="H3" s="53" t="str">
        <f>HSDR!T8</f>
        <v>H</v>
      </c>
      <c r="I3" s="53" t="str">
        <f>HSDR!U8</f>
        <v>H</v>
      </c>
      <c r="J3" s="53" t="str">
        <f>HSDR!V8</f>
        <v>H</v>
      </c>
      <c r="K3" s="53" t="str">
        <f>HSDR!W8</f>
        <v>H</v>
      </c>
      <c r="L3" s="53" t="str">
        <f>HSDR!X8</f>
        <v>H</v>
      </c>
    </row>
    <row r="4" spans="2:12" x14ac:dyDescent="0.2">
      <c r="B4" s="52">
        <v>9</v>
      </c>
      <c r="C4" s="53" t="str">
        <f>HSDR!O9</f>
        <v>H</v>
      </c>
      <c r="D4" s="53" t="str">
        <f>HSDR!P9</f>
        <v>H</v>
      </c>
      <c r="E4" s="53" t="str">
        <f>HSDR!Q9</f>
        <v>D</v>
      </c>
      <c r="F4" s="53" t="str">
        <f>HSDR!R9</f>
        <v>D</v>
      </c>
      <c r="G4" s="53" t="str">
        <f>HSDR!S9</f>
        <v>D</v>
      </c>
      <c r="H4" s="53" t="str">
        <f>HSDR!T9</f>
        <v>D</v>
      </c>
      <c r="I4" s="53" t="str">
        <f>HSDR!U9</f>
        <v>H</v>
      </c>
      <c r="J4" s="53" t="str">
        <f>HSDR!V9</f>
        <v>H</v>
      </c>
      <c r="K4" s="53" t="str">
        <f>HSDR!W9</f>
        <v>H</v>
      </c>
      <c r="L4" s="53" t="str">
        <f>HSDR!X9</f>
        <v>H</v>
      </c>
    </row>
    <row r="5" spans="2:12" x14ac:dyDescent="0.2">
      <c r="B5" s="52">
        <v>10</v>
      </c>
      <c r="C5" s="53" t="str">
        <f>HSDR!O10</f>
        <v>H</v>
      </c>
      <c r="D5" s="53" t="str">
        <f>HSDR!P10</f>
        <v>D</v>
      </c>
      <c r="E5" s="53" t="str">
        <f>HSDR!Q10</f>
        <v>D</v>
      </c>
      <c r="F5" s="53" t="str">
        <f>HSDR!R10</f>
        <v>D</v>
      </c>
      <c r="G5" s="53" t="str">
        <f>HSDR!S10</f>
        <v>D</v>
      </c>
      <c r="H5" s="53" t="str">
        <f>HSDR!T10</f>
        <v>D</v>
      </c>
      <c r="I5" s="53" t="str">
        <f>HSDR!U10</f>
        <v>D</v>
      </c>
      <c r="J5" s="53" t="str">
        <f>HSDR!V10</f>
        <v>D</v>
      </c>
      <c r="K5" s="53" t="str">
        <f>HSDR!W10</f>
        <v>D</v>
      </c>
      <c r="L5" s="53" t="str">
        <f>HSDR!X10</f>
        <v>H</v>
      </c>
    </row>
    <row r="6" spans="2:12" x14ac:dyDescent="0.2">
      <c r="B6" s="52">
        <v>11</v>
      </c>
      <c r="C6" s="53" t="str">
        <f>HSDR!O11</f>
        <v>H</v>
      </c>
      <c r="D6" s="53" t="str">
        <f>HSDR!P11</f>
        <v>D</v>
      </c>
      <c r="E6" s="53" t="str">
        <f>HSDR!Q11</f>
        <v>D</v>
      </c>
      <c r="F6" s="53" t="str">
        <f>HSDR!R11</f>
        <v>D</v>
      </c>
      <c r="G6" s="53" t="str">
        <f>HSDR!S11</f>
        <v>D</v>
      </c>
      <c r="H6" s="53" t="str">
        <f>HSDR!T11</f>
        <v>D</v>
      </c>
      <c r="I6" s="53" t="str">
        <f>HSDR!U11</f>
        <v>D</v>
      </c>
      <c r="J6" s="53" t="str">
        <f>HSDR!V11</f>
        <v>D</v>
      </c>
      <c r="K6" s="53" t="str">
        <f>HSDR!W11</f>
        <v>D</v>
      </c>
      <c r="L6" s="53" t="str">
        <f>HSDR!X11</f>
        <v>D</v>
      </c>
    </row>
    <row r="7" spans="2:12" x14ac:dyDescent="0.2">
      <c r="B7" s="52">
        <v>12</v>
      </c>
      <c r="C7" s="53" t="str">
        <f>HSDR!O12</f>
        <v>H</v>
      </c>
      <c r="D7" s="53" t="str">
        <f>HSDR!P12</f>
        <v>H</v>
      </c>
      <c r="E7" s="53" t="str">
        <f>HSDR!Q12</f>
        <v>H</v>
      </c>
      <c r="F7" s="53" t="str">
        <f>HSDR!R12</f>
        <v>S</v>
      </c>
      <c r="G7" s="53" t="str">
        <f>HSDR!S12</f>
        <v>S</v>
      </c>
      <c r="H7" s="53" t="str">
        <f>HSDR!T12</f>
        <v>S</v>
      </c>
      <c r="I7" s="53" t="str">
        <f>HSDR!U12</f>
        <v>H</v>
      </c>
      <c r="J7" s="53" t="str">
        <f>HSDR!V12</f>
        <v>H</v>
      </c>
      <c r="K7" s="53" t="str">
        <f>HSDR!W12</f>
        <v>H</v>
      </c>
      <c r="L7" s="53" t="str">
        <f>HSDR!X12</f>
        <v>H</v>
      </c>
    </row>
    <row r="8" spans="2:12" x14ac:dyDescent="0.2">
      <c r="B8" s="52">
        <v>13</v>
      </c>
      <c r="C8" s="53" t="str">
        <f>HSDR!O13</f>
        <v>H</v>
      </c>
      <c r="D8" s="53" t="str">
        <f>HSDR!P13</f>
        <v>S</v>
      </c>
      <c r="E8" s="53" t="str">
        <f>HSDR!Q13</f>
        <v>S</v>
      </c>
      <c r="F8" s="53" t="str">
        <f>HSDR!R13</f>
        <v>S</v>
      </c>
      <c r="G8" s="53" t="str">
        <f>HSDR!S13</f>
        <v>S</v>
      </c>
      <c r="H8" s="53" t="str">
        <f>HSDR!T13</f>
        <v>S</v>
      </c>
      <c r="I8" s="53" t="str">
        <f>HSDR!U13</f>
        <v>H</v>
      </c>
      <c r="J8" s="53" t="str">
        <f>HSDR!V13</f>
        <v>H</v>
      </c>
      <c r="K8" s="53" t="str">
        <f>HSDR!W13</f>
        <v>H</v>
      </c>
      <c r="L8" s="53" t="str">
        <f>HSDR!X13</f>
        <v>H</v>
      </c>
    </row>
    <row r="9" spans="2:12" x14ac:dyDescent="0.2">
      <c r="B9" s="52">
        <v>14</v>
      </c>
      <c r="C9" s="53" t="str">
        <f>HSDR!O14</f>
        <v>H</v>
      </c>
      <c r="D9" s="53" t="str">
        <f>HSDR!P14</f>
        <v>S</v>
      </c>
      <c r="E9" s="53" t="str">
        <f>HSDR!Q14</f>
        <v>S</v>
      </c>
      <c r="F9" s="53" t="str">
        <f>HSDR!R14</f>
        <v>S</v>
      </c>
      <c r="G9" s="53" t="str">
        <f>HSDR!S14</f>
        <v>S</v>
      </c>
      <c r="H9" s="53" t="str">
        <f>HSDR!T14</f>
        <v>S</v>
      </c>
      <c r="I9" s="53" t="str">
        <f>HSDR!U14</f>
        <v>H</v>
      </c>
      <c r="J9" s="53" t="str">
        <f>HSDR!V14</f>
        <v>H</v>
      </c>
      <c r="K9" s="53" t="str">
        <f>HSDR!W14</f>
        <v>H</v>
      </c>
      <c r="L9" s="53" t="str">
        <f>HSDR!X14</f>
        <v>H</v>
      </c>
    </row>
    <row r="10" spans="2:12" x14ac:dyDescent="0.2">
      <c r="B10" s="52">
        <v>15</v>
      </c>
      <c r="C10" s="53" t="str">
        <f>HSDR!O15</f>
        <v>H</v>
      </c>
      <c r="D10" s="53" t="str">
        <f>HSDR!P15</f>
        <v>S</v>
      </c>
      <c r="E10" s="53" t="str">
        <f>HSDR!Q15</f>
        <v>S</v>
      </c>
      <c r="F10" s="53" t="str">
        <f>HSDR!R15</f>
        <v>S</v>
      </c>
      <c r="G10" s="53" t="str">
        <f>HSDR!S15</f>
        <v>S</v>
      </c>
      <c r="H10" s="53" t="str">
        <f>HSDR!T15</f>
        <v>S</v>
      </c>
      <c r="I10" s="53" t="str">
        <f>HSDR!U15</f>
        <v>H</v>
      </c>
      <c r="J10" s="53" t="str">
        <f>HSDR!V15</f>
        <v>H</v>
      </c>
      <c r="K10" s="53" t="str">
        <f>HSDR!W15</f>
        <v>H</v>
      </c>
      <c r="L10" s="53" t="str">
        <f>HSDR!X15</f>
        <v>R</v>
      </c>
    </row>
    <row r="11" spans="2:12" x14ac:dyDescent="0.2">
      <c r="B11" s="52">
        <v>16</v>
      </c>
      <c r="C11" s="53" t="str">
        <f>HSDR!O16</f>
        <v>H</v>
      </c>
      <c r="D11" s="53" t="str">
        <f>HSDR!P16</f>
        <v>S</v>
      </c>
      <c r="E11" s="53" t="str">
        <f>HSDR!Q16</f>
        <v>S</v>
      </c>
      <c r="F11" s="53" t="str">
        <f>HSDR!R16</f>
        <v>S</v>
      </c>
      <c r="G11" s="53" t="str">
        <f>HSDR!S16</f>
        <v>S</v>
      </c>
      <c r="H11" s="53" t="str">
        <f>HSDR!T16</f>
        <v>S</v>
      </c>
      <c r="I11" s="53" t="str">
        <f>HSDR!U16</f>
        <v>H</v>
      </c>
      <c r="J11" s="53" t="str">
        <f>HSDR!V16</f>
        <v>H</v>
      </c>
      <c r="K11" s="53" t="str">
        <f>HSDR!W16</f>
        <v>R</v>
      </c>
      <c r="L11" s="53" t="str">
        <f>HSDR!X16</f>
        <v>R</v>
      </c>
    </row>
    <row r="12" spans="2:12" x14ac:dyDescent="0.2">
      <c r="B12" s="52" t="s">
        <v>21</v>
      </c>
      <c r="C12" s="53" t="str">
        <f>HSDR!O17</f>
        <v>S</v>
      </c>
      <c r="D12" s="53" t="str">
        <f>HSDR!P17</f>
        <v>S</v>
      </c>
      <c r="E12" s="53" t="str">
        <f>HSDR!Q17</f>
        <v>S</v>
      </c>
      <c r="F12" s="53" t="str">
        <f>HSDR!R17</f>
        <v>S</v>
      </c>
      <c r="G12" s="53" t="str">
        <f>HSDR!S17</f>
        <v>S</v>
      </c>
      <c r="H12" s="53" t="str">
        <f>HSDR!T17</f>
        <v>S</v>
      </c>
      <c r="I12" s="53" t="str">
        <f>HSDR!U17</f>
        <v>S</v>
      </c>
      <c r="J12" s="53" t="str">
        <f>HSDR!V17</f>
        <v>S</v>
      </c>
      <c r="K12" s="53" t="str">
        <f>HSDR!W17</f>
        <v>S</v>
      </c>
      <c r="L12" s="53" t="str">
        <f>HSDR!X17</f>
        <v>S</v>
      </c>
    </row>
    <row r="13" spans="2:12" x14ac:dyDescent="0.2">
      <c r="B13" s="52" t="s">
        <v>4</v>
      </c>
      <c r="C13" s="52" t="s">
        <v>22</v>
      </c>
      <c r="D13" s="52">
        <v>2</v>
      </c>
      <c r="E13" s="52">
        <v>3</v>
      </c>
      <c r="F13" s="52">
        <v>4</v>
      </c>
      <c r="G13" s="52">
        <v>5</v>
      </c>
      <c r="H13" s="52">
        <v>6</v>
      </c>
      <c r="I13" s="52">
        <v>7</v>
      </c>
      <c r="J13" s="52">
        <v>8</v>
      </c>
      <c r="K13" s="52">
        <v>9</v>
      </c>
      <c r="L13" s="52">
        <v>10</v>
      </c>
    </row>
    <row r="14" spans="2:12" x14ac:dyDescent="0.2">
      <c r="B14" s="52">
        <v>13</v>
      </c>
      <c r="C14" s="53" t="str">
        <f>HSDR!O36</f>
        <v>H</v>
      </c>
      <c r="D14" s="53" t="str">
        <f>HSDR!P36</f>
        <v>H</v>
      </c>
      <c r="E14" s="53" t="str">
        <f>HSDR!Q36</f>
        <v>H</v>
      </c>
      <c r="F14" s="53" t="str">
        <f>HSDR!R36</f>
        <v>H</v>
      </c>
      <c r="G14" s="53" t="str">
        <f>HSDR!S36</f>
        <v>H</v>
      </c>
      <c r="H14" s="53" t="str">
        <f>HSDR!T36</f>
        <v>D</v>
      </c>
      <c r="I14" s="53" t="str">
        <f>HSDR!U36</f>
        <v>H</v>
      </c>
      <c r="J14" s="53" t="str">
        <f>HSDR!V36</f>
        <v>H</v>
      </c>
      <c r="K14" s="53" t="str">
        <f>HSDR!W36</f>
        <v>H</v>
      </c>
      <c r="L14" s="53" t="str">
        <f>HSDR!X36</f>
        <v>H</v>
      </c>
    </row>
    <row r="15" spans="2:12" x14ac:dyDescent="0.2">
      <c r="B15" s="52">
        <v>14</v>
      </c>
      <c r="C15" s="53" t="str">
        <f>HSDR!O37</f>
        <v>H</v>
      </c>
      <c r="D15" s="53" t="str">
        <f>HSDR!P37</f>
        <v>H</v>
      </c>
      <c r="E15" s="53" t="str">
        <f>HSDR!Q37</f>
        <v>H</v>
      </c>
      <c r="F15" s="53" t="str">
        <f>HSDR!R37</f>
        <v>H</v>
      </c>
      <c r="G15" s="53" t="str">
        <f>HSDR!S37</f>
        <v>D</v>
      </c>
      <c r="H15" s="53" t="str">
        <f>HSDR!T37</f>
        <v>D</v>
      </c>
      <c r="I15" s="53" t="str">
        <f>HSDR!U37</f>
        <v>H</v>
      </c>
      <c r="J15" s="53" t="str">
        <f>HSDR!V37</f>
        <v>H</v>
      </c>
      <c r="K15" s="53" t="str">
        <f>HSDR!W37</f>
        <v>H</v>
      </c>
      <c r="L15" s="53" t="str">
        <f>HSDR!X37</f>
        <v>H</v>
      </c>
    </row>
    <row r="16" spans="2:12" x14ac:dyDescent="0.2">
      <c r="B16" s="52">
        <v>15</v>
      </c>
      <c r="C16" s="53" t="str">
        <f>HSDR!O38</f>
        <v>H</v>
      </c>
      <c r="D16" s="53" t="str">
        <f>HSDR!P38</f>
        <v>H</v>
      </c>
      <c r="E16" s="53" t="str">
        <f>HSDR!Q38</f>
        <v>H</v>
      </c>
      <c r="F16" s="53" t="str">
        <f>HSDR!R38</f>
        <v>H</v>
      </c>
      <c r="G16" s="53" t="str">
        <f>HSDR!S38</f>
        <v>D</v>
      </c>
      <c r="H16" s="53" t="str">
        <f>HSDR!T38</f>
        <v>D</v>
      </c>
      <c r="I16" s="53" t="str">
        <f>HSDR!U38</f>
        <v>H</v>
      </c>
      <c r="J16" s="53" t="str">
        <f>HSDR!V38</f>
        <v>H</v>
      </c>
      <c r="K16" s="53" t="str">
        <f>HSDR!W38</f>
        <v>H</v>
      </c>
      <c r="L16" s="53" t="str">
        <f>HSDR!X38</f>
        <v>H</v>
      </c>
    </row>
    <row r="17" spans="2:12" x14ac:dyDescent="0.2">
      <c r="B17" s="52">
        <v>16</v>
      </c>
      <c r="C17" s="53" t="str">
        <f>HSDR!O39</f>
        <v>H</v>
      </c>
      <c r="D17" s="53" t="str">
        <f>HSDR!P39</f>
        <v>H</v>
      </c>
      <c r="E17" s="53" t="str">
        <f>HSDR!Q39</f>
        <v>H</v>
      </c>
      <c r="F17" s="53" t="str">
        <f>HSDR!R39</f>
        <v>D</v>
      </c>
      <c r="G17" s="53" t="str">
        <f>HSDR!S39</f>
        <v>D</v>
      </c>
      <c r="H17" s="53" t="str">
        <f>HSDR!T39</f>
        <v>D</v>
      </c>
      <c r="I17" s="53" t="str">
        <f>HSDR!U39</f>
        <v>H</v>
      </c>
      <c r="J17" s="53" t="str">
        <f>HSDR!V39</f>
        <v>H</v>
      </c>
      <c r="K17" s="53" t="str">
        <f>HSDR!W39</f>
        <v>H</v>
      </c>
      <c r="L17" s="53" t="str">
        <f>HSDR!X39</f>
        <v>H</v>
      </c>
    </row>
    <row r="18" spans="2:12" x14ac:dyDescent="0.2">
      <c r="B18" s="52">
        <v>17</v>
      </c>
      <c r="C18" s="53" t="str">
        <f>HSDR!O40</f>
        <v>H</v>
      </c>
      <c r="D18" s="53" t="str">
        <f>HSDR!P40</f>
        <v>H</v>
      </c>
      <c r="E18" s="53" t="str">
        <f>HSDR!Q40</f>
        <v>D</v>
      </c>
      <c r="F18" s="53" t="str">
        <f>HSDR!R40</f>
        <v>D</v>
      </c>
      <c r="G18" s="53" t="str">
        <f>HSDR!S40</f>
        <v>D</v>
      </c>
      <c r="H18" s="53" t="str">
        <f>HSDR!T40</f>
        <v>D</v>
      </c>
      <c r="I18" s="53" t="str">
        <f>HSDR!U40</f>
        <v>H</v>
      </c>
      <c r="J18" s="53" t="str">
        <f>HSDR!V40</f>
        <v>H</v>
      </c>
      <c r="K18" s="53" t="str">
        <f>HSDR!W40</f>
        <v>H</v>
      </c>
      <c r="L18" s="53" t="str">
        <f>HSDR!X40</f>
        <v>H</v>
      </c>
    </row>
    <row r="19" spans="2:12" x14ac:dyDescent="0.2">
      <c r="B19" s="52">
        <v>18</v>
      </c>
      <c r="C19" s="53" t="str">
        <f>HSDR!O41</f>
        <v>H</v>
      </c>
      <c r="D19" s="53" t="str">
        <f>HSDR!P41</f>
        <v>S</v>
      </c>
      <c r="E19" s="53" t="str">
        <f>HSDR!Q41</f>
        <v>D</v>
      </c>
      <c r="F19" s="53" t="str">
        <f>HSDR!R41</f>
        <v>D</v>
      </c>
      <c r="G19" s="53" t="str">
        <f>HSDR!S41</f>
        <v>D</v>
      </c>
      <c r="H19" s="53" t="str">
        <f>HSDR!T41</f>
        <v>D</v>
      </c>
      <c r="I19" s="53" t="str">
        <f>HSDR!U41</f>
        <v>S</v>
      </c>
      <c r="J19" s="53" t="str">
        <f>HSDR!V41</f>
        <v>S</v>
      </c>
      <c r="K19" s="53" t="str">
        <f>HSDR!W41</f>
        <v>H</v>
      </c>
      <c r="L19" s="53" t="str">
        <f>HSDR!X41</f>
        <v>H</v>
      </c>
    </row>
    <row r="20" spans="2:12" x14ac:dyDescent="0.2">
      <c r="B20" s="52">
        <v>19</v>
      </c>
      <c r="C20" s="53" t="str">
        <f>HSDR!O42</f>
        <v>S</v>
      </c>
      <c r="D20" s="53" t="str">
        <f>HSDR!P42</f>
        <v>S</v>
      </c>
      <c r="E20" s="53" t="str">
        <f>HSDR!Q42</f>
        <v>S</v>
      </c>
      <c r="F20" s="53" t="str">
        <f>HSDR!R42</f>
        <v>S</v>
      </c>
      <c r="G20" s="53" t="str">
        <f>HSDR!S42</f>
        <v>S</v>
      </c>
      <c r="H20" s="53" t="str">
        <f>HSDR!T42</f>
        <v>S</v>
      </c>
      <c r="I20" s="53" t="str">
        <f>HSDR!U42</f>
        <v>S</v>
      </c>
      <c r="J20" s="53" t="str">
        <f>HSDR!V42</f>
        <v>S</v>
      </c>
      <c r="K20" s="53" t="str">
        <f>HSDR!W42</f>
        <v>S</v>
      </c>
      <c r="L20" s="53" t="str">
        <f>HSDR!X42</f>
        <v>S</v>
      </c>
    </row>
    <row r="21" spans="2:12" x14ac:dyDescent="0.2">
      <c r="B21" s="52" t="s">
        <v>10</v>
      </c>
      <c r="C21" s="52" t="s">
        <v>22</v>
      </c>
      <c r="D21" s="52">
        <v>2</v>
      </c>
      <c r="E21" s="52">
        <v>3</v>
      </c>
      <c r="F21" s="52">
        <v>4</v>
      </c>
      <c r="G21" s="52">
        <v>5</v>
      </c>
      <c r="H21" s="52">
        <v>6</v>
      </c>
      <c r="I21" s="52">
        <v>7</v>
      </c>
      <c r="J21" s="52">
        <v>8</v>
      </c>
      <c r="K21" s="52">
        <v>9</v>
      </c>
      <c r="L21" s="52">
        <v>10</v>
      </c>
    </row>
    <row r="22" spans="2:12" x14ac:dyDescent="0.2">
      <c r="B22" s="52" t="s">
        <v>22</v>
      </c>
      <c r="C22" s="53" t="str">
        <f>Pair!O2</f>
        <v>P</v>
      </c>
      <c r="D22" s="53" t="str">
        <f>Pair!P2</f>
        <v>P</v>
      </c>
      <c r="E22" s="53" t="str">
        <f>Pair!Q2</f>
        <v>P</v>
      </c>
      <c r="F22" s="53" t="str">
        <f>Pair!R2</f>
        <v>P</v>
      </c>
      <c r="G22" s="53" t="str">
        <f>Pair!S2</f>
        <v>P</v>
      </c>
      <c r="H22" s="53" t="str">
        <f>Pair!T2</f>
        <v>P</v>
      </c>
      <c r="I22" s="53" t="str">
        <f>Pair!U2</f>
        <v>P</v>
      </c>
      <c r="J22" s="53" t="str">
        <f>Pair!V2</f>
        <v>P</v>
      </c>
      <c r="K22" s="53" t="str">
        <f>Pair!W2</f>
        <v>P</v>
      </c>
      <c r="L22" s="53" t="str">
        <f>Pair!X2</f>
        <v>P</v>
      </c>
    </row>
    <row r="23" spans="2:12" x14ac:dyDescent="0.2">
      <c r="B23" s="52">
        <v>2</v>
      </c>
      <c r="C23" s="53" t="str">
        <f>Pair!O3</f>
        <v>H</v>
      </c>
      <c r="D23" s="53" t="str">
        <f>Pair!P3</f>
        <v>P</v>
      </c>
      <c r="E23" s="53" t="str">
        <f>Pair!Q3</f>
        <v>P</v>
      </c>
      <c r="F23" s="53" t="str">
        <f>Pair!R3</f>
        <v>P</v>
      </c>
      <c r="G23" s="53" t="str">
        <f>Pair!S3</f>
        <v>P</v>
      </c>
      <c r="H23" s="53" t="str">
        <f>Pair!T3</f>
        <v>P</v>
      </c>
      <c r="I23" s="53" t="str">
        <f>Pair!U3</f>
        <v>P</v>
      </c>
      <c r="J23" s="53" t="str">
        <f>Pair!V3</f>
        <v>H</v>
      </c>
      <c r="K23" s="53" t="str">
        <f>Pair!W3</f>
        <v>H</v>
      </c>
      <c r="L23" s="53" t="str">
        <f>Pair!X3</f>
        <v>H</v>
      </c>
    </row>
    <row r="24" spans="2:12" x14ac:dyDescent="0.2">
      <c r="B24" s="52">
        <v>3</v>
      </c>
      <c r="C24" s="53" t="str">
        <f>Pair!O4</f>
        <v>H</v>
      </c>
      <c r="D24" s="53" t="str">
        <f>Pair!P4</f>
        <v>P</v>
      </c>
      <c r="E24" s="53" t="str">
        <f>Pair!Q4</f>
        <v>P</v>
      </c>
      <c r="F24" s="53" t="str">
        <f>Pair!R4</f>
        <v>P</v>
      </c>
      <c r="G24" s="53" t="str">
        <f>Pair!S4</f>
        <v>P</v>
      </c>
      <c r="H24" s="53" t="str">
        <f>Pair!T4</f>
        <v>P</v>
      </c>
      <c r="I24" s="53" t="str">
        <f>Pair!U4</f>
        <v>P</v>
      </c>
      <c r="J24" s="53" t="str">
        <f>Pair!V4</f>
        <v>H</v>
      </c>
      <c r="K24" s="53" t="str">
        <f>Pair!W4</f>
        <v>H</v>
      </c>
      <c r="L24" s="53" t="str">
        <f>Pair!X4</f>
        <v>H</v>
      </c>
    </row>
    <row r="25" spans="2:12" x14ac:dyDescent="0.2">
      <c r="B25" s="52">
        <v>4</v>
      </c>
      <c r="C25" s="53" t="str">
        <f>Pair!O5</f>
        <v>H</v>
      </c>
      <c r="D25" s="53" t="str">
        <f>Pair!P5</f>
        <v>H</v>
      </c>
      <c r="E25" s="53" t="str">
        <f>Pair!Q5</f>
        <v>H</v>
      </c>
      <c r="F25" s="53" t="str">
        <f>Pair!R5</f>
        <v>H</v>
      </c>
      <c r="G25" s="53" t="str">
        <f>Pair!S5</f>
        <v>P</v>
      </c>
      <c r="H25" s="53" t="str">
        <f>Pair!T5</f>
        <v>P</v>
      </c>
      <c r="I25" s="53" t="str">
        <f>Pair!U5</f>
        <v>H</v>
      </c>
      <c r="J25" s="53" t="str">
        <f>Pair!V5</f>
        <v>H</v>
      </c>
      <c r="K25" s="53" t="str">
        <f>Pair!W5</f>
        <v>H</v>
      </c>
      <c r="L25" s="53" t="str">
        <f>Pair!X5</f>
        <v>H</v>
      </c>
    </row>
    <row r="26" spans="2:12" x14ac:dyDescent="0.2">
      <c r="B26" s="52">
        <v>5</v>
      </c>
      <c r="C26" s="53" t="str">
        <f>Pair!O6</f>
        <v>H</v>
      </c>
      <c r="D26" s="53" t="str">
        <f>Pair!P6</f>
        <v>D</v>
      </c>
      <c r="E26" s="53" t="str">
        <f>Pair!Q6</f>
        <v>D</v>
      </c>
      <c r="F26" s="53" t="str">
        <f>Pair!R6</f>
        <v>D</v>
      </c>
      <c r="G26" s="53" t="str">
        <f>Pair!S6</f>
        <v>D</v>
      </c>
      <c r="H26" s="53" t="str">
        <f>Pair!T6</f>
        <v>D</v>
      </c>
      <c r="I26" s="53" t="str">
        <f>Pair!U6</f>
        <v>D</v>
      </c>
      <c r="J26" s="53" t="str">
        <f>Pair!V6</f>
        <v>D</v>
      </c>
      <c r="K26" s="53" t="str">
        <f>Pair!W6</f>
        <v>D</v>
      </c>
      <c r="L26" s="53" t="str">
        <f>Pair!X6</f>
        <v>H</v>
      </c>
    </row>
    <row r="27" spans="2:12" x14ac:dyDescent="0.2">
      <c r="B27" s="52">
        <v>6</v>
      </c>
      <c r="C27" s="53" t="str">
        <f>Pair!O7</f>
        <v>H</v>
      </c>
      <c r="D27" s="53" t="str">
        <f>Pair!P7</f>
        <v>H</v>
      </c>
      <c r="E27" s="53" t="str">
        <f>Pair!Q7</f>
        <v>P</v>
      </c>
      <c r="F27" s="53" t="str">
        <f>Pair!R7</f>
        <v>P</v>
      </c>
      <c r="G27" s="53" t="str">
        <f>Pair!S7</f>
        <v>P</v>
      </c>
      <c r="H27" s="53" t="str">
        <f>Pair!T7</f>
        <v>P</v>
      </c>
      <c r="I27" s="53" t="str">
        <f>Pair!U7</f>
        <v>H</v>
      </c>
      <c r="J27" s="53" t="str">
        <f>Pair!V7</f>
        <v>H</v>
      </c>
      <c r="K27" s="53" t="str">
        <f>Pair!W7</f>
        <v>H</v>
      </c>
      <c r="L27" s="53" t="str">
        <f>Pair!X7</f>
        <v>H</v>
      </c>
    </row>
    <row r="28" spans="2:12" x14ac:dyDescent="0.2">
      <c r="B28" s="52">
        <v>7</v>
      </c>
      <c r="C28" s="53" t="str">
        <f>Pair!O8</f>
        <v>H</v>
      </c>
      <c r="D28" s="53" t="str">
        <f>Pair!P8</f>
        <v>P</v>
      </c>
      <c r="E28" s="53" t="str">
        <f>Pair!Q8</f>
        <v>P</v>
      </c>
      <c r="F28" s="53" t="str">
        <f>Pair!R8</f>
        <v>P</v>
      </c>
      <c r="G28" s="53" t="str">
        <f>Pair!S8</f>
        <v>P</v>
      </c>
      <c r="H28" s="53" t="str">
        <f>Pair!T8</f>
        <v>P</v>
      </c>
      <c r="I28" s="53" t="str">
        <f>Pair!U8</f>
        <v>P</v>
      </c>
      <c r="J28" s="53" t="str">
        <f>Pair!V8</f>
        <v>H</v>
      </c>
      <c r="K28" s="53" t="str">
        <f>Pair!W8</f>
        <v>H</v>
      </c>
      <c r="L28" s="53" t="str">
        <f>Pair!X8</f>
        <v>H</v>
      </c>
    </row>
    <row r="29" spans="2:12" x14ac:dyDescent="0.2">
      <c r="B29" s="52">
        <v>8</v>
      </c>
      <c r="C29" s="53" t="str">
        <f>Pair!O9</f>
        <v>P</v>
      </c>
      <c r="D29" s="53" t="str">
        <f>Pair!P9</f>
        <v>P</v>
      </c>
      <c r="E29" s="53" t="str">
        <f>Pair!Q9</f>
        <v>P</v>
      </c>
      <c r="F29" s="53" t="str">
        <f>Pair!R9</f>
        <v>P</v>
      </c>
      <c r="G29" s="53" t="str">
        <f>Pair!S9</f>
        <v>P</v>
      </c>
      <c r="H29" s="53" t="str">
        <f>Pair!T9</f>
        <v>P</v>
      </c>
      <c r="I29" s="53" t="str">
        <f>Pair!U9</f>
        <v>P</v>
      </c>
      <c r="J29" s="53" t="str">
        <f>Pair!V9</f>
        <v>P</v>
      </c>
      <c r="K29" s="53" t="str">
        <f>Pair!W9</f>
        <v>R</v>
      </c>
      <c r="L29" s="53" t="str">
        <f>Pair!X9</f>
        <v>R</v>
      </c>
    </row>
    <row r="30" spans="2:12" x14ac:dyDescent="0.2">
      <c r="B30" s="52">
        <v>9</v>
      </c>
      <c r="C30" s="53" t="str">
        <f>Pair!O10</f>
        <v>S</v>
      </c>
      <c r="D30" s="53" t="str">
        <f>Pair!P10</f>
        <v>P</v>
      </c>
      <c r="E30" s="53" t="str">
        <f>Pair!Q10</f>
        <v>P</v>
      </c>
      <c r="F30" s="53" t="str">
        <f>Pair!R10</f>
        <v>P</v>
      </c>
      <c r="G30" s="53" t="str">
        <f>Pair!S10</f>
        <v>P</v>
      </c>
      <c r="H30" s="53" t="str">
        <f>Pair!T10</f>
        <v>P</v>
      </c>
      <c r="I30" s="53" t="str">
        <f>Pair!U10</f>
        <v>S</v>
      </c>
      <c r="J30" s="53" t="str">
        <f>Pair!V10</f>
        <v>P</v>
      </c>
      <c r="K30" s="53" t="str">
        <f>Pair!W10</f>
        <v>P</v>
      </c>
      <c r="L30" s="53" t="str">
        <f>Pair!X10</f>
        <v>S</v>
      </c>
    </row>
    <row r="31" spans="2:12" x14ac:dyDescent="0.2">
      <c r="B31" s="52">
        <v>10</v>
      </c>
      <c r="C31" s="53" t="str">
        <f>Pair!O11</f>
        <v>S</v>
      </c>
      <c r="D31" s="53" t="str">
        <f>Pair!P11</f>
        <v>S</v>
      </c>
      <c r="E31" s="53" t="str">
        <f>Pair!Q11</f>
        <v>S</v>
      </c>
      <c r="F31" s="53" t="str">
        <f>Pair!R11</f>
        <v>S</v>
      </c>
      <c r="G31" s="53" t="str">
        <f>Pair!S11</f>
        <v>S</v>
      </c>
      <c r="H31" s="53" t="str">
        <f>Pair!T11</f>
        <v>P</v>
      </c>
      <c r="I31" s="53" t="str">
        <f>Pair!U11</f>
        <v>S</v>
      </c>
      <c r="J31" s="53" t="str">
        <f>Pair!V11</f>
        <v>S</v>
      </c>
      <c r="K31" s="53" t="str">
        <f>Pair!W11</f>
        <v>S</v>
      </c>
      <c r="L31" s="53" t="str">
        <f>Pair!X11</f>
        <v>S</v>
      </c>
    </row>
    <row r="32" spans="2:12" x14ac:dyDescent="0.2">
      <c r="B32" s="352" t="str">
        <f>"EV = " &amp; EV!$C$47</f>
        <v>EV = -0.00531417925590545</v>
      </c>
      <c r="C32" s="352"/>
      <c r="D32" s="352"/>
      <c r="E32" s="352"/>
      <c r="F32" s="352"/>
      <c r="G32" s="352"/>
      <c r="H32" s="352"/>
      <c r="I32" s="352"/>
      <c r="J32" s="352"/>
      <c r="K32" s="352"/>
      <c r="L32" s="352"/>
    </row>
    <row r="33" spans="2:12" x14ac:dyDescent="0.2">
      <c r="B33" s="352" t="str">
        <f>"EV = " &amp; EV!C47*100 &amp; " %"</f>
        <v>EV = -0.531417925590545 %</v>
      </c>
      <c r="C33" s="352"/>
      <c r="D33" s="352"/>
      <c r="E33" s="352"/>
      <c r="F33" s="352"/>
      <c r="G33" s="352"/>
      <c r="H33" s="352"/>
      <c r="I33" s="352"/>
      <c r="J33" s="352"/>
      <c r="K33" s="352"/>
      <c r="L33" s="352"/>
    </row>
    <row r="34" spans="2:12" x14ac:dyDescent="0.2">
      <c r="B34" s="353" t="s">
        <v>24</v>
      </c>
      <c r="C34" s="353"/>
      <c r="D34" s="353"/>
      <c r="E34" s="353"/>
      <c r="F34" s="353"/>
      <c r="G34" s="353"/>
      <c r="H34" s="353"/>
      <c r="I34" s="353"/>
      <c r="J34" s="353"/>
      <c r="K34" s="353"/>
      <c r="L34" s="353"/>
    </row>
    <row r="35" spans="2:12" x14ac:dyDescent="0.2">
      <c r="B35" s="354" t="s">
        <v>25</v>
      </c>
      <c r="C35" s="354"/>
      <c r="D35" s="354"/>
      <c r="E35" s="354"/>
      <c r="F35" s="354"/>
      <c r="G35" s="354"/>
      <c r="H35" s="354"/>
      <c r="I35" s="354"/>
      <c r="J35" s="354"/>
      <c r="K35" s="354"/>
      <c r="L35" s="354"/>
    </row>
    <row r="36" spans="2:12" x14ac:dyDescent="0.2">
      <c r="B36" s="346" t="s">
        <v>26</v>
      </c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2:12" x14ac:dyDescent="0.2">
      <c r="B37" s="347" t="s">
        <v>27</v>
      </c>
      <c r="C37" s="347"/>
      <c r="D37" s="347"/>
      <c r="E37" s="347"/>
      <c r="F37" s="347"/>
      <c r="G37" s="347"/>
      <c r="H37" s="347"/>
      <c r="I37" s="347"/>
      <c r="J37" s="347"/>
      <c r="K37" s="347"/>
      <c r="L37" s="347"/>
    </row>
    <row r="38" spans="2:12" x14ac:dyDescent="0.2">
      <c r="B38" s="345" t="s">
        <v>28</v>
      </c>
      <c r="C38" s="345"/>
      <c r="D38" s="345"/>
      <c r="E38" s="345"/>
      <c r="F38" s="345"/>
      <c r="G38" s="345"/>
      <c r="H38" s="345"/>
      <c r="I38" s="345"/>
      <c r="J38" s="345"/>
      <c r="K38" s="345"/>
      <c r="L38" s="345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4" type="noConversion"/>
  <conditionalFormatting sqref="C3:L12 C22:L31 C14:L20">
    <cfRule type="containsText" dxfId="19" priority="4" operator="containsText" text="S">
      <formula>NOT(ISERROR(SEARCH("S",C3)))</formula>
    </cfRule>
    <cfRule type="containsText" dxfId="18" priority="5" operator="containsText" text="H">
      <formula>NOT(ISERROR(SEARCH("H",C3)))</formula>
    </cfRule>
  </conditionalFormatting>
  <conditionalFormatting sqref="C3:L12 C22:L31 C14:L20">
    <cfRule type="containsText" dxfId="17" priority="3" operator="containsText" text="D">
      <formula>NOT(ISERROR(SEARCH("D",C3)))</formula>
    </cfRule>
  </conditionalFormatting>
  <conditionalFormatting sqref="C3:L12 C22:L31 C14:L20">
    <cfRule type="containsText" dxfId="16" priority="2" operator="containsText" text="R">
      <formula>NOT(ISERROR(SEARCH("R",C3)))</formula>
    </cfRule>
  </conditionalFormatting>
  <conditionalFormatting sqref="C3:L12 C22:L31 C14:L20">
    <cfRule type="containsText" dxfId="15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48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8" x14ac:dyDescent="0.2">
      <c r="A1" s="43" t="s">
        <v>9</v>
      </c>
      <c r="B1" s="44" t="s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5">
        <v>10</v>
      </c>
    </row>
    <row r="2" spans="1:18" ht="16" thickBot="1" x14ac:dyDescent="0.25">
      <c r="A2" s="46">
        <v>5</v>
      </c>
      <c r="B2" s="34">
        <f>IF(EV!B2&lt;0,-Prob!B2,Prob!B2)</f>
        <v>-6.3023003396239633E-4</v>
      </c>
      <c r="C2" s="34">
        <f>IF(EV!C2&lt;0,-Prob!C2,Prob!C2)</f>
        <v>-9.1033227127901696E-4</v>
      </c>
      <c r="D2" s="34">
        <f>IF(EV!D2&lt;0,-Prob!D2,Prob!D2)</f>
        <v>-9.1033227127901696E-4</v>
      </c>
      <c r="E2" s="34">
        <f>IF(EV!E2&lt;0,-Prob!E2,Prob!E2)</f>
        <v>-9.1033227127901696E-4</v>
      </c>
      <c r="F2" s="34">
        <f>IF(EV!F2&lt;0,-Prob!F2,Prob!F2)</f>
        <v>-9.1033227127901696E-4</v>
      </c>
      <c r="G2" s="34">
        <f>IF(EV!G2&lt;0,-Prob!G2,Prob!G2)</f>
        <v>-9.1033227127901696E-4</v>
      </c>
      <c r="H2" s="34">
        <f>IF(EV!H2&lt;0,-Prob!H2,Prob!H2)</f>
        <v>-9.1033227127901696E-4</v>
      </c>
      <c r="I2" s="34">
        <f>IF(EV!I2&lt;0,-Prob!I2,Prob!I2)</f>
        <v>-9.1033227127901696E-4</v>
      </c>
      <c r="J2" s="34">
        <f>IF(EV!J2&lt;0,-Prob!J2,Prob!J2)</f>
        <v>-9.1033227127901696E-4</v>
      </c>
      <c r="K2" s="34">
        <f>IF(EV!K2&lt;0,-Prob!K2,Prob!K2)</f>
        <v>-3.3612268477994475E-3</v>
      </c>
    </row>
    <row r="3" spans="1:18" ht="16" customHeight="1" thickBot="1" x14ac:dyDescent="0.25">
      <c r="A3" s="46">
        <v>6</v>
      </c>
      <c r="B3" s="34">
        <f>IF(EV!B3&lt;0,-Prob!B3,Prob!B3)</f>
        <v>-6.3023003396239633E-4</v>
      </c>
      <c r="C3" s="34">
        <f>IF(EV!C3&lt;0,-Prob!C3,Prob!C3)</f>
        <v>-9.1033227127901696E-4</v>
      </c>
      <c r="D3" s="34">
        <f>IF(EV!D3&lt;0,-Prob!D3,Prob!D3)</f>
        <v>-9.1033227127901696E-4</v>
      </c>
      <c r="E3" s="34">
        <f>IF(EV!E3&lt;0,-Prob!E3,Prob!E3)</f>
        <v>-9.1033227127901696E-4</v>
      </c>
      <c r="F3" s="34">
        <f>IF(EV!F3&lt;0,-Prob!F3,Prob!F3)</f>
        <v>-9.1033227127901696E-4</v>
      </c>
      <c r="G3" s="34">
        <f>IF(EV!G3&lt;0,-Prob!G3,Prob!G3)</f>
        <v>-9.1033227127901696E-4</v>
      </c>
      <c r="H3" s="34">
        <f>IF(EV!H3&lt;0,-Prob!H3,Prob!H3)</f>
        <v>-9.1033227127901696E-4</v>
      </c>
      <c r="I3" s="34">
        <f>IF(EV!I3&lt;0,-Prob!I3,Prob!I3)</f>
        <v>-9.1033227127901696E-4</v>
      </c>
      <c r="J3" s="34">
        <f>IF(EV!J3&lt;0,-Prob!J3,Prob!J3)</f>
        <v>-9.1033227127901696E-4</v>
      </c>
      <c r="K3" s="34">
        <f>IF(EV!K3&lt;0,-Prob!K3,Prob!K3)</f>
        <v>-3.3612268477994475E-3</v>
      </c>
      <c r="M3" s="385"/>
      <c r="N3" s="386"/>
      <c r="O3" s="82" t="s">
        <v>8</v>
      </c>
      <c r="P3" s="83" t="s">
        <v>37</v>
      </c>
      <c r="Q3" s="83" t="s">
        <v>36</v>
      </c>
      <c r="R3" s="84" t="s">
        <v>38</v>
      </c>
    </row>
    <row r="4" spans="1:18" x14ac:dyDescent="0.2">
      <c r="A4" s="46">
        <v>7</v>
      </c>
      <c r="B4" s="34">
        <f>IF(EV!B4&lt;0,-Prob!B4,Prob!B4)</f>
        <v>-1.2604600679247927E-3</v>
      </c>
      <c r="C4" s="34">
        <f>IF(EV!C4&lt;0,-Prob!C4,Prob!C4)</f>
        <v>-1.8206645425580339E-3</v>
      </c>
      <c r="D4" s="34">
        <f>IF(EV!D4&lt;0,-Prob!D4,Prob!D4)</f>
        <v>-1.8206645425580339E-3</v>
      </c>
      <c r="E4" s="34">
        <f>IF(EV!E4&lt;0,-Prob!E4,Prob!E4)</f>
        <v>-1.8206645425580339E-3</v>
      </c>
      <c r="F4" s="34">
        <f>IF(EV!F4&lt;0,-Prob!F4,Prob!F4)</f>
        <v>-1.8206645425580339E-3</v>
      </c>
      <c r="G4" s="34">
        <f>IF(EV!G4&lt;0,-Prob!G4,Prob!G4)</f>
        <v>1.8206645425580339E-3</v>
      </c>
      <c r="H4" s="34">
        <f>IF(EV!H4&lt;0,-Prob!H4,Prob!H4)</f>
        <v>-1.8206645425580339E-3</v>
      </c>
      <c r="I4" s="34">
        <f>IF(EV!I4&lt;0,-Prob!I4,Prob!I4)</f>
        <v>-1.8206645425580339E-3</v>
      </c>
      <c r="J4" s="34">
        <f>IF(EV!J4&lt;0,-Prob!J4,Prob!J4)</f>
        <v>-1.8206645425580339E-3</v>
      </c>
      <c r="K4" s="34">
        <f>IF(EV!K4&lt;0,-Prob!K4,Prob!K4)</f>
        <v>-6.7224536955988951E-3</v>
      </c>
      <c r="M4" s="387" t="s">
        <v>35</v>
      </c>
      <c r="N4" s="388"/>
      <c r="O4" s="78">
        <f>-(SUMIF(B2:K16,"&lt;0")+SUMIF(B18:K26,"&lt;0")+SUMIF(B28:K37,"&lt;0")+C46)</f>
        <v>0.60218479745106923</v>
      </c>
      <c r="P4" s="80">
        <f>O4</f>
        <v>0.60218479745106923</v>
      </c>
      <c r="Q4" s="81">
        <f>O4</f>
        <v>0.60218479745106923</v>
      </c>
      <c r="R4" s="79">
        <f>ROUND(Q4*10,0)</f>
        <v>6</v>
      </c>
    </row>
    <row r="5" spans="1:18" ht="16" thickBot="1" x14ac:dyDescent="0.25">
      <c r="A5" s="46">
        <v>8</v>
      </c>
      <c r="B5" s="34">
        <f>IF(EV!B5&lt;0,-Prob!B5,Prob!B5)</f>
        <v>-1.2604600679247927E-3</v>
      </c>
      <c r="C5" s="34">
        <f>IF(EV!C5&lt;0,-Prob!C5,Prob!C5)</f>
        <v>-1.8206645425580339E-3</v>
      </c>
      <c r="D5" s="34">
        <f>IF(EV!D5&lt;0,-Prob!D5,Prob!D5)</f>
        <v>1.8206645425580339E-3</v>
      </c>
      <c r="E5" s="34">
        <f>IF(EV!E5&lt;0,-Prob!E5,Prob!E5)</f>
        <v>1.8206645425580339E-3</v>
      </c>
      <c r="F5" s="34">
        <f>IF(EV!F5&lt;0,-Prob!F5,Prob!F5)</f>
        <v>1.8206645425580339E-3</v>
      </c>
      <c r="G5" s="34">
        <f>IF(EV!G5&lt;0,-Prob!G5,Prob!G5)</f>
        <v>1.8206645425580339E-3</v>
      </c>
      <c r="H5" s="34">
        <f>IF(EV!H5&lt;0,-Prob!H5,Prob!H5)</f>
        <v>1.8206645425580339E-3</v>
      </c>
      <c r="I5" s="34">
        <f>IF(EV!I5&lt;0,-Prob!I5,Prob!I5)</f>
        <v>-1.8206645425580339E-3</v>
      </c>
      <c r="J5" s="34">
        <f>IF(EV!J5&lt;0,-Prob!J5,Prob!J5)</f>
        <v>-1.8206645425580339E-3</v>
      </c>
      <c r="K5" s="34">
        <f>IF(EV!K5&lt;0,-Prob!K5,Prob!K5)</f>
        <v>-6.7224536955988951E-3</v>
      </c>
      <c r="M5" s="389" t="s">
        <v>34</v>
      </c>
      <c r="N5" s="390"/>
      <c r="O5" s="85">
        <f>SUMIF(B2:K16,"&gt;0")+SUMIF(B18:K26,"&gt;0")+SUMIF(B28:K37,"&gt;0")</f>
        <v>0.3978152025489306</v>
      </c>
      <c r="P5" s="86">
        <f>O5</f>
        <v>0.3978152025489306</v>
      </c>
      <c r="Q5" s="87">
        <f>O5</f>
        <v>0.3978152025489306</v>
      </c>
      <c r="R5" s="88">
        <f>ROUND(Q5*10,0)</f>
        <v>4</v>
      </c>
    </row>
    <row r="6" spans="1:18" ht="16" thickBot="1" x14ac:dyDescent="0.25">
      <c r="A6" s="46">
        <v>9</v>
      </c>
      <c r="B6" s="34">
        <f>IF(EV!B6&lt;0,-Prob!B6,Prob!B6)</f>
        <v>-1.890690101887189E-3</v>
      </c>
      <c r="C6" s="34">
        <f>IF(EV!C6&lt;0,-Prob!C6,Prob!C6)</f>
        <v>2.730996813837051E-3</v>
      </c>
      <c r="D6" s="34">
        <f>IF(EV!D6&lt;0,-Prob!D6,Prob!D6)</f>
        <v>2.730996813837051E-3</v>
      </c>
      <c r="E6" s="34">
        <f>IF(EV!E6&lt;0,-Prob!E6,Prob!E6)</f>
        <v>2.730996813837051E-3</v>
      </c>
      <c r="F6" s="34">
        <f>IF(EV!F6&lt;0,-Prob!F6,Prob!F6)</f>
        <v>2.730996813837051E-3</v>
      </c>
      <c r="G6" s="34">
        <f>IF(EV!G6&lt;0,-Prob!G6,Prob!G6)</f>
        <v>2.730996813837051E-3</v>
      </c>
      <c r="H6" s="34">
        <f>IF(EV!H6&lt;0,-Prob!H6,Prob!H6)</f>
        <v>2.730996813837051E-3</v>
      </c>
      <c r="I6" s="34">
        <f>IF(EV!I6&lt;0,-Prob!I6,Prob!I6)</f>
        <v>2.730996813837051E-3</v>
      </c>
      <c r="J6" s="34">
        <f>IF(EV!J6&lt;0,-Prob!J6,Prob!J6)</f>
        <v>-2.730996813837051E-3</v>
      </c>
      <c r="K6" s="34">
        <f>IF(EV!K6&lt;0,-Prob!K6,Prob!K6)</f>
        <v>-1.0083680543398343E-2</v>
      </c>
      <c r="M6" s="391" t="s">
        <v>2</v>
      </c>
      <c r="N6" s="392"/>
      <c r="O6" s="93">
        <f>SUM(O4:O5)</f>
        <v>0.99999999999999978</v>
      </c>
      <c r="P6" s="94">
        <f>O6</f>
        <v>0.99999999999999978</v>
      </c>
      <c r="Q6" s="95">
        <f>O6</f>
        <v>0.99999999999999978</v>
      </c>
      <c r="R6" s="96">
        <f>ROUND(Q6*10,0)</f>
        <v>10</v>
      </c>
    </row>
    <row r="7" spans="1:18" ht="16" thickBot="1" x14ac:dyDescent="0.25">
      <c r="A7" s="46">
        <v>10</v>
      </c>
      <c r="B7" s="34">
        <f>IF(EV!B7&lt;0,-Prob!B7,Prob!B7)</f>
        <v>1.890690101887189E-3</v>
      </c>
      <c r="C7" s="34">
        <f>IF(EV!C7&lt;0,-Prob!C7,Prob!C7)</f>
        <v>2.730996813837051E-3</v>
      </c>
      <c r="D7" s="34">
        <f>IF(EV!D7&lt;0,-Prob!D7,Prob!D7)</f>
        <v>2.730996813837051E-3</v>
      </c>
      <c r="E7" s="34">
        <f>IF(EV!E7&lt;0,-Prob!E7,Prob!E7)</f>
        <v>2.730996813837051E-3</v>
      </c>
      <c r="F7" s="34">
        <f>IF(EV!F7&lt;0,-Prob!F7,Prob!F7)</f>
        <v>2.730996813837051E-3</v>
      </c>
      <c r="G7" s="34">
        <f>IF(EV!G7&lt;0,-Prob!G7,Prob!G7)</f>
        <v>2.730996813837051E-3</v>
      </c>
      <c r="H7" s="34">
        <f>IF(EV!H7&lt;0,-Prob!H7,Prob!H7)</f>
        <v>2.730996813837051E-3</v>
      </c>
      <c r="I7" s="34">
        <f>IF(EV!I7&lt;0,-Prob!I7,Prob!I7)</f>
        <v>2.730996813837051E-3</v>
      </c>
      <c r="J7" s="34">
        <f>IF(EV!J7&lt;0,-Prob!J7,Prob!J7)</f>
        <v>2.730996813837051E-3</v>
      </c>
      <c r="K7" s="34">
        <f>IF(EV!K7&lt;0,-Prob!K7,Prob!K7)</f>
        <v>1.0083680543398343E-2</v>
      </c>
      <c r="M7" s="393" t="s">
        <v>39</v>
      </c>
      <c r="N7" s="394"/>
      <c r="O7" s="89">
        <f>O5-O4</f>
        <v>-0.20436959490213863</v>
      </c>
      <c r="P7" s="90">
        <f>P5-P4</f>
        <v>-0.20436959490213863</v>
      </c>
      <c r="Q7" s="91"/>
      <c r="R7" s="92"/>
    </row>
    <row r="8" spans="1:18" x14ac:dyDescent="0.2">
      <c r="A8" s="46">
        <v>11</v>
      </c>
      <c r="B8" s="34">
        <f>IF(EV!B8&lt;0,-Prob!B8,Prob!B8)</f>
        <v>2.5209201358495858E-3</v>
      </c>
      <c r="C8" s="34">
        <f>IF(EV!C8&lt;0,-Prob!C8,Prob!C8)</f>
        <v>3.6413290851160683E-3</v>
      </c>
      <c r="D8" s="34">
        <f>IF(EV!D8&lt;0,-Prob!D8,Prob!D8)</f>
        <v>3.6413290851160683E-3</v>
      </c>
      <c r="E8" s="34">
        <f>IF(EV!E8&lt;0,-Prob!E8,Prob!E8)</f>
        <v>3.6413290851160683E-3</v>
      </c>
      <c r="F8" s="34">
        <f>IF(EV!F8&lt;0,-Prob!F8,Prob!F8)</f>
        <v>3.6413290851160683E-3</v>
      </c>
      <c r="G8" s="34">
        <f>IF(EV!G8&lt;0,-Prob!G8,Prob!G8)</f>
        <v>3.6413290851160683E-3</v>
      </c>
      <c r="H8" s="34">
        <f>IF(EV!H8&lt;0,-Prob!H8,Prob!H8)</f>
        <v>3.6413290851160683E-3</v>
      </c>
      <c r="I8" s="34">
        <f>IF(EV!I8&lt;0,-Prob!I8,Prob!I8)</f>
        <v>3.6413290851160683E-3</v>
      </c>
      <c r="J8" s="34">
        <f>IF(EV!J8&lt;0,-Prob!J8,Prob!J8)</f>
        <v>3.6413290851160683E-3</v>
      </c>
      <c r="K8" s="34">
        <f>IF(EV!K8&lt;0,-Prob!K8,Prob!K8)</f>
        <v>1.3444907391197792E-2</v>
      </c>
    </row>
    <row r="9" spans="1:18" x14ac:dyDescent="0.2">
      <c r="A9" s="46">
        <v>12</v>
      </c>
      <c r="B9" s="34">
        <f>IF(EV!B9&lt;0,-Prob!B9,Prob!B9)</f>
        <v>-4.4116102377367745E-3</v>
      </c>
      <c r="C9" s="34">
        <f>IF(EV!C9&lt;0,-Prob!C9,Prob!C9)</f>
        <v>-6.3723258989531193E-3</v>
      </c>
      <c r="D9" s="34">
        <f>IF(EV!D9&lt;0,-Prob!D9,Prob!D9)</f>
        <v>-6.3723258989531193E-3</v>
      </c>
      <c r="E9" s="34">
        <f>IF(EV!E9&lt;0,-Prob!E9,Prob!E9)</f>
        <v>-6.3723258989531193E-3</v>
      </c>
      <c r="F9" s="34">
        <f>IF(EV!F9&lt;0,-Prob!F9,Prob!F9)</f>
        <v>-6.3723258989531193E-3</v>
      </c>
      <c r="G9" s="34">
        <f>IF(EV!G9&lt;0,-Prob!G9,Prob!G9)</f>
        <v>-6.3723258989531193E-3</v>
      </c>
      <c r="H9" s="34">
        <f>IF(EV!H9&lt;0,-Prob!H9,Prob!H9)</f>
        <v>-6.3723258989531193E-3</v>
      </c>
      <c r="I9" s="34">
        <f>IF(EV!I9&lt;0,-Prob!I9,Prob!I9)</f>
        <v>-6.3723258989531193E-3</v>
      </c>
      <c r="J9" s="34">
        <f>IF(EV!J9&lt;0,-Prob!J9,Prob!J9)</f>
        <v>-6.3723258989531193E-3</v>
      </c>
      <c r="K9" s="34">
        <f>IF(EV!K9&lt;0,-Prob!K9,Prob!K9)</f>
        <v>-2.3528587934596133E-2</v>
      </c>
      <c r="M9" s="33" t="s">
        <v>83</v>
      </c>
      <c r="O9" s="33">
        <f>ER!C43</f>
        <v>-36.602557651576262</v>
      </c>
    </row>
    <row r="10" spans="1:18" x14ac:dyDescent="0.2">
      <c r="A10" s="46">
        <v>13</v>
      </c>
      <c r="B10" s="34">
        <f>IF(EV!B10&lt;0,-Prob!B10,Prob!B10)</f>
        <v>-4.4116102377367745E-3</v>
      </c>
      <c r="C10" s="34">
        <f>IF(EV!C10&lt;0,-Prob!C10,Prob!C10)</f>
        <v>-6.3723258989531193E-3</v>
      </c>
      <c r="D10" s="34">
        <f>IF(EV!D10&lt;0,-Prob!D10,Prob!D10)</f>
        <v>-6.3723258989531193E-3</v>
      </c>
      <c r="E10" s="34">
        <f>IF(EV!E10&lt;0,-Prob!E10,Prob!E10)</f>
        <v>-6.3723258989531193E-3</v>
      </c>
      <c r="F10" s="34">
        <f>IF(EV!F10&lt;0,-Prob!F10,Prob!F10)</f>
        <v>-6.3723258989531193E-3</v>
      </c>
      <c r="G10" s="34">
        <f>IF(EV!G10&lt;0,-Prob!G10,Prob!G10)</f>
        <v>-6.3723258989531193E-3</v>
      </c>
      <c r="H10" s="34">
        <f>IF(EV!H10&lt;0,-Prob!H10,Prob!H10)</f>
        <v>-6.3723258989531193E-3</v>
      </c>
      <c r="I10" s="34">
        <f>IF(EV!I10&lt;0,-Prob!I10,Prob!I10)</f>
        <v>-6.3723258989531193E-3</v>
      </c>
      <c r="J10" s="34">
        <f>IF(EV!J10&lt;0,-Prob!J10,Prob!J10)</f>
        <v>-6.3723258989531193E-3</v>
      </c>
      <c r="K10" s="34">
        <f>IF(EV!K10&lt;0,-Prob!K10,Prob!K10)</f>
        <v>-2.3528587934596133E-2</v>
      </c>
      <c r="M10" s="33" t="s">
        <v>84</v>
      </c>
      <c r="O10" s="33">
        <f>ER!C42</f>
        <v>63.260355849610434</v>
      </c>
    </row>
    <row r="11" spans="1:18" x14ac:dyDescent="0.2">
      <c r="A11" s="46">
        <v>14</v>
      </c>
      <c r="B11" s="34">
        <f>IF(EV!B11&lt;0,-Prob!B11,Prob!B11)</f>
        <v>-3.781380203774378E-3</v>
      </c>
      <c r="C11" s="34">
        <f>IF(EV!C11&lt;0,-Prob!C11,Prob!C11)</f>
        <v>-5.461993627674102E-3</v>
      </c>
      <c r="D11" s="34">
        <f>IF(EV!D11&lt;0,-Prob!D11,Prob!D11)</f>
        <v>-5.461993627674102E-3</v>
      </c>
      <c r="E11" s="34">
        <f>IF(EV!E11&lt;0,-Prob!E11,Prob!E11)</f>
        <v>-5.461993627674102E-3</v>
      </c>
      <c r="F11" s="34">
        <f>IF(EV!F11&lt;0,-Prob!F11,Prob!F11)</f>
        <v>-5.461993627674102E-3</v>
      </c>
      <c r="G11" s="34">
        <f>IF(EV!G11&lt;0,-Prob!G11,Prob!G11)</f>
        <v>-5.461993627674102E-3</v>
      </c>
      <c r="H11" s="34">
        <f>IF(EV!H11&lt;0,-Prob!H11,Prob!H11)</f>
        <v>-5.461993627674102E-3</v>
      </c>
      <c r="I11" s="34">
        <f>IF(EV!I11&lt;0,-Prob!I11,Prob!I11)</f>
        <v>-5.461993627674102E-3</v>
      </c>
      <c r="J11" s="34">
        <f>IF(EV!J11&lt;0,-Prob!J11,Prob!J11)</f>
        <v>-5.461993627674102E-3</v>
      </c>
      <c r="K11" s="34">
        <f>IF(EV!K11&lt;0,-Prob!K11,Prob!K11)</f>
        <v>-2.0167361086796686E-2</v>
      </c>
    </row>
    <row r="12" spans="1:18" x14ac:dyDescent="0.2">
      <c r="A12" s="46">
        <v>15</v>
      </c>
      <c r="B12" s="34">
        <f>IF(EV!B12&lt;0,-Prob!B12,Prob!B12)</f>
        <v>-3.781380203774378E-3</v>
      </c>
      <c r="C12" s="34">
        <f>IF(EV!C12&lt;0,-Prob!C12,Prob!C12)</f>
        <v>-5.461993627674102E-3</v>
      </c>
      <c r="D12" s="34">
        <f>IF(EV!D12&lt;0,-Prob!D12,Prob!D12)</f>
        <v>-5.461993627674102E-3</v>
      </c>
      <c r="E12" s="34">
        <f>IF(EV!E12&lt;0,-Prob!E12,Prob!E12)</f>
        <v>-5.461993627674102E-3</v>
      </c>
      <c r="F12" s="34">
        <f>IF(EV!F12&lt;0,-Prob!F12,Prob!F12)</f>
        <v>-5.461993627674102E-3</v>
      </c>
      <c r="G12" s="34">
        <f>IF(EV!G12&lt;0,-Prob!G12,Prob!G12)</f>
        <v>-5.461993627674102E-3</v>
      </c>
      <c r="H12" s="34">
        <f>IF(EV!H12&lt;0,-Prob!H12,Prob!H12)</f>
        <v>-5.461993627674102E-3</v>
      </c>
      <c r="I12" s="34">
        <f>IF(EV!I12&lt;0,-Prob!I12,Prob!I12)</f>
        <v>-5.461993627674102E-3</v>
      </c>
      <c r="J12" s="34">
        <f>IF(EV!J12&lt;0,-Prob!J12,Prob!J12)</f>
        <v>-5.461993627674102E-3</v>
      </c>
      <c r="K12" s="34">
        <f>IF(EV!K12&lt;0,-Prob!K12,Prob!K12)</f>
        <v>-2.0167361086796686E-2</v>
      </c>
    </row>
    <row r="13" spans="1:18" x14ac:dyDescent="0.2">
      <c r="A13" s="46">
        <v>16</v>
      </c>
      <c r="B13" s="34">
        <f>IF(EV!B13&lt;0,-Prob!B13,Prob!B13)</f>
        <v>-3.1511501698119814E-3</v>
      </c>
      <c r="C13" s="34">
        <f>IF(EV!C13&lt;0,-Prob!C13,Prob!C13)</f>
        <v>-4.5516613563950847E-3</v>
      </c>
      <c r="D13" s="34">
        <f>IF(EV!D13&lt;0,-Prob!D13,Prob!D13)</f>
        <v>-4.5516613563950847E-3</v>
      </c>
      <c r="E13" s="34">
        <f>IF(EV!E13&lt;0,-Prob!E13,Prob!E13)</f>
        <v>-4.5516613563950847E-3</v>
      </c>
      <c r="F13" s="34">
        <f>IF(EV!F13&lt;0,-Prob!F13,Prob!F13)</f>
        <v>-4.5516613563950847E-3</v>
      </c>
      <c r="G13" s="34">
        <f>IF(EV!G13&lt;0,-Prob!G13,Prob!G13)</f>
        <v>-4.5516613563950847E-3</v>
      </c>
      <c r="H13" s="34">
        <f>IF(EV!H13&lt;0,-Prob!H13,Prob!H13)</f>
        <v>-4.5516613563950847E-3</v>
      </c>
      <c r="I13" s="34">
        <f>IF(EV!I13&lt;0,-Prob!I13,Prob!I13)</f>
        <v>-4.5516613563950847E-3</v>
      </c>
      <c r="J13" s="34">
        <f>IF(EV!J13&lt;0,-Prob!J13,Prob!J13)</f>
        <v>-4.5516613563950847E-3</v>
      </c>
      <c r="K13" s="34">
        <f>IF(EV!K13&lt;0,-Prob!K13,Prob!K13)</f>
        <v>-1.6806134238997236E-2</v>
      </c>
    </row>
    <row r="14" spans="1:18" x14ac:dyDescent="0.2">
      <c r="A14" s="46">
        <v>17</v>
      </c>
      <c r="B14" s="34">
        <f>IF(EV!B14&lt;0,-Prob!B14,Prob!B14)</f>
        <v>-3.1511501698119814E-3</v>
      </c>
      <c r="C14" s="34">
        <f>IF(EV!C14&lt;0,-Prob!C14,Prob!C14)</f>
        <v>-4.5516613563950847E-3</v>
      </c>
      <c r="D14" s="34">
        <f>IF(EV!D14&lt;0,-Prob!D14,Prob!D14)</f>
        <v>-4.5516613563950847E-3</v>
      </c>
      <c r="E14" s="34">
        <f>IF(EV!E14&lt;0,-Prob!E14,Prob!E14)</f>
        <v>-4.5516613563950847E-3</v>
      </c>
      <c r="F14" s="34">
        <f>IF(EV!F14&lt;0,-Prob!F14,Prob!F14)</f>
        <v>-4.5516613563950847E-3</v>
      </c>
      <c r="G14" s="34">
        <f>IF(EV!G14&lt;0,-Prob!G14,Prob!G14)</f>
        <v>4.5516613563950847E-3</v>
      </c>
      <c r="H14" s="34">
        <f>IF(EV!H14&lt;0,-Prob!H14,Prob!H14)</f>
        <v>-4.5516613563950847E-3</v>
      </c>
      <c r="I14" s="34">
        <f>IF(EV!I14&lt;0,-Prob!I14,Prob!I14)</f>
        <v>-4.5516613563950847E-3</v>
      </c>
      <c r="J14" s="34">
        <f>IF(EV!J14&lt;0,-Prob!J14,Prob!J14)</f>
        <v>-4.5516613563950847E-3</v>
      </c>
      <c r="K14" s="34">
        <f>IF(EV!K14&lt;0,-Prob!K14,Prob!K14)</f>
        <v>-1.6806134238997236E-2</v>
      </c>
    </row>
    <row r="15" spans="1:18" x14ac:dyDescent="0.2">
      <c r="A15" s="46">
        <v>18</v>
      </c>
      <c r="B15" s="34">
        <f>IF(EV!B15&lt;0,-Prob!B15,Prob!B15)</f>
        <v>-2.5209201358495853E-3</v>
      </c>
      <c r="C15" s="34">
        <f>IF(EV!C15&lt;0,-Prob!C15,Prob!C15)</f>
        <v>3.6413290851160678E-3</v>
      </c>
      <c r="D15" s="34">
        <f>IF(EV!D15&lt;0,-Prob!D15,Prob!D15)</f>
        <v>3.6413290851160678E-3</v>
      </c>
      <c r="E15" s="34">
        <f>IF(EV!E15&lt;0,-Prob!E15,Prob!E15)</f>
        <v>3.6413290851160678E-3</v>
      </c>
      <c r="F15" s="34">
        <f>IF(EV!F15&lt;0,-Prob!F15,Prob!F15)</f>
        <v>3.6413290851160678E-3</v>
      </c>
      <c r="G15" s="34">
        <f>IF(EV!G15&lt;0,-Prob!G15,Prob!G15)</f>
        <v>3.6413290851160678E-3</v>
      </c>
      <c r="H15" s="34">
        <f>IF(EV!H15&lt;0,-Prob!H15,Prob!H15)</f>
        <v>3.6413290851160678E-3</v>
      </c>
      <c r="I15" s="34">
        <f>IF(EV!I15&lt;0,-Prob!I15,Prob!I15)</f>
        <v>3.6413290851160678E-3</v>
      </c>
      <c r="J15" s="34">
        <f>IF(EV!J15&lt;0,-Prob!J15,Prob!J15)</f>
        <v>-3.6413290851160678E-3</v>
      </c>
      <c r="K15" s="34">
        <f>IF(EV!K15&lt;0,-Prob!K15,Prob!K15)</f>
        <v>-1.344490739119779E-2</v>
      </c>
    </row>
    <row r="16" spans="1:18" x14ac:dyDescent="0.2">
      <c r="A16" s="46">
        <v>19</v>
      </c>
      <c r="B16" s="34">
        <f>IF(EV!B16&lt;0,-Prob!B16,Prob!B16)</f>
        <v>2.5209201358495853E-3</v>
      </c>
      <c r="C16" s="34">
        <f>IF(EV!C16&lt;0,-Prob!C16,Prob!C16)</f>
        <v>3.6413290851160678E-3</v>
      </c>
      <c r="D16" s="34">
        <f>IF(EV!D16&lt;0,-Prob!D16,Prob!D16)</f>
        <v>3.6413290851160678E-3</v>
      </c>
      <c r="E16" s="34">
        <f>IF(EV!E16&lt;0,-Prob!E16,Prob!E16)</f>
        <v>3.6413290851160678E-3</v>
      </c>
      <c r="F16" s="34">
        <f>IF(EV!F16&lt;0,-Prob!F16,Prob!F16)</f>
        <v>3.6413290851160678E-3</v>
      </c>
      <c r="G16" s="34">
        <f>IF(EV!G16&lt;0,-Prob!G16,Prob!G16)</f>
        <v>3.6413290851160678E-3</v>
      </c>
      <c r="H16" s="34">
        <f>IF(EV!H16&lt;0,-Prob!H16,Prob!H16)</f>
        <v>3.6413290851160678E-3</v>
      </c>
      <c r="I16" s="34">
        <f>IF(EV!I16&lt;0,-Prob!I16,Prob!I16)</f>
        <v>3.6413290851160678E-3</v>
      </c>
      <c r="J16" s="34">
        <f>IF(EV!J16&lt;0,-Prob!J16,Prob!J16)</f>
        <v>3.6413290851160678E-3</v>
      </c>
      <c r="K16" s="34">
        <f>IF(EV!K16&lt;0,-Prob!K16,Prob!K16)</f>
        <v>1.344490739119779E-2</v>
      </c>
    </row>
    <row r="17" spans="1:11" x14ac:dyDescent="0.2">
      <c r="A17" s="46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8">
        <v>10</v>
      </c>
    </row>
    <row r="18" spans="1:11" x14ac:dyDescent="0.2">
      <c r="A18" s="46">
        <v>13</v>
      </c>
      <c r="B18" s="34">
        <f>IF(EV!B18&lt;0,-Prob!B18,Prob!B18)</f>
        <v>-6.3023003396239633E-4</v>
      </c>
      <c r="C18" s="34">
        <f>IF(EV!C18&lt;0,-Prob!C18,Prob!C18)</f>
        <v>9.1033227127901696E-4</v>
      </c>
      <c r="D18" s="34">
        <f>IF(EV!D18&lt;0,-Prob!D18,Prob!D18)</f>
        <v>9.1033227127901696E-4</v>
      </c>
      <c r="E18" s="34">
        <f>IF(EV!E18&lt;0,-Prob!E18,Prob!E18)</f>
        <v>9.1033227127901696E-4</v>
      </c>
      <c r="F18" s="34">
        <f>IF(EV!F18&lt;0,-Prob!F18,Prob!F18)</f>
        <v>9.1033227127901696E-4</v>
      </c>
      <c r="G18" s="34">
        <f>IF(EV!G18&lt;0,-Prob!G18,Prob!G18)</f>
        <v>9.1033227127901696E-4</v>
      </c>
      <c r="H18" s="34">
        <f>IF(EV!H18&lt;0,-Prob!H18,Prob!H18)</f>
        <v>9.1033227127901696E-4</v>
      </c>
      <c r="I18" s="34">
        <f>IF(EV!I18&lt;0,-Prob!I18,Prob!I18)</f>
        <v>9.1033227127901696E-4</v>
      </c>
      <c r="J18" s="34">
        <f>IF(EV!J18&lt;0,-Prob!J18,Prob!J18)</f>
        <v>-9.1033227127901696E-4</v>
      </c>
      <c r="K18" s="34">
        <f>IF(EV!K18&lt;0,-Prob!K18,Prob!K18)</f>
        <v>-3.3612268477994475E-3</v>
      </c>
    </row>
    <row r="19" spans="1:11" x14ac:dyDescent="0.2">
      <c r="A19" s="46">
        <v>14</v>
      </c>
      <c r="B19" s="34">
        <f>IF(EV!B19&lt;0,-Prob!B19,Prob!B19)</f>
        <v>-6.3023003396239633E-4</v>
      </c>
      <c r="C19" s="34">
        <f>IF(EV!C19&lt;0,-Prob!C19,Prob!C19)</f>
        <v>9.1033227127901696E-4</v>
      </c>
      <c r="D19" s="34">
        <f>IF(EV!D19&lt;0,-Prob!D19,Prob!D19)</f>
        <v>9.1033227127901696E-4</v>
      </c>
      <c r="E19" s="34">
        <f>IF(EV!E19&lt;0,-Prob!E19,Prob!E19)</f>
        <v>9.1033227127901696E-4</v>
      </c>
      <c r="F19" s="34">
        <f>IF(EV!F19&lt;0,-Prob!F19,Prob!F19)</f>
        <v>9.1033227127901696E-4</v>
      </c>
      <c r="G19" s="34">
        <f>IF(EV!G19&lt;0,-Prob!G19,Prob!G19)</f>
        <v>9.1033227127901696E-4</v>
      </c>
      <c r="H19" s="34">
        <f>IF(EV!H19&lt;0,-Prob!H19,Prob!H19)</f>
        <v>9.1033227127901696E-4</v>
      </c>
      <c r="I19" s="34">
        <f>IF(EV!I19&lt;0,-Prob!I19,Prob!I19)</f>
        <v>9.1033227127901696E-4</v>
      </c>
      <c r="J19" s="34">
        <f>IF(EV!J19&lt;0,-Prob!J19,Prob!J19)</f>
        <v>-9.1033227127901696E-4</v>
      </c>
      <c r="K19" s="34">
        <f>IF(EV!K19&lt;0,-Prob!K19,Prob!K19)</f>
        <v>-3.3612268477994475E-3</v>
      </c>
    </row>
    <row r="20" spans="1:11" x14ac:dyDescent="0.2">
      <c r="A20" s="46">
        <v>15</v>
      </c>
      <c r="B20" s="34">
        <f>IF(EV!B20&lt;0,-Prob!B20,Prob!B20)</f>
        <v>-6.3023003396239633E-4</v>
      </c>
      <c r="C20" s="34">
        <f>IF(EV!C20&lt;0,-Prob!C20,Prob!C20)</f>
        <v>-9.1033227127901696E-4</v>
      </c>
      <c r="D20" s="34">
        <f>IF(EV!D20&lt;0,-Prob!D20,Prob!D20)</f>
        <v>9.1033227127901696E-4</v>
      </c>
      <c r="E20" s="34">
        <f>IF(EV!E20&lt;0,-Prob!E20,Prob!E20)</f>
        <v>9.1033227127901696E-4</v>
      </c>
      <c r="F20" s="34">
        <f>IF(EV!F20&lt;0,-Prob!F20,Prob!F20)</f>
        <v>9.1033227127901696E-4</v>
      </c>
      <c r="G20" s="34">
        <f>IF(EV!G20&lt;0,-Prob!G20,Prob!G20)</f>
        <v>9.1033227127901696E-4</v>
      </c>
      <c r="H20" s="34">
        <f>IF(EV!H20&lt;0,-Prob!H20,Prob!H20)</f>
        <v>9.1033227127901696E-4</v>
      </c>
      <c r="I20" s="34">
        <f>IF(EV!I20&lt;0,-Prob!I20,Prob!I20)</f>
        <v>-9.1033227127901696E-4</v>
      </c>
      <c r="J20" s="34">
        <f>IF(EV!J20&lt;0,-Prob!J20,Prob!J20)</f>
        <v>-9.1033227127901696E-4</v>
      </c>
      <c r="K20" s="34">
        <f>IF(EV!K20&lt;0,-Prob!K20,Prob!K20)</f>
        <v>-3.3612268477994475E-3</v>
      </c>
    </row>
    <row r="21" spans="1:11" x14ac:dyDescent="0.2">
      <c r="A21" s="46">
        <v>16</v>
      </c>
      <c r="B21" s="34">
        <f>IF(EV!B21&lt;0,-Prob!B21,Prob!B21)</f>
        <v>-6.3023003396239633E-4</v>
      </c>
      <c r="C21" s="34">
        <f>IF(EV!C21&lt;0,-Prob!C21,Prob!C21)</f>
        <v>-9.1033227127901696E-4</v>
      </c>
      <c r="D21" s="34">
        <f>IF(EV!D21&lt;0,-Prob!D21,Prob!D21)</f>
        <v>9.1033227127901696E-4</v>
      </c>
      <c r="E21" s="34">
        <f>IF(EV!E21&lt;0,-Prob!E21,Prob!E21)</f>
        <v>9.1033227127901696E-4</v>
      </c>
      <c r="F21" s="34">
        <f>IF(EV!F21&lt;0,-Prob!F21,Prob!F21)</f>
        <v>9.1033227127901696E-4</v>
      </c>
      <c r="G21" s="34">
        <f>IF(EV!G21&lt;0,-Prob!G21,Prob!G21)</f>
        <v>9.1033227127901696E-4</v>
      </c>
      <c r="H21" s="34">
        <f>IF(EV!H21&lt;0,-Prob!H21,Prob!H21)</f>
        <v>-9.1033227127901696E-4</v>
      </c>
      <c r="I21" s="34">
        <f>IF(EV!I21&lt;0,-Prob!I21,Prob!I21)</f>
        <v>-9.1033227127901696E-4</v>
      </c>
      <c r="J21" s="34">
        <f>IF(EV!J21&lt;0,-Prob!J21,Prob!J21)</f>
        <v>-9.1033227127901696E-4</v>
      </c>
      <c r="K21" s="34">
        <f>IF(EV!K21&lt;0,-Prob!K21,Prob!K21)</f>
        <v>-3.3612268477994475E-3</v>
      </c>
    </row>
    <row r="22" spans="1:11" x14ac:dyDescent="0.2">
      <c r="A22" s="46">
        <v>17</v>
      </c>
      <c r="B22" s="34">
        <f>IF(EV!B22&lt;0,-Prob!B22,Prob!B22)</f>
        <v>-6.3023003396239633E-4</v>
      </c>
      <c r="C22" s="34">
        <f>IF(EV!C22&lt;0,-Prob!C22,Prob!C22)</f>
        <v>-9.1033227127901696E-4</v>
      </c>
      <c r="D22" s="34">
        <f>IF(EV!D22&lt;0,-Prob!D22,Prob!D22)</f>
        <v>9.1033227127901696E-4</v>
      </c>
      <c r="E22" s="34">
        <f>IF(EV!E22&lt;0,-Prob!E22,Prob!E22)</f>
        <v>9.1033227127901696E-4</v>
      </c>
      <c r="F22" s="34">
        <f>IF(EV!F22&lt;0,-Prob!F22,Prob!F22)</f>
        <v>9.1033227127901696E-4</v>
      </c>
      <c r="G22" s="34">
        <f>IF(EV!G22&lt;0,-Prob!G22,Prob!G22)</f>
        <v>9.1033227127901696E-4</v>
      </c>
      <c r="H22" s="34">
        <f>IF(EV!H22&lt;0,-Prob!H22,Prob!H22)</f>
        <v>9.1033227127901696E-4</v>
      </c>
      <c r="I22" s="34">
        <f>IF(EV!I22&lt;0,-Prob!I22,Prob!I22)</f>
        <v>-9.1033227127901696E-4</v>
      </c>
      <c r="J22" s="34">
        <f>IF(EV!J22&lt;0,-Prob!J22,Prob!J22)</f>
        <v>-9.1033227127901696E-4</v>
      </c>
      <c r="K22" s="34">
        <f>IF(EV!K22&lt;0,-Prob!K22,Prob!K22)</f>
        <v>-3.3612268477994475E-3</v>
      </c>
    </row>
    <row r="23" spans="1:11" x14ac:dyDescent="0.2">
      <c r="A23" s="46">
        <v>18</v>
      </c>
      <c r="B23" s="34">
        <f>IF(EV!B23&lt;0,-Prob!B23,Prob!B23)</f>
        <v>-6.3023003396239633E-4</v>
      </c>
      <c r="C23" s="34">
        <f>IF(EV!C23&lt;0,-Prob!C23,Prob!C23)</f>
        <v>9.1033227127901696E-4</v>
      </c>
      <c r="D23" s="34">
        <f>IF(EV!D23&lt;0,-Prob!D23,Prob!D23)</f>
        <v>9.1033227127901696E-4</v>
      </c>
      <c r="E23" s="34">
        <f>IF(EV!E23&lt;0,-Prob!E23,Prob!E23)</f>
        <v>9.1033227127901696E-4</v>
      </c>
      <c r="F23" s="34">
        <f>IF(EV!F23&lt;0,-Prob!F23,Prob!F23)</f>
        <v>9.1033227127901696E-4</v>
      </c>
      <c r="G23" s="34">
        <f>IF(EV!G23&lt;0,-Prob!G23,Prob!G23)</f>
        <v>9.1033227127901696E-4</v>
      </c>
      <c r="H23" s="34">
        <f>IF(EV!H23&lt;0,-Prob!H23,Prob!H23)</f>
        <v>9.1033227127901696E-4</v>
      </c>
      <c r="I23" s="34">
        <f>IF(EV!I23&lt;0,-Prob!I23,Prob!I23)</f>
        <v>9.1033227127901696E-4</v>
      </c>
      <c r="J23" s="34">
        <f>IF(EV!J23&lt;0,-Prob!J23,Prob!J23)</f>
        <v>-9.1033227127901696E-4</v>
      </c>
      <c r="K23" s="34">
        <f>IF(EV!K23&lt;0,-Prob!K23,Prob!K23)</f>
        <v>-3.3612268477994475E-3</v>
      </c>
    </row>
    <row r="24" spans="1:11" x14ac:dyDescent="0.2">
      <c r="A24" s="46">
        <v>19</v>
      </c>
      <c r="B24" s="34">
        <f>IF(EV!B24&lt;0,-Prob!B24,Prob!B24)</f>
        <v>6.3023003396239633E-4</v>
      </c>
      <c r="C24" s="34">
        <f>IF(EV!C24&lt;0,-Prob!C24,Prob!C24)</f>
        <v>9.1033227127901696E-4</v>
      </c>
      <c r="D24" s="34">
        <f>IF(EV!D24&lt;0,-Prob!D24,Prob!D24)</f>
        <v>9.1033227127901696E-4</v>
      </c>
      <c r="E24" s="34">
        <f>IF(EV!E24&lt;0,-Prob!E24,Prob!E24)</f>
        <v>9.1033227127901696E-4</v>
      </c>
      <c r="F24" s="34">
        <f>IF(EV!F24&lt;0,-Prob!F24,Prob!F24)</f>
        <v>9.1033227127901696E-4</v>
      </c>
      <c r="G24" s="34">
        <f>IF(EV!G24&lt;0,-Prob!G24,Prob!G24)</f>
        <v>9.1033227127901696E-4</v>
      </c>
      <c r="H24" s="34">
        <f>IF(EV!H24&lt;0,-Prob!H24,Prob!H24)</f>
        <v>9.1033227127901696E-4</v>
      </c>
      <c r="I24" s="34">
        <f>IF(EV!I24&lt;0,-Prob!I24,Prob!I24)</f>
        <v>9.1033227127901696E-4</v>
      </c>
      <c r="J24" s="34">
        <f>IF(EV!J24&lt;0,-Prob!J24,Prob!J24)</f>
        <v>9.1033227127901696E-4</v>
      </c>
      <c r="K24" s="34">
        <f>IF(EV!K24&lt;0,-Prob!K24,Prob!K24)</f>
        <v>3.3612268477994475E-3</v>
      </c>
    </row>
    <row r="25" spans="1:11" x14ac:dyDescent="0.2">
      <c r="A25" s="46">
        <v>20</v>
      </c>
      <c r="B25" s="34">
        <f>IF(EV!B25&lt;0,-Prob!B25,Prob!B25)</f>
        <v>6.3023003396239633E-4</v>
      </c>
      <c r="C25" s="34">
        <f>IF(EV!C25&lt;0,-Prob!C25,Prob!C25)</f>
        <v>9.1033227127901696E-4</v>
      </c>
      <c r="D25" s="34">
        <f>IF(EV!D25&lt;0,-Prob!D25,Prob!D25)</f>
        <v>9.1033227127901696E-4</v>
      </c>
      <c r="E25" s="34">
        <f>IF(EV!E25&lt;0,-Prob!E25,Prob!E25)</f>
        <v>9.1033227127901696E-4</v>
      </c>
      <c r="F25" s="34">
        <f>IF(EV!F25&lt;0,-Prob!F25,Prob!F25)</f>
        <v>9.1033227127901696E-4</v>
      </c>
      <c r="G25" s="34">
        <f>IF(EV!G25&lt;0,-Prob!G25,Prob!G25)</f>
        <v>9.1033227127901696E-4</v>
      </c>
      <c r="H25" s="34">
        <f>IF(EV!H25&lt;0,-Prob!H25,Prob!H25)</f>
        <v>9.1033227127901696E-4</v>
      </c>
      <c r="I25" s="34">
        <f>IF(EV!I25&lt;0,-Prob!I25,Prob!I25)</f>
        <v>9.1033227127901696E-4</v>
      </c>
      <c r="J25" s="34">
        <f>IF(EV!J25&lt;0,-Prob!J25,Prob!J25)</f>
        <v>9.1033227127901696E-4</v>
      </c>
      <c r="K25" s="34">
        <f>IF(EV!K25&lt;0,-Prob!K25,Prob!K25)</f>
        <v>3.3612268477994475E-3</v>
      </c>
    </row>
    <row r="26" spans="1:11" x14ac:dyDescent="0.2">
      <c r="A26" s="46">
        <v>21</v>
      </c>
      <c r="B26" s="34">
        <f>IF(EV!B26&lt;0,-Prob!B26,Prob!B26)</f>
        <v>2.5209201358495853E-3</v>
      </c>
      <c r="C26" s="34">
        <f>IF(EV!C26&lt;0,-Prob!C26,Prob!C26)</f>
        <v>3.6413290851160678E-3</v>
      </c>
      <c r="D26" s="34">
        <f>IF(EV!D26&lt;0,-Prob!D26,Prob!D26)</f>
        <v>3.6413290851160678E-3</v>
      </c>
      <c r="E26" s="34">
        <f>IF(EV!E26&lt;0,-Prob!E26,Prob!E26)</f>
        <v>3.6413290851160678E-3</v>
      </c>
      <c r="F26" s="34">
        <f>IF(EV!F26&lt;0,-Prob!F26,Prob!F26)</f>
        <v>3.6413290851160678E-3</v>
      </c>
      <c r="G26" s="34">
        <f>IF(EV!G26&lt;0,-Prob!G26,Prob!G26)</f>
        <v>3.6413290851160678E-3</v>
      </c>
      <c r="H26" s="34">
        <f>IF(EV!H26&lt;0,-Prob!H26,Prob!H26)</f>
        <v>3.6413290851160678E-3</v>
      </c>
      <c r="I26" s="34">
        <f>IF(EV!I26&lt;0,-Prob!I26,Prob!I26)</f>
        <v>3.6413290851160678E-3</v>
      </c>
      <c r="J26" s="34">
        <f>IF(EV!J26&lt;0,-Prob!J26,Prob!J26)</f>
        <v>3.6413290851160678E-3</v>
      </c>
      <c r="K26" s="34">
        <f>IF(EV!K26&lt;0,-Prob!K26,Prob!K26)</f>
        <v>1.344490739119779E-2</v>
      </c>
    </row>
    <row r="27" spans="1:11" x14ac:dyDescent="0.2">
      <c r="A27" s="46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8">
        <v>10</v>
      </c>
    </row>
    <row r="28" spans="1:11" x14ac:dyDescent="0.2">
      <c r="A28" s="46" t="s">
        <v>1</v>
      </c>
      <c r="B28" s="34">
        <f>IF(EV!B28&lt;0,-Prob!B28,Prob!B28)</f>
        <v>3.1511501698119817E-4</v>
      </c>
      <c r="C28" s="34">
        <f>IF(EV!C28&lt;0,-Prob!C28,Prob!C28)</f>
        <v>4.5516613563950848E-4</v>
      </c>
      <c r="D28" s="34">
        <f>IF(EV!D28&lt;0,-Prob!D28,Prob!D28)</f>
        <v>4.5516613563950848E-4</v>
      </c>
      <c r="E28" s="34">
        <f>IF(EV!E28&lt;0,-Prob!E28,Prob!E28)</f>
        <v>4.5516613563950848E-4</v>
      </c>
      <c r="F28" s="34">
        <f>IF(EV!F28&lt;0,-Prob!F28,Prob!F28)</f>
        <v>4.5516613563950848E-4</v>
      </c>
      <c r="G28" s="34">
        <f>IF(EV!G28&lt;0,-Prob!G28,Prob!G28)</f>
        <v>4.5516613563950848E-4</v>
      </c>
      <c r="H28" s="34">
        <f>IF(EV!H28&lt;0,-Prob!H28,Prob!H28)</f>
        <v>4.5516613563950848E-4</v>
      </c>
      <c r="I28" s="34">
        <f>IF(EV!I28&lt;0,-Prob!I28,Prob!I28)</f>
        <v>4.5516613563950848E-4</v>
      </c>
      <c r="J28" s="34">
        <f>IF(EV!J28&lt;0,-Prob!J28,Prob!J28)</f>
        <v>4.5516613563950848E-4</v>
      </c>
      <c r="K28" s="34">
        <f>IF(EV!K28&lt;0,-Prob!K28,Prob!K28)</f>
        <v>1.6806134238997238E-3</v>
      </c>
    </row>
    <row r="29" spans="1:11" x14ac:dyDescent="0.2">
      <c r="A29" s="46">
        <v>2</v>
      </c>
      <c r="B29" s="34">
        <f>IF(EV!B29&lt;0,-Prob!B29,Prob!B29)</f>
        <v>-3.1511501698119817E-4</v>
      </c>
      <c r="C29" s="34">
        <f>IF(EV!C29&lt;0,-Prob!C29,Prob!C29)</f>
        <v>-4.5516613563950848E-4</v>
      </c>
      <c r="D29" s="34">
        <f>IF(EV!D29&lt;0,-Prob!D29,Prob!D29)</f>
        <v>-4.5516613563950848E-4</v>
      </c>
      <c r="E29" s="34">
        <f>IF(EV!E29&lt;0,-Prob!E29,Prob!E29)</f>
        <v>4.5516613563950848E-4</v>
      </c>
      <c r="F29" s="34">
        <f>IF(EV!F29&lt;0,-Prob!F29,Prob!F29)</f>
        <v>4.5516613563950848E-4</v>
      </c>
      <c r="G29" s="34">
        <f>IF(EV!G29&lt;0,-Prob!G29,Prob!G29)</f>
        <v>4.5516613563950848E-4</v>
      </c>
      <c r="H29" s="34">
        <f>IF(EV!H29&lt;0,-Prob!H29,Prob!H29)</f>
        <v>4.5516613563950848E-4</v>
      </c>
      <c r="I29" s="34">
        <f>IF(EV!I29&lt;0,-Prob!I29,Prob!I29)</f>
        <v>-4.5516613563950848E-4</v>
      </c>
      <c r="J29" s="34">
        <f>IF(EV!J29&lt;0,-Prob!J29,Prob!J29)</f>
        <v>-4.5516613563950848E-4</v>
      </c>
      <c r="K29" s="34">
        <f>IF(EV!K29&lt;0,-Prob!K29,Prob!K29)</f>
        <v>-1.6806134238997238E-3</v>
      </c>
    </row>
    <row r="30" spans="1:11" x14ac:dyDescent="0.2">
      <c r="A30" s="46">
        <v>3</v>
      </c>
      <c r="B30" s="34">
        <f>IF(EV!B30&lt;0,-Prob!B30,Prob!B30)</f>
        <v>-3.1511501698119817E-4</v>
      </c>
      <c r="C30" s="34">
        <f>IF(EV!C30&lt;0,-Prob!C30,Prob!C30)</f>
        <v>-4.5516613563950848E-4</v>
      </c>
      <c r="D30" s="34">
        <f>IF(EV!D30&lt;0,-Prob!D30,Prob!D30)</f>
        <v>-4.5516613563950848E-4</v>
      </c>
      <c r="E30" s="34">
        <f>IF(EV!E30&lt;0,-Prob!E30,Prob!E30)</f>
        <v>4.5516613563950848E-4</v>
      </c>
      <c r="F30" s="34">
        <f>IF(EV!F30&lt;0,-Prob!F30,Prob!F30)</f>
        <v>4.5516613563950848E-4</v>
      </c>
      <c r="G30" s="34">
        <f>IF(EV!G30&lt;0,-Prob!G30,Prob!G30)</f>
        <v>4.5516613563950848E-4</v>
      </c>
      <c r="H30" s="34">
        <f>IF(EV!H30&lt;0,-Prob!H30,Prob!H30)</f>
        <v>-4.5516613563950848E-4</v>
      </c>
      <c r="I30" s="34">
        <f>IF(EV!I30&lt;0,-Prob!I30,Prob!I30)</f>
        <v>-4.5516613563950848E-4</v>
      </c>
      <c r="J30" s="34">
        <f>IF(EV!J30&lt;0,-Prob!J30,Prob!J30)</f>
        <v>-4.5516613563950848E-4</v>
      </c>
      <c r="K30" s="34">
        <f>IF(EV!K30&lt;0,-Prob!K30,Prob!K30)</f>
        <v>-1.6806134238997238E-3</v>
      </c>
    </row>
    <row r="31" spans="1:11" x14ac:dyDescent="0.2">
      <c r="A31" s="46">
        <v>4</v>
      </c>
      <c r="B31" s="34">
        <f>IF(EV!B31&lt;0,-Prob!B31,Prob!B31)</f>
        <v>-3.1511501698119817E-4</v>
      </c>
      <c r="C31" s="34">
        <f>IF(EV!C31&lt;0,-Prob!C31,Prob!C31)</f>
        <v>-4.5516613563950848E-4</v>
      </c>
      <c r="D31" s="34">
        <f>IF(EV!D31&lt;0,-Prob!D31,Prob!D31)</f>
        <v>4.5516613563950848E-4</v>
      </c>
      <c r="E31" s="34">
        <f>IF(EV!E31&lt;0,-Prob!E31,Prob!E31)</f>
        <v>4.5516613563950848E-4</v>
      </c>
      <c r="F31" s="34">
        <f>IF(EV!F31&lt;0,-Prob!F31,Prob!F31)</f>
        <v>4.5516613563950848E-4</v>
      </c>
      <c r="G31" s="34">
        <f>IF(EV!G31&lt;0,-Prob!G31,Prob!G31)</f>
        <v>4.5516613563950848E-4</v>
      </c>
      <c r="H31" s="34">
        <f>IF(EV!H31&lt;0,-Prob!H31,Prob!H31)</f>
        <v>4.5516613563950848E-4</v>
      </c>
      <c r="I31" s="34">
        <f>IF(EV!I31&lt;0,-Prob!I31,Prob!I31)</f>
        <v>-4.5516613563950848E-4</v>
      </c>
      <c r="J31" s="34">
        <f>IF(EV!J31&lt;0,-Prob!J31,Prob!J31)</f>
        <v>-4.5516613563950848E-4</v>
      </c>
      <c r="K31" s="34">
        <f>IF(EV!K31&lt;0,-Prob!K31,Prob!K31)</f>
        <v>-1.6806134238997238E-3</v>
      </c>
    </row>
    <row r="32" spans="1:11" x14ac:dyDescent="0.2">
      <c r="A32" s="46">
        <v>5</v>
      </c>
      <c r="B32" s="34">
        <f>IF(EV!B32&lt;0,-Prob!B32,Prob!B32)</f>
        <v>3.1511501698119817E-4</v>
      </c>
      <c r="C32" s="34">
        <f>IF(EV!C32&lt;0,-Prob!C32,Prob!C32)</f>
        <v>4.5516613563950848E-4</v>
      </c>
      <c r="D32" s="34">
        <f>IF(EV!D32&lt;0,-Prob!D32,Prob!D32)</f>
        <v>4.5516613563950848E-4</v>
      </c>
      <c r="E32" s="34">
        <f>IF(EV!E32&lt;0,-Prob!E32,Prob!E32)</f>
        <v>4.5516613563950848E-4</v>
      </c>
      <c r="F32" s="34">
        <f>IF(EV!F32&lt;0,-Prob!F32,Prob!F32)</f>
        <v>4.5516613563950848E-4</v>
      </c>
      <c r="G32" s="34">
        <f>IF(EV!G32&lt;0,-Prob!G32,Prob!G32)</f>
        <v>4.5516613563950848E-4</v>
      </c>
      <c r="H32" s="34">
        <f>IF(EV!H32&lt;0,-Prob!H32,Prob!H32)</f>
        <v>4.5516613563950848E-4</v>
      </c>
      <c r="I32" s="34">
        <f>IF(EV!I32&lt;0,-Prob!I32,Prob!I32)</f>
        <v>4.5516613563950848E-4</v>
      </c>
      <c r="J32" s="34">
        <f>IF(EV!J32&lt;0,-Prob!J32,Prob!J32)</f>
        <v>4.5516613563950848E-4</v>
      </c>
      <c r="K32" s="34">
        <f>IF(EV!K32&lt;0,-Prob!K32,Prob!K32)</f>
        <v>1.6806134238997238E-3</v>
      </c>
    </row>
    <row r="33" spans="1:12" x14ac:dyDescent="0.2">
      <c r="A33" s="46">
        <v>6</v>
      </c>
      <c r="B33" s="34">
        <f>IF(EV!B33&lt;0,-Prob!B33,Prob!B33)</f>
        <v>-3.1511501698119817E-4</v>
      </c>
      <c r="C33" s="34">
        <f>IF(EV!C33&lt;0,-Prob!C33,Prob!C33)</f>
        <v>-4.5516613563950848E-4</v>
      </c>
      <c r="D33" s="34">
        <f>IF(EV!D33&lt;0,-Prob!D33,Prob!D33)</f>
        <v>-4.5516613563950848E-4</v>
      </c>
      <c r="E33" s="34">
        <f>IF(EV!E33&lt;0,-Prob!E33,Prob!E33)</f>
        <v>-4.5516613563950848E-4</v>
      </c>
      <c r="F33" s="34">
        <f>IF(EV!F33&lt;0,-Prob!F33,Prob!F33)</f>
        <v>4.5516613563950848E-4</v>
      </c>
      <c r="G33" s="34">
        <f>IF(EV!G33&lt;0,-Prob!G33,Prob!G33)</f>
        <v>4.5516613563950848E-4</v>
      </c>
      <c r="H33" s="34">
        <f>IF(EV!H33&lt;0,-Prob!H33,Prob!H33)</f>
        <v>-4.5516613563950848E-4</v>
      </c>
      <c r="I33" s="34">
        <f>IF(EV!I33&lt;0,-Prob!I33,Prob!I33)</f>
        <v>-4.5516613563950848E-4</v>
      </c>
      <c r="J33" s="34">
        <f>IF(EV!J33&lt;0,-Prob!J33,Prob!J33)</f>
        <v>-4.5516613563950848E-4</v>
      </c>
      <c r="K33" s="34">
        <f>IF(EV!K33&lt;0,-Prob!K33,Prob!K33)</f>
        <v>-1.6806134238997238E-3</v>
      </c>
    </row>
    <row r="34" spans="1:12" x14ac:dyDescent="0.2">
      <c r="A34" s="46">
        <v>7</v>
      </c>
      <c r="B34" s="34">
        <f>IF(EV!B34&lt;0,-Prob!B34,Prob!B34)</f>
        <v>-3.1511501698119817E-4</v>
      </c>
      <c r="C34" s="34">
        <f>IF(EV!C34&lt;0,-Prob!C34,Prob!C34)</f>
        <v>-4.5516613563950848E-4</v>
      </c>
      <c r="D34" s="34">
        <f>IF(EV!D34&lt;0,-Prob!D34,Prob!D34)</f>
        <v>-4.5516613563950848E-4</v>
      </c>
      <c r="E34" s="34">
        <f>IF(EV!E34&lt;0,-Prob!E34,Prob!E34)</f>
        <v>-4.5516613563950848E-4</v>
      </c>
      <c r="F34" s="34">
        <f>IF(EV!F34&lt;0,-Prob!F34,Prob!F34)</f>
        <v>4.5516613563950848E-4</v>
      </c>
      <c r="G34" s="34">
        <f>IF(EV!G34&lt;0,-Prob!G34,Prob!G34)</f>
        <v>4.5516613563950848E-4</v>
      </c>
      <c r="H34" s="34">
        <f>IF(EV!H34&lt;0,-Prob!H34,Prob!H34)</f>
        <v>-4.5516613563950848E-4</v>
      </c>
      <c r="I34" s="34">
        <f>IF(EV!I34&lt;0,-Prob!I34,Prob!I34)</f>
        <v>-4.5516613563950848E-4</v>
      </c>
      <c r="J34" s="34">
        <f>IF(EV!J34&lt;0,-Prob!J34,Prob!J34)</f>
        <v>-4.5516613563950848E-4</v>
      </c>
      <c r="K34" s="34">
        <f>IF(EV!K34&lt;0,-Prob!K34,Prob!K34)</f>
        <v>-1.6806134238997238E-3</v>
      </c>
    </row>
    <row r="35" spans="1:12" x14ac:dyDescent="0.2">
      <c r="A35" s="46">
        <v>8</v>
      </c>
      <c r="B35" s="34">
        <f>IF(EV!B35&lt;0,-Prob!B35,Prob!B35)</f>
        <v>-3.1511501698119817E-4</v>
      </c>
      <c r="C35" s="34">
        <f>IF(EV!C35&lt;0,-Prob!C35,Prob!C35)</f>
        <v>-4.5516613563950848E-4</v>
      </c>
      <c r="D35" s="34">
        <f>IF(EV!D35&lt;0,-Prob!D35,Prob!D35)</f>
        <v>4.5516613563950848E-4</v>
      </c>
      <c r="E35" s="34">
        <f>IF(EV!E35&lt;0,-Prob!E35,Prob!E35)</f>
        <v>4.5516613563950848E-4</v>
      </c>
      <c r="F35" s="34">
        <f>IF(EV!F35&lt;0,-Prob!F35,Prob!F35)</f>
        <v>4.5516613563950848E-4</v>
      </c>
      <c r="G35" s="34">
        <f>IF(EV!G35&lt;0,-Prob!G35,Prob!G35)</f>
        <v>4.5516613563950848E-4</v>
      </c>
      <c r="H35" s="34">
        <f>IF(EV!H35&lt;0,-Prob!H35,Prob!H35)</f>
        <v>4.5516613563950848E-4</v>
      </c>
      <c r="I35" s="34">
        <f>IF(EV!I35&lt;0,-Prob!I35,Prob!I35)</f>
        <v>-4.5516613563950848E-4</v>
      </c>
      <c r="J35" s="34">
        <f>IF(EV!J35&lt;0,-Prob!J35,Prob!J35)</f>
        <v>-4.5516613563950848E-4</v>
      </c>
      <c r="K35" s="34">
        <f>IF(EV!K35&lt;0,-Prob!K35,Prob!K35)</f>
        <v>-1.6806134238997238E-3</v>
      </c>
    </row>
    <row r="36" spans="1:12" x14ac:dyDescent="0.2">
      <c r="A36" s="46">
        <v>9</v>
      </c>
      <c r="B36" s="34">
        <f>IF(EV!B36&lt;0,-Prob!B36,Prob!B36)</f>
        <v>-3.1511501698119817E-4</v>
      </c>
      <c r="C36" s="34">
        <f>IF(EV!C36&lt;0,-Prob!C36,Prob!C36)</f>
        <v>4.5516613563950848E-4</v>
      </c>
      <c r="D36" s="34">
        <f>IF(EV!D36&lt;0,-Prob!D36,Prob!D36)</f>
        <v>4.5516613563950848E-4</v>
      </c>
      <c r="E36" s="34">
        <f>IF(EV!E36&lt;0,-Prob!E36,Prob!E36)</f>
        <v>4.5516613563950848E-4</v>
      </c>
      <c r="F36" s="34">
        <f>IF(EV!F36&lt;0,-Prob!F36,Prob!F36)</f>
        <v>4.5516613563950848E-4</v>
      </c>
      <c r="G36" s="34">
        <f>IF(EV!G36&lt;0,-Prob!G36,Prob!G36)</f>
        <v>4.5516613563950848E-4</v>
      </c>
      <c r="H36" s="34">
        <f>IF(EV!H36&lt;0,-Prob!H36,Prob!H36)</f>
        <v>4.5516613563950848E-4</v>
      </c>
      <c r="I36" s="34">
        <f>IF(EV!I36&lt;0,-Prob!I36,Prob!I36)</f>
        <v>4.5516613563950848E-4</v>
      </c>
      <c r="J36" s="34">
        <f>IF(EV!J36&lt;0,-Prob!J36,Prob!J36)</f>
        <v>-4.5516613563950848E-4</v>
      </c>
      <c r="K36" s="34">
        <f>IF(EV!K36&lt;0,-Prob!K36,Prob!K36)</f>
        <v>-1.6806134238997238E-3</v>
      </c>
    </row>
    <row r="37" spans="1:12" x14ac:dyDescent="0.2">
      <c r="A37" s="74">
        <v>10</v>
      </c>
      <c r="B37" s="75">
        <f>IF(EV!B37&lt;0,-Prob!B37,Prob!B37)</f>
        <v>5.0418402716991707E-3</v>
      </c>
      <c r="C37" s="75">
        <f>IF(EV!C37&lt;0,-Prob!C37,Prob!C37)</f>
        <v>7.2826581702321357E-3</v>
      </c>
      <c r="D37" s="75">
        <f>IF(EV!D37&lt;0,-Prob!D37,Prob!D37)</f>
        <v>7.2826581702321357E-3</v>
      </c>
      <c r="E37" s="75">
        <f>IF(EV!E37&lt;0,-Prob!E37,Prob!E37)</f>
        <v>7.2826581702321357E-3</v>
      </c>
      <c r="F37" s="75">
        <f>IF(EV!F37&lt;0,-Prob!F37,Prob!F37)</f>
        <v>7.2826581702321357E-3</v>
      </c>
      <c r="G37" s="75">
        <f>IF(EV!G37&lt;0,-Prob!G37,Prob!G37)</f>
        <v>7.2826581702321357E-3</v>
      </c>
      <c r="H37" s="75">
        <f>IF(EV!H37&lt;0,-Prob!H37,Prob!H37)</f>
        <v>7.2826581702321357E-3</v>
      </c>
      <c r="I37" s="75">
        <f>IF(EV!I37&lt;0,-Prob!I37,Prob!I37)</f>
        <v>7.2826581702321357E-3</v>
      </c>
      <c r="J37" s="75">
        <f>IF(EV!J37&lt;0,-Prob!J37,Prob!J37)</f>
        <v>7.2826581702321357E-3</v>
      </c>
      <c r="K37" s="75">
        <f>IF(EV!K37&lt;0,-Prob!K37,Prob!K37)</f>
        <v>2.688981478239558E-2</v>
      </c>
    </row>
    <row r="38" spans="1:12" ht="16" thickBot="1" x14ac:dyDescent="0.25">
      <c r="A38" s="98" t="s">
        <v>40</v>
      </c>
      <c r="B38" s="103" t="s">
        <v>1</v>
      </c>
      <c r="C38" s="104">
        <v>2</v>
      </c>
      <c r="D38" s="104">
        <v>3</v>
      </c>
      <c r="E38" s="104">
        <v>4</v>
      </c>
      <c r="F38" s="104">
        <v>5</v>
      </c>
      <c r="G38" s="104">
        <v>6</v>
      </c>
      <c r="H38" s="104">
        <v>7</v>
      </c>
      <c r="I38" s="104">
        <v>8</v>
      </c>
      <c r="J38" s="104">
        <v>9</v>
      </c>
      <c r="K38" s="105">
        <v>10</v>
      </c>
    </row>
    <row r="39" spans="1:12" x14ac:dyDescent="0.2">
      <c r="A39" s="102" t="s">
        <v>42</v>
      </c>
      <c r="B39" s="106">
        <f>-(SUMIF(B28:B37,"&lt;0")+SUMIF(B18:B26,"&lt;0") +SUMIF(B2:B16,"&lt;0"))</f>
        <v>3.6868456986800184E-2</v>
      </c>
      <c r="C39" s="107">
        <f t="shared" ref="C39:K39" si="0">-(SUMIF(C28:C37,"&lt;0")+SUMIF(C18:C26,"&lt;0") +SUMIF(C2:C16,"&lt;0"))</f>
        <v>4.3695949021392816E-2</v>
      </c>
      <c r="D39" s="107">
        <f t="shared" si="0"/>
        <v>3.823395539371871E-2</v>
      </c>
      <c r="E39" s="107">
        <f t="shared" si="0"/>
        <v>3.7323623122439697E-2</v>
      </c>
      <c r="F39" s="107">
        <f t="shared" si="0"/>
        <v>3.6413290851160678E-2</v>
      </c>
      <c r="G39" s="107">
        <f t="shared" si="0"/>
        <v>3.0040964952207563E-2</v>
      </c>
      <c r="H39" s="107">
        <f t="shared" si="0"/>
        <v>3.8689121529358217E-2</v>
      </c>
      <c r="I39" s="107">
        <f t="shared" si="0"/>
        <v>4.3695949021392816E-2</v>
      </c>
      <c r="J39" s="107">
        <f t="shared" si="0"/>
        <v>5.3254437869822494E-2</v>
      </c>
      <c r="K39" s="108">
        <f t="shared" si="0"/>
        <v>0.19663177059626771</v>
      </c>
    </row>
    <row r="40" spans="1:12" ht="16" thickBot="1" x14ac:dyDescent="0.25">
      <c r="A40" s="102" t="s">
        <v>43</v>
      </c>
      <c r="B40" s="109">
        <f>B39</f>
        <v>3.6868456986800184E-2</v>
      </c>
      <c r="C40" s="110">
        <f t="shared" ref="C40:K40" si="1">C39</f>
        <v>4.3695949021392816E-2</v>
      </c>
      <c r="D40" s="110">
        <f t="shared" si="1"/>
        <v>3.823395539371871E-2</v>
      </c>
      <c r="E40" s="110">
        <f t="shared" si="1"/>
        <v>3.7323623122439697E-2</v>
      </c>
      <c r="F40" s="110">
        <f t="shared" si="1"/>
        <v>3.6413290851160678E-2</v>
      </c>
      <c r="G40" s="110">
        <f t="shared" si="1"/>
        <v>3.0040964952207563E-2</v>
      </c>
      <c r="H40" s="110">
        <f t="shared" si="1"/>
        <v>3.8689121529358217E-2</v>
      </c>
      <c r="I40" s="110">
        <f t="shared" si="1"/>
        <v>4.3695949021392816E-2</v>
      </c>
      <c r="J40" s="110">
        <f t="shared" si="1"/>
        <v>5.3254437869822494E-2</v>
      </c>
      <c r="K40" s="111">
        <f t="shared" si="1"/>
        <v>0.19663177059626771</v>
      </c>
    </row>
    <row r="41" spans="1:12" x14ac:dyDescent="0.2">
      <c r="A41" s="102" t="s">
        <v>41</v>
      </c>
      <c r="B41" s="106">
        <f>SUMIF(B28:B37,"&gt;0")+SUMIF(B18:B26,"&gt;0") +SUMIF(B2:B16,"&gt;0")</f>
        <v>1.6385980883022306E-2</v>
      </c>
      <c r="C41" s="107">
        <f t="shared" ref="C41:K41" si="2">SUMIF(C28:C37,"&gt;0")+SUMIF(C18:C26,"&gt;0") +SUMIF(C2:C16,"&gt;0")</f>
        <v>3.3227127901684125E-2</v>
      </c>
      <c r="D41" s="107">
        <f t="shared" si="2"/>
        <v>3.8689121529358217E-2</v>
      </c>
      <c r="E41" s="107">
        <f t="shared" si="2"/>
        <v>3.9599453800637244E-2</v>
      </c>
      <c r="F41" s="107">
        <f t="shared" si="2"/>
        <v>4.0509786071916257E-2</v>
      </c>
      <c r="G41" s="107">
        <f t="shared" si="2"/>
        <v>4.6882111970869375E-2</v>
      </c>
      <c r="H41" s="107">
        <f t="shared" si="2"/>
        <v>3.823395539371871E-2</v>
      </c>
      <c r="I41" s="107">
        <f t="shared" si="2"/>
        <v>3.3227127901684125E-2</v>
      </c>
      <c r="J41" s="107">
        <f t="shared" si="2"/>
        <v>2.3668639053254441E-2</v>
      </c>
      <c r="K41" s="108">
        <f t="shared" si="2"/>
        <v>8.7391898042785632E-2</v>
      </c>
    </row>
    <row r="42" spans="1:12" ht="16" thickBot="1" x14ac:dyDescent="0.25">
      <c r="A42" s="102" t="s">
        <v>44</v>
      </c>
      <c r="B42" s="109">
        <f>B41</f>
        <v>1.6385980883022306E-2</v>
      </c>
      <c r="C42" s="110">
        <f t="shared" ref="C42:K42" si="3">C41</f>
        <v>3.3227127901684125E-2</v>
      </c>
      <c r="D42" s="110">
        <f t="shared" si="3"/>
        <v>3.8689121529358217E-2</v>
      </c>
      <c r="E42" s="110">
        <f t="shared" si="3"/>
        <v>3.9599453800637244E-2</v>
      </c>
      <c r="F42" s="110">
        <f t="shared" si="3"/>
        <v>4.0509786071916257E-2</v>
      </c>
      <c r="G42" s="110">
        <f t="shared" si="3"/>
        <v>4.6882111970869375E-2</v>
      </c>
      <c r="H42" s="110">
        <f t="shared" si="3"/>
        <v>3.823395539371871E-2</v>
      </c>
      <c r="I42" s="110">
        <f t="shared" si="3"/>
        <v>3.3227127901684125E-2</v>
      </c>
      <c r="J42" s="110">
        <f t="shared" si="3"/>
        <v>2.3668639053254441E-2</v>
      </c>
      <c r="K42" s="111">
        <f t="shared" si="3"/>
        <v>8.7391898042785632E-2</v>
      </c>
    </row>
    <row r="43" spans="1:12" ht="16" thickBot="1" x14ac:dyDescent="0.25">
      <c r="A43" s="102" t="s">
        <v>2</v>
      </c>
      <c r="B43" s="113">
        <f>B41+B39</f>
        <v>5.3254437869822494E-2</v>
      </c>
      <c r="C43" s="99">
        <f t="shared" ref="C43:K43" si="4">C41+C39</f>
        <v>7.6923076923076941E-2</v>
      </c>
      <c r="D43" s="99">
        <f t="shared" si="4"/>
        <v>7.6923076923076927E-2</v>
      </c>
      <c r="E43" s="99">
        <f t="shared" si="4"/>
        <v>7.6923076923076941E-2</v>
      </c>
      <c r="F43" s="99">
        <f t="shared" si="4"/>
        <v>7.6923076923076927E-2</v>
      </c>
      <c r="G43" s="99">
        <f t="shared" si="4"/>
        <v>7.6923076923076941E-2</v>
      </c>
      <c r="H43" s="99">
        <f t="shared" si="4"/>
        <v>7.6923076923076927E-2</v>
      </c>
      <c r="I43" s="99">
        <f t="shared" si="4"/>
        <v>7.6923076923076941E-2</v>
      </c>
      <c r="J43" s="99">
        <f t="shared" si="4"/>
        <v>7.6923076923076927E-2</v>
      </c>
      <c r="K43" s="114">
        <f t="shared" si="4"/>
        <v>0.28402366863905337</v>
      </c>
      <c r="L43" s="100">
        <f>SUM(B43:K43)-C46</f>
        <v>1.0000000000000002</v>
      </c>
    </row>
    <row r="44" spans="1:12" ht="16" thickBot="1" x14ac:dyDescent="0.25">
      <c r="A44" s="112" t="s">
        <v>45</v>
      </c>
      <c r="B44" s="115">
        <f>B41-B39</f>
        <v>-2.0482476103777878E-2</v>
      </c>
      <c r="C44" s="76">
        <f t="shared" ref="C44:K44" si="5">C41-C39</f>
        <v>-1.0468821119708691E-2</v>
      </c>
      <c r="D44" s="76">
        <f t="shared" si="5"/>
        <v>4.5516613563950648E-4</v>
      </c>
      <c r="E44" s="76">
        <f t="shared" si="5"/>
        <v>2.2758306781975463E-3</v>
      </c>
      <c r="F44" s="76">
        <f t="shared" si="5"/>
        <v>4.0964952207555791E-3</v>
      </c>
      <c r="G44" s="76">
        <f t="shared" si="5"/>
        <v>1.6841147018661812E-2</v>
      </c>
      <c r="H44" s="76">
        <f t="shared" si="5"/>
        <v>-4.5516613563950648E-4</v>
      </c>
      <c r="I44" s="76">
        <f t="shared" si="5"/>
        <v>-1.0468821119708691E-2</v>
      </c>
      <c r="J44" s="76">
        <f t="shared" si="5"/>
        <v>-2.9585798816568053E-2</v>
      </c>
      <c r="K44" s="77">
        <f t="shared" si="5"/>
        <v>-0.10923987255348208</v>
      </c>
      <c r="L44" s="101">
        <f>SUM(B44:K44)</f>
        <v>-0.15703231679563046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373" t="s">
        <v>11</v>
      </c>
      <c r="B46" s="374"/>
      <c r="C46" s="34">
        <f>IF(EV!C39&lt;0,-Prob!C39,Prob!C39)</f>
        <v>-4.7337278106508882E-2</v>
      </c>
    </row>
    <row r="47" spans="1:12" x14ac:dyDescent="0.2">
      <c r="C47" s="97">
        <f>SUM(B44:K44)</f>
        <v>-0.15703231679563046</v>
      </c>
    </row>
    <row r="48" spans="1:12" x14ac:dyDescent="0.2">
      <c r="B48" s="41" t="s">
        <v>2</v>
      </c>
      <c r="C48" s="97">
        <f>C47+C46</f>
        <v>-0.20436959490213935</v>
      </c>
    </row>
  </sheetData>
  <sheetProtection sheet="1" objects="1" scenarios="1"/>
  <mergeCells count="6">
    <mergeCell ref="M3:N3"/>
    <mergeCell ref="M4:N4"/>
    <mergeCell ref="M5:N5"/>
    <mergeCell ref="A46:B46"/>
    <mergeCell ref="M6:N6"/>
    <mergeCell ref="M7:N7"/>
  </mergeCells>
  <phoneticPr fontId="14" type="noConversion"/>
  <conditionalFormatting sqref="B2:K16 B18:K26 B28:K37 B39:K45">
    <cfRule type="containsText" dxfId="14" priority="19" operator="containsText" text="R">
      <formula>NOT(ISERROR(SEARCH("R",B2)))</formula>
    </cfRule>
    <cfRule type="containsText" dxfId="13" priority="20" operator="containsText" text="D">
      <formula>NOT(ISERROR(SEARCH("D",B2)))</formula>
    </cfRule>
    <cfRule type="containsText" dxfId="12" priority="21" operator="containsText" text="S">
      <formula>NOT(ISERROR(SEARCH("S",B2)))</formula>
    </cfRule>
    <cfRule type="containsText" dxfId="11" priority="22" operator="containsText" text="H">
      <formula>NOT(ISERROR(SEARCH("H",B2)))</formula>
    </cfRule>
  </conditionalFormatting>
  <conditionalFormatting sqref="B2:K16 B18:K26 B28:K37 B39:K45">
    <cfRule type="containsText" dxfId="10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9" priority="8" operator="containsText" text="R">
      <formula>NOT(ISERROR(SEARCH("R",C46)))</formula>
    </cfRule>
    <cfRule type="containsText" dxfId="8" priority="9" operator="containsText" text="D">
      <formula>NOT(ISERROR(SEARCH("D",C46)))</formula>
    </cfRule>
    <cfRule type="containsText" dxfId="7" priority="10" operator="containsText" text="S">
      <formula>NOT(ISERROR(SEARCH("S",C46)))</formula>
    </cfRule>
    <cfRule type="containsText" dxfId="6" priority="11" operator="containsText" text="H">
      <formula>NOT(ISERROR(SEARCH("H",C46)))</formula>
    </cfRule>
  </conditionalFormatting>
  <conditionalFormatting sqref="C46">
    <cfRule type="containsText" dxfId="5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B1:Z39"/>
  <sheetViews>
    <sheetView zoomScale="87" zoomScaleNormal="87" zoomScalePageLayoutView="87" workbookViewId="0">
      <selection activeCell="D2" sqref="D2"/>
    </sheetView>
  </sheetViews>
  <sheetFormatPr baseColWidth="10" defaultColWidth="8.83203125" defaultRowHeight="16" x14ac:dyDescent="0.2"/>
  <cols>
    <col min="1" max="1" width="3.5" customWidth="1"/>
    <col min="2" max="2" width="5.5" style="31" bestFit="1" customWidth="1"/>
    <col min="3" max="12" width="4" style="31" customWidth="1"/>
    <col min="13" max="13" width="6.6640625" customWidth="1"/>
    <col min="17" max="17" width="9.33203125" bestFit="1" customWidth="1"/>
    <col min="24" max="24" width="9.83203125" customWidth="1"/>
    <col min="27" max="27" width="12.5" bestFit="1" customWidth="1"/>
  </cols>
  <sheetData>
    <row r="1" spans="2:26" ht="22" thickBot="1" x14ac:dyDescent="0.3">
      <c r="B1" s="384" t="s">
        <v>23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N1" s="413" t="s">
        <v>59</v>
      </c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163"/>
    </row>
    <row r="2" spans="2:26" ht="17" thickBot="1" x14ac:dyDescent="0.25">
      <c r="B2" s="52" t="s">
        <v>9</v>
      </c>
      <c r="C2" s="52" t="s">
        <v>22</v>
      </c>
      <c r="D2" s="52">
        <v>2</v>
      </c>
      <c r="E2" s="52">
        <v>3</v>
      </c>
      <c r="F2" s="52">
        <v>4</v>
      </c>
      <c r="G2" s="52">
        <v>5</v>
      </c>
      <c r="H2" s="52">
        <v>6</v>
      </c>
      <c r="I2" s="52">
        <v>7</v>
      </c>
      <c r="J2" s="52">
        <v>8</v>
      </c>
      <c r="K2" s="52">
        <v>9</v>
      </c>
      <c r="L2" s="52">
        <v>10</v>
      </c>
      <c r="N2" s="385"/>
      <c r="O2" s="386"/>
      <c r="P2" s="82" t="s">
        <v>8</v>
      </c>
      <c r="Q2" s="83" t="s">
        <v>37</v>
      </c>
      <c r="R2" s="83" t="s">
        <v>36</v>
      </c>
      <c r="S2" s="130" t="s">
        <v>38</v>
      </c>
      <c r="T2" s="124" t="s">
        <v>58</v>
      </c>
      <c r="U2" s="146" t="s">
        <v>19</v>
      </c>
      <c r="V2" s="147" t="s">
        <v>19</v>
      </c>
      <c r="W2" s="147" t="s">
        <v>19</v>
      </c>
      <c r="X2" s="147" t="s">
        <v>19</v>
      </c>
      <c r="Y2" s="148" t="s">
        <v>19</v>
      </c>
    </row>
    <row r="3" spans="2:26" ht="17" thickBot="1" x14ac:dyDescent="0.25">
      <c r="B3" s="52" t="s">
        <v>20</v>
      </c>
      <c r="C3" s="53" t="str">
        <f>HSDR!O8</f>
        <v>H</v>
      </c>
      <c r="D3" s="53" t="str">
        <f>HSDR!P8</f>
        <v>H</v>
      </c>
      <c r="E3" s="53" t="str">
        <f>HSDR!Q8</f>
        <v>H</v>
      </c>
      <c r="F3" s="53" t="str">
        <f>HSDR!R8</f>
        <v>H</v>
      </c>
      <c r="G3" s="53" t="str">
        <f>HSDR!S8</f>
        <v>H</v>
      </c>
      <c r="H3" s="53" t="str">
        <f>HSDR!T8</f>
        <v>H</v>
      </c>
      <c r="I3" s="53" t="str">
        <f>HSDR!U8</f>
        <v>H</v>
      </c>
      <c r="J3" s="53" t="str">
        <f>HSDR!V8</f>
        <v>H</v>
      </c>
      <c r="K3" s="53" t="str">
        <f>HSDR!W8</f>
        <v>H</v>
      </c>
      <c r="L3" s="53" t="str">
        <f>HSDR!X8</f>
        <v>H</v>
      </c>
      <c r="N3" s="153"/>
      <c r="O3" s="154"/>
      <c r="P3" s="414" t="str">
        <f>B32</f>
        <v>EV = -0.00531417925590545</v>
      </c>
      <c r="Q3" s="415"/>
      <c r="R3" s="415"/>
      <c r="S3" s="416"/>
      <c r="T3" s="124" t="s">
        <v>57</v>
      </c>
      <c r="U3" s="155">
        <v>2</v>
      </c>
      <c r="V3" s="156">
        <v>3</v>
      </c>
      <c r="W3" s="156">
        <v>4</v>
      </c>
      <c r="X3" s="156">
        <v>5</v>
      </c>
      <c r="Y3" s="157">
        <v>6</v>
      </c>
    </row>
    <row r="4" spans="2:26" x14ac:dyDescent="0.2">
      <c r="B4" s="52">
        <v>9</v>
      </c>
      <c r="C4" s="53" t="str">
        <f>HSDR!O9</f>
        <v>H</v>
      </c>
      <c r="D4" s="53" t="str">
        <f>HSDR!P9</f>
        <v>H</v>
      </c>
      <c r="E4" s="53" t="str">
        <f>HSDR!Q9</f>
        <v>D</v>
      </c>
      <c r="F4" s="53" t="str">
        <f>HSDR!R9</f>
        <v>D</v>
      </c>
      <c r="G4" s="53" t="str">
        <f>HSDR!S9</f>
        <v>D</v>
      </c>
      <c r="H4" s="53" t="str">
        <f>HSDR!T9</f>
        <v>D</v>
      </c>
      <c r="I4" s="53" t="str">
        <f>HSDR!U9</f>
        <v>H</v>
      </c>
      <c r="J4" s="53" t="str">
        <f>HSDR!V9</f>
        <v>H</v>
      </c>
      <c r="K4" s="53" t="str">
        <f>HSDR!W9</f>
        <v>H</v>
      </c>
      <c r="L4" s="53" t="str">
        <f>HSDR!X9</f>
        <v>H</v>
      </c>
      <c r="N4" s="397" t="s">
        <v>35</v>
      </c>
      <c r="O4" s="398"/>
      <c r="P4" s="149">
        <f>'WL Prob'!O4</f>
        <v>0.60218479745106923</v>
      </c>
      <c r="Q4" s="150">
        <f>0.5+(P4-0.6)/50</f>
        <v>0.50004369594902143</v>
      </c>
      <c r="R4" s="151">
        <f>P4</f>
        <v>0.60218479745106923</v>
      </c>
      <c r="S4" s="152">
        <f>ROUND(R4*10,0)</f>
        <v>6</v>
      </c>
      <c r="T4" s="125">
        <v>1</v>
      </c>
      <c r="U4" s="28">
        <f>-1*T4*P4*S4</f>
        <v>-3.6131087847064154</v>
      </c>
      <c r="V4" s="2">
        <f>-P4*T4*1*S4</f>
        <v>-3.6131087847064154</v>
      </c>
      <c r="W4" s="2">
        <f>-P4*S4*T4*1</f>
        <v>-3.6131087847064154</v>
      </c>
      <c r="X4" s="2">
        <f>-P4*T4*S4*1</f>
        <v>-3.6131087847064154</v>
      </c>
      <c r="Y4" s="8">
        <f>-P4*S4*T4*1</f>
        <v>-3.6131087847064154</v>
      </c>
    </row>
    <row r="5" spans="2:26" ht="17" thickBot="1" x14ac:dyDescent="0.25">
      <c r="B5" s="52">
        <v>10</v>
      </c>
      <c r="C5" s="53" t="str">
        <f>HSDR!O10</f>
        <v>H</v>
      </c>
      <c r="D5" s="53" t="str">
        <f>HSDR!P10</f>
        <v>D</v>
      </c>
      <c r="E5" s="53" t="str">
        <f>HSDR!Q10</f>
        <v>D</v>
      </c>
      <c r="F5" s="53" t="str">
        <f>HSDR!R10</f>
        <v>D</v>
      </c>
      <c r="G5" s="53" t="str">
        <f>HSDR!S10</f>
        <v>D</v>
      </c>
      <c r="H5" s="53" t="str">
        <f>HSDR!T10</f>
        <v>D</v>
      </c>
      <c r="I5" s="53" t="str">
        <f>HSDR!U10</f>
        <v>D</v>
      </c>
      <c r="J5" s="53" t="str">
        <f>HSDR!V10</f>
        <v>D</v>
      </c>
      <c r="K5" s="53" t="str">
        <f>HSDR!W10</f>
        <v>D</v>
      </c>
      <c r="L5" s="53" t="str">
        <f>HSDR!X10</f>
        <v>H</v>
      </c>
      <c r="N5" s="389" t="s">
        <v>34</v>
      </c>
      <c r="O5" s="390"/>
      <c r="P5" s="85">
        <f>'WL Prob'!O5</f>
        <v>0.3978152025489306</v>
      </c>
      <c r="Q5" s="162">
        <f>0.5+(P5-0.4)/50</f>
        <v>0.49995630405097863</v>
      </c>
      <c r="R5" s="87">
        <f>P5</f>
        <v>0.3978152025489306</v>
      </c>
      <c r="S5" s="88">
        <v>4</v>
      </c>
      <c r="T5" s="158">
        <f>(EV!C47+P4)/P5</f>
        <v>1.5003715654173615</v>
      </c>
      <c r="U5" s="138">
        <f>U3*T5*P5*S5</f>
        <v>4.7749649455613099</v>
      </c>
      <c r="V5" s="26">
        <f>P5*T5*V3*S5</f>
        <v>7.1624474183419649</v>
      </c>
      <c r="W5" s="26">
        <f>P5*S5*T5*W3</f>
        <v>9.5499298911226198</v>
      </c>
      <c r="X5" s="26">
        <f>P5*T5*S5*X3</f>
        <v>11.937412363903274</v>
      </c>
      <c r="Y5" s="27">
        <f>P5*S5*T5*Y3</f>
        <v>14.32489483668393</v>
      </c>
    </row>
    <row r="6" spans="2:26" ht="17" thickBot="1" x14ac:dyDescent="0.25">
      <c r="B6" s="52">
        <v>11</v>
      </c>
      <c r="C6" s="53" t="str">
        <f>HSDR!O11</f>
        <v>H</v>
      </c>
      <c r="D6" s="53" t="str">
        <f>HSDR!P11</f>
        <v>D</v>
      </c>
      <c r="E6" s="53" t="str">
        <f>HSDR!Q11</f>
        <v>D</v>
      </c>
      <c r="F6" s="53" t="str">
        <f>HSDR!R11</f>
        <v>D</v>
      </c>
      <c r="G6" s="53" t="str">
        <f>HSDR!S11</f>
        <v>D</v>
      </c>
      <c r="H6" s="53" t="str">
        <f>HSDR!T11</f>
        <v>D</v>
      </c>
      <c r="I6" s="53" t="str">
        <f>HSDR!U11</f>
        <v>D</v>
      </c>
      <c r="J6" s="53" t="str">
        <f>HSDR!V11</f>
        <v>D</v>
      </c>
      <c r="K6" s="53" t="str">
        <f>HSDR!W11</f>
        <v>D</v>
      </c>
      <c r="L6" s="53" t="str">
        <f>HSDR!X11</f>
        <v>D</v>
      </c>
      <c r="N6" s="391" t="s">
        <v>2</v>
      </c>
      <c r="O6" s="392"/>
      <c r="P6" s="93">
        <f>SUM(P4:P5)</f>
        <v>0.99999999999999978</v>
      </c>
      <c r="Q6" s="94">
        <f>SUM(Q4:Q5)</f>
        <v>1</v>
      </c>
      <c r="R6" s="95">
        <f>P6</f>
        <v>0.99999999999999978</v>
      </c>
      <c r="S6" s="161">
        <f>ROUND(R6*10,0)</f>
        <v>10</v>
      </c>
      <c r="T6" s="124" t="s">
        <v>60</v>
      </c>
      <c r="U6" s="29">
        <f>SUM(U4:U5)</f>
        <v>1.1618561608548945</v>
      </c>
      <c r="V6" s="19">
        <f>SUM(V4:V5)</f>
        <v>3.5493386336355495</v>
      </c>
      <c r="W6" s="19">
        <f>SUM(W4:W5)</f>
        <v>5.936821106416204</v>
      </c>
      <c r="X6" s="19">
        <f>SUM(X4:X5)</f>
        <v>8.324303579196858</v>
      </c>
      <c r="Y6" s="20">
        <f>SUM(Y4:Y5)</f>
        <v>10.711786051977514</v>
      </c>
    </row>
    <row r="7" spans="2:26" ht="17" thickBot="1" x14ac:dyDescent="0.25">
      <c r="B7" s="52">
        <v>12</v>
      </c>
      <c r="C7" s="53" t="str">
        <f>HSDR!O12</f>
        <v>H</v>
      </c>
      <c r="D7" s="53" t="str">
        <f>HSDR!P12</f>
        <v>H</v>
      </c>
      <c r="E7" s="53" t="str">
        <f>HSDR!Q12</f>
        <v>H</v>
      </c>
      <c r="F7" s="53" t="str">
        <f>HSDR!R12</f>
        <v>S</v>
      </c>
      <c r="G7" s="53" t="str">
        <f>HSDR!S12</f>
        <v>S</v>
      </c>
      <c r="H7" s="53" t="str">
        <f>HSDR!T12</f>
        <v>S</v>
      </c>
      <c r="I7" s="53" t="str">
        <f>HSDR!U12</f>
        <v>H</v>
      </c>
      <c r="J7" s="53" t="str">
        <f>HSDR!V12</f>
        <v>H</v>
      </c>
      <c r="K7" s="53" t="str">
        <f>HSDR!W12</f>
        <v>H</v>
      </c>
      <c r="L7" s="53" t="str">
        <f>HSDR!X12</f>
        <v>H</v>
      </c>
      <c r="N7" s="391" t="s">
        <v>39</v>
      </c>
      <c r="O7" s="392"/>
      <c r="P7" s="93">
        <f>P5-P4</f>
        <v>-0.20436959490213863</v>
      </c>
      <c r="Q7" s="159">
        <f>Q5-Q4</f>
        <v>-8.739189804279901E-5</v>
      </c>
      <c r="R7" s="160"/>
      <c r="S7" s="161"/>
      <c r="T7" s="124" t="s">
        <v>61</v>
      </c>
      <c r="U7" s="29">
        <f>U6/T5</f>
        <v>0.7743789522775304</v>
      </c>
      <c r="V7" s="19">
        <f>V6/T5</f>
        <v>2.3656397624732528</v>
      </c>
      <c r="W7" s="19">
        <f>W6/T5</f>
        <v>3.956900572668975</v>
      </c>
      <c r="X7" s="19">
        <f>X6/T5</f>
        <v>5.5481613828646967</v>
      </c>
      <c r="Y7" s="20">
        <f>Y6/T5</f>
        <v>7.1394221930604198</v>
      </c>
    </row>
    <row r="8" spans="2:26" ht="17" thickBot="1" x14ac:dyDescent="0.25">
      <c r="B8" s="52">
        <v>13</v>
      </c>
      <c r="C8" s="53" t="str">
        <f>HSDR!O13</f>
        <v>H</v>
      </c>
      <c r="D8" s="53" t="str">
        <f>HSDR!P13</f>
        <v>S</v>
      </c>
      <c r="E8" s="53" t="str">
        <f>HSDR!Q13</f>
        <v>S</v>
      </c>
      <c r="F8" s="53" t="str">
        <f>HSDR!R13</f>
        <v>S</v>
      </c>
      <c r="G8" s="53" t="str">
        <f>HSDR!S13</f>
        <v>S</v>
      </c>
      <c r="H8" s="53" t="str">
        <f>HSDR!T13</f>
        <v>S</v>
      </c>
      <c r="I8" s="53" t="str">
        <f>HSDR!U13</f>
        <v>H</v>
      </c>
      <c r="J8" s="53" t="str">
        <f>HSDR!V13</f>
        <v>H</v>
      </c>
      <c r="K8" s="53" t="str">
        <f>HSDR!W13</f>
        <v>H</v>
      </c>
      <c r="L8" s="53" t="str">
        <f>HSDR!X13</f>
        <v>H</v>
      </c>
    </row>
    <row r="9" spans="2:26" ht="17" thickBot="1" x14ac:dyDescent="0.25">
      <c r="B9" s="52">
        <v>14</v>
      </c>
      <c r="C9" s="53" t="str">
        <f>HSDR!O14</f>
        <v>H</v>
      </c>
      <c r="D9" s="53" t="str">
        <f>HSDR!P14</f>
        <v>S</v>
      </c>
      <c r="E9" s="53" t="str">
        <f>HSDR!Q14</f>
        <v>S</v>
      </c>
      <c r="F9" s="53" t="str">
        <f>HSDR!R14</f>
        <v>S</v>
      </c>
      <c r="G9" s="53" t="str">
        <f>HSDR!S14</f>
        <v>S</v>
      </c>
      <c r="H9" s="53" t="str">
        <f>HSDR!T14</f>
        <v>S</v>
      </c>
      <c r="I9" s="53" t="str">
        <f>HSDR!U14</f>
        <v>H</v>
      </c>
      <c r="J9" s="53" t="str">
        <f>HSDR!V14</f>
        <v>H</v>
      </c>
      <c r="K9" s="53" t="str">
        <f>HSDR!W14</f>
        <v>H</v>
      </c>
      <c r="L9" s="53" t="str">
        <f>HSDR!X14</f>
        <v>H</v>
      </c>
      <c r="N9" s="119" t="s">
        <v>55</v>
      </c>
      <c r="O9" s="141" t="s">
        <v>57</v>
      </c>
      <c r="P9" s="411">
        <v>2</v>
      </c>
      <c r="Q9" s="412"/>
      <c r="R9" s="411">
        <v>3</v>
      </c>
      <c r="S9" s="412"/>
      <c r="T9" s="411">
        <v>4</v>
      </c>
      <c r="U9" s="412"/>
      <c r="V9" s="411">
        <v>5</v>
      </c>
      <c r="W9" s="412"/>
      <c r="X9" s="411">
        <v>6</v>
      </c>
      <c r="Y9" s="412"/>
    </row>
    <row r="10" spans="2:26" ht="17" thickBot="1" x14ac:dyDescent="0.25">
      <c r="B10" s="52">
        <v>15</v>
      </c>
      <c r="C10" s="53" t="str">
        <f>HSDR!O15</f>
        <v>H</v>
      </c>
      <c r="D10" s="53" t="str">
        <f>HSDR!P15</f>
        <v>S</v>
      </c>
      <c r="E10" s="53" t="str">
        <f>HSDR!Q15</f>
        <v>S</v>
      </c>
      <c r="F10" s="53" t="str">
        <f>HSDR!R15</f>
        <v>S</v>
      </c>
      <c r="G10" s="53" t="str">
        <f>HSDR!S15</f>
        <v>S</v>
      </c>
      <c r="H10" s="53" t="str">
        <f>HSDR!T15</f>
        <v>S</v>
      </c>
      <c r="I10" s="53" t="str">
        <f>HSDR!U15</f>
        <v>H</v>
      </c>
      <c r="J10" s="53" t="str">
        <f>HSDR!V15</f>
        <v>H</v>
      </c>
      <c r="K10" s="53" t="str">
        <f>HSDR!W15</f>
        <v>H</v>
      </c>
      <c r="L10" s="53" t="str">
        <f>HSDR!X15</f>
        <v>R</v>
      </c>
      <c r="N10" s="141">
        <v>6</v>
      </c>
      <c r="O10" s="145"/>
      <c r="P10" s="118" t="s">
        <v>56</v>
      </c>
      <c r="Q10" s="10" t="s">
        <v>54</v>
      </c>
      <c r="R10" s="118" t="s">
        <v>56</v>
      </c>
      <c r="S10" s="10" t="s">
        <v>54</v>
      </c>
      <c r="T10" s="118" t="s">
        <v>56</v>
      </c>
      <c r="U10" s="10" t="s">
        <v>54</v>
      </c>
      <c r="V10" s="118" t="s">
        <v>56</v>
      </c>
      <c r="W10" s="10" t="s">
        <v>54</v>
      </c>
      <c r="X10" s="118" t="s">
        <v>56</v>
      </c>
      <c r="Y10" s="10" t="s">
        <v>54</v>
      </c>
    </row>
    <row r="11" spans="2:26" x14ac:dyDescent="0.2">
      <c r="B11" s="52">
        <v>16</v>
      </c>
      <c r="C11" s="53" t="str">
        <f>HSDR!O16</f>
        <v>H</v>
      </c>
      <c r="D11" s="53" t="str">
        <f>HSDR!P16</f>
        <v>S</v>
      </c>
      <c r="E11" s="53" t="str">
        <f>HSDR!Q16</f>
        <v>S</v>
      </c>
      <c r="F11" s="53" t="str">
        <f>HSDR!R16</f>
        <v>S</v>
      </c>
      <c r="G11" s="53" t="str">
        <f>HSDR!S16</f>
        <v>S</v>
      </c>
      <c r="H11" s="53" t="str">
        <f>HSDR!T16</f>
        <v>S</v>
      </c>
      <c r="I11" s="53" t="str">
        <f>HSDR!U16</f>
        <v>H</v>
      </c>
      <c r="J11" s="53" t="str">
        <f>HSDR!V16</f>
        <v>H</v>
      </c>
      <c r="K11" s="53" t="str">
        <f>HSDR!W16</f>
        <v>R</v>
      </c>
      <c r="L11" s="53" t="str">
        <f>HSDR!X16</f>
        <v>R</v>
      </c>
      <c r="N11" s="120"/>
      <c r="O11" s="122" t="s">
        <v>49</v>
      </c>
      <c r="P11" s="28">
        <v>1</v>
      </c>
      <c r="Q11" s="8">
        <f>P11*$N$10</f>
        <v>6</v>
      </c>
      <c r="R11" s="28">
        <v>1</v>
      </c>
      <c r="S11" s="8">
        <f>R11*$N$10</f>
        <v>6</v>
      </c>
      <c r="T11" s="28">
        <v>1</v>
      </c>
      <c r="U11" s="8">
        <f>T11*$N$10</f>
        <v>6</v>
      </c>
      <c r="V11" s="28">
        <v>1</v>
      </c>
      <c r="W11" s="8">
        <f>V11*$N$10</f>
        <v>6</v>
      </c>
      <c r="X11" s="28">
        <v>1</v>
      </c>
      <c r="Y11" s="8">
        <f>X11*$N$10</f>
        <v>6</v>
      </c>
    </row>
    <row r="12" spans="2:26" x14ac:dyDescent="0.2">
      <c r="B12" s="52" t="s">
        <v>21</v>
      </c>
      <c r="C12" s="53" t="str">
        <f>HSDR!O17</f>
        <v>S</v>
      </c>
      <c r="D12" s="53" t="str">
        <f>HSDR!P17</f>
        <v>S</v>
      </c>
      <c r="E12" s="53" t="str">
        <f>HSDR!Q17</f>
        <v>S</v>
      </c>
      <c r="F12" s="53" t="str">
        <f>HSDR!R17</f>
        <v>S</v>
      </c>
      <c r="G12" s="53" t="str">
        <f>HSDR!S17</f>
        <v>S</v>
      </c>
      <c r="H12" s="53" t="str">
        <f>HSDR!T17</f>
        <v>S</v>
      </c>
      <c r="I12" s="53" t="str">
        <f>HSDR!U17</f>
        <v>S</v>
      </c>
      <c r="J12" s="53" t="str">
        <f>HSDR!V17</f>
        <v>S</v>
      </c>
      <c r="K12" s="53" t="str">
        <f>HSDR!W17</f>
        <v>S</v>
      </c>
      <c r="L12" s="53" t="str">
        <f>HSDR!X17</f>
        <v>S</v>
      </c>
      <c r="N12" s="121"/>
      <c r="O12" s="123" t="s">
        <v>50</v>
      </c>
      <c r="P12" s="117">
        <f>P11*P$9</f>
        <v>2</v>
      </c>
      <c r="Q12" s="8">
        <f>P12*$N$10+Q11</f>
        <v>18</v>
      </c>
      <c r="R12" s="117">
        <f>R11*R$9</f>
        <v>3</v>
      </c>
      <c r="S12" s="8">
        <f>R12*$N$10+S11</f>
        <v>24</v>
      </c>
      <c r="T12" s="117">
        <f>T11*T$9</f>
        <v>4</v>
      </c>
      <c r="U12" s="8">
        <f>T12*$N$10+U11</f>
        <v>30</v>
      </c>
      <c r="V12" s="117">
        <f>V11*V$9</f>
        <v>5</v>
      </c>
      <c r="W12" s="8">
        <f>V12*$N$10+W11</f>
        <v>36</v>
      </c>
      <c r="X12" s="117">
        <f>X11*X$9</f>
        <v>6</v>
      </c>
      <c r="Y12" s="8">
        <f>X12*$N$10+Y11</f>
        <v>42</v>
      </c>
    </row>
    <row r="13" spans="2:26" x14ac:dyDescent="0.2">
      <c r="B13" s="52" t="s">
        <v>4</v>
      </c>
      <c r="C13" s="52" t="s">
        <v>22</v>
      </c>
      <c r="D13" s="52">
        <v>2</v>
      </c>
      <c r="E13" s="52">
        <v>3</v>
      </c>
      <c r="F13" s="52">
        <v>4</v>
      </c>
      <c r="G13" s="52">
        <v>5</v>
      </c>
      <c r="H13" s="52">
        <v>6</v>
      </c>
      <c r="I13" s="52">
        <v>7</v>
      </c>
      <c r="J13" s="52">
        <v>8</v>
      </c>
      <c r="K13" s="52">
        <v>9</v>
      </c>
      <c r="L13" s="52">
        <v>10</v>
      </c>
      <c r="N13" s="121"/>
      <c r="O13" s="123" t="s">
        <v>51</v>
      </c>
      <c r="P13" s="117">
        <f>P12*P$9</f>
        <v>4</v>
      </c>
      <c r="Q13" s="8">
        <f>P13*$N$10+Q12</f>
        <v>42</v>
      </c>
      <c r="R13" s="117">
        <f t="shared" ref="R13:T15" si="0">R12*R$9</f>
        <v>9</v>
      </c>
      <c r="S13" s="8">
        <f>R13*$N$10+S12</f>
        <v>78</v>
      </c>
      <c r="T13" s="117">
        <f t="shared" si="0"/>
        <v>16</v>
      </c>
      <c r="U13" s="8">
        <f>T13*$N$10+U12</f>
        <v>126</v>
      </c>
      <c r="V13" s="117">
        <f>V12*V$9</f>
        <v>25</v>
      </c>
      <c r="W13" s="8">
        <f>V13*$N$10+W12</f>
        <v>186</v>
      </c>
      <c r="X13" s="117">
        <f>X12*X$9</f>
        <v>36</v>
      </c>
      <c r="Y13" s="8">
        <f>X13*$N$10+Y12</f>
        <v>258</v>
      </c>
    </row>
    <row r="14" spans="2:26" x14ac:dyDescent="0.2">
      <c r="B14" s="52">
        <v>13</v>
      </c>
      <c r="C14" s="53" t="str">
        <f>HSDR!O36</f>
        <v>H</v>
      </c>
      <c r="D14" s="53" t="str">
        <f>HSDR!P36</f>
        <v>H</v>
      </c>
      <c r="E14" s="53" t="str">
        <f>HSDR!Q36</f>
        <v>H</v>
      </c>
      <c r="F14" s="53" t="str">
        <f>HSDR!R36</f>
        <v>H</v>
      </c>
      <c r="G14" s="53" t="str">
        <f>HSDR!S36</f>
        <v>H</v>
      </c>
      <c r="H14" s="53" t="str">
        <f>HSDR!T36</f>
        <v>D</v>
      </c>
      <c r="I14" s="53" t="str">
        <f>HSDR!U36</f>
        <v>H</v>
      </c>
      <c r="J14" s="53" t="str">
        <f>HSDR!V36</f>
        <v>H</v>
      </c>
      <c r="K14" s="53" t="str">
        <f>HSDR!W36</f>
        <v>H</v>
      </c>
      <c r="L14" s="53" t="str">
        <f>HSDR!X36</f>
        <v>H</v>
      </c>
      <c r="N14" s="121"/>
      <c r="O14" s="123" t="s">
        <v>52</v>
      </c>
      <c r="P14" s="117">
        <f>P13*P$9</f>
        <v>8</v>
      </c>
      <c r="Q14" s="8">
        <f>P14*$N$10+Q13</f>
        <v>90</v>
      </c>
      <c r="R14" s="117">
        <f t="shared" si="0"/>
        <v>27</v>
      </c>
      <c r="S14" s="8">
        <f>R14*$N$10+S13</f>
        <v>240</v>
      </c>
      <c r="T14" s="117">
        <f t="shared" si="0"/>
        <v>64</v>
      </c>
      <c r="U14" s="8">
        <f>T14*$N$10+U13</f>
        <v>510</v>
      </c>
      <c r="V14" s="117">
        <f>V13*V$9</f>
        <v>125</v>
      </c>
      <c r="W14" s="8">
        <f>V14*$N$10+W13</f>
        <v>936</v>
      </c>
      <c r="X14" s="117">
        <f>X13*X$9</f>
        <v>216</v>
      </c>
      <c r="Y14" s="8">
        <f>X14*$N$10+Y13</f>
        <v>1554</v>
      </c>
    </row>
    <row r="15" spans="2:26" ht="17" thickBot="1" x14ac:dyDescent="0.25">
      <c r="B15" s="52">
        <v>14</v>
      </c>
      <c r="C15" s="53" t="str">
        <f>HSDR!O37</f>
        <v>H</v>
      </c>
      <c r="D15" s="53" t="str">
        <f>HSDR!P37</f>
        <v>H</v>
      </c>
      <c r="E15" s="53" t="str">
        <f>HSDR!Q37</f>
        <v>H</v>
      </c>
      <c r="F15" s="53" t="str">
        <f>HSDR!R37</f>
        <v>H</v>
      </c>
      <c r="G15" s="53" t="str">
        <f>HSDR!S37</f>
        <v>D</v>
      </c>
      <c r="H15" s="53" t="str">
        <f>HSDR!T37</f>
        <v>D</v>
      </c>
      <c r="I15" s="53" t="str">
        <f>HSDR!U37</f>
        <v>H</v>
      </c>
      <c r="J15" s="53" t="str">
        <f>HSDR!V37</f>
        <v>H</v>
      </c>
      <c r="K15" s="53" t="str">
        <f>HSDR!W37</f>
        <v>H</v>
      </c>
      <c r="L15" s="53" t="str">
        <f>HSDR!X37</f>
        <v>H</v>
      </c>
      <c r="N15" s="136"/>
      <c r="O15" s="137" t="s">
        <v>53</v>
      </c>
      <c r="P15" s="138">
        <f>P14*P$9</f>
        <v>16</v>
      </c>
      <c r="Q15" s="139">
        <f>P15*$N$10+Q14</f>
        <v>186</v>
      </c>
      <c r="R15" s="138">
        <f t="shared" si="0"/>
        <v>81</v>
      </c>
      <c r="S15" s="139">
        <f>R15*$N$10+S14</f>
        <v>726</v>
      </c>
      <c r="T15" s="138">
        <f t="shared" si="0"/>
        <v>256</v>
      </c>
      <c r="U15" s="139">
        <f>T15*$N$10+U14</f>
        <v>2046</v>
      </c>
      <c r="V15" s="138">
        <f>V14*V$9</f>
        <v>625</v>
      </c>
      <c r="W15" s="139">
        <f>V15*$N$10+W14</f>
        <v>4686</v>
      </c>
      <c r="X15" s="138">
        <f>X14*X$9</f>
        <v>1296</v>
      </c>
      <c r="Y15" s="139">
        <f>X15*$N$10+Y14</f>
        <v>9330</v>
      </c>
    </row>
    <row r="16" spans="2:26" ht="17" thickBot="1" x14ac:dyDescent="0.25">
      <c r="B16" s="52">
        <v>15</v>
      </c>
      <c r="C16" s="53" t="str">
        <f>HSDR!O38</f>
        <v>H</v>
      </c>
      <c r="D16" s="53" t="str">
        <f>HSDR!P38</f>
        <v>H</v>
      </c>
      <c r="E16" s="53" t="str">
        <f>HSDR!Q38</f>
        <v>H</v>
      </c>
      <c r="F16" s="53" t="str">
        <f>HSDR!R38</f>
        <v>H</v>
      </c>
      <c r="G16" s="53" t="str">
        <f>HSDR!S38</f>
        <v>D</v>
      </c>
      <c r="H16" s="53" t="str">
        <f>HSDR!T38</f>
        <v>D</v>
      </c>
      <c r="I16" s="53" t="str">
        <f>HSDR!U38</f>
        <v>H</v>
      </c>
      <c r="J16" s="53" t="str">
        <f>HSDR!V38</f>
        <v>H</v>
      </c>
      <c r="K16" s="53" t="str">
        <f>HSDR!W38</f>
        <v>H</v>
      </c>
      <c r="L16" s="53" t="str">
        <f>HSDR!X38</f>
        <v>H</v>
      </c>
      <c r="N16" s="140" t="s">
        <v>57</v>
      </c>
      <c r="O16" s="141" t="s">
        <v>56</v>
      </c>
      <c r="P16" s="142">
        <v>100</v>
      </c>
      <c r="Q16" s="20" t="s">
        <v>54</v>
      </c>
      <c r="R16" s="143">
        <v>200</v>
      </c>
      <c r="S16" s="144" t="s">
        <v>54</v>
      </c>
      <c r="T16" s="142">
        <v>300</v>
      </c>
      <c r="U16" s="20" t="s">
        <v>54</v>
      </c>
      <c r="V16" s="142">
        <v>400</v>
      </c>
      <c r="W16" s="20" t="s">
        <v>54</v>
      </c>
      <c r="X16" s="142">
        <v>500</v>
      </c>
      <c r="Y16" s="20" t="s">
        <v>54</v>
      </c>
    </row>
    <row r="17" spans="2:25" x14ac:dyDescent="0.2">
      <c r="B17" s="52">
        <v>16</v>
      </c>
      <c r="C17" s="53" t="str">
        <f>HSDR!O39</f>
        <v>H</v>
      </c>
      <c r="D17" s="53" t="str">
        <f>HSDR!P39</f>
        <v>H</v>
      </c>
      <c r="E17" s="53" t="str">
        <f>HSDR!Q39</f>
        <v>H</v>
      </c>
      <c r="F17" s="53" t="str">
        <f>HSDR!R39</f>
        <v>D</v>
      </c>
      <c r="G17" s="53" t="str">
        <f>HSDR!S39</f>
        <v>D</v>
      </c>
      <c r="H17" s="53" t="str">
        <f>HSDR!T39</f>
        <v>D</v>
      </c>
      <c r="I17" s="53" t="str">
        <f>HSDR!U39</f>
        <v>H</v>
      </c>
      <c r="J17" s="53" t="str">
        <f>HSDR!V39</f>
        <v>H</v>
      </c>
      <c r="K17" s="53" t="str">
        <f>HSDR!W39</f>
        <v>H</v>
      </c>
      <c r="L17" s="53" t="str">
        <f>HSDR!X39</f>
        <v>H</v>
      </c>
      <c r="N17" s="408">
        <v>2</v>
      </c>
      <c r="O17" s="131">
        <v>1</v>
      </c>
      <c r="P17" s="135">
        <f>O17*P$16</f>
        <v>100</v>
      </c>
      <c r="Q17" s="132">
        <f>O17*$N$10*P17</f>
        <v>600</v>
      </c>
      <c r="R17" s="135">
        <f>$O17*R$16</f>
        <v>200</v>
      </c>
      <c r="S17" s="132">
        <f>$N$10*R17</f>
        <v>1200</v>
      </c>
      <c r="T17" s="135">
        <f>$O17*T$16</f>
        <v>300</v>
      </c>
      <c r="U17" s="132">
        <f>$N$10*T17</f>
        <v>1800</v>
      </c>
      <c r="V17" s="135">
        <f>$O17*V$16</f>
        <v>400</v>
      </c>
      <c r="W17" s="132">
        <f>$N$10*V17</f>
        <v>2400</v>
      </c>
      <c r="X17" s="135">
        <f>$O17*X$16</f>
        <v>500</v>
      </c>
      <c r="Y17" s="132">
        <f>$N$10*X17</f>
        <v>3000</v>
      </c>
    </row>
    <row r="18" spans="2:25" x14ac:dyDescent="0.2">
      <c r="B18" s="52">
        <v>17</v>
      </c>
      <c r="C18" s="53" t="str">
        <f>HSDR!O40</f>
        <v>H</v>
      </c>
      <c r="D18" s="53" t="str">
        <f>HSDR!P40</f>
        <v>H</v>
      </c>
      <c r="E18" s="53" t="str">
        <f>HSDR!Q40</f>
        <v>D</v>
      </c>
      <c r="F18" s="53" t="str">
        <f>HSDR!R40</f>
        <v>D</v>
      </c>
      <c r="G18" s="53" t="str">
        <f>HSDR!S40</f>
        <v>D</v>
      </c>
      <c r="H18" s="53" t="str">
        <f>HSDR!T40</f>
        <v>D</v>
      </c>
      <c r="I18" s="53" t="str">
        <f>HSDR!U40</f>
        <v>H</v>
      </c>
      <c r="J18" s="53" t="str">
        <f>HSDR!V40</f>
        <v>H</v>
      </c>
      <c r="K18" s="53" t="str">
        <f>HSDR!W40</f>
        <v>H</v>
      </c>
      <c r="L18" s="53" t="str">
        <f>HSDR!X40</f>
        <v>H</v>
      </c>
      <c r="N18" s="409"/>
      <c r="O18" s="126">
        <f>O17*N17</f>
        <v>2</v>
      </c>
      <c r="P18" s="133">
        <f>O18*P$16</f>
        <v>200</v>
      </c>
      <c r="Q18" s="128">
        <f>$N$10*P18+Q17</f>
        <v>1800</v>
      </c>
      <c r="R18" s="133">
        <f>$O18*R$16</f>
        <v>400</v>
      </c>
      <c r="S18" s="128">
        <f>$N$10*R18+S17</f>
        <v>3600</v>
      </c>
      <c r="T18" s="133">
        <f>$O18*T$16</f>
        <v>600</v>
      </c>
      <c r="U18" s="128">
        <f>$N$10*T18+U17</f>
        <v>5400</v>
      </c>
      <c r="V18" s="133">
        <f t="shared" ref="V18:X21" si="1">$O18*V$16</f>
        <v>800</v>
      </c>
      <c r="W18" s="128">
        <f>$N$10*V18+W17</f>
        <v>7200</v>
      </c>
      <c r="X18" s="133">
        <f t="shared" si="1"/>
        <v>1000</v>
      </c>
      <c r="Y18" s="128">
        <f>$N$10*X18+Y17</f>
        <v>9000</v>
      </c>
    </row>
    <row r="19" spans="2:25" x14ac:dyDescent="0.2">
      <c r="B19" s="52">
        <v>18</v>
      </c>
      <c r="C19" s="53" t="str">
        <f>HSDR!O41</f>
        <v>H</v>
      </c>
      <c r="D19" s="53" t="str">
        <f>HSDR!P41</f>
        <v>S</v>
      </c>
      <c r="E19" s="53" t="str">
        <f>HSDR!Q41</f>
        <v>D</v>
      </c>
      <c r="F19" s="53" t="str">
        <f>HSDR!R41</f>
        <v>D</v>
      </c>
      <c r="G19" s="53" t="str">
        <f>HSDR!S41</f>
        <v>D</v>
      </c>
      <c r="H19" s="53" t="str">
        <f>HSDR!T41</f>
        <v>D</v>
      </c>
      <c r="I19" s="53" t="str">
        <f>HSDR!U41</f>
        <v>S</v>
      </c>
      <c r="J19" s="53" t="str">
        <f>HSDR!V41</f>
        <v>S</v>
      </c>
      <c r="K19" s="53" t="str">
        <f>HSDR!W41</f>
        <v>H</v>
      </c>
      <c r="L19" s="53" t="str">
        <f>HSDR!X41</f>
        <v>H</v>
      </c>
      <c r="N19" s="409"/>
      <c r="O19" s="126">
        <f>O18*N17</f>
        <v>4</v>
      </c>
      <c r="P19" s="133">
        <f>O19*P$16</f>
        <v>400</v>
      </c>
      <c r="Q19" s="128">
        <f>$N$10*P19+Q18</f>
        <v>4200</v>
      </c>
      <c r="R19" s="133">
        <f>$O19*R$16</f>
        <v>800</v>
      </c>
      <c r="S19" s="128">
        <f>$N$10*R19+S18</f>
        <v>8400</v>
      </c>
      <c r="T19" s="133">
        <f>$O19*T$16</f>
        <v>1200</v>
      </c>
      <c r="U19" s="128">
        <f>$N$10*T19+U18</f>
        <v>12600</v>
      </c>
      <c r="V19" s="133">
        <f t="shared" si="1"/>
        <v>1600</v>
      </c>
      <c r="W19" s="128">
        <f>$N$10*V19+W18</f>
        <v>16800</v>
      </c>
      <c r="X19" s="133">
        <f t="shared" si="1"/>
        <v>2000</v>
      </c>
      <c r="Y19" s="128">
        <f>$N$10*X19+Y18</f>
        <v>21000</v>
      </c>
    </row>
    <row r="20" spans="2:25" x14ac:dyDescent="0.2">
      <c r="B20" s="52">
        <v>19</v>
      </c>
      <c r="C20" s="53" t="str">
        <f>HSDR!O42</f>
        <v>S</v>
      </c>
      <c r="D20" s="53" t="str">
        <f>HSDR!P42</f>
        <v>S</v>
      </c>
      <c r="E20" s="53" t="str">
        <f>HSDR!Q42</f>
        <v>S</v>
      </c>
      <c r="F20" s="53" t="str">
        <f>HSDR!R42</f>
        <v>S</v>
      </c>
      <c r="G20" s="53" t="str">
        <f>HSDR!S42</f>
        <v>S</v>
      </c>
      <c r="H20" s="53" t="str">
        <f>HSDR!T42</f>
        <v>S</v>
      </c>
      <c r="I20" s="53" t="str">
        <f>HSDR!U42</f>
        <v>S</v>
      </c>
      <c r="J20" s="53" t="str">
        <f>HSDR!V42</f>
        <v>S</v>
      </c>
      <c r="K20" s="53" t="str">
        <f>HSDR!W42</f>
        <v>S</v>
      </c>
      <c r="L20" s="53" t="str">
        <f>HSDR!X42</f>
        <v>S</v>
      </c>
      <c r="N20" s="409"/>
      <c r="O20" s="126">
        <f>O19*N17</f>
        <v>8</v>
      </c>
      <c r="P20" s="133">
        <f>O20*P$16</f>
        <v>800</v>
      </c>
      <c r="Q20" s="128">
        <f>$N$10*P20+Q19</f>
        <v>9000</v>
      </c>
      <c r="R20" s="133">
        <f>$O20*R$16</f>
        <v>1600</v>
      </c>
      <c r="S20" s="128">
        <f>$N$10*R20+S19</f>
        <v>18000</v>
      </c>
      <c r="T20" s="133">
        <f>$O20*T$16</f>
        <v>2400</v>
      </c>
      <c r="U20" s="128">
        <f>$N$10*T20+U19</f>
        <v>27000</v>
      </c>
      <c r="V20" s="133">
        <f t="shared" si="1"/>
        <v>3200</v>
      </c>
      <c r="W20" s="128">
        <f>$N$10*V20+W19</f>
        <v>36000</v>
      </c>
      <c r="X20" s="133">
        <f t="shared" si="1"/>
        <v>4000</v>
      </c>
      <c r="Y20" s="128">
        <f>$N$10*X20+Y19</f>
        <v>45000</v>
      </c>
    </row>
    <row r="21" spans="2:25" ht="17" thickBot="1" x14ac:dyDescent="0.25">
      <c r="B21" s="52" t="s">
        <v>10</v>
      </c>
      <c r="C21" s="52" t="s">
        <v>22</v>
      </c>
      <c r="D21" s="52">
        <v>2</v>
      </c>
      <c r="E21" s="52">
        <v>3</v>
      </c>
      <c r="F21" s="52">
        <v>4</v>
      </c>
      <c r="G21" s="52">
        <v>5</v>
      </c>
      <c r="H21" s="52">
        <v>6</v>
      </c>
      <c r="I21" s="52">
        <v>7</v>
      </c>
      <c r="J21" s="52">
        <v>8</v>
      </c>
      <c r="K21" s="52">
        <v>9</v>
      </c>
      <c r="L21" s="52">
        <v>10</v>
      </c>
      <c r="N21" s="410"/>
      <c r="O21" s="126">
        <f>O20*N17</f>
        <v>16</v>
      </c>
      <c r="P21" s="134">
        <f>O21*P$16</f>
        <v>1600</v>
      </c>
      <c r="Q21" s="129">
        <f>$N$10*P21+Q20</f>
        <v>18600</v>
      </c>
      <c r="R21" s="134">
        <f>$O21*R$16</f>
        <v>3200</v>
      </c>
      <c r="S21" s="129">
        <f>$N$10*R21+S20</f>
        <v>37200</v>
      </c>
      <c r="T21" s="134">
        <f>$O21*T$16</f>
        <v>4800</v>
      </c>
      <c r="U21" s="129">
        <f>$N$10*T21+U20</f>
        <v>55800</v>
      </c>
      <c r="V21" s="134">
        <f t="shared" si="1"/>
        <v>6400</v>
      </c>
      <c r="W21" s="129">
        <f>$N$10*V21+W20</f>
        <v>74400</v>
      </c>
      <c r="X21" s="134">
        <f t="shared" si="1"/>
        <v>8000</v>
      </c>
      <c r="Y21" s="129">
        <f>$N$10*X21+Y20</f>
        <v>93000</v>
      </c>
    </row>
    <row r="22" spans="2:25" ht="17" thickBot="1" x14ac:dyDescent="0.25">
      <c r="B22" s="52" t="s">
        <v>22</v>
      </c>
      <c r="C22" s="53" t="str">
        <f>Pair!O2</f>
        <v>P</v>
      </c>
      <c r="D22" s="53" t="str">
        <f>Pair!P2</f>
        <v>P</v>
      </c>
      <c r="E22" s="53" t="str">
        <f>Pair!Q2</f>
        <v>P</v>
      </c>
      <c r="F22" s="53" t="str">
        <f>Pair!R2</f>
        <v>P</v>
      </c>
      <c r="G22" s="53" t="str">
        <f>Pair!S2</f>
        <v>P</v>
      </c>
      <c r="H22" s="53" t="str">
        <f>Pair!T2</f>
        <v>P</v>
      </c>
      <c r="I22" s="53" t="str">
        <f>Pair!U2</f>
        <v>P</v>
      </c>
      <c r="J22" s="53" t="str">
        <f>Pair!V2</f>
        <v>P</v>
      </c>
      <c r="K22" s="53" t="str">
        <f>Pair!W2</f>
        <v>P</v>
      </c>
      <c r="L22" s="53" t="str">
        <f>Pair!X2</f>
        <v>P</v>
      </c>
      <c r="N22" s="140" t="s">
        <v>57</v>
      </c>
      <c r="O22" s="141" t="s">
        <v>56</v>
      </c>
      <c r="P22" s="142">
        <v>100</v>
      </c>
      <c r="Q22" s="20" t="s">
        <v>54</v>
      </c>
      <c r="R22" s="143">
        <v>200</v>
      </c>
      <c r="S22" s="144" t="s">
        <v>54</v>
      </c>
      <c r="T22" s="142">
        <v>300</v>
      </c>
      <c r="U22" s="20" t="s">
        <v>54</v>
      </c>
      <c r="V22" s="142">
        <v>400</v>
      </c>
      <c r="W22" s="20" t="s">
        <v>54</v>
      </c>
      <c r="X22" s="142">
        <v>500</v>
      </c>
      <c r="Y22" s="20" t="s">
        <v>54</v>
      </c>
    </row>
    <row r="23" spans="2:25" x14ac:dyDescent="0.2">
      <c r="B23" s="52">
        <v>2</v>
      </c>
      <c r="C23" s="53" t="str">
        <f>Pair!O3</f>
        <v>H</v>
      </c>
      <c r="D23" s="53" t="str">
        <f>Pair!P3</f>
        <v>P</v>
      </c>
      <c r="E23" s="53" t="str">
        <f>Pair!Q3</f>
        <v>P</v>
      </c>
      <c r="F23" s="53" t="str">
        <f>Pair!R3</f>
        <v>P</v>
      </c>
      <c r="G23" s="53" t="str">
        <f>Pair!S3</f>
        <v>P</v>
      </c>
      <c r="H23" s="53" t="str">
        <f>Pair!T3</f>
        <v>P</v>
      </c>
      <c r="I23" s="53" t="str">
        <f>Pair!U3</f>
        <v>P</v>
      </c>
      <c r="J23" s="53" t="str">
        <f>Pair!V3</f>
        <v>H</v>
      </c>
      <c r="K23" s="53" t="str">
        <f>Pair!W3</f>
        <v>H</v>
      </c>
      <c r="L23" s="53" t="str">
        <f>Pair!X3</f>
        <v>H</v>
      </c>
      <c r="N23" s="408">
        <v>3</v>
      </c>
      <c r="O23" s="131">
        <v>1</v>
      </c>
      <c r="P23" s="135">
        <f>O23*P$16</f>
        <v>100</v>
      </c>
      <c r="Q23" s="132">
        <f>O23*$N$10*P23</f>
        <v>600</v>
      </c>
      <c r="R23" s="135">
        <f>$O23*R$16</f>
        <v>200</v>
      </c>
      <c r="S23" s="132">
        <f>$N$10*R23</f>
        <v>1200</v>
      </c>
      <c r="T23" s="135">
        <f>$O23*T$16</f>
        <v>300</v>
      </c>
      <c r="U23" s="132">
        <f>$N$10*T23</f>
        <v>1800</v>
      </c>
      <c r="V23" s="135">
        <f>$O23*V$16</f>
        <v>400</v>
      </c>
      <c r="W23" s="132">
        <f>$N$10*V23</f>
        <v>2400</v>
      </c>
      <c r="X23" s="135">
        <f>$O23*X$16</f>
        <v>500</v>
      </c>
      <c r="Y23" s="132">
        <f>$N$10*X23</f>
        <v>3000</v>
      </c>
    </row>
    <row r="24" spans="2:25" x14ac:dyDescent="0.2">
      <c r="B24" s="52">
        <v>3</v>
      </c>
      <c r="C24" s="53" t="str">
        <f>Pair!O4</f>
        <v>H</v>
      </c>
      <c r="D24" s="53" t="str">
        <f>Pair!P4</f>
        <v>P</v>
      </c>
      <c r="E24" s="53" t="str">
        <f>Pair!Q4</f>
        <v>P</v>
      </c>
      <c r="F24" s="53" t="str">
        <f>Pair!R4</f>
        <v>P</v>
      </c>
      <c r="G24" s="53" t="str">
        <f>Pair!S4</f>
        <v>P</v>
      </c>
      <c r="H24" s="53" t="str">
        <f>Pair!T4</f>
        <v>P</v>
      </c>
      <c r="I24" s="53" t="str">
        <f>Pair!U4</f>
        <v>P</v>
      </c>
      <c r="J24" s="53" t="str">
        <f>Pair!V4</f>
        <v>H</v>
      </c>
      <c r="K24" s="53" t="str">
        <f>Pair!W4</f>
        <v>H</v>
      </c>
      <c r="L24" s="53" t="str">
        <f>Pair!X4</f>
        <v>H</v>
      </c>
      <c r="N24" s="409"/>
      <c r="O24" s="126">
        <f>O23*N23</f>
        <v>3</v>
      </c>
      <c r="P24" s="133">
        <f>O24*P$16</f>
        <v>300</v>
      </c>
      <c r="Q24" s="128">
        <f>$N$10*P24+Q23</f>
        <v>2400</v>
      </c>
      <c r="R24" s="133">
        <f>$O24*R$16</f>
        <v>600</v>
      </c>
      <c r="S24" s="128">
        <f>$N$10*R24+S23</f>
        <v>4800</v>
      </c>
      <c r="T24" s="133">
        <f>$O24*T$16</f>
        <v>900</v>
      </c>
      <c r="U24" s="128">
        <f>$N$10*T24+U23</f>
        <v>7200</v>
      </c>
      <c r="V24" s="133">
        <f t="shared" ref="V24:X27" si="2">$O24*V$16</f>
        <v>1200</v>
      </c>
      <c r="W24" s="128">
        <f>$N$10*V24+W23</f>
        <v>9600</v>
      </c>
      <c r="X24" s="133">
        <f t="shared" si="2"/>
        <v>1500</v>
      </c>
      <c r="Y24" s="128">
        <f>$N$10*X24+Y23</f>
        <v>12000</v>
      </c>
    </row>
    <row r="25" spans="2:25" x14ac:dyDescent="0.2">
      <c r="B25" s="52">
        <v>4</v>
      </c>
      <c r="C25" s="53" t="str">
        <f>Pair!O5</f>
        <v>H</v>
      </c>
      <c r="D25" s="53" t="str">
        <f>Pair!P5</f>
        <v>H</v>
      </c>
      <c r="E25" s="53" t="str">
        <f>Pair!Q5</f>
        <v>H</v>
      </c>
      <c r="F25" s="53" t="str">
        <f>Pair!R5</f>
        <v>H</v>
      </c>
      <c r="G25" s="53" t="str">
        <f>Pair!S5</f>
        <v>P</v>
      </c>
      <c r="H25" s="53" t="str">
        <f>Pair!T5</f>
        <v>P</v>
      </c>
      <c r="I25" s="53" t="str">
        <f>Pair!U5</f>
        <v>H</v>
      </c>
      <c r="J25" s="53" t="str">
        <f>Pair!V5</f>
        <v>H</v>
      </c>
      <c r="K25" s="53" t="str">
        <f>Pair!W5</f>
        <v>H</v>
      </c>
      <c r="L25" s="53" t="str">
        <f>Pair!X5</f>
        <v>H</v>
      </c>
      <c r="N25" s="409"/>
      <c r="O25" s="126">
        <f>O24*N23</f>
        <v>9</v>
      </c>
      <c r="P25" s="133">
        <f>O25*P$16</f>
        <v>900</v>
      </c>
      <c r="Q25" s="128">
        <f>$N$10*P25+Q24</f>
        <v>7800</v>
      </c>
      <c r="R25" s="133">
        <f>$O25*R$16</f>
        <v>1800</v>
      </c>
      <c r="S25" s="128">
        <f>$N$10*R25+S24</f>
        <v>15600</v>
      </c>
      <c r="T25" s="133">
        <f>$O25*T$16</f>
        <v>2700</v>
      </c>
      <c r="U25" s="128">
        <f>$N$10*T25+U24</f>
        <v>23400</v>
      </c>
      <c r="V25" s="133">
        <f t="shared" si="2"/>
        <v>3600</v>
      </c>
      <c r="W25" s="128">
        <f>$N$10*V25+W24</f>
        <v>31200</v>
      </c>
      <c r="X25" s="133">
        <f t="shared" si="2"/>
        <v>4500</v>
      </c>
      <c r="Y25" s="128">
        <f>$N$10*X25+Y24</f>
        <v>39000</v>
      </c>
    </row>
    <row r="26" spans="2:25" x14ac:dyDescent="0.2">
      <c r="B26" s="52">
        <v>5</v>
      </c>
      <c r="C26" s="53" t="str">
        <f>Pair!O6</f>
        <v>H</v>
      </c>
      <c r="D26" s="53" t="str">
        <f>Pair!P6</f>
        <v>D</v>
      </c>
      <c r="E26" s="53" t="str">
        <f>Pair!Q6</f>
        <v>D</v>
      </c>
      <c r="F26" s="53" t="str">
        <f>Pair!R6</f>
        <v>D</v>
      </c>
      <c r="G26" s="53" t="str">
        <f>Pair!S6</f>
        <v>D</v>
      </c>
      <c r="H26" s="53" t="str">
        <f>Pair!T6</f>
        <v>D</v>
      </c>
      <c r="I26" s="53" t="str">
        <f>Pair!U6</f>
        <v>D</v>
      </c>
      <c r="J26" s="53" t="str">
        <f>Pair!V6</f>
        <v>D</v>
      </c>
      <c r="K26" s="53" t="str">
        <f>Pair!W6</f>
        <v>D</v>
      </c>
      <c r="L26" s="53" t="str">
        <f>Pair!X6</f>
        <v>H</v>
      </c>
      <c r="N26" s="409"/>
      <c r="O26" s="126">
        <f>O25*N23</f>
        <v>27</v>
      </c>
      <c r="P26" s="133">
        <f>O26*P$16</f>
        <v>2700</v>
      </c>
      <c r="Q26" s="128">
        <f>$N$10*P26+Q25</f>
        <v>24000</v>
      </c>
      <c r="R26" s="133">
        <f>$O26*R$16</f>
        <v>5400</v>
      </c>
      <c r="S26" s="128">
        <f>$N$10*R26+S25</f>
        <v>48000</v>
      </c>
      <c r="T26" s="133">
        <f>$O26*T$16</f>
        <v>8100</v>
      </c>
      <c r="U26" s="128">
        <f>$N$10*T26+U25</f>
        <v>72000</v>
      </c>
      <c r="V26" s="133">
        <f t="shared" si="2"/>
        <v>10800</v>
      </c>
      <c r="W26" s="128">
        <f>$N$10*V26+W25</f>
        <v>96000</v>
      </c>
      <c r="X26" s="133">
        <f t="shared" si="2"/>
        <v>13500</v>
      </c>
      <c r="Y26" s="128">
        <f>$N$10*X26+Y25</f>
        <v>120000</v>
      </c>
    </row>
    <row r="27" spans="2:25" ht="17" thickBot="1" x14ac:dyDescent="0.25">
      <c r="B27" s="52">
        <v>6</v>
      </c>
      <c r="C27" s="53" t="str">
        <f>Pair!O7</f>
        <v>H</v>
      </c>
      <c r="D27" s="53" t="str">
        <f>Pair!P7</f>
        <v>H</v>
      </c>
      <c r="E27" s="53" t="str">
        <f>Pair!Q7</f>
        <v>P</v>
      </c>
      <c r="F27" s="53" t="str">
        <f>Pair!R7</f>
        <v>P</v>
      </c>
      <c r="G27" s="53" t="str">
        <f>Pair!S7</f>
        <v>P</v>
      </c>
      <c r="H27" s="53" t="str">
        <f>Pair!T7</f>
        <v>P</v>
      </c>
      <c r="I27" s="53" t="str">
        <f>Pair!U7</f>
        <v>H</v>
      </c>
      <c r="J27" s="53" t="str">
        <f>Pair!V7</f>
        <v>H</v>
      </c>
      <c r="K27" s="53" t="str">
        <f>Pair!W7</f>
        <v>H</v>
      </c>
      <c r="L27" s="53" t="str">
        <f>Pair!X7</f>
        <v>H</v>
      </c>
      <c r="N27" s="410"/>
      <c r="O27" s="127">
        <f>O26*N23</f>
        <v>81</v>
      </c>
      <c r="P27" s="134">
        <f>O27*P$16</f>
        <v>8100</v>
      </c>
      <c r="Q27" s="129">
        <f>$N$10*P27+Q26</f>
        <v>72600</v>
      </c>
      <c r="R27" s="134">
        <f>$O27*R$16</f>
        <v>16200</v>
      </c>
      <c r="S27" s="129">
        <f>$N$10*R27+S26</f>
        <v>145200</v>
      </c>
      <c r="T27" s="134">
        <f>$O27*T$16</f>
        <v>24300</v>
      </c>
      <c r="U27" s="129">
        <f>$N$10*T27+U26</f>
        <v>217800</v>
      </c>
      <c r="V27" s="134">
        <f t="shared" si="2"/>
        <v>32400</v>
      </c>
      <c r="W27" s="129">
        <f>$N$10*V27+W26</f>
        <v>290400</v>
      </c>
      <c r="X27" s="134">
        <f t="shared" si="2"/>
        <v>40500</v>
      </c>
      <c r="Y27" s="129">
        <f>$N$10*X27+Y26</f>
        <v>363000</v>
      </c>
    </row>
    <row r="28" spans="2:25" ht="17" thickBot="1" x14ac:dyDescent="0.25">
      <c r="B28" s="52">
        <v>7</v>
      </c>
      <c r="C28" s="53" t="str">
        <f>Pair!O8</f>
        <v>H</v>
      </c>
      <c r="D28" s="53" t="str">
        <f>Pair!P8</f>
        <v>P</v>
      </c>
      <c r="E28" s="53" t="str">
        <f>Pair!Q8</f>
        <v>P</v>
      </c>
      <c r="F28" s="53" t="str">
        <f>Pair!R8</f>
        <v>P</v>
      </c>
      <c r="G28" s="53" t="str">
        <f>Pair!S8</f>
        <v>P</v>
      </c>
      <c r="H28" s="53" t="str">
        <f>Pair!T8</f>
        <v>P</v>
      </c>
      <c r="I28" s="53" t="str">
        <f>Pair!U8</f>
        <v>P</v>
      </c>
      <c r="J28" s="53" t="str">
        <f>Pair!V8</f>
        <v>H</v>
      </c>
      <c r="K28" s="53" t="str">
        <f>Pair!W8</f>
        <v>H</v>
      </c>
      <c r="L28" s="53" t="str">
        <f>Pair!X8</f>
        <v>H</v>
      </c>
      <c r="N28" s="140" t="s">
        <v>57</v>
      </c>
      <c r="O28" s="141" t="s">
        <v>56</v>
      </c>
      <c r="P28" s="142">
        <v>100</v>
      </c>
      <c r="Q28" s="20" t="s">
        <v>54</v>
      </c>
      <c r="R28" s="143">
        <v>200</v>
      </c>
      <c r="S28" s="144" t="s">
        <v>54</v>
      </c>
      <c r="T28" s="142">
        <v>300</v>
      </c>
      <c r="U28" s="20" t="s">
        <v>54</v>
      </c>
      <c r="V28" s="142">
        <v>400</v>
      </c>
      <c r="W28" s="20" t="s">
        <v>54</v>
      </c>
      <c r="X28" s="142">
        <v>500</v>
      </c>
      <c r="Y28" s="20" t="s">
        <v>54</v>
      </c>
    </row>
    <row r="29" spans="2:25" x14ac:dyDescent="0.2">
      <c r="B29" s="52">
        <v>8</v>
      </c>
      <c r="C29" s="53" t="str">
        <f>Pair!O9</f>
        <v>P</v>
      </c>
      <c r="D29" s="53" t="str">
        <f>Pair!P9</f>
        <v>P</v>
      </c>
      <c r="E29" s="53" t="str">
        <f>Pair!Q9</f>
        <v>P</v>
      </c>
      <c r="F29" s="53" t="str">
        <f>Pair!R9</f>
        <v>P</v>
      </c>
      <c r="G29" s="53" t="str">
        <f>Pair!S9</f>
        <v>P</v>
      </c>
      <c r="H29" s="53" t="str">
        <f>Pair!T9</f>
        <v>P</v>
      </c>
      <c r="I29" s="53" t="str">
        <f>Pair!U9</f>
        <v>P</v>
      </c>
      <c r="J29" s="53" t="str">
        <f>Pair!V9</f>
        <v>P</v>
      </c>
      <c r="K29" s="53" t="str">
        <f>Pair!W9</f>
        <v>R</v>
      </c>
      <c r="L29" s="53" t="str">
        <f>Pair!X9</f>
        <v>R</v>
      </c>
      <c r="N29" s="408">
        <v>4</v>
      </c>
      <c r="O29" s="131">
        <v>1</v>
      </c>
      <c r="P29" s="135">
        <f>O29*P$16</f>
        <v>100</v>
      </c>
      <c r="Q29" s="132">
        <f>O29*$N$10*P29</f>
        <v>600</v>
      </c>
      <c r="R29" s="135">
        <f>$O29*R$16</f>
        <v>200</v>
      </c>
      <c r="S29" s="132">
        <f>$N$10*R29</f>
        <v>1200</v>
      </c>
      <c r="T29" s="135">
        <f>$O29*T$16</f>
        <v>300</v>
      </c>
      <c r="U29" s="132">
        <f>$N$10*T29</f>
        <v>1800</v>
      </c>
      <c r="V29" s="135">
        <f>$O29*V$16</f>
        <v>400</v>
      </c>
      <c r="W29" s="132">
        <f>$N$10*V29</f>
        <v>2400</v>
      </c>
      <c r="X29" s="135">
        <f>$O29*X$16</f>
        <v>500</v>
      </c>
      <c r="Y29" s="132">
        <f>$N$10*X29</f>
        <v>3000</v>
      </c>
    </row>
    <row r="30" spans="2:25" x14ac:dyDescent="0.2">
      <c r="B30" s="52">
        <v>9</v>
      </c>
      <c r="C30" s="53" t="str">
        <f>Pair!O10</f>
        <v>S</v>
      </c>
      <c r="D30" s="53" t="str">
        <f>Pair!P10</f>
        <v>P</v>
      </c>
      <c r="E30" s="53" t="str">
        <f>Pair!Q10</f>
        <v>P</v>
      </c>
      <c r="F30" s="53" t="str">
        <f>Pair!R10</f>
        <v>P</v>
      </c>
      <c r="G30" s="53" t="str">
        <f>Pair!S10</f>
        <v>P</v>
      </c>
      <c r="H30" s="53" t="str">
        <f>Pair!T10</f>
        <v>P</v>
      </c>
      <c r="I30" s="53" t="str">
        <f>Pair!U10</f>
        <v>S</v>
      </c>
      <c r="J30" s="53" t="str">
        <f>Pair!V10</f>
        <v>P</v>
      </c>
      <c r="K30" s="53" t="str">
        <f>Pair!W10</f>
        <v>P</v>
      </c>
      <c r="L30" s="53" t="str">
        <f>Pair!X10</f>
        <v>S</v>
      </c>
      <c r="N30" s="409"/>
      <c r="O30" s="126">
        <f>O29*N29</f>
        <v>4</v>
      </c>
      <c r="P30" s="133">
        <f>O30*P$16</f>
        <v>400</v>
      </c>
      <c r="Q30" s="128">
        <f>$N$10*P30+Q29</f>
        <v>3000</v>
      </c>
      <c r="R30" s="133">
        <f>$O30*R$16</f>
        <v>800</v>
      </c>
      <c r="S30" s="128">
        <f>$N$10*R30+S29</f>
        <v>6000</v>
      </c>
      <c r="T30" s="133">
        <f>$O30*T$16</f>
        <v>1200</v>
      </c>
      <c r="U30" s="128">
        <f>$N$10*T30+U29</f>
        <v>9000</v>
      </c>
      <c r="V30" s="133">
        <f t="shared" ref="V30:X33" si="3">$O30*V$16</f>
        <v>1600</v>
      </c>
      <c r="W30" s="128">
        <f>$N$10*V30+W29</f>
        <v>12000</v>
      </c>
      <c r="X30" s="133">
        <f t="shared" si="3"/>
        <v>2000</v>
      </c>
      <c r="Y30" s="128">
        <f>$N$10*X30+Y29</f>
        <v>15000</v>
      </c>
    </row>
    <row r="31" spans="2:25" x14ac:dyDescent="0.2">
      <c r="B31" s="52">
        <v>10</v>
      </c>
      <c r="C31" s="53" t="str">
        <f>Pair!O11</f>
        <v>S</v>
      </c>
      <c r="D31" s="53" t="str">
        <f>Pair!P11</f>
        <v>S</v>
      </c>
      <c r="E31" s="53" t="str">
        <f>Pair!Q11</f>
        <v>S</v>
      </c>
      <c r="F31" s="53" t="str">
        <f>Pair!R11</f>
        <v>S</v>
      </c>
      <c r="G31" s="53" t="str">
        <f>Pair!S11</f>
        <v>S</v>
      </c>
      <c r="H31" s="53" t="str">
        <f>Pair!T11</f>
        <v>P</v>
      </c>
      <c r="I31" s="53" t="str">
        <f>Pair!U11</f>
        <v>S</v>
      </c>
      <c r="J31" s="53" t="str">
        <f>Pair!V11</f>
        <v>S</v>
      </c>
      <c r="K31" s="53" t="str">
        <f>Pair!W11</f>
        <v>S</v>
      </c>
      <c r="L31" s="53" t="str">
        <f>Pair!X11</f>
        <v>S</v>
      </c>
      <c r="N31" s="409"/>
      <c r="O31" s="126">
        <f>O30*N29</f>
        <v>16</v>
      </c>
      <c r="P31" s="133">
        <f>O31*P$16</f>
        <v>1600</v>
      </c>
      <c r="Q31" s="128">
        <f>$N$10*P31+Q30</f>
        <v>12600</v>
      </c>
      <c r="R31" s="133">
        <f>$O31*R$16</f>
        <v>3200</v>
      </c>
      <c r="S31" s="128">
        <f>$N$10*R31+S30</f>
        <v>25200</v>
      </c>
      <c r="T31" s="133">
        <f>$O31*T$16</f>
        <v>4800</v>
      </c>
      <c r="U31" s="128">
        <f>$N$10*T31+U30</f>
        <v>37800</v>
      </c>
      <c r="V31" s="133">
        <f t="shared" si="3"/>
        <v>6400</v>
      </c>
      <c r="W31" s="128">
        <f>$N$10*V31+W30</f>
        <v>50400</v>
      </c>
      <c r="X31" s="133">
        <f t="shared" si="3"/>
        <v>8000</v>
      </c>
      <c r="Y31" s="128">
        <f>$N$10*X31+Y30</f>
        <v>63000</v>
      </c>
    </row>
    <row r="32" spans="2:25" x14ac:dyDescent="0.2">
      <c r="B32" s="352" t="str">
        <f>"EV = " &amp; EV!C47</f>
        <v>EV = -0.00531417925590545</v>
      </c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N32" s="409"/>
      <c r="O32" s="126">
        <f>O31*N29</f>
        <v>64</v>
      </c>
      <c r="P32" s="133">
        <f>O32*P$16</f>
        <v>6400</v>
      </c>
      <c r="Q32" s="128">
        <f>$N$10*P32+Q31</f>
        <v>51000</v>
      </c>
      <c r="R32" s="133">
        <f>$O32*R$16</f>
        <v>12800</v>
      </c>
      <c r="S32" s="128">
        <f>$N$10*R32+S31</f>
        <v>102000</v>
      </c>
      <c r="T32" s="133">
        <f>$O32*T$16</f>
        <v>19200</v>
      </c>
      <c r="U32" s="128">
        <f>$N$10*T32+U31</f>
        <v>153000</v>
      </c>
      <c r="V32" s="133">
        <f t="shared" si="3"/>
        <v>25600</v>
      </c>
      <c r="W32" s="128">
        <f>$N$10*V32+W31</f>
        <v>204000</v>
      </c>
      <c r="X32" s="133">
        <f t="shared" si="3"/>
        <v>32000</v>
      </c>
      <c r="Y32" s="128">
        <f>$N$10*X32+Y31</f>
        <v>255000</v>
      </c>
    </row>
    <row r="33" spans="2:25" ht="17" thickBot="1" x14ac:dyDescent="0.25">
      <c r="B33" s="405" t="str">
        <f>Summary!B33</f>
        <v>EV = -0.531417925590545 %</v>
      </c>
      <c r="C33" s="406"/>
      <c r="D33" s="406"/>
      <c r="E33" s="406"/>
      <c r="F33" s="406"/>
      <c r="G33" s="406"/>
      <c r="H33" s="406"/>
      <c r="I33" s="406"/>
      <c r="J33" s="406"/>
      <c r="K33" s="406"/>
      <c r="L33" s="407"/>
      <c r="N33" s="410"/>
      <c r="O33" s="127">
        <f>O32*N29</f>
        <v>256</v>
      </c>
      <c r="P33" s="134">
        <f>O33*P$16</f>
        <v>25600</v>
      </c>
      <c r="Q33" s="129">
        <f>$N$10*P33+Q32</f>
        <v>204600</v>
      </c>
      <c r="R33" s="134">
        <f>$O33*R$16</f>
        <v>51200</v>
      </c>
      <c r="S33" s="129">
        <f>$N$10*R33+S32</f>
        <v>409200</v>
      </c>
      <c r="T33" s="134">
        <f>$O33*T$16</f>
        <v>76800</v>
      </c>
      <c r="U33" s="129">
        <f>$N$10*T33+U32</f>
        <v>613800</v>
      </c>
      <c r="V33" s="134">
        <f t="shared" si="3"/>
        <v>102400</v>
      </c>
      <c r="W33" s="129">
        <f>$N$10*V33+W32</f>
        <v>818400</v>
      </c>
      <c r="X33" s="134">
        <f t="shared" si="3"/>
        <v>128000</v>
      </c>
      <c r="Y33" s="129">
        <f>$N$10*X33+Y32</f>
        <v>1023000</v>
      </c>
    </row>
    <row r="34" spans="2:25" ht="17" thickBot="1" x14ac:dyDescent="0.25">
      <c r="B34" s="399" t="s">
        <v>24</v>
      </c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N34" s="140" t="s">
        <v>57</v>
      </c>
      <c r="O34" s="141" t="s">
        <v>56</v>
      </c>
      <c r="P34" s="142">
        <v>100</v>
      </c>
      <c r="Q34" s="20" t="s">
        <v>54</v>
      </c>
      <c r="R34" s="143">
        <v>200</v>
      </c>
      <c r="S34" s="144" t="s">
        <v>54</v>
      </c>
      <c r="T34" s="142">
        <v>300</v>
      </c>
      <c r="U34" s="20" t="s">
        <v>54</v>
      </c>
      <c r="V34" s="142">
        <v>400</v>
      </c>
      <c r="W34" s="20" t="s">
        <v>54</v>
      </c>
      <c r="X34" s="142">
        <v>500</v>
      </c>
      <c r="Y34" s="20" t="s">
        <v>54</v>
      </c>
    </row>
    <row r="35" spans="2:25" x14ac:dyDescent="0.2">
      <c r="B35" s="401" t="s">
        <v>25</v>
      </c>
      <c r="C35" s="402"/>
      <c r="D35" s="402"/>
      <c r="E35" s="402"/>
      <c r="F35" s="402"/>
      <c r="G35" s="402"/>
      <c r="H35" s="402"/>
      <c r="I35" s="402"/>
      <c r="J35" s="402"/>
      <c r="K35" s="402"/>
      <c r="L35" s="402"/>
      <c r="N35" s="408">
        <v>5</v>
      </c>
      <c r="O35" s="131">
        <v>1</v>
      </c>
      <c r="P35" s="135">
        <f>O35*P$16</f>
        <v>100</v>
      </c>
      <c r="Q35" s="132">
        <f>O35*$N$10*P35</f>
        <v>600</v>
      </c>
      <c r="R35" s="135">
        <f>$O35*R$16</f>
        <v>200</v>
      </c>
      <c r="S35" s="132">
        <f>$N$10*R35</f>
        <v>1200</v>
      </c>
      <c r="T35" s="135">
        <f>$O35*T$16</f>
        <v>300</v>
      </c>
      <c r="U35" s="132">
        <f>$N$10*T35</f>
        <v>1800</v>
      </c>
      <c r="V35" s="135">
        <f>$O35*V$16</f>
        <v>400</v>
      </c>
      <c r="W35" s="132">
        <f>$N$10*V35</f>
        <v>2400</v>
      </c>
      <c r="X35" s="135">
        <f>$O35*X$16</f>
        <v>500</v>
      </c>
      <c r="Y35" s="132">
        <f>$N$10*X35</f>
        <v>3000</v>
      </c>
    </row>
    <row r="36" spans="2:25" x14ac:dyDescent="0.2">
      <c r="B36" s="403" t="s">
        <v>26</v>
      </c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N36" s="409"/>
      <c r="O36" s="126">
        <f>O35*N35</f>
        <v>5</v>
      </c>
      <c r="P36" s="133">
        <f>O36*P$16</f>
        <v>500</v>
      </c>
      <c r="Q36" s="128">
        <f>$N$10*P36+Q35</f>
        <v>3600</v>
      </c>
      <c r="R36" s="133">
        <f>$O36*R$16</f>
        <v>1000</v>
      </c>
      <c r="S36" s="128">
        <f>$N$10*R36+S35</f>
        <v>7200</v>
      </c>
      <c r="T36" s="133">
        <f>$O36*T$16</f>
        <v>1500</v>
      </c>
      <c r="U36" s="128">
        <f>$N$10*T36+U35</f>
        <v>10800</v>
      </c>
      <c r="V36" s="133">
        <f t="shared" ref="V36:X39" si="4">$O36*V$16</f>
        <v>2000</v>
      </c>
      <c r="W36" s="128">
        <f>$N$10*V36+W35</f>
        <v>14400</v>
      </c>
      <c r="X36" s="133">
        <f t="shared" si="4"/>
        <v>2500</v>
      </c>
      <c r="Y36" s="128">
        <f>$N$10*X36+Y35</f>
        <v>18000</v>
      </c>
    </row>
    <row r="37" spans="2:25" x14ac:dyDescent="0.2">
      <c r="B37" s="396" t="s">
        <v>27</v>
      </c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N37" s="409"/>
      <c r="O37" s="126">
        <f>O36*N35</f>
        <v>25</v>
      </c>
      <c r="P37" s="133">
        <f>O37*P$16</f>
        <v>2500</v>
      </c>
      <c r="Q37" s="128">
        <f>$N$10*P37+Q36</f>
        <v>18600</v>
      </c>
      <c r="R37" s="133">
        <f>$O37*R$16</f>
        <v>5000</v>
      </c>
      <c r="S37" s="128">
        <f>$N$10*R37+S36</f>
        <v>37200</v>
      </c>
      <c r="T37" s="133">
        <f>$O37*T$16</f>
        <v>7500</v>
      </c>
      <c r="U37" s="128">
        <f>$N$10*T37+U36</f>
        <v>55800</v>
      </c>
      <c r="V37" s="133">
        <f t="shared" si="4"/>
        <v>10000</v>
      </c>
      <c r="W37" s="128">
        <f>$N$10*V37+W36</f>
        <v>74400</v>
      </c>
      <c r="X37" s="133">
        <f t="shared" si="4"/>
        <v>12500</v>
      </c>
      <c r="Y37" s="128">
        <f>$N$10*X37+Y36</f>
        <v>93000</v>
      </c>
    </row>
    <row r="38" spans="2:25" x14ac:dyDescent="0.2">
      <c r="B38" s="395" t="s">
        <v>28</v>
      </c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N38" s="409"/>
      <c r="O38" s="126">
        <f>O37*N35</f>
        <v>125</v>
      </c>
      <c r="P38" s="133">
        <f>O38*P$16</f>
        <v>12500</v>
      </c>
      <c r="Q38" s="128">
        <f>$N$10*P38+Q37</f>
        <v>93600</v>
      </c>
      <c r="R38" s="133">
        <f>$O38*R$16</f>
        <v>25000</v>
      </c>
      <c r="S38" s="128">
        <f>$N$10*R38+S37</f>
        <v>187200</v>
      </c>
      <c r="T38" s="133">
        <f>$O38*T$16</f>
        <v>37500</v>
      </c>
      <c r="U38" s="128">
        <f>$N$10*T38+U37</f>
        <v>280800</v>
      </c>
      <c r="V38" s="133">
        <f t="shared" si="4"/>
        <v>50000</v>
      </c>
      <c r="W38" s="128">
        <f>$N$10*V38+W37</f>
        <v>374400</v>
      </c>
      <c r="X38" s="133">
        <f t="shared" si="4"/>
        <v>62500</v>
      </c>
      <c r="Y38" s="128">
        <f>$N$10*X38+Y37</f>
        <v>468000</v>
      </c>
    </row>
    <row r="39" spans="2:25" ht="17" thickBot="1" x14ac:dyDescent="0.25">
      <c r="N39" s="410"/>
      <c r="O39" s="127">
        <f>O38*N35</f>
        <v>625</v>
      </c>
      <c r="P39" s="134">
        <f>O39*P$16</f>
        <v>62500</v>
      </c>
      <c r="Q39" s="129">
        <f>$N$10*P39+Q38</f>
        <v>468600</v>
      </c>
      <c r="R39" s="134">
        <f>$O39*R$16</f>
        <v>125000</v>
      </c>
      <c r="S39" s="129">
        <f>$N$10*R39+S38</f>
        <v>937200</v>
      </c>
      <c r="T39" s="134">
        <f>$O39*T$16</f>
        <v>187500</v>
      </c>
      <c r="U39" s="129">
        <f>$N$10*T39+U38</f>
        <v>1405800</v>
      </c>
      <c r="V39" s="134">
        <f t="shared" si="4"/>
        <v>250000</v>
      </c>
      <c r="W39" s="129">
        <f>$N$10*V39+W38</f>
        <v>1874400</v>
      </c>
      <c r="X39" s="134">
        <f t="shared" si="4"/>
        <v>312500</v>
      </c>
      <c r="Y39" s="129">
        <f>$N$10*X39+Y38</f>
        <v>2343000</v>
      </c>
    </row>
  </sheetData>
  <sheetProtection sheet="1" objects="1" scenarios="1"/>
  <mergeCells count="24">
    <mergeCell ref="B1:L1"/>
    <mergeCell ref="B32:L32"/>
    <mergeCell ref="P9:Q9"/>
    <mergeCell ref="R9:S9"/>
    <mergeCell ref="T9:U9"/>
    <mergeCell ref="N1:Y1"/>
    <mergeCell ref="P3:S3"/>
    <mergeCell ref="V9:W9"/>
    <mergeCell ref="X9:Y9"/>
    <mergeCell ref="N17:N21"/>
    <mergeCell ref="N23:N27"/>
    <mergeCell ref="N29:N33"/>
    <mergeCell ref="B38:L38"/>
    <mergeCell ref="B37:L37"/>
    <mergeCell ref="N2:O2"/>
    <mergeCell ref="N4:O4"/>
    <mergeCell ref="N5:O5"/>
    <mergeCell ref="N6:O6"/>
    <mergeCell ref="N7:O7"/>
    <mergeCell ref="B34:L34"/>
    <mergeCell ref="B35:L35"/>
    <mergeCell ref="B36:L36"/>
    <mergeCell ref="B33:L33"/>
    <mergeCell ref="N35:N39"/>
  </mergeCells>
  <phoneticPr fontId="14" type="noConversion"/>
  <conditionalFormatting sqref="C3:L12 C22:L31 C14:L20">
    <cfRule type="containsText" dxfId="4" priority="4" operator="containsText" text="S">
      <formula>NOT(ISERROR(SEARCH("S",C3)))</formula>
    </cfRule>
    <cfRule type="containsText" dxfId="3" priority="5" operator="containsText" text="H">
      <formula>NOT(ISERROR(SEARCH("H",C3)))</formula>
    </cfRule>
  </conditionalFormatting>
  <conditionalFormatting sqref="C3:L12 C22:L31 C14:L20">
    <cfRule type="containsText" dxfId="2" priority="3" operator="containsText" text="D">
      <formula>NOT(ISERROR(SEARCH("D",C3)))</formula>
    </cfRule>
  </conditionalFormatting>
  <conditionalFormatting sqref="C3:L12 C22:L31 C14:L20">
    <cfRule type="containsText" dxfId="1" priority="2" operator="containsText" text="R">
      <formula>NOT(ISERROR(SEARCH("R",C3)))</formula>
    </cfRule>
  </conditionalFormatting>
  <conditionalFormatting sqref="C3:L12 C22:L31 C14:L20">
    <cfRule type="containsText" dxfId="0" priority="1" operator="containsText" text="P">
      <formula>NOT(ISERROR(SEARCH("P",C3)))</formula>
    </cfRule>
  </conditionalFormatting>
  <printOptions horizontalCentered="1" verticalCentered="1"/>
  <pageMargins left="0.25" right="0.25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2"/>
  <sheetViews>
    <sheetView topLeftCell="A13" workbookViewId="0">
      <selection activeCell="B7" sqref="B7"/>
    </sheetView>
  </sheetViews>
  <sheetFormatPr baseColWidth="10" defaultRowHeight="16" x14ac:dyDescent="0.2"/>
  <sheetData>
    <row r="1" spans="1:19" x14ac:dyDescent="0.2">
      <c r="B1" s="255"/>
    </row>
    <row r="2" spans="1:19" x14ac:dyDescent="0.2">
      <c r="A2" t="s">
        <v>40</v>
      </c>
      <c r="B2" s="254" t="s">
        <v>159</v>
      </c>
      <c r="C2" s="253">
        <f>Analysis!B36</f>
        <v>0.24316252465496735</v>
      </c>
      <c r="D2" s="252" t="s">
        <v>160</v>
      </c>
      <c r="E2" s="253">
        <f>Analysis!G36</f>
        <v>0.18150699941725082</v>
      </c>
      <c r="G2" t="s">
        <v>194</v>
      </c>
      <c r="I2" t="s">
        <v>58</v>
      </c>
      <c r="J2">
        <f>Analysis!R36</f>
        <v>1.7466414588190893</v>
      </c>
      <c r="K2" s="252" t="s">
        <v>161</v>
      </c>
      <c r="L2" s="253">
        <f>Analysis!S36</f>
        <v>0.30491449533521742</v>
      </c>
    </row>
    <row r="3" spans="1:19" x14ac:dyDescent="0.2">
      <c r="B3" s="255"/>
    </row>
    <row r="4" spans="1:19" x14ac:dyDescent="0.2">
      <c r="B4" s="255" t="s">
        <v>162</v>
      </c>
    </row>
    <row r="5" spans="1:19" x14ac:dyDescent="0.2">
      <c r="A5" t="s">
        <v>163</v>
      </c>
      <c r="B5" s="25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5">
        <f>$C$2</f>
        <v>0.24316252465496735</v>
      </c>
      <c r="C6">
        <f>B6*$C$2</f>
        <v>5.9128013396577604E-2</v>
      </c>
      <c r="D6">
        <f t="shared" ref="D6:K6" si="0">C6*$C$2</f>
        <v>1.4377717015344542E-2</v>
      </c>
      <c r="E6">
        <f t="shared" si="0"/>
        <v>3.4961219682258606E-3</v>
      </c>
      <c r="F6">
        <f t="shared" si="0"/>
        <v>8.5012584429549384E-4</v>
      </c>
      <c r="G6">
        <f t="shared" si="0"/>
        <v>2.0671874657332795E-4</v>
      </c>
      <c r="H6">
        <f t="shared" si="0"/>
        <v>5.0266252310280805E-5</v>
      </c>
      <c r="I6">
        <f t="shared" si="0"/>
        <v>1.2222868816711465E-5</v>
      </c>
      <c r="J6">
        <f t="shared" si="0"/>
        <v>2.9721436399980334E-6</v>
      </c>
      <c r="K6">
        <f t="shared" si="0"/>
        <v>7.227139511391262E-7</v>
      </c>
    </row>
    <row r="7" spans="1:19" x14ac:dyDescent="0.2">
      <c r="A7" t="s">
        <v>158</v>
      </c>
      <c r="B7" s="255">
        <f>$E$2</f>
        <v>0.18150699941725082</v>
      </c>
      <c r="C7">
        <f>B7*$E$2</f>
        <v>3.2944790837453893E-2</v>
      </c>
      <c r="D7">
        <f t="shared" ref="D7:K7" si="1">C7*$E$2</f>
        <v>5.9797101313351936E-3</v>
      </c>
      <c r="E7">
        <f t="shared" si="1"/>
        <v>1.0853592433235858E-3</v>
      </c>
      <c r="F7">
        <f t="shared" si="1"/>
        <v>1.9700029954544188E-4</v>
      </c>
      <c r="G7">
        <f t="shared" si="1"/>
        <v>3.5756933254792755E-5</v>
      </c>
      <c r="H7">
        <f t="shared" si="1"/>
        <v>6.4901336634403451E-6</v>
      </c>
      <c r="I7">
        <f t="shared" si="1"/>
        <v>1.1780046870679466E-6</v>
      </c>
      <c r="J7">
        <f t="shared" si="1"/>
        <v>2.1381609604916051E-7</v>
      </c>
      <c r="K7">
        <f t="shared" si="1"/>
        <v>3.8809118020993822E-8</v>
      </c>
    </row>
    <row r="8" spans="1:19" x14ac:dyDescent="0.2">
      <c r="B8" s="255">
        <v>1</v>
      </c>
      <c r="C8">
        <v>2</v>
      </c>
      <c r="D8">
        <v>3</v>
      </c>
      <c r="E8" s="255">
        <v>4</v>
      </c>
      <c r="F8">
        <v>5</v>
      </c>
      <c r="G8">
        <v>6</v>
      </c>
      <c r="H8" s="255">
        <v>7</v>
      </c>
      <c r="I8">
        <v>8</v>
      </c>
      <c r="J8">
        <v>9</v>
      </c>
      <c r="K8" s="255"/>
    </row>
    <row r="9" spans="1:19" x14ac:dyDescent="0.2">
      <c r="B9" s="255">
        <f>B6+C6*B7</f>
        <v>0.25389467294808316</v>
      </c>
      <c r="C9">
        <f>B9+D6*C7</f>
        <v>0.25436834382787377</v>
      </c>
      <c r="D9">
        <f>C9+E6*D7</f>
        <v>0.25438924962382753</v>
      </c>
      <c r="E9">
        <f t="shared" ref="E9:J9" si="2">D9+F6*E7</f>
        <v>0.2543901723157706</v>
      </c>
      <c r="F9">
        <f t="shared" si="2"/>
        <v>0.25439021303942561</v>
      </c>
      <c r="G9">
        <f t="shared" si="2"/>
        <v>0.25439021483679264</v>
      </c>
      <c r="H9">
        <f t="shared" si="2"/>
        <v>0.25439021491612068</v>
      </c>
      <c r="I9">
        <f t="shared" si="2"/>
        <v>0.25439021491962188</v>
      </c>
      <c r="J9">
        <f t="shared" si="2"/>
        <v>0.25439021491977643</v>
      </c>
    </row>
    <row r="10" spans="1:19" x14ac:dyDescent="0.2">
      <c r="B10" s="255">
        <v>-1</v>
      </c>
      <c r="C10">
        <v>-2</v>
      </c>
      <c r="D10" s="255">
        <v>-3</v>
      </c>
      <c r="E10">
        <v>-4</v>
      </c>
      <c r="F10" s="255">
        <v>-5</v>
      </c>
      <c r="G10">
        <v>-6</v>
      </c>
      <c r="H10" s="255">
        <v>-7</v>
      </c>
      <c r="I10">
        <v>-8</v>
      </c>
      <c r="J10" s="255">
        <v>-9</v>
      </c>
      <c r="K10" s="255"/>
    </row>
    <row r="11" spans="1:19" ht="17" thickBot="1" x14ac:dyDescent="0.25">
      <c r="B11" s="255">
        <f>B7+B6*C7</f>
        <v>0.18951793793151595</v>
      </c>
      <c r="C11">
        <f>B11+C6*D7</f>
        <v>0.18987150631226918</v>
      </c>
      <c r="D11">
        <f>C11+D6*E7</f>
        <v>0.18988711130032968</v>
      </c>
      <c r="E11">
        <f>D11+E6*F7</f>
        <v>0.18988780003740466</v>
      </c>
      <c r="F11">
        <f t="shared" ref="F11:J11" si="3">E11+F6*G7</f>
        <v>0.18988783043529772</v>
      </c>
      <c r="G11">
        <f t="shared" si="3"/>
        <v>0.18988783177693003</v>
      </c>
      <c r="H11">
        <f t="shared" si="3"/>
        <v>0.18988783183614391</v>
      </c>
      <c r="I11">
        <f t="shared" si="3"/>
        <v>0.18988783183875735</v>
      </c>
      <c r="J11">
        <f t="shared" si="3"/>
        <v>0.1898878318388727</v>
      </c>
    </row>
    <row r="12" spans="1:19" ht="17" thickBot="1" x14ac:dyDescent="0.25">
      <c r="A12" s="264"/>
      <c r="B12" s="140">
        <v>1</v>
      </c>
      <c r="C12" s="275">
        <v>0</v>
      </c>
      <c r="D12" s="272">
        <v>-1</v>
      </c>
      <c r="E12" s="183">
        <v>-2</v>
      </c>
      <c r="F12" s="183">
        <v>-3</v>
      </c>
      <c r="G12" s="183">
        <v>-4</v>
      </c>
      <c r="H12" s="183">
        <v>-5</v>
      </c>
      <c r="I12" s="183">
        <v>-6</v>
      </c>
      <c r="J12" s="183">
        <v>-7</v>
      </c>
      <c r="K12" s="183">
        <v>-8</v>
      </c>
      <c r="L12" s="183">
        <v>-9</v>
      </c>
      <c r="M12" s="144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5">
        <v>1</v>
      </c>
      <c r="B13" s="131">
        <f>C13*$B$6</f>
        <v>0.24316252465496735</v>
      </c>
      <c r="C13" s="119">
        <v>1</v>
      </c>
      <c r="D13" s="273">
        <f>C13*B7</f>
        <v>0.18150699941725082</v>
      </c>
      <c r="E13" s="170"/>
      <c r="F13" s="170"/>
      <c r="G13" s="170"/>
      <c r="H13" s="170"/>
      <c r="I13" s="170"/>
      <c r="J13" s="170"/>
      <c r="K13" s="170"/>
      <c r="L13" s="170"/>
      <c r="M13" s="63"/>
      <c r="P13" s="2">
        <f>B13/(B13+D13)</f>
        <v>0.57259235916730344</v>
      </c>
      <c r="Q13" s="28">
        <f>B13-D13</f>
        <v>6.165552523771653E-2</v>
      </c>
      <c r="R13" s="2">
        <f>1+$L$2*SUM(C13)</f>
        <v>1.3049144953352174</v>
      </c>
      <c r="S13" s="8">
        <f>B13*R13-D13*COUNT(D13:M13)</f>
        <v>0.13579930372732327</v>
      </c>
    </row>
    <row r="14" spans="1:19" x14ac:dyDescent="0.2">
      <c r="A14" s="266">
        <v>2</v>
      </c>
      <c r="B14" s="126">
        <f t="shared" ref="B14:B22" si="4">C14*$B$6</f>
        <v>0.25389467294808316</v>
      </c>
      <c r="C14" s="121">
        <f>C13+B7*B6</f>
        <v>1.0441357002208465</v>
      </c>
      <c r="D14" s="247">
        <f>C14*B7</f>
        <v>0.18951793793151595</v>
      </c>
      <c r="E14" s="1">
        <f>D14*B7</f>
        <v>3.4398832249694242E-2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0.88068120984516907</v>
      </c>
      <c r="Q14" s="117">
        <f>B14-E14</f>
        <v>0.2194958406983889</v>
      </c>
      <c r="R14" s="1">
        <f>1+$L$2*SUM(C14:D14)*$C$2</f>
        <v>1.0914677420800662</v>
      </c>
      <c r="S14" s="9">
        <f>B14*R14-E14*COUNT(D14:M14)</f>
        <v>0.20832018090941271</v>
      </c>
    </row>
    <row r="15" spans="1:19" x14ac:dyDescent="0.2">
      <c r="A15" s="266">
        <v>3</v>
      </c>
      <c r="B15" s="126">
        <f t="shared" si="4"/>
        <v>0.25436834382787382</v>
      </c>
      <c r="C15" s="121">
        <f>C14+C6*C7</f>
        <v>1.0460836602548309</v>
      </c>
      <c r="D15" s="247">
        <f>C15*$B$11</f>
        <v>0.19825161819534806</v>
      </c>
      <c r="E15" s="1">
        <f>D15*B6</f>
        <v>4.8207363997313499E-2</v>
      </c>
      <c r="F15" s="1">
        <f>E15*B6</f>
        <v>1.1722224336547729E-2</v>
      </c>
      <c r="G15" s="1"/>
      <c r="H15" s="1"/>
      <c r="I15" s="1"/>
      <c r="J15" s="1"/>
      <c r="K15" s="1"/>
      <c r="L15" s="1"/>
      <c r="M15" s="9"/>
      <c r="P15" s="1">
        <f>B15/(B15+F15)</f>
        <v>0.95594648687696293</v>
      </c>
      <c r="Q15" s="117">
        <f>B15-F15</f>
        <v>0.24264611949132608</v>
      </c>
      <c r="R15" s="1">
        <f>1+$L$2*SUM(C15:E15)*$C$2</f>
        <v>1.0958339953699978</v>
      </c>
      <c r="S15" s="9">
        <f>B15*R15-F15*COUNT(D15:M15)</f>
        <v>0.24357880550290509</v>
      </c>
    </row>
    <row r="16" spans="1:19" x14ac:dyDescent="0.2">
      <c r="A16" s="266">
        <v>4</v>
      </c>
      <c r="B16" s="126">
        <f t="shared" si="4"/>
        <v>0.25438924962382758</v>
      </c>
      <c r="C16" s="121">
        <f>C15+D6*D7</f>
        <v>1.046169634834933</v>
      </c>
      <c r="D16" s="247">
        <f>C16*$C$11</f>
        <v>0.19863780442426532</v>
      </c>
      <c r="E16" s="1">
        <f>D16*$B$11</f>
        <v>3.7645427089730517E-2</v>
      </c>
      <c r="F16" s="1">
        <f>E16*B7</f>
        <v>6.832908512837875E-3</v>
      </c>
      <c r="G16" s="1">
        <f>F16*B7</f>
        <v>1.2402207214577924E-3</v>
      </c>
      <c r="H16" s="1"/>
      <c r="I16" s="1"/>
      <c r="J16" s="1"/>
      <c r="K16" s="1"/>
      <c r="L16" s="1"/>
      <c r="M16" s="9"/>
      <c r="P16" s="1">
        <f>B16/(B16+G16)</f>
        <v>0.99514836564116571</v>
      </c>
      <c r="Q16" s="117">
        <f>B16-G16</f>
        <v>0.25314902890236979</v>
      </c>
      <c r="R16" s="1">
        <f>1+$L$2*SUM(C16:F16)*$C$2</f>
        <v>1.0955925189011517</v>
      </c>
      <c r="S16" s="9">
        <f>B16*R16-G16*COUNT(D16:M16)</f>
        <v>0.27374607589091193</v>
      </c>
    </row>
    <row r="17" spans="1:19" x14ac:dyDescent="0.2">
      <c r="A17" s="266">
        <v>5</v>
      </c>
      <c r="B17" s="126">
        <f t="shared" si="4"/>
        <v>0.25439017231577066</v>
      </c>
      <c r="C17" s="121">
        <f>C16+E6*E7</f>
        <v>1.046173429383227</v>
      </c>
      <c r="D17" s="247">
        <f>C17*$D$11</f>
        <v>0.1986548504247404</v>
      </c>
      <c r="E17" s="1">
        <f>D17*$C$11</f>
        <v>3.7718895686383987E-2</v>
      </c>
      <c r="F17" s="1">
        <f>E17*$B$11</f>
        <v>7.1484073315374449E-3</v>
      </c>
      <c r="G17" s="1">
        <f>F17*B7</f>
        <v>1.2974859653596385E-3</v>
      </c>
      <c r="H17" s="1">
        <f>G17*B7</f>
        <v>2.3550278435842303E-4</v>
      </c>
      <c r="I17" s="1"/>
      <c r="J17" s="1"/>
      <c r="K17" s="1"/>
      <c r="L17" s="1"/>
      <c r="M17" s="9"/>
      <c r="P17" s="1">
        <f>B17/(B17+H17)</f>
        <v>0.99907510197364902</v>
      </c>
      <c r="Q17" s="117">
        <f>B17-H17</f>
        <v>0.25415466953141225</v>
      </c>
      <c r="R17" s="1">
        <f>1+$L$2*SUM(C17:G17)*$C$2</f>
        <v>1.0957191041240759</v>
      </c>
      <c r="S17" s="9">
        <f>B17*R17-H17*COUNT(D17:M17)</f>
        <v>0.27756265778601341</v>
      </c>
    </row>
    <row r="18" spans="1:19" x14ac:dyDescent="0.2">
      <c r="A18" s="266">
        <v>6</v>
      </c>
      <c r="B18" s="126">
        <f t="shared" si="4"/>
        <v>0.25439021303942572</v>
      </c>
      <c r="C18" s="121">
        <f>C17+F6*F7</f>
        <v>1.046173596858273</v>
      </c>
      <c r="D18" s="247">
        <f>C18*$E$11</f>
        <v>0.19865560276463615</v>
      </c>
      <c r="E18" s="1">
        <f>D18*$D$11</f>
        <v>3.7722138552602542E-2</v>
      </c>
      <c r="F18" s="1">
        <f>E18*$C$11</f>
        <v>7.1623592683027664E-3</v>
      </c>
      <c r="G18" s="1">
        <f>F18*$B$11</f>
        <v>1.3573955592534217E-3</v>
      </c>
      <c r="H18" s="1">
        <f>G18*B7</f>
        <v>2.4637679498238968E-4</v>
      </c>
      <c r="I18" s="1">
        <f>H18*B7</f>
        <v>4.4719112783292725E-5</v>
      </c>
      <c r="J18" s="1"/>
      <c r="K18" s="1"/>
      <c r="L18" s="1"/>
      <c r="M18" s="9"/>
      <c r="P18" s="1">
        <f>B18/(B18+I18)</f>
        <v>0.99982424145770776</v>
      </c>
      <c r="Q18" s="117">
        <f>B18-I18</f>
        <v>0.25434549392664241</v>
      </c>
      <c r="R18" s="1">
        <f>1+$L$2*SUM(C18:H18)*$C$2</f>
        <v>1.095743156440466</v>
      </c>
      <c r="S18" s="9">
        <f>B18*R18-I18*COUNT(D18:M18)</f>
        <v>0.27847802032668317</v>
      </c>
    </row>
    <row r="19" spans="1:19" x14ac:dyDescent="0.2">
      <c r="A19" s="266">
        <v>7</v>
      </c>
      <c r="B19" s="126">
        <f t="shared" si="4"/>
        <v>0.25439021483679269</v>
      </c>
      <c r="C19" s="121">
        <f>C18+G6*G7</f>
        <v>1.0461736042499015</v>
      </c>
      <c r="D19" s="247">
        <f>C19*$F$11</f>
        <v>0.19865563596968955</v>
      </c>
      <c r="E19" s="1">
        <f>D19*$E$11</f>
        <v>3.7722281679315864E-2</v>
      </c>
      <c r="F19" s="1">
        <f>E19*$D$11</f>
        <v>7.1629750997426389E-3</v>
      </c>
      <c r="G19" s="1">
        <f>F19*$C$11</f>
        <v>1.3600448718654114E-3</v>
      </c>
      <c r="H19" s="1">
        <f>G19*$B$11</f>
        <v>2.577528996102656E-4</v>
      </c>
      <c r="I19" s="1">
        <f>H19*B7</f>
        <v>4.6783955399355186E-5</v>
      </c>
      <c r="J19" s="1">
        <f>I19*B7</f>
        <v>8.4916153654074498E-6</v>
      </c>
      <c r="K19" s="1"/>
      <c r="L19" s="1"/>
      <c r="M19" s="9"/>
      <c r="P19" s="1">
        <f>B19/(B19+J19)</f>
        <v>0.99996662083906063</v>
      </c>
      <c r="Q19" s="117">
        <f>B19-J19</f>
        <v>0.25438172322142727</v>
      </c>
      <c r="R19" s="1">
        <f>1+$L$2*SUM(C19:I19)*$C$2</f>
        <v>1.0957477243591378</v>
      </c>
      <c r="S19" s="9">
        <f>B19*R19-J19*COUNT(D19:M19)</f>
        <v>0.27868805769908989</v>
      </c>
    </row>
    <row r="20" spans="1:19" x14ac:dyDescent="0.2">
      <c r="A20" s="266">
        <v>8</v>
      </c>
      <c r="B20" s="126">
        <f t="shared" si="4"/>
        <v>0.25439021484029395</v>
      </c>
      <c r="C20" s="121">
        <f>C19+I6*I7</f>
        <v>1.0461736042643002</v>
      </c>
      <c r="D20" s="247">
        <f>C20*$G$11</f>
        <v>0.198655637376004</v>
      </c>
      <c r="E20" s="1">
        <f>D20*$F$11</f>
        <v>3.7722287985070643E-2</v>
      </c>
      <c r="F20" s="1">
        <f>E20*$E$11</f>
        <v>7.1630022778624864E-3</v>
      </c>
      <c r="G20" s="1">
        <f>F20*$D$11</f>
        <v>1.3601618107809889E-3</v>
      </c>
      <c r="H20" s="1">
        <f>G20*$C$11</f>
        <v>2.5825597184141001E-4</v>
      </c>
      <c r="I20" s="1">
        <f>H20*$B$11</f>
        <v>4.8944139241883673E-5</v>
      </c>
      <c r="J20" s="1">
        <f>I20*$B$7</f>
        <v>8.8837038528544226E-6</v>
      </c>
      <c r="K20" s="1">
        <f>J20*$B$7</f>
        <v>1.6124544300430766E-6</v>
      </c>
      <c r="L20" s="1"/>
      <c r="M20" s="9"/>
      <c r="P20" s="1">
        <f>B20/(B20+K20)</f>
        <v>0.99999366153210512</v>
      </c>
      <c r="Q20" s="117">
        <f>B20-K20</f>
        <v>0.25438860238586392</v>
      </c>
      <c r="R20" s="1">
        <f>1+$L$2*SUM(C20:J20)*$C$2</f>
        <v>1.0957485917526277</v>
      </c>
      <c r="S20" s="9">
        <f>B20*R20-K20*COUNT(D20:M20)</f>
        <v>0.27873482003146022</v>
      </c>
    </row>
    <row r="21" spans="1:19" x14ac:dyDescent="0.2">
      <c r="A21" s="266">
        <v>9</v>
      </c>
      <c r="B21" s="126">
        <f>C21*$B$6</f>
        <v>0.25439021484044849</v>
      </c>
      <c r="C21" s="121">
        <f>C20+J6*J7</f>
        <v>1.0461736042649357</v>
      </c>
      <c r="D21" s="247">
        <f>C21*$H$11</f>
        <v>0.19865563743807269</v>
      </c>
      <c r="E21" s="1">
        <f>D21*$G$11</f>
        <v>3.7722288263379547E-2</v>
      </c>
      <c r="F21" s="1">
        <f>E21*$F$11</f>
        <v>7.1630034773880365E-3</v>
      </c>
      <c r="G21" s="1">
        <f>F21*$E$11</f>
        <v>1.3601669719814937E-3</v>
      </c>
      <c r="H21" s="1">
        <f>G21*$D$11</f>
        <v>2.582781771956823E-4</v>
      </c>
      <c r="I21" s="1">
        <f>H21*$C$11</f>
        <v>4.9039666551731367E-5</v>
      </c>
      <c r="J21" s="1">
        <f>I21*$B$11</f>
        <v>9.2938964817332632E-6</v>
      </c>
      <c r="K21" s="1">
        <f>J21*$B$7</f>
        <v>1.6869072632939489E-6</v>
      </c>
      <c r="L21" s="1">
        <f>K21*$B$7</f>
        <v>3.0618547565565095E-7</v>
      </c>
      <c r="M21" s="9"/>
      <c r="P21" s="1">
        <f>B21/(B21+L21)</f>
        <v>0.99999879639589395</v>
      </c>
      <c r="Q21" s="117">
        <f>B21-L21</f>
        <v>0.25438990865497285</v>
      </c>
      <c r="R21" s="1">
        <f>1+$L$2*SUM(C21:K21)*$C$2</f>
        <v>1.0957487564655746</v>
      </c>
      <c r="S21" s="9">
        <f>B21*R21-L21*COUNT(D21:M21)</f>
        <v>0.27874500589915091</v>
      </c>
    </row>
    <row r="22" spans="1:19" ht="17" thickBot="1" x14ac:dyDescent="0.25">
      <c r="A22" s="267">
        <v>10</v>
      </c>
      <c r="B22" s="127">
        <f t="shared" si="4"/>
        <v>0.25439021484045526</v>
      </c>
      <c r="C22" s="248">
        <f>C21+K6*K7</f>
        <v>1.0461736042649636</v>
      </c>
      <c r="D22" s="274">
        <f>C22*$I$11</f>
        <v>0.19865563744081211</v>
      </c>
      <c r="E22" s="171">
        <f>D22*$H$11</f>
        <v>3.7722288275662902E-2</v>
      </c>
      <c r="F22" s="171">
        <f>E22*$G$11</f>
        <v>7.1630035303299373E-3</v>
      </c>
      <c r="G22" s="171">
        <f>F22*$F$11</f>
        <v>1.3601671997747302E-3</v>
      </c>
      <c r="H22" s="171">
        <f>G22*$E$11</f>
        <v>2.5827915724826062E-4</v>
      </c>
      <c r="I22" s="171">
        <f>H22*$D$11</f>
        <v>4.9043883078955817E-5</v>
      </c>
      <c r="J22" s="171">
        <f>I22*$C$11</f>
        <v>9.3120359556041505E-6</v>
      </c>
      <c r="K22" s="171">
        <f>J22*$B$11</f>
        <v>1.7647978522502322E-6</v>
      </c>
      <c r="L22" s="171">
        <f>K22*$B$7</f>
        <v>3.2032316273994838E-7</v>
      </c>
      <c r="M22" s="10">
        <f>L22*$B$7</f>
        <v>5.8140896112771747E-8</v>
      </c>
      <c r="P22" s="171">
        <f>B22/(B22+M22)</f>
        <v>0.99999977145000307</v>
      </c>
      <c r="Q22" s="118">
        <f>B22-M22</f>
        <v>0.25439015669955917</v>
      </c>
      <c r="R22" s="171">
        <f>1+$L$2*SUM(C22:L22)*$C$2</f>
        <v>1.0957487877428005</v>
      </c>
      <c r="S22" s="10">
        <f>B22*R22-M22*COUNT(D22:M22)</f>
        <v>0.27874718811609828</v>
      </c>
    </row>
    <row r="24" spans="1:19" x14ac:dyDescent="0.2">
      <c r="B24" t="s">
        <v>167</v>
      </c>
      <c r="C24">
        <f>C2</f>
        <v>0.24316252465496735</v>
      </c>
      <c r="D24" t="s">
        <v>58</v>
      </c>
      <c r="E24">
        <f>J2</f>
        <v>1.7466414588190893</v>
      </c>
      <c r="F24" t="s">
        <v>170</v>
      </c>
      <c r="G24">
        <v>2</v>
      </c>
    </row>
    <row r="25" spans="1:19" x14ac:dyDescent="0.2">
      <c r="B25" t="s">
        <v>168</v>
      </c>
      <c r="C25">
        <f>E2</f>
        <v>0.18150699941725082</v>
      </c>
      <c r="D25" t="s">
        <v>60</v>
      </c>
      <c r="E25">
        <f>L2+1</f>
        <v>1.3049144953352174</v>
      </c>
      <c r="F25" t="s">
        <v>171</v>
      </c>
      <c r="G25">
        <v>3</v>
      </c>
    </row>
    <row r="27" spans="1:19" ht="17" thickBot="1" x14ac:dyDescent="0.25">
      <c r="A27" s="1"/>
      <c r="B27" s="26"/>
      <c r="C27" s="26">
        <v>1</v>
      </c>
      <c r="D27" s="26">
        <v>0</v>
      </c>
      <c r="E27" s="26">
        <v>1</v>
      </c>
      <c r="F27" s="26">
        <v>2</v>
      </c>
      <c r="G27" s="26">
        <v>3</v>
      </c>
      <c r="H27" s="26">
        <v>4</v>
      </c>
      <c r="I27" s="26">
        <v>5</v>
      </c>
      <c r="J27" s="26">
        <v>6</v>
      </c>
      <c r="K27" s="26"/>
      <c r="L27" s="26"/>
      <c r="M27" s="26"/>
      <c r="N27" s="26"/>
    </row>
    <row r="28" spans="1:19" ht="17" thickBot="1" x14ac:dyDescent="0.25">
      <c r="A28" s="331"/>
      <c r="B28" s="363" t="s">
        <v>189</v>
      </c>
      <c r="C28" s="364"/>
      <c r="D28" s="364"/>
      <c r="E28" s="364"/>
      <c r="F28" s="364"/>
      <c r="G28" s="364"/>
      <c r="H28" s="364"/>
      <c r="I28" s="364"/>
      <c r="J28" s="364"/>
      <c r="K28" s="364"/>
      <c r="L28" s="364"/>
      <c r="M28" s="364"/>
      <c r="N28" s="365"/>
    </row>
    <row r="29" spans="1:19" x14ac:dyDescent="0.2">
      <c r="A29" s="131"/>
      <c r="B29" s="328" t="s">
        <v>8</v>
      </c>
      <c r="C29" s="273">
        <f>B14</f>
        <v>0.25389467294808316</v>
      </c>
      <c r="D29" s="170">
        <f t="shared" ref="D29:H29" si="5">C14</f>
        <v>1.0441357002208465</v>
      </c>
      <c r="E29" s="170">
        <f t="shared" si="5"/>
        <v>0.18951793793151595</v>
      </c>
      <c r="F29" s="170">
        <f t="shared" si="5"/>
        <v>3.4398832249694242E-2</v>
      </c>
      <c r="G29" s="170">
        <f t="shared" si="5"/>
        <v>0</v>
      </c>
      <c r="H29" s="170">
        <f t="shared" si="5"/>
        <v>0</v>
      </c>
      <c r="I29" s="170">
        <f t="shared" ref="I29:J29" si="6">H14</f>
        <v>0</v>
      </c>
      <c r="J29" s="170">
        <f t="shared" si="6"/>
        <v>0</v>
      </c>
      <c r="K29" s="269"/>
      <c r="L29" s="169" t="s">
        <v>172</v>
      </c>
      <c r="M29" s="170" t="s">
        <v>173</v>
      </c>
      <c r="N29" s="63" t="s">
        <v>176</v>
      </c>
    </row>
    <row r="30" spans="1:19" x14ac:dyDescent="0.2">
      <c r="A30" s="126">
        <v>2</v>
      </c>
      <c r="B30" s="329" t="s">
        <v>169</v>
      </c>
      <c r="C30" s="247">
        <v>0</v>
      </c>
      <c r="D30" s="1">
        <v>1</v>
      </c>
      <c r="E30" s="1">
        <f>IF(F29&gt;0,POWER($A30,E$27),0)</f>
        <v>2</v>
      </c>
      <c r="F30" s="1">
        <f t="shared" ref="F30:J30" si="7">IF(G29&gt;0,POWER($A30,F$27),0)</f>
        <v>0</v>
      </c>
      <c r="G30" s="1">
        <f t="shared" si="7"/>
        <v>0</v>
      </c>
      <c r="H30" s="1">
        <f t="shared" si="7"/>
        <v>0</v>
      </c>
      <c r="I30" s="1">
        <f t="shared" si="7"/>
        <v>0</v>
      </c>
      <c r="J30" s="1">
        <f t="shared" si="7"/>
        <v>0</v>
      </c>
      <c r="K30" s="270"/>
      <c r="L30" s="117">
        <f>SUM(C30:J30)*$G$25</f>
        <v>9</v>
      </c>
      <c r="M30" s="1">
        <f>(C30*C29+D30*D29+E30*E29+F30*F29+G30*G29+H30*H29+I30*I29+J30*J29)*3</f>
        <v>4.269514728251635</v>
      </c>
      <c r="N30" s="9">
        <f>9/M32</f>
        <v>88.549414386865067</v>
      </c>
    </row>
    <row r="31" spans="1:19" x14ac:dyDescent="0.2">
      <c r="A31" s="126"/>
      <c r="B31" s="329" t="s">
        <v>58</v>
      </c>
      <c r="C31" s="247">
        <f>C30*$E$24</f>
        <v>0</v>
      </c>
      <c r="D31" s="1">
        <f t="shared" ref="D31:J31" si="8">D30*$E$24</f>
        <v>1.7466414588190893</v>
      </c>
      <c r="E31" s="1">
        <f t="shared" si="8"/>
        <v>3.4932829176381786</v>
      </c>
      <c r="F31" s="1">
        <f t="shared" si="8"/>
        <v>0</v>
      </c>
      <c r="G31" s="1">
        <f t="shared" si="8"/>
        <v>0</v>
      </c>
      <c r="H31" s="1">
        <f t="shared" si="8"/>
        <v>0</v>
      </c>
      <c r="I31" s="1">
        <f t="shared" si="8"/>
        <v>0</v>
      </c>
      <c r="J31" s="1">
        <f t="shared" si="8"/>
        <v>0</v>
      </c>
      <c r="K31" s="270"/>
      <c r="L31" s="117" t="s">
        <v>174</v>
      </c>
      <c r="M31" s="1" t="s">
        <v>175</v>
      </c>
      <c r="N31" s="9" t="s">
        <v>177</v>
      </c>
    </row>
    <row r="32" spans="1:19" ht="17" thickBot="1" x14ac:dyDescent="0.25">
      <c r="A32" s="127"/>
      <c r="B32" s="330" t="s">
        <v>60</v>
      </c>
      <c r="C32" s="274">
        <f>(D31*$G$24*$C$24-D30*$G$25*$C$25)*D29</f>
        <v>0.31837211009432326</v>
      </c>
      <c r="D32" s="171">
        <f>(E31*$G$24*$C$24-E30*$G$25*$C$25)*E29</f>
        <v>0.11557353280271848</v>
      </c>
      <c r="E32" s="171">
        <f t="shared" ref="E32:H32" si="9">(F31*$G$24*$C$24-F30*$G$25*$C$25)*F29</f>
        <v>0</v>
      </c>
      <c r="F32" s="171">
        <f t="shared" si="9"/>
        <v>0</v>
      </c>
      <c r="G32" s="171">
        <f t="shared" si="9"/>
        <v>0</v>
      </c>
      <c r="H32" s="171">
        <f t="shared" si="9"/>
        <v>0</v>
      </c>
      <c r="I32" s="171">
        <f t="shared" ref="I32:J32" si="10">(J31*$G$24*$C$24-J30*$G$25*$C$25)*J29</f>
        <v>0</v>
      </c>
      <c r="J32" s="171">
        <f t="shared" si="10"/>
        <v>0</v>
      </c>
      <c r="K32" s="271"/>
      <c r="L32" s="118">
        <f>SUM(C32:K32)</f>
        <v>0.43394564289704174</v>
      </c>
      <c r="M32" s="171">
        <f>L32/M30</f>
        <v>0.10163816511173913</v>
      </c>
      <c r="N32" s="10">
        <f>M30/M32</f>
        <v>42.007003211419736</v>
      </c>
    </row>
    <row r="33" spans="1:14" ht="17" thickBot="1" x14ac:dyDescent="0.25">
      <c r="A33" s="332"/>
      <c r="B33" s="363" t="s">
        <v>190</v>
      </c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5"/>
    </row>
    <row r="34" spans="1:14" x14ac:dyDescent="0.2">
      <c r="A34" s="131"/>
      <c r="B34" s="328" t="s">
        <v>8</v>
      </c>
      <c r="C34" s="273">
        <f>B15</f>
        <v>0.25436834382787382</v>
      </c>
      <c r="D34" s="170">
        <f t="shared" ref="D34:J34" si="11">C15</f>
        <v>1.0460836602548309</v>
      </c>
      <c r="E34" s="170">
        <f t="shared" si="11"/>
        <v>0.19825161819534806</v>
      </c>
      <c r="F34" s="170">
        <f t="shared" si="11"/>
        <v>4.8207363997313499E-2</v>
      </c>
      <c r="G34" s="170">
        <f t="shared" si="11"/>
        <v>1.1722224336547729E-2</v>
      </c>
      <c r="H34" s="170">
        <f t="shared" si="11"/>
        <v>0</v>
      </c>
      <c r="I34" s="170">
        <f t="shared" si="11"/>
        <v>0</v>
      </c>
      <c r="J34" s="170">
        <f t="shared" si="11"/>
        <v>0</v>
      </c>
      <c r="K34" s="269"/>
      <c r="L34" s="169" t="s">
        <v>172</v>
      </c>
      <c r="M34" s="170" t="s">
        <v>173</v>
      </c>
      <c r="N34" s="63" t="s">
        <v>176</v>
      </c>
    </row>
    <row r="35" spans="1:14" x14ac:dyDescent="0.2">
      <c r="A35" s="126">
        <v>2</v>
      </c>
      <c r="B35" s="329" t="s">
        <v>169</v>
      </c>
      <c r="C35" s="247">
        <v>0</v>
      </c>
      <c r="D35" s="1">
        <v>1</v>
      </c>
      <c r="E35" s="1">
        <f t="shared" ref="E35:J35" si="12">IF(F34&gt;0,POWER($A35,E$27),0)</f>
        <v>2</v>
      </c>
      <c r="F35" s="1">
        <f t="shared" si="12"/>
        <v>4</v>
      </c>
      <c r="G35" s="1">
        <f t="shared" si="12"/>
        <v>0</v>
      </c>
      <c r="H35" s="1">
        <f t="shared" si="12"/>
        <v>0</v>
      </c>
      <c r="I35" s="1">
        <f t="shared" si="12"/>
        <v>0</v>
      </c>
      <c r="J35" s="1">
        <f t="shared" si="12"/>
        <v>0</v>
      </c>
      <c r="K35" s="270"/>
      <c r="L35" s="117">
        <f>SUM(C35:J35)*$G$25</f>
        <v>21</v>
      </c>
      <c r="M35" s="1">
        <f>(C35*C34+D35*D34+E35*E34+F35*F34+G35*G34+H35*H34+I35*I34+J35*J34)*3</f>
        <v>4.9062490579043434</v>
      </c>
      <c r="N35" s="9">
        <f>9/M37</f>
        <v>88.549414386865067</v>
      </c>
    </row>
    <row r="36" spans="1:14" x14ac:dyDescent="0.2">
      <c r="A36" s="126"/>
      <c r="B36" s="329" t="s">
        <v>58</v>
      </c>
      <c r="C36" s="247">
        <f>C35*$E$24</f>
        <v>0</v>
      </c>
      <c r="D36" s="1">
        <f t="shared" ref="D36" si="13">D35*$E$24</f>
        <v>1.7466414588190893</v>
      </c>
      <c r="E36" s="1">
        <f t="shared" ref="E36" si="14">E35*$E$24</f>
        <v>3.4932829176381786</v>
      </c>
      <c r="F36" s="1">
        <f t="shared" ref="F36" si="15">F35*$E$24</f>
        <v>6.9865658352763571</v>
      </c>
      <c r="G36" s="1">
        <f t="shared" ref="G36" si="16">G35*$E$24</f>
        <v>0</v>
      </c>
      <c r="H36" s="1">
        <f t="shared" ref="H36" si="17">H35*$E$24</f>
        <v>0</v>
      </c>
      <c r="I36" s="1">
        <f t="shared" ref="I36" si="18">I35*$E$24</f>
        <v>0</v>
      </c>
      <c r="J36" s="1">
        <f t="shared" ref="J36" si="19">J35*$E$24</f>
        <v>0</v>
      </c>
      <c r="K36" s="270"/>
      <c r="L36" s="117" t="s">
        <v>174</v>
      </c>
      <c r="M36" s="1" t="s">
        <v>175</v>
      </c>
      <c r="N36" s="9" t="s">
        <v>177</v>
      </c>
    </row>
    <row r="37" spans="1:14" ht="17" thickBot="1" x14ac:dyDescent="0.25">
      <c r="A37" s="127"/>
      <c r="B37" s="330" t="s">
        <v>60</v>
      </c>
      <c r="C37" s="274">
        <f t="shared" ref="C37:J37" si="20">(D36*$G$24*$C$24-D35*$G$25*$C$25)*D34</f>
        <v>0.31896607134501881</v>
      </c>
      <c r="D37" s="171">
        <f t="shared" si="20"/>
        <v>0.12089958422284952</v>
      </c>
      <c r="E37" s="171">
        <f t="shared" si="20"/>
        <v>5.8796496258727897E-2</v>
      </c>
      <c r="F37" s="171">
        <f t="shared" si="20"/>
        <v>0</v>
      </c>
      <c r="G37" s="171">
        <f t="shared" si="20"/>
        <v>0</v>
      </c>
      <c r="H37" s="171">
        <f t="shared" si="20"/>
        <v>0</v>
      </c>
      <c r="I37" s="171">
        <f t="shared" si="20"/>
        <v>0</v>
      </c>
      <c r="J37" s="171">
        <f t="shared" si="20"/>
        <v>0</v>
      </c>
      <c r="K37" s="271"/>
      <c r="L37" s="118">
        <f>SUM(C37:K37)</f>
        <v>0.49866215182659623</v>
      </c>
      <c r="M37" s="171">
        <f>L37/M35</f>
        <v>0.10163816511173913</v>
      </c>
      <c r="N37" s="10">
        <f>M35/M37</f>
        <v>48.271720101504222</v>
      </c>
    </row>
    <row r="38" spans="1:14" ht="17" thickBot="1" x14ac:dyDescent="0.25">
      <c r="A38" s="332"/>
      <c r="B38" s="363" t="s">
        <v>191</v>
      </c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5"/>
    </row>
    <row r="39" spans="1:14" x14ac:dyDescent="0.2">
      <c r="A39" s="131"/>
      <c r="B39" s="328" t="s">
        <v>8</v>
      </c>
      <c r="C39" s="273">
        <f>B16</f>
        <v>0.25438924962382758</v>
      </c>
      <c r="D39" s="170">
        <f t="shared" ref="D39:J39" si="21">C16</f>
        <v>1.046169634834933</v>
      </c>
      <c r="E39" s="170">
        <f t="shared" si="21"/>
        <v>0.19863780442426532</v>
      </c>
      <c r="F39" s="170">
        <f t="shared" si="21"/>
        <v>3.7645427089730517E-2</v>
      </c>
      <c r="G39" s="170">
        <f t="shared" si="21"/>
        <v>6.832908512837875E-3</v>
      </c>
      <c r="H39" s="170">
        <f t="shared" si="21"/>
        <v>1.2402207214577924E-3</v>
      </c>
      <c r="I39" s="170">
        <f t="shared" si="21"/>
        <v>0</v>
      </c>
      <c r="J39" s="170">
        <f t="shared" si="21"/>
        <v>0</v>
      </c>
      <c r="K39" s="269"/>
      <c r="L39" s="169" t="s">
        <v>172</v>
      </c>
      <c r="M39" s="170" t="s">
        <v>173</v>
      </c>
      <c r="N39" s="63" t="s">
        <v>176</v>
      </c>
    </row>
    <row r="40" spans="1:14" x14ac:dyDescent="0.2">
      <c r="A40" s="126">
        <v>2</v>
      </c>
      <c r="B40" s="329" t="s">
        <v>169</v>
      </c>
      <c r="C40" s="247">
        <v>0</v>
      </c>
      <c r="D40" s="1">
        <v>1</v>
      </c>
      <c r="E40" s="1">
        <f>IF(F39&gt;0,POWER($A40,E$27),0)</f>
        <v>2</v>
      </c>
      <c r="F40" s="1">
        <f t="shared" ref="F40:J40" si="22">IF(G39&gt;0,POWER($A40,F$27),0)</f>
        <v>4</v>
      </c>
      <c r="G40" s="1">
        <f t="shared" si="22"/>
        <v>8</v>
      </c>
      <c r="H40" s="1">
        <f t="shared" si="22"/>
        <v>0</v>
      </c>
      <c r="I40" s="1">
        <f t="shared" si="22"/>
        <v>0</v>
      </c>
      <c r="J40" s="1">
        <f t="shared" si="22"/>
        <v>0</v>
      </c>
      <c r="K40" s="270"/>
      <c r="L40" s="117">
        <f>SUM(C40:J40)*$G$25</f>
        <v>45</v>
      </c>
      <c r="M40" s="1">
        <f>(C40*C39+D40*D39+E40*E39+F40*F39+G40*G39+H40*H39+I40*I39+J40*J39)*3</f>
        <v>4.9460706604352662</v>
      </c>
      <c r="N40" s="9">
        <f>9/M42</f>
        <v>88.549414386865053</v>
      </c>
    </row>
    <row r="41" spans="1:14" x14ac:dyDescent="0.2">
      <c r="A41" s="126"/>
      <c r="B41" s="329" t="s">
        <v>58</v>
      </c>
      <c r="C41" s="247">
        <f>C40*$E$24</f>
        <v>0</v>
      </c>
      <c r="D41" s="1">
        <f t="shared" ref="D41:J41" si="23">D40*$E$24</f>
        <v>1.7466414588190893</v>
      </c>
      <c r="E41" s="1">
        <f t="shared" si="23"/>
        <v>3.4932829176381786</v>
      </c>
      <c r="F41" s="1">
        <f t="shared" si="23"/>
        <v>6.9865658352763571</v>
      </c>
      <c r="G41" s="1">
        <f t="shared" si="23"/>
        <v>13.973131670552714</v>
      </c>
      <c r="H41" s="1">
        <f t="shared" si="23"/>
        <v>0</v>
      </c>
      <c r="I41" s="1">
        <f t="shared" si="23"/>
        <v>0</v>
      </c>
      <c r="J41" s="1">
        <f t="shared" si="23"/>
        <v>0</v>
      </c>
      <c r="K41" s="270"/>
      <c r="L41" s="117" t="s">
        <v>174</v>
      </c>
      <c r="M41" s="1" t="s">
        <v>175</v>
      </c>
      <c r="N41" s="9" t="s">
        <v>177</v>
      </c>
    </row>
    <row r="42" spans="1:14" ht="17" thickBot="1" x14ac:dyDescent="0.25">
      <c r="A42" s="127"/>
      <c r="B42" s="330" t="s">
        <v>60</v>
      </c>
      <c r="C42" s="274">
        <f>(D41*$G$24*$C$24-D40*$G$25*$C$25)*D39</f>
        <v>0.31899228624072229</v>
      </c>
      <c r="D42" s="171">
        <f t="shared" ref="D42" si="24">(E41*$G$24*$C$24-E40*$G$25*$C$25)*E39</f>
        <v>0.12113509178104095</v>
      </c>
      <c r="E42" s="171">
        <f t="shared" ref="E42" si="25">(F41*$G$24*$C$24-F40*$G$25*$C$25)*F39</f>
        <v>4.5914545610975611E-2</v>
      </c>
      <c r="F42" s="171">
        <f t="shared" ref="F42" si="26">(G41*$G$24*$C$24-G40*$G$25*$C$25)*G39</f>
        <v>1.6667622806909373E-2</v>
      </c>
      <c r="G42" s="171">
        <f t="shared" ref="G42" si="27">(H41*$G$24*$C$24-H40*$G$25*$C$25)*H39</f>
        <v>0</v>
      </c>
      <c r="H42" s="171">
        <f t="shared" ref="H42" si="28">(I41*$G$24*$C$24-I40*$G$25*$C$25)*I39</f>
        <v>0</v>
      </c>
      <c r="I42" s="171">
        <f t="shared" ref="I42" si="29">(J41*$G$24*$C$24-J40*$G$25*$C$25)*J39</f>
        <v>0</v>
      </c>
      <c r="J42" s="171">
        <f t="shared" ref="J42" si="30">(K41*$G$24*$C$24-K40*$G$25*$C$25)*K39</f>
        <v>0</v>
      </c>
      <c r="K42" s="271"/>
      <c r="L42" s="118">
        <f>SUM(C42:K42)</f>
        <v>0.50270954643964827</v>
      </c>
      <c r="M42" s="171">
        <f>L42/M40</f>
        <v>0.10163816511173915</v>
      </c>
      <c r="N42" s="10">
        <f>M40/M42</f>
        <v>48.663517833066408</v>
      </c>
    </row>
    <row r="43" spans="1:14" ht="17" thickBot="1" x14ac:dyDescent="0.25">
      <c r="A43" s="332"/>
      <c r="B43" s="363" t="s">
        <v>192</v>
      </c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5"/>
    </row>
    <row r="44" spans="1:14" x14ac:dyDescent="0.2">
      <c r="A44" s="131"/>
      <c r="B44" s="328" t="s">
        <v>8</v>
      </c>
      <c r="C44" s="273">
        <f>B17</f>
        <v>0.25439017231577066</v>
      </c>
      <c r="D44" s="170">
        <f t="shared" ref="D44:J44" si="31">C17</f>
        <v>1.046173429383227</v>
      </c>
      <c r="E44" s="170">
        <f t="shared" si="31"/>
        <v>0.1986548504247404</v>
      </c>
      <c r="F44" s="170">
        <f t="shared" si="31"/>
        <v>3.7718895686383987E-2</v>
      </c>
      <c r="G44" s="170">
        <f t="shared" si="31"/>
        <v>7.1484073315374449E-3</v>
      </c>
      <c r="H44" s="170">
        <f t="shared" si="31"/>
        <v>1.2974859653596385E-3</v>
      </c>
      <c r="I44" s="170">
        <f t="shared" si="31"/>
        <v>2.3550278435842303E-4</v>
      </c>
      <c r="J44" s="170">
        <f t="shared" si="31"/>
        <v>0</v>
      </c>
      <c r="K44" s="269"/>
      <c r="L44" s="169" t="s">
        <v>172</v>
      </c>
      <c r="M44" s="170" t="s">
        <v>173</v>
      </c>
      <c r="N44" s="63" t="s">
        <v>176</v>
      </c>
    </row>
    <row r="45" spans="1:14" x14ac:dyDescent="0.2">
      <c r="A45" s="126">
        <v>2</v>
      </c>
      <c r="B45" s="329" t="s">
        <v>169</v>
      </c>
      <c r="C45" s="247">
        <v>0</v>
      </c>
      <c r="D45" s="1">
        <v>1</v>
      </c>
      <c r="E45" s="1">
        <f>IF(F44&gt;0,POWER($A45,E$27),0)</f>
        <v>2</v>
      </c>
      <c r="F45" s="1">
        <f t="shared" ref="F45:J45" si="32">IF(G44&gt;0,POWER($A45,F$27),0)</f>
        <v>4</v>
      </c>
      <c r="G45" s="1">
        <f t="shared" si="32"/>
        <v>8</v>
      </c>
      <c r="H45" s="1">
        <f t="shared" si="32"/>
        <v>16</v>
      </c>
      <c r="I45" s="1">
        <f t="shared" si="32"/>
        <v>0</v>
      </c>
      <c r="J45" s="1">
        <f t="shared" si="32"/>
        <v>0</v>
      </c>
      <c r="K45" s="270"/>
      <c r="L45" s="117">
        <f>SUM(C45:J45)*$G$25</f>
        <v>93</v>
      </c>
      <c r="M45" s="1">
        <f>(C45*C44+D45*D44+E45*E44+F45*F44+G45*G44+H45*H44+I45*I44+J45*J44)*3</f>
        <v>5.0169172412288923</v>
      </c>
      <c r="N45" s="9">
        <f>9/M47</f>
        <v>88.549414386865053</v>
      </c>
    </row>
    <row r="46" spans="1:14" x14ac:dyDescent="0.2">
      <c r="A46" s="126"/>
      <c r="B46" s="329" t="s">
        <v>58</v>
      </c>
      <c r="C46" s="247">
        <f>C45*$E$24</f>
        <v>0</v>
      </c>
      <c r="D46" s="1">
        <f t="shared" ref="D46:J46" si="33">D45*$E$24</f>
        <v>1.7466414588190893</v>
      </c>
      <c r="E46" s="1">
        <f t="shared" si="33"/>
        <v>3.4932829176381786</v>
      </c>
      <c r="F46" s="1">
        <f t="shared" si="33"/>
        <v>6.9865658352763571</v>
      </c>
      <c r="G46" s="1">
        <f t="shared" si="33"/>
        <v>13.973131670552714</v>
      </c>
      <c r="H46" s="1">
        <f t="shared" si="33"/>
        <v>27.946263341105428</v>
      </c>
      <c r="I46" s="1">
        <f t="shared" si="33"/>
        <v>0</v>
      </c>
      <c r="J46" s="1">
        <f t="shared" si="33"/>
        <v>0</v>
      </c>
      <c r="K46" s="270"/>
      <c r="L46" s="117" t="s">
        <v>174</v>
      </c>
      <c r="M46" s="1" t="s">
        <v>175</v>
      </c>
      <c r="N46" s="9" t="s">
        <v>177</v>
      </c>
    </row>
    <row r="47" spans="1:14" ht="17" thickBot="1" x14ac:dyDescent="0.25">
      <c r="A47" s="127"/>
      <c r="B47" s="330" t="s">
        <v>60</v>
      </c>
      <c r="C47" s="274">
        <f>(D46*$G$24*$C$24-D45*$G$25*$C$25)*D44</f>
        <v>0.31899344325350037</v>
      </c>
      <c r="D47" s="171">
        <f t="shared" ref="D47" si="34">(E46*$G$24*$C$24-E45*$G$25*$C$25)*E44</f>
        <v>0.12114548692630564</v>
      </c>
      <c r="E47" s="171">
        <f t="shared" ref="E47" si="35">(F46*$G$24*$C$24-F45*$G$25*$C$25)*F44</f>
        <v>4.6004152171261928E-2</v>
      </c>
      <c r="F47" s="171">
        <f t="shared" ref="F47" si="36">(G46*$G$24*$C$24-G45*$G$25*$C$25)*G44</f>
        <v>1.7437224111570466E-2</v>
      </c>
      <c r="G47" s="171">
        <f t="shared" ref="G47" si="37">(H46*$G$24*$C$24-H45*$G$25*$C$25)*H44</f>
        <v>6.329956453314585E-3</v>
      </c>
      <c r="H47" s="171">
        <f t="shared" ref="H47" si="38">(I46*$G$24*$C$24-I45*$G$25*$C$25)*I44</f>
        <v>0</v>
      </c>
      <c r="I47" s="171">
        <f t="shared" ref="I47" si="39">(J46*$G$24*$C$24-J45*$G$25*$C$25)*J44</f>
        <v>0</v>
      </c>
      <c r="J47" s="171">
        <f t="shared" ref="J47" si="40">(K46*$G$24*$C$24-K45*$G$25*$C$25)*K44</f>
        <v>0</v>
      </c>
      <c r="K47" s="271"/>
      <c r="L47" s="118">
        <f>SUM(C47:K47)</f>
        <v>0.50991026291595298</v>
      </c>
      <c r="M47" s="171">
        <f>L47/M45</f>
        <v>0.10163816511173915</v>
      </c>
      <c r="N47" s="10">
        <f>M45/M47</f>
        <v>49.36056485979833</v>
      </c>
    </row>
    <row r="48" spans="1:14" ht="17" thickBot="1" x14ac:dyDescent="0.25">
      <c r="A48" s="332"/>
      <c r="B48" s="363" t="s">
        <v>193</v>
      </c>
      <c r="C48" s="364"/>
      <c r="D48" s="364"/>
      <c r="E48" s="364"/>
      <c r="F48" s="364"/>
      <c r="G48" s="364"/>
      <c r="H48" s="364"/>
      <c r="I48" s="364"/>
      <c r="J48" s="364"/>
      <c r="K48" s="364"/>
      <c r="L48" s="364"/>
      <c r="M48" s="364"/>
      <c r="N48" s="365"/>
    </row>
    <row r="49" spans="1:14" x14ac:dyDescent="0.2">
      <c r="A49" s="131"/>
      <c r="B49" s="328" t="s">
        <v>8</v>
      </c>
      <c r="C49" s="273">
        <f>B18</f>
        <v>0.25439021303942572</v>
      </c>
      <c r="D49" s="170">
        <f t="shared" ref="D49:J49" si="41">C18</f>
        <v>1.046173596858273</v>
      </c>
      <c r="E49" s="170">
        <f t="shared" si="41"/>
        <v>0.19865560276463615</v>
      </c>
      <c r="F49" s="170">
        <f t="shared" si="41"/>
        <v>3.7722138552602542E-2</v>
      </c>
      <c r="G49" s="170">
        <f t="shared" si="41"/>
        <v>7.1623592683027664E-3</v>
      </c>
      <c r="H49" s="170">
        <f t="shared" si="41"/>
        <v>1.3573955592534217E-3</v>
      </c>
      <c r="I49" s="170">
        <f t="shared" si="41"/>
        <v>2.4637679498238968E-4</v>
      </c>
      <c r="J49" s="170">
        <f t="shared" si="41"/>
        <v>4.4719112783292725E-5</v>
      </c>
      <c r="K49" s="269"/>
      <c r="L49" s="169" t="s">
        <v>172</v>
      </c>
      <c r="M49" s="170" t="s">
        <v>173</v>
      </c>
      <c r="N49" s="63" t="s">
        <v>176</v>
      </c>
    </row>
    <row r="50" spans="1:14" x14ac:dyDescent="0.2">
      <c r="A50" s="126">
        <v>2</v>
      </c>
      <c r="B50" s="329" t="s">
        <v>169</v>
      </c>
      <c r="C50" s="247">
        <v>0</v>
      </c>
      <c r="D50" s="1">
        <v>1</v>
      </c>
      <c r="E50" s="1">
        <f>IF(F49&gt;0,POWER($A50,E$27),0)</f>
        <v>2</v>
      </c>
      <c r="F50" s="1">
        <f t="shared" ref="F50:J50" si="42">IF(G49&gt;0,POWER($A50,F$27),0)</f>
        <v>4</v>
      </c>
      <c r="G50" s="1">
        <f t="shared" si="42"/>
        <v>8</v>
      </c>
      <c r="H50" s="1">
        <f t="shared" si="42"/>
        <v>16</v>
      </c>
      <c r="I50" s="1">
        <f t="shared" si="42"/>
        <v>32</v>
      </c>
      <c r="J50" s="1">
        <f t="shared" si="42"/>
        <v>0</v>
      </c>
      <c r="K50" s="270"/>
      <c r="L50" s="117">
        <f>SUM(C50:J50)*$G$25</f>
        <v>189</v>
      </c>
      <c r="M50" s="1">
        <f>(C50*C49+D50*D49+E50*E49+F50*F49+G50*G49+H50*H49+I50*I49+J50*J49)*3</f>
        <v>5.0438238513956062</v>
      </c>
      <c r="N50" s="9">
        <f>9/M52</f>
        <v>88.549414386865053</v>
      </c>
    </row>
    <row r="51" spans="1:14" x14ac:dyDescent="0.2">
      <c r="A51" s="126"/>
      <c r="B51" s="329" t="s">
        <v>58</v>
      </c>
      <c r="C51" s="247">
        <f>C50*$E$24</f>
        <v>0</v>
      </c>
      <c r="D51" s="1">
        <f t="shared" ref="D51:J51" si="43">D50*$E$24</f>
        <v>1.7466414588190893</v>
      </c>
      <c r="E51" s="1">
        <f t="shared" si="43"/>
        <v>3.4932829176381786</v>
      </c>
      <c r="F51" s="1">
        <f t="shared" si="43"/>
        <v>6.9865658352763571</v>
      </c>
      <c r="G51" s="1">
        <f t="shared" si="43"/>
        <v>13.973131670552714</v>
      </c>
      <c r="H51" s="1">
        <f t="shared" si="43"/>
        <v>27.946263341105428</v>
      </c>
      <c r="I51" s="1">
        <f t="shared" si="43"/>
        <v>55.892526682210857</v>
      </c>
      <c r="J51" s="1">
        <f t="shared" si="43"/>
        <v>0</v>
      </c>
      <c r="K51" s="270"/>
      <c r="L51" s="117" t="s">
        <v>174</v>
      </c>
      <c r="M51" s="1" t="s">
        <v>175</v>
      </c>
      <c r="N51" s="9" t="s">
        <v>177</v>
      </c>
    </row>
    <row r="52" spans="1:14" ht="17" thickBot="1" x14ac:dyDescent="0.25">
      <c r="A52" s="127"/>
      <c r="B52" s="330" t="s">
        <v>60</v>
      </c>
      <c r="C52" s="274">
        <f>(D51*$G$24*$C$24-D50*$G$25*$C$25)*D49</f>
        <v>0.31899349431906954</v>
      </c>
      <c r="D52" s="171">
        <f t="shared" ref="D52" si="44">(E51*$G$24*$C$24-E50*$G$25*$C$25)*E49</f>
        <v>0.12114594572498491</v>
      </c>
      <c r="E52" s="171">
        <f t="shared" ref="E52" si="45">(F51*$G$24*$C$24-F50*$G$25*$C$25)*F49</f>
        <v>4.6008107358927811E-2</v>
      </c>
      <c r="F52" s="171">
        <f t="shared" ref="F52" si="46">(G51*$G$24*$C$24-G50*$G$25*$C$25)*G49</f>
        <v>1.7471257293632442E-2</v>
      </c>
      <c r="G52" s="171">
        <f t="shared" ref="G52" si="47">(H51*$G$24*$C$24-H50*$G$25*$C$25)*H49</f>
        <v>6.6222333107203565E-3</v>
      </c>
      <c r="H52" s="171">
        <f t="shared" ref="H52" si="48">(I51*$G$24*$C$24-I50*$G$25*$C$25)*I49</f>
        <v>2.4039633953396376E-3</v>
      </c>
      <c r="I52" s="171">
        <f t="shared" ref="I52" si="49">(J51*$G$24*$C$24-J50*$G$25*$C$25)*J49</f>
        <v>0</v>
      </c>
      <c r="J52" s="171">
        <f t="shared" ref="J52" si="50">(K51*$G$24*$C$24-K50*$G$25*$C$25)*K49</f>
        <v>0</v>
      </c>
      <c r="K52" s="271"/>
      <c r="L52" s="118">
        <f>SUM(C52:K52)</f>
        <v>0.51264500140267466</v>
      </c>
      <c r="M52" s="171">
        <f>L52/M50</f>
        <v>0.10163816511173915</v>
      </c>
      <c r="N52" s="10">
        <f>M50/M52</f>
        <v>49.625294256842572</v>
      </c>
    </row>
  </sheetData>
  <mergeCells count="5">
    <mergeCell ref="B28:N28"/>
    <mergeCell ref="B33:N33"/>
    <mergeCell ref="B38:N38"/>
    <mergeCell ref="B43:N43"/>
    <mergeCell ref="B48:N48"/>
  </mergeCells>
  <conditionalFormatting sqref="Q13:S22">
    <cfRule type="cellIs" dxfId="84" priority="3" operator="lessThanOrEqual">
      <formula>0</formula>
    </cfRule>
    <cfRule type="cellIs" dxfId="83" priority="4" operator="greaterThan">
      <formula>0</formula>
    </cfRule>
  </conditionalFormatting>
  <conditionalFormatting sqref="P13:P22">
    <cfRule type="cellIs" dxfId="82" priority="1" operator="lessThanOrEqual">
      <formula>0</formula>
    </cfRule>
    <cfRule type="cellIs" dxfId="81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27"/>
  <sheetViews>
    <sheetView workbookViewId="0">
      <selection activeCell="B7" sqref="B7"/>
    </sheetView>
  </sheetViews>
  <sheetFormatPr baseColWidth="10" defaultRowHeight="16" x14ac:dyDescent="0.2"/>
  <cols>
    <col min="6" max="7" width="12.1640625" bestFit="1" customWidth="1"/>
    <col min="10" max="10" width="11.33203125" bestFit="1" customWidth="1"/>
    <col min="11" max="12" width="13" bestFit="1" customWidth="1"/>
  </cols>
  <sheetData>
    <row r="1" spans="1:12" ht="17" thickBot="1" x14ac:dyDescent="0.25"/>
    <row r="2" spans="1:12" ht="17" thickBot="1" x14ac:dyDescent="0.25">
      <c r="A2" s="291" t="s">
        <v>183</v>
      </c>
      <c r="B2" s="19" t="s">
        <v>178</v>
      </c>
      <c r="C2" s="292" t="s">
        <v>159</v>
      </c>
      <c r="D2" s="287">
        <f>'Chosen Strategy Analysis'!C2</f>
        <v>0.24316252465496735</v>
      </c>
      <c r="E2" s="292" t="s">
        <v>160</v>
      </c>
      <c r="F2" s="287">
        <f>'Chosen Strategy Analysis'!E2</f>
        <v>0.18150699941725082</v>
      </c>
      <c r="G2" s="292" t="s">
        <v>188</v>
      </c>
      <c r="H2" s="287">
        <f>'Chosen Strategy Analysis'!$M$32</f>
        <v>0.10163816511173913</v>
      </c>
      <c r="I2" s="19"/>
      <c r="J2" s="19"/>
      <c r="K2" s="19"/>
      <c r="L2" s="20"/>
    </row>
    <row r="3" spans="1:12" ht="17" thickBot="1" x14ac:dyDescent="0.25"/>
    <row r="4" spans="1:12" ht="17" thickBot="1" x14ac:dyDescent="0.25">
      <c r="A4" s="276" t="s">
        <v>56</v>
      </c>
      <c r="B4" s="277" t="s">
        <v>180</v>
      </c>
      <c r="C4" s="279" t="s">
        <v>181</v>
      </c>
      <c r="D4" s="288" t="s">
        <v>172</v>
      </c>
      <c r="E4" s="278" t="s">
        <v>173</v>
      </c>
      <c r="F4" s="278" t="s">
        <v>179</v>
      </c>
      <c r="G4" s="289" t="s">
        <v>175</v>
      </c>
      <c r="H4" s="281" t="s">
        <v>177</v>
      </c>
      <c r="I4" s="282" t="s">
        <v>176</v>
      </c>
      <c r="J4" s="308" t="s">
        <v>184</v>
      </c>
    </row>
    <row r="5" spans="1:12" x14ac:dyDescent="0.2">
      <c r="A5" s="125">
        <v>100</v>
      </c>
      <c r="B5" s="28">
        <f>A5*1</f>
        <v>100</v>
      </c>
      <c r="C5" s="8">
        <f>B5*2</f>
        <v>200</v>
      </c>
      <c r="D5" s="169">
        <f>SUM(B5:C5)*3</f>
        <v>900</v>
      </c>
      <c r="E5" s="309">
        <f>'Chosen Strategy Analysis'!$M$30*A5</f>
        <v>426.95147282516348</v>
      </c>
      <c r="F5" s="170">
        <f>'Chosen Strategy Analysis'!$L$32*A5</f>
        <v>43.394564289704171</v>
      </c>
      <c r="G5" s="310">
        <f>E5*60*$H$2</f>
        <v>2603.6738573822504</v>
      </c>
      <c r="H5" s="312">
        <f>E5/$H$2</f>
        <v>4200.7003211419733</v>
      </c>
      <c r="I5" s="309">
        <f>D5/$H$2</f>
        <v>8854.9414386865064</v>
      </c>
      <c r="J5" s="310">
        <f>I5*2</f>
        <v>17709.882877373013</v>
      </c>
    </row>
    <row r="6" spans="1:12" x14ac:dyDescent="0.2">
      <c r="A6" s="126">
        <v>200</v>
      </c>
      <c r="B6" s="117">
        <f>A6*1</f>
        <v>200</v>
      </c>
      <c r="C6" s="9">
        <f>B6*2</f>
        <v>400</v>
      </c>
      <c r="D6" s="117">
        <f>SUM(B6:C6)*3</f>
        <v>1800</v>
      </c>
      <c r="E6" s="284">
        <f>'Chosen Strategy Analysis'!$M$30*A6</f>
        <v>853.90294565032696</v>
      </c>
      <c r="F6" s="1">
        <f>'Chosen Strategy Analysis'!$L$32*A6</f>
        <v>86.789128579408342</v>
      </c>
      <c r="G6" s="307">
        <f t="shared" ref="G6:G14" si="0">E6*60*$H$2</f>
        <v>5207.3477147645008</v>
      </c>
      <c r="H6" s="290">
        <f t="shared" ref="H6:H14" si="1">E6/$H$2</f>
        <v>8401.4006422839466</v>
      </c>
      <c r="I6" s="286">
        <f t="shared" ref="I6:I14" si="2">D6/$H$2</f>
        <v>17709.882877373013</v>
      </c>
      <c r="J6" s="300">
        <f t="shared" ref="J6:J14" si="3">I6*2</f>
        <v>35419.765754746026</v>
      </c>
    </row>
    <row r="7" spans="1:12" x14ac:dyDescent="0.2">
      <c r="A7" s="126">
        <v>300</v>
      </c>
      <c r="B7" s="117">
        <f t="shared" ref="B7:B14" si="4">A7*1</f>
        <v>300</v>
      </c>
      <c r="C7" s="9">
        <f t="shared" ref="C7:C14" si="5">B7*2</f>
        <v>600</v>
      </c>
      <c r="D7" s="117">
        <f t="shared" ref="D7:D14" si="6">SUM(B7:C7)*3</f>
        <v>2700</v>
      </c>
      <c r="E7" s="284">
        <f>'Chosen Strategy Analysis'!$M$30*A7</f>
        <v>1280.8544184754905</v>
      </c>
      <c r="F7" s="1">
        <f>'Chosen Strategy Analysis'!$L$32*A7</f>
        <v>130.18369286911252</v>
      </c>
      <c r="G7" s="307">
        <f t="shared" si="0"/>
        <v>7811.0215721467512</v>
      </c>
      <c r="H7" s="290">
        <f t="shared" si="1"/>
        <v>12602.100963425921</v>
      </c>
      <c r="I7" s="286">
        <f t="shared" si="2"/>
        <v>26564.824316059519</v>
      </c>
      <c r="J7" s="300">
        <f t="shared" si="3"/>
        <v>53129.648632119039</v>
      </c>
    </row>
    <row r="8" spans="1:12" x14ac:dyDescent="0.2">
      <c r="A8" s="126">
        <v>400</v>
      </c>
      <c r="B8" s="117">
        <f t="shared" si="4"/>
        <v>400</v>
      </c>
      <c r="C8" s="9">
        <f t="shared" si="5"/>
        <v>800</v>
      </c>
      <c r="D8" s="117">
        <f t="shared" si="6"/>
        <v>3600</v>
      </c>
      <c r="E8" s="284">
        <f>'Chosen Strategy Analysis'!$M$30*A8</f>
        <v>1707.8058913006539</v>
      </c>
      <c r="F8" s="1">
        <f>'Chosen Strategy Analysis'!$L$32*A8</f>
        <v>173.57825715881668</v>
      </c>
      <c r="G8" s="307">
        <f t="shared" si="0"/>
        <v>10414.695429529002</v>
      </c>
      <c r="H8" s="290">
        <f t="shared" si="1"/>
        <v>16802.801284567893</v>
      </c>
      <c r="I8" s="286">
        <f t="shared" si="2"/>
        <v>35419.765754746026</v>
      </c>
      <c r="J8" s="300">
        <f t="shared" si="3"/>
        <v>70839.531509492052</v>
      </c>
    </row>
    <row r="9" spans="1:12" x14ac:dyDescent="0.2">
      <c r="A9" s="126">
        <v>500</v>
      </c>
      <c r="B9" s="117">
        <f t="shared" si="4"/>
        <v>500</v>
      </c>
      <c r="C9" s="9">
        <f t="shared" si="5"/>
        <v>1000</v>
      </c>
      <c r="D9" s="117">
        <f t="shared" si="6"/>
        <v>4500</v>
      </c>
      <c r="E9" s="284">
        <f>'Chosen Strategy Analysis'!$M$30*A9</f>
        <v>2134.7573641258177</v>
      </c>
      <c r="F9" s="1">
        <f>'Chosen Strategy Analysis'!$L$32*A9</f>
        <v>216.97282144852088</v>
      </c>
      <c r="G9" s="307">
        <f t="shared" si="0"/>
        <v>13018.369286911253</v>
      </c>
      <c r="H9" s="290">
        <f t="shared" si="1"/>
        <v>21003.501605709869</v>
      </c>
      <c r="I9" s="286">
        <f t="shared" si="2"/>
        <v>44274.707193432529</v>
      </c>
      <c r="J9" s="300">
        <f t="shared" si="3"/>
        <v>88549.414386865057</v>
      </c>
    </row>
    <row r="10" spans="1:12" x14ac:dyDescent="0.2">
      <c r="A10" s="126">
        <v>600</v>
      </c>
      <c r="B10" s="117">
        <f t="shared" si="4"/>
        <v>600</v>
      </c>
      <c r="C10" s="9">
        <f t="shared" si="5"/>
        <v>1200</v>
      </c>
      <c r="D10" s="117">
        <f t="shared" si="6"/>
        <v>5400</v>
      </c>
      <c r="E10" s="284">
        <f>'Chosen Strategy Analysis'!$M$30*A10</f>
        <v>2561.7088369509811</v>
      </c>
      <c r="F10" s="1">
        <f>'Chosen Strategy Analysis'!$L$32*A10</f>
        <v>260.36738573822504</v>
      </c>
      <c r="G10" s="307">
        <f t="shared" si="0"/>
        <v>15622.043144293502</v>
      </c>
      <c r="H10" s="290">
        <f t="shared" si="1"/>
        <v>25204.201926851842</v>
      </c>
      <c r="I10" s="286">
        <f t="shared" si="2"/>
        <v>53129.648632119039</v>
      </c>
      <c r="J10" s="300">
        <f t="shared" si="3"/>
        <v>106259.29726423808</v>
      </c>
    </row>
    <row r="11" spans="1:12" x14ac:dyDescent="0.2">
      <c r="A11" s="126">
        <v>700</v>
      </c>
      <c r="B11" s="117">
        <f t="shared" si="4"/>
        <v>700</v>
      </c>
      <c r="C11" s="9">
        <f t="shared" si="5"/>
        <v>1400</v>
      </c>
      <c r="D11" s="117">
        <f t="shared" si="6"/>
        <v>6300</v>
      </c>
      <c r="E11" s="284">
        <f>'Chosen Strategy Analysis'!$M$30*A11</f>
        <v>2988.6603097761445</v>
      </c>
      <c r="F11" s="1">
        <f>'Chosen Strategy Analysis'!$L$32*A11</f>
        <v>303.76195002792923</v>
      </c>
      <c r="G11" s="307">
        <f t="shared" si="0"/>
        <v>18225.717001675752</v>
      </c>
      <c r="H11" s="290">
        <f t="shared" si="1"/>
        <v>29404.902247993814</v>
      </c>
      <c r="I11" s="286">
        <f t="shared" si="2"/>
        <v>61984.590070805541</v>
      </c>
      <c r="J11" s="300">
        <f t="shared" si="3"/>
        <v>123969.18014161108</v>
      </c>
    </row>
    <row r="12" spans="1:12" x14ac:dyDescent="0.2">
      <c r="A12" s="126">
        <v>800</v>
      </c>
      <c r="B12" s="117">
        <f t="shared" si="4"/>
        <v>800</v>
      </c>
      <c r="C12" s="9">
        <f t="shared" si="5"/>
        <v>1600</v>
      </c>
      <c r="D12" s="117">
        <f t="shared" si="6"/>
        <v>7200</v>
      </c>
      <c r="E12" s="284">
        <f>'Chosen Strategy Analysis'!$M$30*A12</f>
        <v>3415.6117826013078</v>
      </c>
      <c r="F12" s="1">
        <f>'Chosen Strategy Analysis'!$L$32*A12</f>
        <v>347.15651431763337</v>
      </c>
      <c r="G12" s="307">
        <f t="shared" si="0"/>
        <v>20829.390859058003</v>
      </c>
      <c r="H12" s="290">
        <f t="shared" si="1"/>
        <v>33605.602569135786</v>
      </c>
      <c r="I12" s="286">
        <f t="shared" si="2"/>
        <v>70839.531509492052</v>
      </c>
      <c r="J12" s="300">
        <f t="shared" si="3"/>
        <v>141679.0630189841</v>
      </c>
    </row>
    <row r="13" spans="1:12" x14ac:dyDescent="0.2">
      <c r="A13" s="126">
        <v>900</v>
      </c>
      <c r="B13" s="117">
        <f t="shared" si="4"/>
        <v>900</v>
      </c>
      <c r="C13" s="9">
        <f t="shared" si="5"/>
        <v>1800</v>
      </c>
      <c r="D13" s="117">
        <f t="shared" si="6"/>
        <v>8100</v>
      </c>
      <c r="E13" s="284">
        <f>'Chosen Strategy Analysis'!$M$30*A13</f>
        <v>3842.5632554264716</v>
      </c>
      <c r="F13" s="1">
        <f>'Chosen Strategy Analysis'!$L$32*A13</f>
        <v>390.55107860733756</v>
      </c>
      <c r="G13" s="307">
        <f t="shared" si="0"/>
        <v>23433.064716440254</v>
      </c>
      <c r="H13" s="290">
        <f t="shared" si="1"/>
        <v>37806.302890277759</v>
      </c>
      <c r="I13" s="286">
        <f t="shared" si="2"/>
        <v>79694.472948178562</v>
      </c>
      <c r="J13" s="300">
        <f t="shared" si="3"/>
        <v>159388.94589635712</v>
      </c>
    </row>
    <row r="14" spans="1:12" ht="17" thickBot="1" x14ac:dyDescent="0.25">
      <c r="A14" s="127">
        <v>1000</v>
      </c>
      <c r="B14" s="118">
        <f t="shared" si="4"/>
        <v>1000</v>
      </c>
      <c r="C14" s="10">
        <f t="shared" si="5"/>
        <v>2000</v>
      </c>
      <c r="D14" s="118">
        <f t="shared" si="6"/>
        <v>9000</v>
      </c>
      <c r="E14" s="285">
        <f>'Chosen Strategy Analysis'!$M$30*A14</f>
        <v>4269.5147282516355</v>
      </c>
      <c r="F14" s="171">
        <f>'Chosen Strategy Analysis'!$L$32*A14</f>
        <v>433.94564289704175</v>
      </c>
      <c r="G14" s="311">
        <f t="shared" si="0"/>
        <v>26036.738573822506</v>
      </c>
      <c r="H14" s="313">
        <f t="shared" si="1"/>
        <v>42007.003211419738</v>
      </c>
      <c r="I14" s="314">
        <f t="shared" si="2"/>
        <v>88549.414386865057</v>
      </c>
      <c r="J14" s="304">
        <f t="shared" si="3"/>
        <v>177098.82877373011</v>
      </c>
    </row>
    <row r="16" spans="1:12" ht="17" thickBot="1" x14ac:dyDescent="0.25"/>
    <row r="17" spans="1:12" ht="17" thickBot="1" x14ac:dyDescent="0.25">
      <c r="A17" s="280" t="s">
        <v>56</v>
      </c>
      <c r="B17" s="281" t="s">
        <v>180</v>
      </c>
      <c r="C17" s="282" t="s">
        <v>181</v>
      </c>
      <c r="D17" s="282" t="s">
        <v>185</v>
      </c>
      <c r="E17" s="282" t="s">
        <v>186</v>
      </c>
      <c r="F17" s="283" t="s">
        <v>187</v>
      </c>
      <c r="G17" s="325" t="s">
        <v>172</v>
      </c>
      <c r="H17" s="326" t="s">
        <v>173</v>
      </c>
      <c r="I17" s="327" t="s">
        <v>175</v>
      </c>
      <c r="J17" s="281" t="s">
        <v>182</v>
      </c>
      <c r="K17" s="282" t="s">
        <v>176</v>
      </c>
      <c r="L17" s="283" t="s">
        <v>184</v>
      </c>
    </row>
    <row r="18" spans="1:12" x14ac:dyDescent="0.2">
      <c r="A18" s="294">
        <v>100</v>
      </c>
      <c r="B18" s="295">
        <f>A18</f>
        <v>100</v>
      </c>
      <c r="C18" s="305">
        <f>B18*2</f>
        <v>200</v>
      </c>
      <c r="D18" s="305">
        <f>C18*2</f>
        <v>400</v>
      </c>
      <c r="E18" s="305">
        <f>D18*2</f>
        <v>800</v>
      </c>
      <c r="F18" s="315">
        <f>E18*2</f>
        <v>1600</v>
      </c>
      <c r="G18" s="135">
        <f>SUM(B18:F18)*3</f>
        <v>9300</v>
      </c>
      <c r="H18" s="321">
        <f>'Chosen Strategy Analysis'!$M$35*A18</f>
        <v>490.62490579043435</v>
      </c>
      <c r="I18" s="322">
        <f>H18*60*$H$2</f>
        <v>2991.9729109595773</v>
      </c>
      <c r="J18" s="318">
        <f t="shared" ref="J18:J27" si="7">H18/$H$2</f>
        <v>4827.1720101504225</v>
      </c>
      <c r="K18" s="306">
        <f t="shared" ref="K18:K27" si="8">G18/$H$2</f>
        <v>91501.061533093904</v>
      </c>
      <c r="L18" s="307">
        <f>K18*2</f>
        <v>183002.12306618781</v>
      </c>
    </row>
    <row r="19" spans="1:12" x14ac:dyDescent="0.2">
      <c r="A19" s="296">
        <v>200</v>
      </c>
      <c r="B19" s="133">
        <f t="shared" ref="B19:B27" si="9">A19</f>
        <v>200</v>
      </c>
      <c r="C19" s="298">
        <f t="shared" ref="C19:F19" si="10">B19*2</f>
        <v>400</v>
      </c>
      <c r="D19" s="298">
        <f t="shared" si="10"/>
        <v>800</v>
      </c>
      <c r="E19" s="298">
        <f t="shared" si="10"/>
        <v>1600</v>
      </c>
      <c r="F19" s="316">
        <f t="shared" si="10"/>
        <v>3200</v>
      </c>
      <c r="G19" s="133">
        <f t="shared" ref="G19:G27" si="11">SUM(B19:F19)*3</f>
        <v>18600</v>
      </c>
      <c r="H19" s="299">
        <f>'Chosen Strategy Analysis'!$M$35*A19</f>
        <v>981.24981158086871</v>
      </c>
      <c r="I19" s="323">
        <f t="shared" ref="I19:I27" si="12">H19*60*$H$2</f>
        <v>5983.9458219191547</v>
      </c>
      <c r="J19" s="319">
        <f t="shared" si="7"/>
        <v>9654.3440203008449</v>
      </c>
      <c r="K19" s="293">
        <f t="shared" si="8"/>
        <v>183002.12306618781</v>
      </c>
      <c r="L19" s="300">
        <f t="shared" ref="L19:L27" si="13">K19*2</f>
        <v>366004.24613237561</v>
      </c>
    </row>
    <row r="20" spans="1:12" x14ac:dyDescent="0.2">
      <c r="A20" s="296">
        <v>300</v>
      </c>
      <c r="B20" s="133">
        <f t="shared" si="9"/>
        <v>300</v>
      </c>
      <c r="C20" s="298">
        <f t="shared" ref="C20:F20" si="14">B20*2</f>
        <v>600</v>
      </c>
      <c r="D20" s="298">
        <f t="shared" si="14"/>
        <v>1200</v>
      </c>
      <c r="E20" s="298">
        <f t="shared" si="14"/>
        <v>2400</v>
      </c>
      <c r="F20" s="316">
        <f t="shared" si="14"/>
        <v>4800</v>
      </c>
      <c r="G20" s="133">
        <f t="shared" si="11"/>
        <v>27900</v>
      </c>
      <c r="H20" s="299">
        <f>'Chosen Strategy Analysis'!$M$35*A20</f>
        <v>1471.8747173713029</v>
      </c>
      <c r="I20" s="323">
        <f t="shared" si="12"/>
        <v>8975.918732878732</v>
      </c>
      <c r="J20" s="319">
        <f t="shared" si="7"/>
        <v>14481.516030451266</v>
      </c>
      <c r="K20" s="293">
        <f t="shared" si="8"/>
        <v>274503.1845992817</v>
      </c>
      <c r="L20" s="300">
        <f t="shared" si="13"/>
        <v>549006.36919856339</v>
      </c>
    </row>
    <row r="21" spans="1:12" x14ac:dyDescent="0.2">
      <c r="A21" s="296">
        <v>400</v>
      </c>
      <c r="B21" s="133">
        <f t="shared" si="9"/>
        <v>400</v>
      </c>
      <c r="C21" s="298">
        <f t="shared" ref="C21:F21" si="15">B21*2</f>
        <v>800</v>
      </c>
      <c r="D21" s="298">
        <f t="shared" si="15"/>
        <v>1600</v>
      </c>
      <c r="E21" s="298">
        <f t="shared" si="15"/>
        <v>3200</v>
      </c>
      <c r="F21" s="316">
        <f t="shared" si="15"/>
        <v>6400</v>
      </c>
      <c r="G21" s="133">
        <f t="shared" si="11"/>
        <v>37200</v>
      </c>
      <c r="H21" s="299">
        <f>'Chosen Strategy Analysis'!$M$35*A21</f>
        <v>1962.4996231617374</v>
      </c>
      <c r="I21" s="323">
        <f t="shared" si="12"/>
        <v>11967.891643838309</v>
      </c>
      <c r="J21" s="319">
        <f t="shared" si="7"/>
        <v>19308.68804060169</v>
      </c>
      <c r="K21" s="293">
        <f t="shared" si="8"/>
        <v>366004.24613237561</v>
      </c>
      <c r="L21" s="300">
        <f t="shared" si="13"/>
        <v>732008.49226475123</v>
      </c>
    </row>
    <row r="22" spans="1:12" x14ac:dyDescent="0.2">
      <c r="A22" s="296">
        <v>500</v>
      </c>
      <c r="B22" s="133">
        <f t="shared" si="9"/>
        <v>500</v>
      </c>
      <c r="C22" s="298">
        <f t="shared" ref="C22:F22" si="16">B22*2</f>
        <v>1000</v>
      </c>
      <c r="D22" s="298">
        <f t="shared" si="16"/>
        <v>2000</v>
      </c>
      <c r="E22" s="298">
        <f t="shared" si="16"/>
        <v>4000</v>
      </c>
      <c r="F22" s="316">
        <f t="shared" si="16"/>
        <v>8000</v>
      </c>
      <c r="G22" s="133">
        <f t="shared" si="11"/>
        <v>46500</v>
      </c>
      <c r="H22" s="299">
        <f>'Chosen Strategy Analysis'!$M$35*A22</f>
        <v>2453.1245289521717</v>
      </c>
      <c r="I22" s="323">
        <f t="shared" si="12"/>
        <v>14959.864554797889</v>
      </c>
      <c r="J22" s="319">
        <f t="shared" si="7"/>
        <v>24135.860050752111</v>
      </c>
      <c r="K22" s="293">
        <f t="shared" si="8"/>
        <v>457505.30766546947</v>
      </c>
      <c r="L22" s="300">
        <f t="shared" si="13"/>
        <v>915010.61533093895</v>
      </c>
    </row>
    <row r="23" spans="1:12" x14ac:dyDescent="0.2">
      <c r="A23" s="296">
        <v>600</v>
      </c>
      <c r="B23" s="133">
        <f t="shared" si="9"/>
        <v>600</v>
      </c>
      <c r="C23" s="298">
        <f t="shared" ref="C23:F23" si="17">B23*2</f>
        <v>1200</v>
      </c>
      <c r="D23" s="298">
        <f t="shared" si="17"/>
        <v>2400</v>
      </c>
      <c r="E23" s="298">
        <f t="shared" si="17"/>
        <v>4800</v>
      </c>
      <c r="F23" s="316">
        <f t="shared" si="17"/>
        <v>9600</v>
      </c>
      <c r="G23" s="133">
        <f t="shared" si="11"/>
        <v>55800</v>
      </c>
      <c r="H23" s="299">
        <f>'Chosen Strategy Analysis'!$M$35*A23</f>
        <v>2943.7494347426059</v>
      </c>
      <c r="I23" s="323">
        <f t="shared" si="12"/>
        <v>17951.837465757464</v>
      </c>
      <c r="J23" s="319">
        <f t="shared" si="7"/>
        <v>28963.032060902533</v>
      </c>
      <c r="K23" s="293">
        <f t="shared" si="8"/>
        <v>549006.36919856339</v>
      </c>
      <c r="L23" s="300">
        <f t="shared" si="13"/>
        <v>1098012.7383971268</v>
      </c>
    </row>
    <row r="24" spans="1:12" x14ac:dyDescent="0.2">
      <c r="A24" s="296">
        <v>700</v>
      </c>
      <c r="B24" s="133">
        <f t="shared" si="9"/>
        <v>700</v>
      </c>
      <c r="C24" s="298">
        <f t="shared" ref="C24:F24" si="18">B24*2</f>
        <v>1400</v>
      </c>
      <c r="D24" s="298">
        <f t="shared" si="18"/>
        <v>2800</v>
      </c>
      <c r="E24" s="298">
        <f t="shared" si="18"/>
        <v>5600</v>
      </c>
      <c r="F24" s="316">
        <f t="shared" si="18"/>
        <v>11200</v>
      </c>
      <c r="G24" s="133">
        <f t="shared" si="11"/>
        <v>65100</v>
      </c>
      <c r="H24" s="299">
        <f>'Chosen Strategy Analysis'!$M$35*A24</f>
        <v>3434.3743405330406</v>
      </c>
      <c r="I24" s="323">
        <f t="shared" si="12"/>
        <v>20943.810376717043</v>
      </c>
      <c r="J24" s="319">
        <f t="shared" si="7"/>
        <v>33790.204071052962</v>
      </c>
      <c r="K24" s="293">
        <f t="shared" si="8"/>
        <v>640507.43073165731</v>
      </c>
      <c r="L24" s="300">
        <f t="shared" si="13"/>
        <v>1281014.8614633146</v>
      </c>
    </row>
    <row r="25" spans="1:12" x14ac:dyDescent="0.2">
      <c r="A25" s="296">
        <v>800</v>
      </c>
      <c r="B25" s="133">
        <f t="shared" si="9"/>
        <v>800</v>
      </c>
      <c r="C25" s="298">
        <f t="shared" ref="C25:F25" si="19">B25*2</f>
        <v>1600</v>
      </c>
      <c r="D25" s="298">
        <f t="shared" si="19"/>
        <v>3200</v>
      </c>
      <c r="E25" s="298">
        <f t="shared" si="19"/>
        <v>6400</v>
      </c>
      <c r="F25" s="316">
        <f t="shared" si="19"/>
        <v>12800</v>
      </c>
      <c r="G25" s="133">
        <f t="shared" si="11"/>
        <v>74400</v>
      </c>
      <c r="H25" s="299">
        <f>'Chosen Strategy Analysis'!$M$35*A25</f>
        <v>3924.9992463234748</v>
      </c>
      <c r="I25" s="323">
        <f t="shared" si="12"/>
        <v>23935.783287676619</v>
      </c>
      <c r="J25" s="319">
        <f t="shared" si="7"/>
        <v>38617.37608120338</v>
      </c>
      <c r="K25" s="293">
        <f t="shared" si="8"/>
        <v>732008.49226475123</v>
      </c>
      <c r="L25" s="300">
        <f t="shared" si="13"/>
        <v>1464016.9845295025</v>
      </c>
    </row>
    <row r="26" spans="1:12" x14ac:dyDescent="0.2">
      <c r="A26" s="296">
        <v>900</v>
      </c>
      <c r="B26" s="133">
        <f t="shared" si="9"/>
        <v>900</v>
      </c>
      <c r="C26" s="298">
        <f t="shared" ref="C26:F26" si="20">B26*2</f>
        <v>1800</v>
      </c>
      <c r="D26" s="298">
        <f t="shared" si="20"/>
        <v>3600</v>
      </c>
      <c r="E26" s="298">
        <f t="shared" si="20"/>
        <v>7200</v>
      </c>
      <c r="F26" s="316">
        <f t="shared" si="20"/>
        <v>14400</v>
      </c>
      <c r="G26" s="133">
        <f t="shared" si="11"/>
        <v>83700</v>
      </c>
      <c r="H26" s="299">
        <f>'Chosen Strategy Analysis'!$M$35*A26</f>
        <v>4415.6241521139091</v>
      </c>
      <c r="I26" s="323">
        <f t="shared" si="12"/>
        <v>26927.756198636194</v>
      </c>
      <c r="J26" s="319">
        <f t="shared" si="7"/>
        <v>43444.548091353805</v>
      </c>
      <c r="K26" s="293">
        <f t="shared" si="8"/>
        <v>823509.55379784503</v>
      </c>
      <c r="L26" s="300">
        <f t="shared" si="13"/>
        <v>1647019.1075956901</v>
      </c>
    </row>
    <row r="27" spans="1:12" ht="17" thickBot="1" x14ac:dyDescent="0.25">
      <c r="A27" s="297">
        <v>1000</v>
      </c>
      <c r="B27" s="134">
        <f t="shared" si="9"/>
        <v>1000</v>
      </c>
      <c r="C27" s="301">
        <f t="shared" ref="C27:F27" si="21">B27*2</f>
        <v>2000</v>
      </c>
      <c r="D27" s="301">
        <f t="shared" si="21"/>
        <v>4000</v>
      </c>
      <c r="E27" s="301">
        <f t="shared" si="21"/>
        <v>8000</v>
      </c>
      <c r="F27" s="317">
        <f t="shared" si="21"/>
        <v>16000</v>
      </c>
      <c r="G27" s="134">
        <f t="shared" si="11"/>
        <v>93000</v>
      </c>
      <c r="H27" s="302">
        <f>'Chosen Strategy Analysis'!$M$35*A27</f>
        <v>4906.2490579043433</v>
      </c>
      <c r="I27" s="324">
        <f t="shared" si="12"/>
        <v>29919.729109595777</v>
      </c>
      <c r="J27" s="320">
        <f t="shared" si="7"/>
        <v>48271.720101504223</v>
      </c>
      <c r="K27" s="303">
        <f t="shared" si="8"/>
        <v>915010.61533093895</v>
      </c>
      <c r="L27" s="304">
        <f t="shared" si="13"/>
        <v>1830021.2306618779</v>
      </c>
    </row>
  </sheetData>
  <phoneticPr fontId="14" type="noConversion"/>
  <pageMargins left="0.25" right="0.25" top="0.75" bottom="0.75" header="0.3" footer="0.3"/>
  <pageSetup paperSize="9" scale="94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366" t="s">
        <v>78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236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366" t="s">
        <v>79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236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237">
        <v>0</v>
      </c>
      <c r="S20" s="237">
        <v>0</v>
      </c>
      <c r="T20" s="237">
        <v>0</v>
      </c>
      <c r="U20" s="237">
        <v>0</v>
      </c>
      <c r="V20" s="237">
        <v>0</v>
      </c>
      <c r="W20" s="237">
        <f>IF(Rules!$B$14=Rules!$E$14,0,1)</f>
        <v>0</v>
      </c>
      <c r="X20" s="237">
        <v>0</v>
      </c>
      <c r="Y20" s="237">
        <v>0</v>
      </c>
      <c r="Z20" s="237">
        <v>0</v>
      </c>
      <c r="AA20" s="237">
        <v>0</v>
      </c>
      <c r="AB20" s="237">
        <v>0</v>
      </c>
      <c r="AC20" s="237">
        <v>0</v>
      </c>
      <c r="AD20" s="237">
        <v>0</v>
      </c>
      <c r="AE20" s="237">
        <v>0</v>
      </c>
      <c r="AF20" s="139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239" t="s">
        <v>4</v>
      </c>
      <c r="B23" s="182">
        <v>11</v>
      </c>
      <c r="C23" s="183">
        <v>12</v>
      </c>
      <c r="D23" s="183">
        <v>13</v>
      </c>
      <c r="E23" s="183">
        <v>14</v>
      </c>
      <c r="F23" s="183">
        <v>15</v>
      </c>
      <c r="G23" s="183">
        <v>16</v>
      </c>
      <c r="H23" s="183">
        <v>17</v>
      </c>
      <c r="I23" s="183">
        <v>18</v>
      </c>
      <c r="J23" s="183">
        <v>19</v>
      </c>
      <c r="K23" s="183">
        <v>20</v>
      </c>
      <c r="L23" s="183">
        <v>21</v>
      </c>
      <c r="M23" s="183">
        <v>22</v>
      </c>
      <c r="N23" s="183">
        <v>23</v>
      </c>
      <c r="O23" s="183">
        <v>24</v>
      </c>
      <c r="P23" s="183">
        <v>25</v>
      </c>
      <c r="Q23" s="183">
        <v>26</v>
      </c>
      <c r="R23" s="183">
        <v>27</v>
      </c>
      <c r="S23" s="183">
        <v>28</v>
      </c>
      <c r="T23" s="183">
        <v>29</v>
      </c>
      <c r="U23" s="183">
        <v>30</v>
      </c>
      <c r="V23" s="183">
        <v>31</v>
      </c>
      <c r="W23" s="144">
        <v>32</v>
      </c>
    </row>
    <row r="24" spans="1:32" x14ac:dyDescent="0.2">
      <c r="A24" s="239" t="s">
        <v>0</v>
      </c>
      <c r="B24" s="169">
        <f t="shared" ref="B24:B30" si="12">L14</f>
        <v>0.2121090766176992</v>
      </c>
      <c r="C24" s="170">
        <f>(SUM(D24:L24)+Rules!$B$5*M24)/(9+Rules!$B$5)</f>
        <v>0.24495802642312861</v>
      </c>
      <c r="D24" s="170">
        <f>(SUM(E24:M24)+Rules!$B$5*N24)/(9+Rules!$B$5)</f>
        <v>0.27249534667872904</v>
      </c>
      <c r="E24" s="170">
        <f>(SUM(F24:N24)+Rules!$B$5*O24)/(9+Rules!$B$5)</f>
        <v>0.29995101900790128</v>
      </c>
      <c r="F24" s="170">
        <f>(SUM(G24:O24)+Rules!$B$5*P24)/(9+Rules!$B$5)</f>
        <v>0.32719621086821865</v>
      </c>
      <c r="G24" s="170">
        <f>(SUM(H24:P24)+Rules!$B$5*Q24)/(9+Rules!$B$5)</f>
        <v>0.35412091093722581</v>
      </c>
      <c r="H24" s="170">
        <f>IF(Rules!$B$4=Rules!$F$4,0,(SUM(I24:Q24)+Rules!$B$5*R24)/(9+Rules!$B$5))</f>
        <v>0</v>
      </c>
      <c r="I24" s="170">
        <v>0</v>
      </c>
      <c r="J24" s="170">
        <v>0</v>
      </c>
      <c r="K24" s="170">
        <v>0</v>
      </c>
      <c r="L24" s="170">
        <v>0</v>
      </c>
      <c r="M24" s="170">
        <f t="shared" ref="M24:V24" si="13">M14</f>
        <v>0.48267271400214923</v>
      </c>
      <c r="N24" s="170">
        <f t="shared" si="13"/>
        <v>0.51962466300199572</v>
      </c>
      <c r="O24" s="170">
        <f t="shared" si="13"/>
        <v>0.55393718707328177</v>
      </c>
      <c r="P24" s="170">
        <f t="shared" si="13"/>
        <v>0.58579881656804733</v>
      </c>
      <c r="Q24" s="170">
        <f t="shared" si="13"/>
        <v>0.61538461538461542</v>
      </c>
      <c r="R24" s="170">
        <f t="shared" si="13"/>
        <v>0</v>
      </c>
      <c r="S24" s="170">
        <f t="shared" si="13"/>
        <v>0</v>
      </c>
      <c r="T24" s="170">
        <f t="shared" si="13"/>
        <v>0</v>
      </c>
      <c r="U24" s="170">
        <f t="shared" si="13"/>
        <v>0</v>
      </c>
      <c r="V24" s="170">
        <f t="shared" si="13"/>
        <v>0</v>
      </c>
      <c r="W24" s="63">
        <f t="shared" ref="W24:W30" si="14">W14</f>
        <v>1</v>
      </c>
    </row>
    <row r="25" spans="1:32" x14ac:dyDescent="0.2">
      <c r="A25" s="238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238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238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238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238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240">
        <v>22</v>
      </c>
      <c r="B30" s="166">
        <f t="shared" si="12"/>
        <v>0</v>
      </c>
      <c r="C30" s="167">
        <f>(SUM(D30:L30)+Rules!$B$5*M30)/(9+Rules!$B$5)</f>
        <v>0</v>
      </c>
      <c r="D30" s="167">
        <f>(SUM(E30:M30)+Rules!$B$5*N30)/(9+Rules!$B$5)</f>
        <v>0</v>
      </c>
      <c r="E30" s="167">
        <f>(SUM(F30:N30)+Rules!$B$5*O30)/(9+Rules!$B$5)</f>
        <v>0</v>
      </c>
      <c r="F30" s="167">
        <f>(SUM(G30:O30)+Rules!$B$5*P30)/(9+Rules!$B$5)</f>
        <v>0</v>
      </c>
      <c r="G30" s="167">
        <f>(SUM(H30:P30)+Rules!$B$5*Q30)/(9+Rules!$B$5)</f>
        <v>0</v>
      </c>
      <c r="H30" s="167">
        <f>IF(Rules!$B$4=Rules!$F$4,0,(SUM(I30:Q30)+Rules!$B$5*R30)/(9+Rules!$B$5))</f>
        <v>0</v>
      </c>
      <c r="I30" s="171">
        <v>0</v>
      </c>
      <c r="J30" s="171">
        <v>0</v>
      </c>
      <c r="K30" s="171">
        <v>0</v>
      </c>
      <c r="L30" s="171">
        <v>0</v>
      </c>
      <c r="M30" s="167">
        <f t="shared" si="19"/>
        <v>0</v>
      </c>
      <c r="N30" s="167">
        <f t="shared" si="19"/>
        <v>0</v>
      </c>
      <c r="O30" s="167">
        <f t="shared" si="19"/>
        <v>0</v>
      </c>
      <c r="P30" s="167">
        <f t="shared" si="19"/>
        <v>0</v>
      </c>
      <c r="Q30" s="167">
        <f t="shared" si="19"/>
        <v>0</v>
      </c>
      <c r="R30" s="171">
        <f t="shared" si="20"/>
        <v>0</v>
      </c>
      <c r="S30" s="171">
        <f t="shared" si="20"/>
        <v>0</v>
      </c>
      <c r="T30" s="171">
        <f t="shared" si="20"/>
        <v>0</v>
      </c>
      <c r="U30" s="171">
        <f t="shared" si="20"/>
        <v>0</v>
      </c>
      <c r="V30" s="171">
        <f t="shared" si="20"/>
        <v>0</v>
      </c>
      <c r="W30" s="10">
        <f t="shared" si="14"/>
        <v>0</v>
      </c>
    </row>
    <row r="31" spans="1:32" ht="17" thickBot="1" x14ac:dyDescent="0.25">
      <c r="A31" s="141"/>
      <c r="B31" s="241">
        <f t="shared" ref="B31:W31" si="21">SUM(B24:B30)</f>
        <v>1</v>
      </c>
      <c r="C31" s="167">
        <f t="shared" si="21"/>
        <v>0.99999999999999978</v>
      </c>
      <c r="D31" s="167">
        <f t="shared" si="21"/>
        <v>0.99999999999999989</v>
      </c>
      <c r="E31" s="167">
        <f t="shared" si="21"/>
        <v>0.99999999999999978</v>
      </c>
      <c r="F31" s="167">
        <f t="shared" si="21"/>
        <v>1.0000000000000002</v>
      </c>
      <c r="G31" s="167">
        <f t="shared" si="21"/>
        <v>1</v>
      </c>
      <c r="H31" s="167">
        <f t="shared" si="21"/>
        <v>1</v>
      </c>
      <c r="I31" s="167">
        <f t="shared" si="21"/>
        <v>1</v>
      </c>
      <c r="J31" s="167">
        <f t="shared" si="21"/>
        <v>1</v>
      </c>
      <c r="K31" s="167">
        <f t="shared" si="21"/>
        <v>1</v>
      </c>
      <c r="L31" s="167">
        <f t="shared" si="21"/>
        <v>1</v>
      </c>
      <c r="M31" s="167">
        <f t="shared" si="21"/>
        <v>0.99999999999999989</v>
      </c>
      <c r="N31" s="167">
        <f t="shared" si="21"/>
        <v>0.99999999999999978</v>
      </c>
      <c r="O31" s="167">
        <f t="shared" si="21"/>
        <v>0.99999999999999978</v>
      </c>
      <c r="P31" s="167">
        <f t="shared" si="21"/>
        <v>0.99999999999999989</v>
      </c>
      <c r="Q31" s="167">
        <f t="shared" si="21"/>
        <v>0.99999999999999978</v>
      </c>
      <c r="R31" s="167">
        <f t="shared" si="21"/>
        <v>1</v>
      </c>
      <c r="S31" s="167">
        <f t="shared" si="21"/>
        <v>1</v>
      </c>
      <c r="T31" s="167">
        <f t="shared" si="21"/>
        <v>1</v>
      </c>
      <c r="U31" s="167">
        <f t="shared" si="21"/>
        <v>1</v>
      </c>
      <c r="V31" s="167">
        <f t="shared" si="21"/>
        <v>1</v>
      </c>
      <c r="W31" s="167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7" t="s">
        <v>33</v>
      </c>
      <c r="M33" s="70" t="s">
        <v>0</v>
      </c>
      <c r="N33" s="69" t="s">
        <v>6</v>
      </c>
      <c r="O33" s="68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60">
        <v>5</v>
      </c>
      <c r="M34" s="61">
        <f>F14</f>
        <v>0.41640366958226238</v>
      </c>
      <c r="N34" s="62">
        <f>1-M34</f>
        <v>0.58359633041773762</v>
      </c>
      <c r="O34" s="63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64">
        <v>6</v>
      </c>
      <c r="M35" s="59">
        <f>G14</f>
        <v>0.42315049208499772</v>
      </c>
      <c r="N35" s="62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64">
        <v>7</v>
      </c>
      <c r="M36" s="59">
        <f>H14</f>
        <v>0.2623124083615333</v>
      </c>
      <c r="N36" s="62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64">
        <v>8</v>
      </c>
      <c r="M37" s="59">
        <f>I14</f>
        <v>0.2447412422511914</v>
      </c>
      <c r="N37" s="62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64">
        <v>9</v>
      </c>
      <c r="M38" s="59">
        <f>J14</f>
        <v>0.2284251594344453</v>
      </c>
      <c r="N38" s="62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64">
        <v>10</v>
      </c>
      <c r="M39" s="59">
        <f>K14</f>
        <v>0.2121090766176992</v>
      </c>
      <c r="N39" s="62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65">
        <v>11</v>
      </c>
      <c r="M40" s="59">
        <f>L14</f>
        <v>0.2121090766176992</v>
      </c>
      <c r="N40" s="62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65">
        <v>12</v>
      </c>
      <c r="M41" s="59">
        <f>M14</f>
        <v>0.48267271400214923</v>
      </c>
      <c r="N41" s="62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65">
        <v>13</v>
      </c>
      <c r="M42" s="59">
        <f>N14</f>
        <v>0.51962466300199572</v>
      </c>
      <c r="N42" s="62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65">
        <v>14</v>
      </c>
      <c r="M43" s="59">
        <f>O14</f>
        <v>0.55393718707328177</v>
      </c>
      <c r="N43" s="62">
        <f t="shared" si="25"/>
        <v>0.44606281292671823</v>
      </c>
      <c r="O43" s="9">
        <f t="shared" si="22"/>
        <v>1</v>
      </c>
    </row>
    <row r="44" spans="2:15" ht="17" thickBot="1" x14ac:dyDescent="0.25">
      <c r="C44" s="73">
        <f>SUM(C34:C43)/SUM($C$34:$D$43)</f>
        <v>0.31212025922298758</v>
      </c>
      <c r="D44" s="73">
        <f>SUM(D34:D43)/SUM($C$34:$D$43)</f>
        <v>0.68787974077701231</v>
      </c>
      <c r="F44">
        <f>SUM(F34:F43)</f>
        <v>1</v>
      </c>
      <c r="L44" s="65">
        <v>15</v>
      </c>
      <c r="M44" s="59">
        <f>P14</f>
        <v>0.58579881656804733</v>
      </c>
      <c r="N44" s="62">
        <f t="shared" si="25"/>
        <v>0.41420118343195267</v>
      </c>
      <c r="O44" s="9">
        <f t="shared" si="22"/>
        <v>1</v>
      </c>
    </row>
    <row r="45" spans="2:15" ht="17" thickBot="1" x14ac:dyDescent="0.25">
      <c r="L45" s="66">
        <v>16</v>
      </c>
      <c r="M45" s="71">
        <f>Q14</f>
        <v>0.61538461538461542</v>
      </c>
      <c r="N45" s="72">
        <f t="shared" si="25"/>
        <v>0.38461538461538458</v>
      </c>
      <c r="O45" s="10">
        <f t="shared" si="22"/>
        <v>1</v>
      </c>
    </row>
    <row r="46" spans="2:15" x14ac:dyDescent="0.2">
      <c r="M46" s="73">
        <f>SUM(M34:M45)/SUM($M$34:$N$45)</f>
        <v>0.39638909341499318</v>
      </c>
      <c r="N46" s="73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4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65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4" type="noConversion"/>
  <conditionalFormatting sqref="O2:X31">
    <cfRule type="containsText" dxfId="80" priority="5" operator="containsText" text="S">
      <formula>NOT(ISERROR(SEARCH("S",O2)))</formula>
    </cfRule>
    <cfRule type="containsText" dxfId="79" priority="6" operator="containsText" text="H">
      <formula>NOT(ISERROR(SEARCH("H",O2)))</formula>
    </cfRule>
  </conditionalFormatting>
  <conditionalFormatting sqref="O35:X54">
    <cfRule type="containsText" dxfId="78" priority="3" operator="containsText" text="S">
      <formula>NOT(ISERROR(SEARCH("S",O35)))</formula>
    </cfRule>
    <cfRule type="containsText" dxfId="77" priority="4" operator="containsText" text="H">
      <formula>NOT(ISERROR(SEARCH("H",O35)))</formula>
    </cfRule>
  </conditionalFormatting>
  <conditionalFormatting sqref="O34:X34">
    <cfRule type="containsText" dxfId="76" priority="1" operator="containsText" text="S">
      <formula>NOT(ISERROR(SEARCH("S",O34)))</formula>
    </cfRule>
    <cfRule type="containsText" dxfId="75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Rules</vt:lpstr>
      <vt:lpstr>Analysis</vt:lpstr>
      <vt:lpstr>Chosen Strategy Analysis</vt:lpstr>
      <vt:lpstr>Plan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EV</vt:lpstr>
      <vt:lpstr>Summary</vt:lpstr>
      <vt:lpstr>WL Prob</vt:lpstr>
      <vt:lpstr>Summary (2)</vt:lpstr>
      <vt:lpstr>Rules!Print_Area</vt:lpstr>
      <vt:lpstr>'Summary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Microsoft Office User</cp:lastModifiedBy>
  <cp:lastPrinted>2018-04-18T03:09:55Z</cp:lastPrinted>
  <dcterms:created xsi:type="dcterms:W3CDTF">2015-03-11T15:17:04Z</dcterms:created>
  <dcterms:modified xsi:type="dcterms:W3CDTF">2022-10-09T16:47:21Z</dcterms:modified>
</cp:coreProperties>
</file>