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FB6C4A19-F110-FF47-8F1C-11D6FBC5CF2F}" xr6:coauthVersionLast="36" xr6:coauthVersionMax="45" xr10:uidLastSave="{00000000-0000-0000-0000-000000000000}"/>
  <bookViews>
    <workbookView xWindow="0" yWindow="0" windowWidth="25600" windowHeight="16000" tabRatio="867" firstSheet="29" activeTab="52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r:id="rId16"/>
    <sheet name="EV" sheetId="26" r:id="rId17"/>
    <sheet name="WL Prob" sheetId="29" r:id="rId18"/>
    <sheet name="Analysis" sheetId="35" r:id="rId19"/>
    <sheet name="1x2" sheetId="80" r:id="rId20"/>
    <sheet name="1x3" sheetId="87" r:id="rId21"/>
    <sheet name="1x4" sheetId="88" r:id="rId22"/>
    <sheet name="1x5" sheetId="90" r:id="rId23"/>
    <sheet name="1x6" sheetId="91" r:id="rId24"/>
    <sheet name="1x7" sheetId="92" r:id="rId25"/>
    <sheet name="1x8" sheetId="93" r:id="rId26"/>
    <sheet name="1x9" sheetId="94" r:id="rId27"/>
    <sheet name="1x10" sheetId="96" r:id="rId28"/>
    <sheet name="2x3" sheetId="89" r:id="rId29"/>
    <sheet name="2x4" sheetId="100" r:id="rId30"/>
    <sheet name="2x5" sheetId="101" r:id="rId31"/>
    <sheet name="2x6" sheetId="102" r:id="rId32"/>
    <sheet name="2x7" sheetId="103" r:id="rId33"/>
    <sheet name="2x8" sheetId="104" r:id="rId34"/>
    <sheet name="2x9" sheetId="105" r:id="rId35"/>
    <sheet name="2x10" sheetId="106" r:id="rId36"/>
    <sheet name="3x4" sheetId="99" r:id="rId37"/>
    <sheet name="3x5" sheetId="107" r:id="rId38"/>
    <sheet name="3x6" sheetId="108" r:id="rId39"/>
    <sheet name="3x7" sheetId="109" r:id="rId40"/>
    <sheet name="3x8" sheetId="110" r:id="rId41"/>
    <sheet name="3x9" sheetId="111" r:id="rId42"/>
    <sheet name="3x10" sheetId="112" r:id="rId43"/>
    <sheet name="4x4" sheetId="115" r:id="rId44"/>
    <sheet name="4x5" sheetId="116" r:id="rId45"/>
    <sheet name="4x6" sheetId="117" r:id="rId46"/>
    <sheet name="4x7" sheetId="118" r:id="rId47"/>
    <sheet name="4x8" sheetId="119" r:id="rId48"/>
    <sheet name="4x9" sheetId="120" r:id="rId49"/>
    <sheet name="4x10" sheetId="121" r:id="rId50"/>
    <sheet name="Strategy Summary" sheetId="95" r:id="rId51"/>
    <sheet name="Strategy Summary (2)" sheetId="113" r:id="rId52"/>
    <sheet name="Final" sheetId="97" r:id="rId53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5">'2x10'!#REF!</definedName>
    <definedName name="_xlnm.Print_Area" localSheetId="28">'2x3'!#REF!</definedName>
    <definedName name="_xlnm.Print_Area" localSheetId="29">'2x4'!#REF!</definedName>
    <definedName name="_xlnm.Print_Area" localSheetId="30">'2x5'!#REF!</definedName>
    <definedName name="_xlnm.Print_Area" localSheetId="31">'2x6'!#REF!</definedName>
    <definedName name="_xlnm.Print_Area" localSheetId="32">'2x7'!#REF!</definedName>
    <definedName name="_xlnm.Print_Area" localSheetId="33">'2x8'!#REF!</definedName>
    <definedName name="_xlnm.Print_Area" localSheetId="34">'2x9'!#REF!</definedName>
    <definedName name="_xlnm.Print_Area" localSheetId="42">'3x10'!#REF!</definedName>
    <definedName name="_xlnm.Print_Area" localSheetId="36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9">'4x10'!#REF!</definedName>
    <definedName name="_xlnm.Print_Area" localSheetId="43">'4x4'!#REF!</definedName>
    <definedName name="_xlnm.Print_Area" localSheetId="44">'4x5'!#REF!</definedName>
    <definedName name="_xlnm.Print_Area" localSheetId="45">'4x6'!#REF!</definedName>
    <definedName name="_xlnm.Print_Area" localSheetId="46">'4x7'!#REF!</definedName>
    <definedName name="_xlnm.Print_Area" localSheetId="47">'4x8'!#REF!</definedName>
    <definedName name="_xlnm.Print_Area" localSheetId="48">'4x9'!#REF!</definedName>
    <definedName name="_xlnm.Print_Area" localSheetId="52">Final!$A$1:$AH$46</definedName>
    <definedName name="_xlnm.Print_Area" localSheetId="0">Rules!$A$1:$V$43</definedName>
  </definedNames>
  <calcPr calcId="181029"/>
</workbook>
</file>

<file path=xl/calcChain.xml><?xml version="1.0" encoding="utf-8"?>
<calcChain xmlns="http://schemas.openxmlformats.org/spreadsheetml/2006/main">
  <c r="R3" i="97" l="1"/>
  <c r="V3" i="97"/>
  <c r="H24" i="32"/>
  <c r="I24" i="32"/>
  <c r="J24" i="32"/>
  <c r="H29" i="32"/>
  <c r="I29" i="32"/>
  <c r="J29" i="32"/>
  <c r="H34" i="32"/>
  <c r="I34" i="32"/>
  <c r="J34" i="32"/>
  <c r="H39" i="32"/>
  <c r="I39" i="32"/>
  <c r="J39" i="32"/>
  <c r="R53" i="121" l="1"/>
  <c r="R49" i="121"/>
  <c r="P46" i="121"/>
  <c r="Q46" i="121" s="1"/>
  <c r="P47" i="121" s="1"/>
  <c r="Q47" i="121" s="1"/>
  <c r="P48" i="121" s="1"/>
  <c r="Q48" i="121" s="1"/>
  <c r="P49" i="121" s="1"/>
  <c r="Q49" i="121" s="1"/>
  <c r="P50" i="121" s="1"/>
  <c r="Q50" i="121" s="1"/>
  <c r="P51" i="121" s="1"/>
  <c r="Q51" i="121" s="1"/>
  <c r="P52" i="121" s="1"/>
  <c r="Q52" i="121" s="1"/>
  <c r="P53" i="121" s="1"/>
  <c r="Q53" i="121" s="1"/>
  <c r="P54" i="121" s="1"/>
  <c r="Q54" i="121" s="1"/>
  <c r="B46" i="121"/>
  <c r="C46" i="121" s="1"/>
  <c r="Q45" i="121"/>
  <c r="C45" i="121"/>
  <c r="D45" i="121" s="1"/>
  <c r="P34" i="121"/>
  <c r="Q34" i="121" s="1"/>
  <c r="P35" i="121" s="1"/>
  <c r="Q35" i="121" s="1"/>
  <c r="P36" i="121" s="1"/>
  <c r="Q36" i="121" s="1"/>
  <c r="P37" i="121" s="1"/>
  <c r="Q37" i="121" s="1"/>
  <c r="P38" i="121" s="1"/>
  <c r="Q38" i="121" s="1"/>
  <c r="P39" i="121" s="1"/>
  <c r="Q39" i="121" s="1"/>
  <c r="P40" i="121" s="1"/>
  <c r="Q40" i="121" s="1"/>
  <c r="P41" i="121" s="1"/>
  <c r="Q41" i="121" s="1"/>
  <c r="P42" i="121" s="1"/>
  <c r="Q42" i="121" s="1"/>
  <c r="B34" i="121"/>
  <c r="C34" i="121" s="1"/>
  <c r="Q33" i="121"/>
  <c r="C33" i="121"/>
  <c r="D33" i="121" s="1"/>
  <c r="P23" i="121"/>
  <c r="Q23" i="121" s="1"/>
  <c r="R22" i="121"/>
  <c r="P22" i="121"/>
  <c r="Q22" i="121" s="1"/>
  <c r="R21" i="121"/>
  <c r="Q21" i="121"/>
  <c r="R33" i="121" s="1"/>
  <c r="C21" i="121"/>
  <c r="P46" i="120"/>
  <c r="Q46" i="120" s="1"/>
  <c r="B46" i="120"/>
  <c r="C46" i="120" s="1"/>
  <c r="Q45" i="120"/>
  <c r="C45" i="120"/>
  <c r="D45" i="120" s="1"/>
  <c r="P34" i="120"/>
  <c r="Q34" i="120" s="1"/>
  <c r="B34" i="120"/>
  <c r="C34" i="120" s="1"/>
  <c r="Q33" i="120"/>
  <c r="C33" i="120"/>
  <c r="D33" i="120" s="1"/>
  <c r="Q21" i="120"/>
  <c r="C21" i="120"/>
  <c r="P46" i="119"/>
  <c r="Q46" i="119" s="1"/>
  <c r="B46" i="119"/>
  <c r="C46" i="119" s="1"/>
  <c r="Q45" i="119"/>
  <c r="C45" i="119"/>
  <c r="D45" i="119" s="1"/>
  <c r="P34" i="119"/>
  <c r="Q34" i="119" s="1"/>
  <c r="P35" i="119" s="1"/>
  <c r="Q35" i="119" s="1"/>
  <c r="P36" i="119" s="1"/>
  <c r="Q36" i="119" s="1"/>
  <c r="P37" i="119" s="1"/>
  <c r="Q37" i="119" s="1"/>
  <c r="P38" i="119" s="1"/>
  <c r="Q38" i="119" s="1"/>
  <c r="P39" i="119" s="1"/>
  <c r="Q39" i="119" s="1"/>
  <c r="P40" i="119" s="1"/>
  <c r="Q40" i="119" s="1"/>
  <c r="P41" i="119" s="1"/>
  <c r="Q41" i="119" s="1"/>
  <c r="P42" i="119" s="1"/>
  <c r="Q42" i="119" s="1"/>
  <c r="D34" i="119"/>
  <c r="B34" i="119"/>
  <c r="C34" i="119" s="1"/>
  <c r="Q33" i="119"/>
  <c r="C33" i="119"/>
  <c r="D33" i="119" s="1"/>
  <c r="B22" i="119"/>
  <c r="C22" i="119" s="1"/>
  <c r="B23" i="119" s="1"/>
  <c r="C23" i="119" s="1"/>
  <c r="B24" i="119" s="1"/>
  <c r="C24" i="119" s="1"/>
  <c r="B25" i="119" s="1"/>
  <c r="C25" i="119" s="1"/>
  <c r="B26" i="119" s="1"/>
  <c r="C26" i="119" s="1"/>
  <c r="B27" i="119" s="1"/>
  <c r="C27" i="119" s="1"/>
  <c r="B28" i="119" s="1"/>
  <c r="C28" i="119" s="1"/>
  <c r="B29" i="119" s="1"/>
  <c r="C29" i="119" s="1"/>
  <c r="B30" i="119" s="1"/>
  <c r="C30" i="119" s="1"/>
  <c r="R21" i="119"/>
  <c r="Q21" i="119"/>
  <c r="R33" i="119" s="1"/>
  <c r="D21" i="119"/>
  <c r="C21" i="119"/>
  <c r="D22" i="119" s="1"/>
  <c r="R46" i="118"/>
  <c r="P46" i="118"/>
  <c r="Q46" i="118" s="1"/>
  <c r="B46" i="118"/>
  <c r="C46" i="118" s="1"/>
  <c r="Q45" i="118"/>
  <c r="C45" i="118"/>
  <c r="D45" i="118" s="1"/>
  <c r="P36" i="118"/>
  <c r="Q36" i="118" s="1"/>
  <c r="P37" i="118" s="1"/>
  <c r="Q37" i="118" s="1"/>
  <c r="P38" i="118" s="1"/>
  <c r="Q38" i="118" s="1"/>
  <c r="P39" i="118" s="1"/>
  <c r="Q39" i="118" s="1"/>
  <c r="P40" i="118" s="1"/>
  <c r="Q40" i="118" s="1"/>
  <c r="P41" i="118" s="1"/>
  <c r="Q41" i="118" s="1"/>
  <c r="P42" i="118" s="1"/>
  <c r="Q42" i="118" s="1"/>
  <c r="P35" i="118"/>
  <c r="Q35" i="118" s="1"/>
  <c r="P34" i="118"/>
  <c r="Q34" i="118" s="1"/>
  <c r="R34" i="118" s="1"/>
  <c r="B34" i="118"/>
  <c r="C34" i="118" s="1"/>
  <c r="Q33" i="118"/>
  <c r="C33" i="118"/>
  <c r="D33" i="118" s="1"/>
  <c r="P23" i="118"/>
  <c r="Q23" i="118" s="1"/>
  <c r="P24" i="118" s="1"/>
  <c r="Q24" i="118" s="1"/>
  <c r="P25" i="118" s="1"/>
  <c r="Q25" i="118" s="1"/>
  <c r="P26" i="118" s="1"/>
  <c r="Q26" i="118" s="1"/>
  <c r="P27" i="118" s="1"/>
  <c r="Q27" i="118" s="1"/>
  <c r="P28" i="118" s="1"/>
  <c r="Q28" i="118" s="1"/>
  <c r="P29" i="118" s="1"/>
  <c r="Q29" i="118" s="1"/>
  <c r="P30" i="118" s="1"/>
  <c r="Q30" i="118" s="1"/>
  <c r="R22" i="118"/>
  <c r="P22" i="118"/>
  <c r="Q22" i="118" s="1"/>
  <c r="R26" i="118" s="1"/>
  <c r="Q21" i="118"/>
  <c r="R33" i="118" s="1"/>
  <c r="C21" i="118"/>
  <c r="R54" i="117"/>
  <c r="R53" i="117"/>
  <c r="R50" i="117"/>
  <c r="R49" i="117"/>
  <c r="R46" i="117"/>
  <c r="P46" i="117"/>
  <c r="Q46" i="117" s="1"/>
  <c r="P47" i="117" s="1"/>
  <c r="Q47" i="117" s="1"/>
  <c r="P48" i="117" s="1"/>
  <c r="Q48" i="117" s="1"/>
  <c r="P49" i="117" s="1"/>
  <c r="Q49" i="117" s="1"/>
  <c r="P50" i="117" s="1"/>
  <c r="Q50" i="117" s="1"/>
  <c r="P51" i="117" s="1"/>
  <c r="Q51" i="117" s="1"/>
  <c r="P52" i="117" s="1"/>
  <c r="Q52" i="117" s="1"/>
  <c r="P53" i="117" s="1"/>
  <c r="Q53" i="117" s="1"/>
  <c r="P54" i="117" s="1"/>
  <c r="Q54" i="117" s="1"/>
  <c r="B46" i="117"/>
  <c r="C46" i="117" s="1"/>
  <c r="Q45" i="117"/>
  <c r="C45" i="117"/>
  <c r="D45" i="117" s="1"/>
  <c r="P34" i="117"/>
  <c r="Q34" i="117" s="1"/>
  <c r="P35" i="117" s="1"/>
  <c r="Q35" i="117" s="1"/>
  <c r="P36" i="117" s="1"/>
  <c r="Q36" i="117" s="1"/>
  <c r="P37" i="117" s="1"/>
  <c r="Q37" i="117" s="1"/>
  <c r="P38" i="117" s="1"/>
  <c r="Q38" i="117" s="1"/>
  <c r="P39" i="117" s="1"/>
  <c r="Q39" i="117" s="1"/>
  <c r="P40" i="117" s="1"/>
  <c r="Q40" i="117" s="1"/>
  <c r="P41" i="117" s="1"/>
  <c r="Q41" i="117" s="1"/>
  <c r="P42" i="117" s="1"/>
  <c r="Q42" i="117" s="1"/>
  <c r="B34" i="117"/>
  <c r="C34" i="117" s="1"/>
  <c r="Q33" i="117"/>
  <c r="C33" i="117"/>
  <c r="Q21" i="117"/>
  <c r="R33" i="117" s="1"/>
  <c r="D21" i="117"/>
  <c r="C21" i="117"/>
  <c r="B46" i="116"/>
  <c r="C46" i="116" s="1"/>
  <c r="Q45" i="116"/>
  <c r="D45" i="116"/>
  <c r="C45" i="116"/>
  <c r="C35" i="116"/>
  <c r="P34" i="116"/>
  <c r="Q34" i="116" s="1"/>
  <c r="P35" i="116" s="1"/>
  <c r="Q35" i="116" s="1"/>
  <c r="P36" i="116" s="1"/>
  <c r="Q36" i="116" s="1"/>
  <c r="P37" i="116" s="1"/>
  <c r="Q37" i="116" s="1"/>
  <c r="P38" i="116" s="1"/>
  <c r="Q38" i="116" s="1"/>
  <c r="P39" i="116" s="1"/>
  <c r="Q39" i="116" s="1"/>
  <c r="P40" i="116" s="1"/>
  <c r="Q40" i="116" s="1"/>
  <c r="P41" i="116" s="1"/>
  <c r="Q41" i="116" s="1"/>
  <c r="P42" i="116" s="1"/>
  <c r="Q42" i="116" s="1"/>
  <c r="C34" i="116"/>
  <c r="B34" i="116"/>
  <c r="B35" i="116" s="1"/>
  <c r="B36" i="116" s="1"/>
  <c r="B37" i="116" s="1"/>
  <c r="B38" i="116" s="1"/>
  <c r="B39" i="116" s="1"/>
  <c r="B40" i="116" s="1"/>
  <c r="B41" i="116" s="1"/>
  <c r="B42" i="116" s="1"/>
  <c r="C42" i="116" s="1"/>
  <c r="Q33" i="116"/>
  <c r="R42" i="116" s="1"/>
  <c r="C33" i="116"/>
  <c r="D33" i="116" s="1"/>
  <c r="Q21" i="116"/>
  <c r="C21" i="116"/>
  <c r="C46" i="115"/>
  <c r="B46" i="115"/>
  <c r="B47" i="115" s="1"/>
  <c r="B48" i="115" s="1"/>
  <c r="Q45" i="115"/>
  <c r="P46" i="115" s="1"/>
  <c r="Q46" i="115" s="1"/>
  <c r="D45" i="115"/>
  <c r="C45" i="115"/>
  <c r="C34" i="115"/>
  <c r="B34" i="115"/>
  <c r="B35" i="115" s="1"/>
  <c r="Q33" i="115"/>
  <c r="P34" i="115" s="1"/>
  <c r="Q34" i="115" s="1"/>
  <c r="P35" i="115" s="1"/>
  <c r="Q35" i="115" s="1"/>
  <c r="P36" i="115" s="1"/>
  <c r="Q36" i="115" s="1"/>
  <c r="P37" i="115" s="1"/>
  <c r="Q37" i="115" s="1"/>
  <c r="P38" i="115" s="1"/>
  <c r="Q38" i="115" s="1"/>
  <c r="P39" i="115" s="1"/>
  <c r="Q39" i="115" s="1"/>
  <c r="P40" i="115" s="1"/>
  <c r="Q40" i="115" s="1"/>
  <c r="P41" i="115" s="1"/>
  <c r="Q41" i="115" s="1"/>
  <c r="P42" i="115" s="1"/>
  <c r="Q42" i="115" s="1"/>
  <c r="C33" i="115"/>
  <c r="R21" i="115"/>
  <c r="Q21" i="115"/>
  <c r="C21" i="115"/>
  <c r="R24" i="121" l="1"/>
  <c r="P24" i="121"/>
  <c r="Q24" i="121" s="1"/>
  <c r="B22" i="121"/>
  <c r="C22" i="121" s="1"/>
  <c r="D21" i="121"/>
  <c r="B47" i="121"/>
  <c r="R23" i="121"/>
  <c r="D34" i="121"/>
  <c r="R48" i="121"/>
  <c r="R52" i="121"/>
  <c r="R42" i="121"/>
  <c r="R47" i="121"/>
  <c r="R51" i="121"/>
  <c r="R45" i="121"/>
  <c r="R46" i="121"/>
  <c r="R50" i="121"/>
  <c r="R54" i="121"/>
  <c r="R34" i="121"/>
  <c r="B35" i="121"/>
  <c r="R35" i="121"/>
  <c r="R36" i="121"/>
  <c r="R37" i="121"/>
  <c r="R38" i="121"/>
  <c r="R39" i="121"/>
  <c r="R40" i="121"/>
  <c r="R41" i="121"/>
  <c r="D46" i="121"/>
  <c r="R33" i="120"/>
  <c r="R34" i="120"/>
  <c r="P47" i="120"/>
  <c r="Q47" i="120" s="1"/>
  <c r="P48" i="120" s="1"/>
  <c r="Q48" i="120" s="1"/>
  <c r="P49" i="120" s="1"/>
  <c r="Q49" i="120" s="1"/>
  <c r="P50" i="120" s="1"/>
  <c r="Q50" i="120" s="1"/>
  <c r="P51" i="120" s="1"/>
  <c r="Q51" i="120" s="1"/>
  <c r="P52" i="120" s="1"/>
  <c r="Q52" i="120" s="1"/>
  <c r="P53" i="120" s="1"/>
  <c r="Q53" i="120" s="1"/>
  <c r="P54" i="120" s="1"/>
  <c r="Q54" i="120" s="1"/>
  <c r="R51" i="120"/>
  <c r="R48" i="120"/>
  <c r="R47" i="120"/>
  <c r="D21" i="120"/>
  <c r="P22" i="120"/>
  <c r="Q22" i="120" s="1"/>
  <c r="P23" i="120" s="1"/>
  <c r="Q23" i="120" s="1"/>
  <c r="P24" i="120" s="1"/>
  <c r="Q24" i="120" s="1"/>
  <c r="P25" i="120" s="1"/>
  <c r="Q25" i="120" s="1"/>
  <c r="P26" i="120" s="1"/>
  <c r="Q26" i="120" s="1"/>
  <c r="P27" i="120" s="1"/>
  <c r="Q27" i="120" s="1"/>
  <c r="P28" i="120" s="1"/>
  <c r="Q28" i="120" s="1"/>
  <c r="P29" i="120" s="1"/>
  <c r="Q29" i="120" s="1"/>
  <c r="P30" i="120" s="1"/>
  <c r="Q30" i="120" s="1"/>
  <c r="D29" i="120"/>
  <c r="R45" i="120"/>
  <c r="R46" i="120"/>
  <c r="R21" i="120"/>
  <c r="B22" i="120"/>
  <c r="C22" i="120" s="1"/>
  <c r="B23" i="120" s="1"/>
  <c r="C23" i="120" s="1"/>
  <c r="B24" i="120" s="1"/>
  <c r="C24" i="120" s="1"/>
  <c r="B25" i="120" s="1"/>
  <c r="C25" i="120" s="1"/>
  <c r="B26" i="120" s="1"/>
  <c r="C26" i="120" s="1"/>
  <c r="B27" i="120" s="1"/>
  <c r="C27" i="120" s="1"/>
  <c r="B28" i="120" s="1"/>
  <c r="C28" i="120" s="1"/>
  <c r="B29" i="120" s="1"/>
  <c r="C29" i="120" s="1"/>
  <c r="B30" i="120" s="1"/>
  <c r="C30" i="120" s="1"/>
  <c r="R22" i="120"/>
  <c r="B47" i="120"/>
  <c r="D22" i="120"/>
  <c r="D24" i="120"/>
  <c r="D26" i="120"/>
  <c r="D28" i="120"/>
  <c r="D34" i="120"/>
  <c r="P35" i="120"/>
  <c r="Q35" i="120" s="1"/>
  <c r="P36" i="120" s="1"/>
  <c r="Q36" i="120" s="1"/>
  <c r="P37" i="120" s="1"/>
  <c r="Q37" i="120" s="1"/>
  <c r="P38" i="120" s="1"/>
  <c r="Q38" i="120" s="1"/>
  <c r="P39" i="120" s="1"/>
  <c r="Q39" i="120" s="1"/>
  <c r="P40" i="120" s="1"/>
  <c r="Q40" i="120" s="1"/>
  <c r="P41" i="120" s="1"/>
  <c r="Q41" i="120" s="1"/>
  <c r="P42" i="120" s="1"/>
  <c r="Q42" i="120" s="1"/>
  <c r="B35" i="120"/>
  <c r="D46" i="120"/>
  <c r="R42" i="119"/>
  <c r="P47" i="119"/>
  <c r="Q47" i="119" s="1"/>
  <c r="P48" i="119" s="1"/>
  <c r="Q48" i="119" s="1"/>
  <c r="P49" i="119" s="1"/>
  <c r="Q49" i="119" s="1"/>
  <c r="P50" i="119" s="1"/>
  <c r="Q50" i="119" s="1"/>
  <c r="P51" i="119" s="1"/>
  <c r="Q51" i="119" s="1"/>
  <c r="P52" i="119" s="1"/>
  <c r="Q52" i="119" s="1"/>
  <c r="P53" i="119" s="1"/>
  <c r="Q53" i="119" s="1"/>
  <c r="P54" i="119" s="1"/>
  <c r="Q54" i="119" s="1"/>
  <c r="R51" i="119"/>
  <c r="R45" i="119"/>
  <c r="R46" i="119"/>
  <c r="R50" i="119"/>
  <c r="D30" i="119"/>
  <c r="D29" i="119"/>
  <c r="D28" i="119"/>
  <c r="D27" i="119"/>
  <c r="D26" i="119"/>
  <c r="D25" i="119"/>
  <c r="D24" i="119"/>
  <c r="D23" i="119"/>
  <c r="B47" i="119"/>
  <c r="P22" i="119"/>
  <c r="Q22" i="119" s="1"/>
  <c r="P23" i="119" s="1"/>
  <c r="Q23" i="119" s="1"/>
  <c r="P24" i="119" s="1"/>
  <c r="Q24" i="119" s="1"/>
  <c r="P25" i="119" s="1"/>
  <c r="Q25" i="119" s="1"/>
  <c r="P26" i="119" s="1"/>
  <c r="Q26" i="119" s="1"/>
  <c r="P27" i="119" s="1"/>
  <c r="Q27" i="119" s="1"/>
  <c r="P28" i="119" s="1"/>
  <c r="Q28" i="119" s="1"/>
  <c r="P29" i="119" s="1"/>
  <c r="Q29" i="119" s="1"/>
  <c r="P30" i="119" s="1"/>
  <c r="Q30" i="119" s="1"/>
  <c r="R48" i="119"/>
  <c r="R52" i="119"/>
  <c r="R34" i="119"/>
  <c r="B35" i="119"/>
  <c r="R35" i="119"/>
  <c r="R36" i="119"/>
  <c r="R37" i="119"/>
  <c r="R38" i="119"/>
  <c r="R39" i="119"/>
  <c r="R40" i="119"/>
  <c r="R41" i="119"/>
  <c r="D46" i="119"/>
  <c r="R24" i="118"/>
  <c r="R30" i="118"/>
  <c r="R45" i="118"/>
  <c r="R29" i="118"/>
  <c r="B47" i="118"/>
  <c r="D21" i="118"/>
  <c r="R23" i="118"/>
  <c r="R25" i="118"/>
  <c r="R28" i="118"/>
  <c r="D34" i="118"/>
  <c r="R21" i="118"/>
  <c r="B22" i="118"/>
  <c r="C22" i="118" s="1"/>
  <c r="B23" i="118" s="1"/>
  <c r="C23" i="118" s="1"/>
  <c r="B24" i="118" s="1"/>
  <c r="C24" i="118" s="1"/>
  <c r="B25" i="118" s="1"/>
  <c r="C25" i="118" s="1"/>
  <c r="B26" i="118" s="1"/>
  <c r="C26" i="118" s="1"/>
  <c r="B27" i="118" s="1"/>
  <c r="C27" i="118" s="1"/>
  <c r="B28" i="118" s="1"/>
  <c r="C28" i="118" s="1"/>
  <c r="B29" i="118" s="1"/>
  <c r="C29" i="118" s="1"/>
  <c r="B30" i="118" s="1"/>
  <c r="C30" i="118" s="1"/>
  <c r="R27" i="118"/>
  <c r="R42" i="118"/>
  <c r="P47" i="118"/>
  <c r="Q47" i="118" s="1"/>
  <c r="B35" i="118"/>
  <c r="R35" i="118"/>
  <c r="R36" i="118"/>
  <c r="R37" i="118"/>
  <c r="R38" i="118"/>
  <c r="R39" i="118"/>
  <c r="R40" i="118"/>
  <c r="R41" i="118"/>
  <c r="D46" i="118"/>
  <c r="D33" i="117"/>
  <c r="B47" i="117"/>
  <c r="R21" i="117"/>
  <c r="B22" i="117"/>
  <c r="C22" i="117" s="1"/>
  <c r="B23" i="117" s="1"/>
  <c r="C23" i="117" s="1"/>
  <c r="B24" i="117" s="1"/>
  <c r="C24" i="117" s="1"/>
  <c r="B25" i="117" s="1"/>
  <c r="C25" i="117" s="1"/>
  <c r="B26" i="117" s="1"/>
  <c r="C26" i="117" s="1"/>
  <c r="B27" i="117" s="1"/>
  <c r="C27" i="117" s="1"/>
  <c r="B28" i="117" s="1"/>
  <c r="C28" i="117" s="1"/>
  <c r="B29" i="117" s="1"/>
  <c r="C29" i="117" s="1"/>
  <c r="B30" i="117" s="1"/>
  <c r="C30" i="117" s="1"/>
  <c r="D24" i="117"/>
  <c r="R24" i="117"/>
  <c r="D34" i="117"/>
  <c r="R48" i="117"/>
  <c r="R52" i="117"/>
  <c r="P22" i="117"/>
  <c r="Q22" i="117" s="1"/>
  <c r="P23" i="117" s="1"/>
  <c r="Q23" i="117" s="1"/>
  <c r="P24" i="117" s="1"/>
  <c r="Q24" i="117" s="1"/>
  <c r="P25" i="117" s="1"/>
  <c r="Q25" i="117" s="1"/>
  <c r="P26" i="117" s="1"/>
  <c r="Q26" i="117" s="1"/>
  <c r="P27" i="117" s="1"/>
  <c r="Q27" i="117" s="1"/>
  <c r="P28" i="117" s="1"/>
  <c r="Q28" i="117" s="1"/>
  <c r="P29" i="117" s="1"/>
  <c r="Q29" i="117" s="1"/>
  <c r="P30" i="117" s="1"/>
  <c r="Q30" i="117" s="1"/>
  <c r="R25" i="117"/>
  <c r="R42" i="117"/>
  <c r="R47" i="117"/>
  <c r="R51" i="117"/>
  <c r="D30" i="117"/>
  <c r="D29" i="117"/>
  <c r="D28" i="117"/>
  <c r="D27" i="117"/>
  <c r="D26" i="117"/>
  <c r="D22" i="117"/>
  <c r="R22" i="117"/>
  <c r="R27" i="117"/>
  <c r="R29" i="117"/>
  <c r="R45" i="117"/>
  <c r="R34" i="117"/>
  <c r="B35" i="117"/>
  <c r="R35" i="117"/>
  <c r="R36" i="117"/>
  <c r="R37" i="117"/>
  <c r="R38" i="117"/>
  <c r="R39" i="117"/>
  <c r="R40" i="117"/>
  <c r="R41" i="117"/>
  <c r="D46" i="117"/>
  <c r="C36" i="116"/>
  <c r="D38" i="116" s="1"/>
  <c r="C40" i="116"/>
  <c r="R33" i="116"/>
  <c r="P22" i="116"/>
  <c r="Q22" i="116" s="1"/>
  <c r="R45" i="116"/>
  <c r="C39" i="116"/>
  <c r="R21" i="116"/>
  <c r="B22" i="116"/>
  <c r="C22" i="116" s="1"/>
  <c r="B23" i="116" s="1"/>
  <c r="C23" i="116" s="1"/>
  <c r="B24" i="116" s="1"/>
  <c r="C24" i="116" s="1"/>
  <c r="B25" i="116" s="1"/>
  <c r="C25" i="116" s="1"/>
  <c r="B26" i="116" s="1"/>
  <c r="C26" i="116" s="1"/>
  <c r="B27" i="116" s="1"/>
  <c r="C27" i="116" s="1"/>
  <c r="B28" i="116" s="1"/>
  <c r="C28" i="116" s="1"/>
  <c r="B29" i="116" s="1"/>
  <c r="C29" i="116" s="1"/>
  <c r="B30" i="116" s="1"/>
  <c r="C30" i="116" s="1"/>
  <c r="R22" i="116"/>
  <c r="C38" i="116"/>
  <c r="D21" i="116"/>
  <c r="C37" i="116"/>
  <c r="C41" i="116"/>
  <c r="P46" i="116"/>
  <c r="Q46" i="116" s="1"/>
  <c r="P47" i="116" s="1"/>
  <c r="Q47" i="116" s="1"/>
  <c r="P48" i="116" s="1"/>
  <c r="Q48" i="116" s="1"/>
  <c r="P49" i="116" s="1"/>
  <c r="Q49" i="116" s="1"/>
  <c r="P50" i="116" s="1"/>
  <c r="Q50" i="116" s="1"/>
  <c r="P51" i="116" s="1"/>
  <c r="Q51" i="116" s="1"/>
  <c r="P52" i="116" s="1"/>
  <c r="Q52" i="116" s="1"/>
  <c r="P53" i="116" s="1"/>
  <c r="Q53" i="116" s="1"/>
  <c r="P54" i="116" s="1"/>
  <c r="Q54" i="116" s="1"/>
  <c r="R46" i="116"/>
  <c r="D34" i="116"/>
  <c r="D35" i="116"/>
  <c r="D36" i="116"/>
  <c r="D37" i="116"/>
  <c r="D40" i="116"/>
  <c r="D41" i="116"/>
  <c r="B47" i="116"/>
  <c r="R34" i="116"/>
  <c r="R35" i="116"/>
  <c r="R36" i="116"/>
  <c r="R37" i="116"/>
  <c r="R38" i="116"/>
  <c r="R39" i="116"/>
  <c r="R40" i="116"/>
  <c r="R41" i="116"/>
  <c r="D46" i="116"/>
  <c r="D33" i="115"/>
  <c r="P47" i="115"/>
  <c r="Q47" i="115" s="1"/>
  <c r="P48" i="115" s="1"/>
  <c r="Q48" i="115" s="1"/>
  <c r="P49" i="115" s="1"/>
  <c r="Q49" i="115" s="1"/>
  <c r="P50" i="115" s="1"/>
  <c r="Q50" i="115" s="1"/>
  <c r="P51" i="115" s="1"/>
  <c r="Q51" i="115" s="1"/>
  <c r="P52" i="115" s="1"/>
  <c r="Q52" i="115" s="1"/>
  <c r="P53" i="115" s="1"/>
  <c r="Q53" i="115" s="1"/>
  <c r="P54" i="115" s="1"/>
  <c r="Q54" i="115" s="1"/>
  <c r="R50" i="115"/>
  <c r="R47" i="115"/>
  <c r="R46" i="115"/>
  <c r="C35" i="115"/>
  <c r="B36" i="115"/>
  <c r="D35" i="115"/>
  <c r="D21" i="115"/>
  <c r="R33" i="115"/>
  <c r="P22" i="115"/>
  <c r="Q22" i="115" s="1"/>
  <c r="R45" i="115"/>
  <c r="B22" i="115"/>
  <c r="C22" i="115" s="1"/>
  <c r="B23" i="115" s="1"/>
  <c r="C23" i="115" s="1"/>
  <c r="B24" i="115" s="1"/>
  <c r="C24" i="115" s="1"/>
  <c r="B25" i="115" s="1"/>
  <c r="C25" i="115" s="1"/>
  <c r="B26" i="115" s="1"/>
  <c r="C26" i="115" s="1"/>
  <c r="B27" i="115" s="1"/>
  <c r="C27" i="115" s="1"/>
  <c r="B28" i="115" s="1"/>
  <c r="C28" i="115" s="1"/>
  <c r="B29" i="115" s="1"/>
  <c r="C29" i="115" s="1"/>
  <c r="B30" i="115" s="1"/>
  <c r="C30" i="115" s="1"/>
  <c r="R42" i="115"/>
  <c r="R41" i="115"/>
  <c r="R40" i="115"/>
  <c r="R39" i="115"/>
  <c r="R38" i="115"/>
  <c r="R37" i="115"/>
  <c r="R36" i="115"/>
  <c r="R35" i="115"/>
  <c r="R34" i="115"/>
  <c r="C48" i="115"/>
  <c r="B49" i="115"/>
  <c r="C47" i="115"/>
  <c r="D34" i="115"/>
  <c r="R54" i="115"/>
  <c r="D46" i="115"/>
  <c r="Z46" i="97"/>
  <c r="AA46" i="97"/>
  <c r="AB46" i="97"/>
  <c r="AC46" i="97"/>
  <c r="AD46" i="97"/>
  <c r="AE46" i="97"/>
  <c r="AF46" i="97"/>
  <c r="AG46" i="97"/>
  <c r="AH45" i="97"/>
  <c r="Y46" i="97"/>
  <c r="AD45" i="97"/>
  <c r="AE45" i="97"/>
  <c r="AF45" i="97"/>
  <c r="AG45" i="97"/>
  <c r="Z45" i="97"/>
  <c r="AA45" i="97"/>
  <c r="AB45" i="97"/>
  <c r="AC45" i="97"/>
  <c r="Y45" i="97"/>
  <c r="D29" i="121" l="1"/>
  <c r="B23" i="121"/>
  <c r="C23" i="121" s="1"/>
  <c r="B24" i="121" s="1"/>
  <c r="C24" i="121" s="1"/>
  <c r="B25" i="121" s="1"/>
  <c r="C25" i="121" s="1"/>
  <c r="B26" i="121" s="1"/>
  <c r="C26" i="121" s="1"/>
  <c r="B27" i="121" s="1"/>
  <c r="C27" i="121" s="1"/>
  <c r="B28" i="121" s="1"/>
  <c r="C28" i="121" s="1"/>
  <c r="B29" i="121" s="1"/>
  <c r="C29" i="121" s="1"/>
  <c r="B30" i="121" s="1"/>
  <c r="C30" i="121" s="1"/>
  <c r="D26" i="121"/>
  <c r="D22" i="121"/>
  <c r="C35" i="121"/>
  <c r="B36" i="121"/>
  <c r="C47" i="121"/>
  <c r="B48" i="121"/>
  <c r="D27" i="121"/>
  <c r="P25" i="121"/>
  <c r="Q25" i="121" s="1"/>
  <c r="R42" i="120"/>
  <c r="C47" i="120"/>
  <c r="B48" i="120"/>
  <c r="R26" i="120"/>
  <c r="D25" i="120"/>
  <c r="R49" i="120"/>
  <c r="R53" i="120"/>
  <c r="R37" i="120"/>
  <c r="R41" i="120"/>
  <c r="R25" i="120"/>
  <c r="R24" i="120"/>
  <c r="D23" i="120"/>
  <c r="R50" i="120"/>
  <c r="R54" i="120"/>
  <c r="R38" i="120"/>
  <c r="R23" i="120"/>
  <c r="D30" i="120"/>
  <c r="R35" i="120"/>
  <c r="R39" i="120"/>
  <c r="R29" i="120"/>
  <c r="C35" i="120"/>
  <c r="B36" i="120"/>
  <c r="R28" i="120"/>
  <c r="D27" i="120"/>
  <c r="R52" i="120"/>
  <c r="R36" i="120"/>
  <c r="R40" i="120"/>
  <c r="R27" i="120"/>
  <c r="R30" i="120"/>
  <c r="R25" i="119"/>
  <c r="R54" i="119"/>
  <c r="R23" i="119"/>
  <c r="C35" i="119"/>
  <c r="B36" i="119"/>
  <c r="R22" i="119"/>
  <c r="R28" i="119"/>
  <c r="R49" i="119"/>
  <c r="R30" i="119"/>
  <c r="R47" i="119"/>
  <c r="R24" i="119"/>
  <c r="C47" i="119"/>
  <c r="B48" i="119"/>
  <c r="R29" i="119"/>
  <c r="R26" i="119"/>
  <c r="R53" i="119"/>
  <c r="R27" i="119"/>
  <c r="C47" i="118"/>
  <c r="B48" i="118"/>
  <c r="D27" i="118"/>
  <c r="C35" i="118"/>
  <c r="B36" i="118"/>
  <c r="P48" i="118"/>
  <c r="Q48" i="118" s="1"/>
  <c r="R48" i="118"/>
  <c r="D26" i="118"/>
  <c r="D28" i="118"/>
  <c r="D24" i="118"/>
  <c r="D29" i="118"/>
  <c r="R47" i="118"/>
  <c r="D25" i="118"/>
  <c r="D23" i="118"/>
  <c r="D22" i="118"/>
  <c r="D30" i="118"/>
  <c r="C35" i="117"/>
  <c r="B36" i="117"/>
  <c r="R26" i="117"/>
  <c r="C47" i="117"/>
  <c r="B48" i="117"/>
  <c r="R23" i="117"/>
  <c r="R30" i="117"/>
  <c r="D23" i="117"/>
  <c r="D25" i="117"/>
  <c r="R28" i="117"/>
  <c r="C47" i="116"/>
  <c r="B48" i="116"/>
  <c r="D39" i="116"/>
  <c r="R48" i="116"/>
  <c r="R52" i="116"/>
  <c r="D22" i="116"/>
  <c r="D26" i="116"/>
  <c r="D30" i="116"/>
  <c r="R51" i="116"/>
  <c r="D42" i="116"/>
  <c r="R49" i="116"/>
  <c r="R53" i="116"/>
  <c r="D23" i="116"/>
  <c r="D27" i="116"/>
  <c r="R50" i="116"/>
  <c r="R54" i="116"/>
  <c r="D24" i="116"/>
  <c r="D28" i="116"/>
  <c r="R47" i="116"/>
  <c r="P23" i="116"/>
  <c r="Q23" i="116" s="1"/>
  <c r="D25" i="116"/>
  <c r="D29" i="116"/>
  <c r="C36" i="115"/>
  <c r="B37" i="115"/>
  <c r="D24" i="115"/>
  <c r="D28" i="115"/>
  <c r="R51" i="115"/>
  <c r="D48" i="115"/>
  <c r="C49" i="115"/>
  <c r="B50" i="115"/>
  <c r="D25" i="115"/>
  <c r="D29" i="115"/>
  <c r="R48" i="115"/>
  <c r="R52" i="115"/>
  <c r="D47" i="115"/>
  <c r="P23" i="115"/>
  <c r="Q23" i="115" s="1"/>
  <c r="R23" i="115" s="1"/>
  <c r="R22" i="115"/>
  <c r="D22" i="115"/>
  <c r="D26" i="115"/>
  <c r="D30" i="115"/>
  <c r="R49" i="115"/>
  <c r="R53" i="115"/>
  <c r="D23" i="115"/>
  <c r="D27" i="115"/>
  <c r="R27" i="121" l="1"/>
  <c r="D47" i="121"/>
  <c r="C36" i="121"/>
  <c r="B37" i="121"/>
  <c r="D23" i="121"/>
  <c r="D30" i="121"/>
  <c r="C48" i="121"/>
  <c r="B49" i="121"/>
  <c r="D28" i="121"/>
  <c r="D36" i="121"/>
  <c r="D35" i="121"/>
  <c r="D24" i="121"/>
  <c r="P26" i="121"/>
  <c r="Q26" i="121" s="1"/>
  <c r="P27" i="121" s="1"/>
  <c r="Q27" i="121" s="1"/>
  <c r="P28" i="121" s="1"/>
  <c r="Q28" i="121" s="1"/>
  <c r="P29" i="121" s="1"/>
  <c r="Q29" i="121" s="1"/>
  <c r="P30" i="121" s="1"/>
  <c r="Q30" i="121" s="1"/>
  <c r="R25" i="121"/>
  <c r="R26" i="121"/>
  <c r="R28" i="121"/>
  <c r="D25" i="121"/>
  <c r="C48" i="120"/>
  <c r="B49" i="120"/>
  <c r="D47" i="120"/>
  <c r="D48" i="120"/>
  <c r="C36" i="120"/>
  <c r="D36" i="120" s="1"/>
  <c r="B37" i="120"/>
  <c r="D35" i="120"/>
  <c r="C48" i="119"/>
  <c r="B49" i="119"/>
  <c r="D35" i="119"/>
  <c r="D48" i="119"/>
  <c r="D47" i="119"/>
  <c r="C36" i="119"/>
  <c r="B37" i="119"/>
  <c r="C36" i="118"/>
  <c r="B37" i="118"/>
  <c r="C48" i="118"/>
  <c r="B49" i="118"/>
  <c r="D35" i="118"/>
  <c r="D36" i="118"/>
  <c r="D48" i="118"/>
  <c r="D47" i="118"/>
  <c r="P49" i="118"/>
  <c r="Q49" i="118" s="1"/>
  <c r="C48" i="117"/>
  <c r="B49" i="117"/>
  <c r="C36" i="117"/>
  <c r="B37" i="117"/>
  <c r="D47" i="117"/>
  <c r="D48" i="117"/>
  <c r="D35" i="117"/>
  <c r="P24" i="116"/>
  <c r="Q24" i="116" s="1"/>
  <c r="P25" i="116" s="1"/>
  <c r="Q25" i="116" s="1"/>
  <c r="P26" i="116" s="1"/>
  <c r="Q26" i="116" s="1"/>
  <c r="P27" i="116" s="1"/>
  <c r="Q27" i="116" s="1"/>
  <c r="P28" i="116" s="1"/>
  <c r="Q28" i="116" s="1"/>
  <c r="P29" i="116" s="1"/>
  <c r="Q29" i="116" s="1"/>
  <c r="P30" i="116" s="1"/>
  <c r="Q30" i="116" s="1"/>
  <c r="R28" i="116"/>
  <c r="R27" i="116"/>
  <c r="C48" i="116"/>
  <c r="B49" i="116"/>
  <c r="R26" i="116"/>
  <c r="R29" i="116"/>
  <c r="D47" i="116"/>
  <c r="D48" i="116"/>
  <c r="R23" i="116"/>
  <c r="R24" i="116"/>
  <c r="R25" i="116"/>
  <c r="R30" i="116"/>
  <c r="D49" i="115"/>
  <c r="C37" i="115"/>
  <c r="B38" i="115"/>
  <c r="P24" i="115"/>
  <c r="Q24" i="115" s="1"/>
  <c r="D36" i="115"/>
  <c r="D37" i="115"/>
  <c r="C50" i="115"/>
  <c r="B51" i="115"/>
  <c r="A29" i="32"/>
  <c r="A28" i="32"/>
  <c r="A34" i="32"/>
  <c r="A33" i="32"/>
  <c r="A38" i="32"/>
  <c r="A23" i="32"/>
  <c r="A24" i="32"/>
  <c r="A39" i="32"/>
  <c r="R30" i="121" l="1"/>
  <c r="C37" i="121"/>
  <c r="B38" i="121"/>
  <c r="D48" i="121"/>
  <c r="R29" i="121"/>
  <c r="C49" i="121"/>
  <c r="B50" i="121"/>
  <c r="C49" i="120"/>
  <c r="B50" i="120"/>
  <c r="C37" i="120"/>
  <c r="B38" i="120"/>
  <c r="C37" i="119"/>
  <c r="D37" i="119" s="1"/>
  <c r="B38" i="119"/>
  <c r="D36" i="119"/>
  <c r="C49" i="119"/>
  <c r="B50" i="119"/>
  <c r="C37" i="118"/>
  <c r="B38" i="118"/>
  <c r="P50" i="118"/>
  <c r="Q50" i="118" s="1"/>
  <c r="P51" i="118" s="1"/>
  <c r="Q51" i="118" s="1"/>
  <c r="P52" i="118" s="1"/>
  <c r="Q52" i="118" s="1"/>
  <c r="P53" i="118" s="1"/>
  <c r="Q53" i="118" s="1"/>
  <c r="P54" i="118" s="1"/>
  <c r="Q54" i="118" s="1"/>
  <c r="R49" i="118"/>
  <c r="R52" i="118"/>
  <c r="R50" i="118"/>
  <c r="R53" i="118"/>
  <c r="C49" i="118"/>
  <c r="B50" i="118"/>
  <c r="D36" i="117"/>
  <c r="C37" i="117"/>
  <c r="B38" i="117"/>
  <c r="C49" i="117"/>
  <c r="B50" i="117"/>
  <c r="C49" i="116"/>
  <c r="B50" i="116"/>
  <c r="P25" i="115"/>
  <c r="Q25" i="115" s="1"/>
  <c r="P26" i="115" s="1"/>
  <c r="Q26" i="115" s="1"/>
  <c r="P27" i="115" s="1"/>
  <c r="Q27" i="115" s="1"/>
  <c r="P28" i="115" s="1"/>
  <c r="Q28" i="115" s="1"/>
  <c r="P29" i="115" s="1"/>
  <c r="Q29" i="115" s="1"/>
  <c r="P30" i="115" s="1"/>
  <c r="Q30" i="115" s="1"/>
  <c r="R27" i="115"/>
  <c r="R25" i="115"/>
  <c r="R29" i="115"/>
  <c r="R28" i="115"/>
  <c r="D50" i="115"/>
  <c r="R24" i="115"/>
  <c r="C38" i="115"/>
  <c r="B39" i="115"/>
  <c r="C51" i="115"/>
  <c r="B52" i="115"/>
  <c r="R26" i="115"/>
  <c r="T1" i="97"/>
  <c r="A1" i="97"/>
  <c r="D49" i="121" l="1"/>
  <c r="D37" i="121"/>
  <c r="C50" i="121"/>
  <c r="B51" i="121"/>
  <c r="C38" i="121"/>
  <c r="B39" i="121"/>
  <c r="D50" i="121"/>
  <c r="C50" i="120"/>
  <c r="B51" i="120"/>
  <c r="C38" i="120"/>
  <c r="D38" i="120" s="1"/>
  <c r="B39" i="120"/>
  <c r="D50" i="120"/>
  <c r="D49" i="120"/>
  <c r="D37" i="120"/>
  <c r="D49" i="119"/>
  <c r="D38" i="119"/>
  <c r="C38" i="119"/>
  <c r="B39" i="119"/>
  <c r="C50" i="119"/>
  <c r="B51" i="119"/>
  <c r="D37" i="118"/>
  <c r="C50" i="118"/>
  <c r="B51" i="118"/>
  <c r="R54" i="118"/>
  <c r="D50" i="118"/>
  <c r="D49" i="118"/>
  <c r="C38" i="118"/>
  <c r="B39" i="118"/>
  <c r="R51" i="118"/>
  <c r="C50" i="117"/>
  <c r="B51" i="117"/>
  <c r="C38" i="117"/>
  <c r="B39" i="117"/>
  <c r="D37" i="117"/>
  <c r="D38" i="117"/>
  <c r="D50" i="117"/>
  <c r="D49" i="117"/>
  <c r="C50" i="116"/>
  <c r="B51" i="116"/>
  <c r="D50" i="116"/>
  <c r="D49" i="116"/>
  <c r="D51" i="115"/>
  <c r="C39" i="115"/>
  <c r="B40" i="115"/>
  <c r="R30" i="115"/>
  <c r="C52" i="115"/>
  <c r="D52" i="115" s="1"/>
  <c r="B53" i="115"/>
  <c r="D38" i="115"/>
  <c r="Q45" i="112"/>
  <c r="Q33" i="112"/>
  <c r="Q21" i="112"/>
  <c r="Q45" i="111"/>
  <c r="Q33" i="111"/>
  <c r="Q21" i="111"/>
  <c r="R33" i="111" s="1"/>
  <c r="Q45" i="110"/>
  <c r="Q33" i="110"/>
  <c r="Q21" i="110"/>
  <c r="R45" i="110" s="1"/>
  <c r="Q45" i="109"/>
  <c r="Q33" i="109"/>
  <c r="Q21" i="109"/>
  <c r="R33" i="109" s="1"/>
  <c r="Q45" i="108"/>
  <c r="Q33" i="108"/>
  <c r="Q21" i="108"/>
  <c r="R45" i="108" s="1"/>
  <c r="Q45" i="107"/>
  <c r="Q33" i="107"/>
  <c r="Q21" i="107"/>
  <c r="R33" i="107" s="1"/>
  <c r="Q45" i="99"/>
  <c r="Q33" i="99"/>
  <c r="Q21" i="99"/>
  <c r="R45" i="99" s="1"/>
  <c r="Q45" i="106"/>
  <c r="Q33" i="106"/>
  <c r="Q21" i="106"/>
  <c r="R33" i="106" s="1"/>
  <c r="Q45" i="105"/>
  <c r="Q33" i="105"/>
  <c r="Q21" i="105"/>
  <c r="Q45" i="104"/>
  <c r="Q33" i="104"/>
  <c r="Q21" i="104"/>
  <c r="R33" i="104" s="1"/>
  <c r="Q45" i="103"/>
  <c r="Q33" i="103"/>
  <c r="Q21" i="103"/>
  <c r="R45" i="103" s="1"/>
  <c r="Q45" i="102"/>
  <c r="Q33" i="102"/>
  <c r="Q21" i="102"/>
  <c r="R33" i="102" s="1"/>
  <c r="Q45" i="101"/>
  <c r="Q33" i="101"/>
  <c r="Q21" i="101"/>
  <c r="R45" i="101" s="1"/>
  <c r="Q45" i="100"/>
  <c r="Q33" i="100"/>
  <c r="Q21" i="100"/>
  <c r="R33" i="100" s="1"/>
  <c r="Q45" i="89"/>
  <c r="Q33" i="89"/>
  <c r="Q21" i="89"/>
  <c r="R45" i="89" s="1"/>
  <c r="Q45" i="96"/>
  <c r="Q33" i="96"/>
  <c r="Q21" i="96"/>
  <c r="R33" i="96" s="1"/>
  <c r="Q45" i="94"/>
  <c r="Q33" i="94"/>
  <c r="Q21" i="94"/>
  <c r="Q45" i="93"/>
  <c r="Q33" i="93"/>
  <c r="Q21" i="93"/>
  <c r="R33" i="93" s="1"/>
  <c r="Q45" i="92"/>
  <c r="Q33" i="92"/>
  <c r="Q21" i="92"/>
  <c r="R45" i="92" s="1"/>
  <c r="Q45" i="91"/>
  <c r="Q33" i="91"/>
  <c r="Q21" i="91"/>
  <c r="R33" i="91" s="1"/>
  <c r="Q45" i="90"/>
  <c r="Q33" i="90"/>
  <c r="Q21" i="90"/>
  <c r="R45" i="90" s="1"/>
  <c r="Q45" i="88"/>
  <c r="Q33" i="88"/>
  <c r="Q21" i="88"/>
  <c r="R33" i="88" s="1"/>
  <c r="Q45" i="87"/>
  <c r="Q33" i="87"/>
  <c r="Q21" i="87"/>
  <c r="R45" i="87" s="1"/>
  <c r="Q45" i="80"/>
  <c r="Q33" i="80"/>
  <c r="R21" i="90"/>
  <c r="R21" i="112"/>
  <c r="R21" i="111"/>
  <c r="R21" i="110"/>
  <c r="R21" i="109"/>
  <c r="R21" i="108"/>
  <c r="R21" i="107"/>
  <c r="R21" i="106"/>
  <c r="R21" i="105"/>
  <c r="R21" i="104"/>
  <c r="R21" i="103"/>
  <c r="R21" i="102"/>
  <c r="R21" i="101"/>
  <c r="R21" i="100"/>
  <c r="R21" i="94"/>
  <c r="R21" i="93"/>
  <c r="R21" i="92"/>
  <c r="R21" i="91"/>
  <c r="R21" i="88"/>
  <c r="Q21" i="80"/>
  <c r="C21" i="87"/>
  <c r="C39" i="121" l="1"/>
  <c r="B40" i="121"/>
  <c r="D38" i="121"/>
  <c r="C51" i="121"/>
  <c r="B52" i="121"/>
  <c r="C51" i="120"/>
  <c r="B52" i="120"/>
  <c r="C39" i="120"/>
  <c r="B40" i="120"/>
  <c r="D50" i="119"/>
  <c r="C39" i="119"/>
  <c r="B40" i="119"/>
  <c r="C51" i="119"/>
  <c r="D51" i="119" s="1"/>
  <c r="B52" i="119"/>
  <c r="D39" i="119"/>
  <c r="C39" i="118"/>
  <c r="B40" i="118"/>
  <c r="D38" i="118"/>
  <c r="C51" i="118"/>
  <c r="B52" i="118"/>
  <c r="C39" i="117"/>
  <c r="B40" i="117"/>
  <c r="C51" i="117"/>
  <c r="B52" i="117"/>
  <c r="C51" i="116"/>
  <c r="B52" i="116"/>
  <c r="C53" i="115"/>
  <c r="B54" i="115"/>
  <c r="C54" i="115" s="1"/>
  <c r="C40" i="115"/>
  <c r="B41" i="115"/>
  <c r="D53" i="115"/>
  <c r="D39" i="115"/>
  <c r="R45" i="91"/>
  <c r="R21" i="87"/>
  <c r="R21" i="89"/>
  <c r="R21" i="99"/>
  <c r="R45" i="93"/>
  <c r="R33" i="80"/>
  <c r="R45" i="80"/>
  <c r="R45" i="94"/>
  <c r="R33" i="94"/>
  <c r="R45" i="105"/>
  <c r="R33" i="105"/>
  <c r="R45" i="112"/>
  <c r="R33" i="112"/>
  <c r="P46" i="80"/>
  <c r="R45" i="88"/>
  <c r="R33" i="108"/>
  <c r="R33" i="110"/>
  <c r="R33" i="99"/>
  <c r="P34" i="80"/>
  <c r="R33" i="101"/>
  <c r="R33" i="103"/>
  <c r="R45" i="109"/>
  <c r="R45" i="111"/>
  <c r="R33" i="89"/>
  <c r="R45" i="106"/>
  <c r="R45" i="107"/>
  <c r="R33" i="90"/>
  <c r="R33" i="92"/>
  <c r="R45" i="102"/>
  <c r="R45" i="104"/>
  <c r="R33" i="87"/>
  <c r="R45" i="96"/>
  <c r="R45" i="100"/>
  <c r="P46" i="112"/>
  <c r="Q46" i="112" s="1"/>
  <c r="P46" i="111"/>
  <c r="Q46" i="111" s="1"/>
  <c r="P46" i="110"/>
  <c r="Q46" i="110" s="1"/>
  <c r="P46" i="109"/>
  <c r="Q46" i="109" s="1"/>
  <c r="P46" i="108"/>
  <c r="Q46" i="108" s="1"/>
  <c r="P46" i="107"/>
  <c r="Q46" i="107" s="1"/>
  <c r="P46" i="99"/>
  <c r="Q46" i="99" s="1"/>
  <c r="P46" i="106"/>
  <c r="Q46" i="106" s="1"/>
  <c r="P46" i="105"/>
  <c r="Q46" i="105" s="1"/>
  <c r="P46" i="104"/>
  <c r="Q46" i="104" s="1"/>
  <c r="P46" i="103"/>
  <c r="Q46" i="103" s="1"/>
  <c r="P46" i="102"/>
  <c r="Q46" i="102" s="1"/>
  <c r="P46" i="101"/>
  <c r="Q46" i="101" s="1"/>
  <c r="P46" i="100"/>
  <c r="Q46" i="100" s="1"/>
  <c r="P46" i="89"/>
  <c r="Q46" i="89" s="1"/>
  <c r="P46" i="96"/>
  <c r="Q46" i="96" s="1"/>
  <c r="R46" i="96" s="1"/>
  <c r="P46" i="94"/>
  <c r="Q46" i="94" s="1"/>
  <c r="P46" i="93"/>
  <c r="Q46" i="93" s="1"/>
  <c r="P46" i="92"/>
  <c r="Q46" i="92" s="1"/>
  <c r="P46" i="91"/>
  <c r="Q46" i="91" s="1"/>
  <c r="P46" i="90"/>
  <c r="Q46" i="90" s="1"/>
  <c r="R46" i="90" s="1"/>
  <c r="P46" i="88"/>
  <c r="Q46" i="88" s="1"/>
  <c r="P46" i="87"/>
  <c r="Q46" i="87" s="1"/>
  <c r="P34" i="112"/>
  <c r="Q34" i="112" s="1"/>
  <c r="P34" i="111"/>
  <c r="Q34" i="111" s="1"/>
  <c r="P34" i="110"/>
  <c r="Q34" i="110" s="1"/>
  <c r="P34" i="109"/>
  <c r="Q34" i="109" s="1"/>
  <c r="P34" i="108"/>
  <c r="Q34" i="108" s="1"/>
  <c r="P34" i="107"/>
  <c r="Q34" i="107" s="1"/>
  <c r="P34" i="99"/>
  <c r="Q34" i="99" s="1"/>
  <c r="P34" i="106"/>
  <c r="Q34" i="106" s="1"/>
  <c r="P34" i="105"/>
  <c r="Q34" i="105" s="1"/>
  <c r="P34" i="104"/>
  <c r="Q34" i="104" s="1"/>
  <c r="P34" i="103"/>
  <c r="Q34" i="103" s="1"/>
  <c r="P34" i="102"/>
  <c r="Q34" i="102" s="1"/>
  <c r="P34" i="101"/>
  <c r="Q34" i="101" s="1"/>
  <c r="P34" i="100"/>
  <c r="Q34" i="100" s="1"/>
  <c r="P34" i="89"/>
  <c r="Q34" i="89" s="1"/>
  <c r="R34" i="89" s="1"/>
  <c r="P34" i="96"/>
  <c r="Q34" i="96" s="1"/>
  <c r="P34" i="94"/>
  <c r="Q34" i="94" s="1"/>
  <c r="P34" i="93"/>
  <c r="Q34" i="93" s="1"/>
  <c r="P34" i="92"/>
  <c r="Q34" i="92" s="1"/>
  <c r="P34" i="91"/>
  <c r="Q34" i="91" s="1"/>
  <c r="P34" i="90"/>
  <c r="Q34" i="90" s="1"/>
  <c r="P34" i="88"/>
  <c r="Q34" i="88" s="1"/>
  <c r="P34" i="87"/>
  <c r="Q34" i="87" s="1"/>
  <c r="Q46" i="80"/>
  <c r="P47" i="80" s="1"/>
  <c r="Q34" i="80"/>
  <c r="P35" i="80" s="1"/>
  <c r="P22" i="112"/>
  <c r="Q22" i="112" s="1"/>
  <c r="P22" i="111"/>
  <c r="Q22" i="111" s="1"/>
  <c r="P22" i="110"/>
  <c r="Q22" i="110" s="1"/>
  <c r="P22" i="109"/>
  <c r="Q22" i="109" s="1"/>
  <c r="P22" i="108"/>
  <c r="Q22" i="108" s="1"/>
  <c r="P22" i="107"/>
  <c r="Q22" i="107" s="1"/>
  <c r="P22" i="99"/>
  <c r="Q22" i="99" s="1"/>
  <c r="P22" i="106"/>
  <c r="Q22" i="106" s="1"/>
  <c r="P22" i="105"/>
  <c r="Q22" i="105" s="1"/>
  <c r="P22" i="104"/>
  <c r="Q22" i="104" s="1"/>
  <c r="P22" i="103"/>
  <c r="Q22" i="103" s="1"/>
  <c r="P22" i="102"/>
  <c r="Q22" i="102" s="1"/>
  <c r="P22" i="101"/>
  <c r="Q22" i="101" s="1"/>
  <c r="P22" i="100"/>
  <c r="Q22" i="100" s="1"/>
  <c r="P22" i="89"/>
  <c r="Q22" i="89" s="1"/>
  <c r="P22" i="96"/>
  <c r="R21" i="96"/>
  <c r="P22" i="94"/>
  <c r="Q22" i="94" s="1"/>
  <c r="P22" i="93"/>
  <c r="Q22" i="93" s="1"/>
  <c r="P22" i="92"/>
  <c r="Q22" i="92" s="1"/>
  <c r="P22" i="91"/>
  <c r="Q22" i="91" s="1"/>
  <c r="P22" i="90"/>
  <c r="Q22" i="90" s="1"/>
  <c r="P22" i="88"/>
  <c r="Q22" i="88" s="1"/>
  <c r="P22" i="87"/>
  <c r="Q22" i="87" s="1"/>
  <c r="R21" i="80"/>
  <c r="P22" i="80"/>
  <c r="Q22" i="80" s="1"/>
  <c r="R22" i="80" s="1"/>
  <c r="D39" i="121" l="1"/>
  <c r="D51" i="121"/>
  <c r="C52" i="121"/>
  <c r="D52" i="121" s="1"/>
  <c r="B53" i="121"/>
  <c r="C40" i="121"/>
  <c r="D40" i="121" s="1"/>
  <c r="B41" i="121"/>
  <c r="D39" i="120"/>
  <c r="D51" i="120"/>
  <c r="C40" i="120"/>
  <c r="D40" i="120" s="1"/>
  <c r="B41" i="120"/>
  <c r="C52" i="120"/>
  <c r="D52" i="120" s="1"/>
  <c r="B53" i="120"/>
  <c r="C40" i="119"/>
  <c r="B41" i="119"/>
  <c r="C52" i="119"/>
  <c r="B53" i="119"/>
  <c r="D51" i="118"/>
  <c r="D39" i="118"/>
  <c r="C40" i="118"/>
  <c r="D40" i="118" s="1"/>
  <c r="B41" i="118"/>
  <c r="C52" i="118"/>
  <c r="B53" i="118"/>
  <c r="C52" i="117"/>
  <c r="D52" i="117" s="1"/>
  <c r="B53" i="117"/>
  <c r="C40" i="117"/>
  <c r="B41" i="117"/>
  <c r="D51" i="117"/>
  <c r="D40" i="117"/>
  <c r="D39" i="117"/>
  <c r="C52" i="116"/>
  <c r="B53" i="116"/>
  <c r="D52" i="116"/>
  <c r="D51" i="116"/>
  <c r="C41" i="115"/>
  <c r="D42" i="115" s="1"/>
  <c r="B42" i="115"/>
  <c r="C42" i="115" s="1"/>
  <c r="D41" i="115"/>
  <c r="D54" i="115"/>
  <c r="D40" i="115"/>
  <c r="R34" i="101"/>
  <c r="R34" i="105"/>
  <c r="R34" i="108"/>
  <c r="R34" i="109"/>
  <c r="R46" i="94"/>
  <c r="R34" i="91"/>
  <c r="R46" i="91"/>
  <c r="R46" i="92"/>
  <c r="R46" i="104"/>
  <c r="R34" i="104"/>
  <c r="R46" i="89"/>
  <c r="R22" i="90"/>
  <c r="R46" i="102"/>
  <c r="R34" i="92"/>
  <c r="R46" i="100"/>
  <c r="R34" i="100"/>
  <c r="R46" i="103"/>
  <c r="R46" i="101"/>
  <c r="R34" i="96"/>
  <c r="R34" i="107"/>
  <c r="R46" i="80"/>
  <c r="R34" i="88"/>
  <c r="R34" i="110"/>
  <c r="R34" i="94"/>
  <c r="R46" i="93"/>
  <c r="R34" i="87"/>
  <c r="R46" i="105"/>
  <c r="R34" i="102"/>
  <c r="R34" i="111"/>
  <c r="R46" i="99"/>
  <c r="R34" i="93"/>
  <c r="R46" i="87"/>
  <c r="R46" i="112"/>
  <c r="R34" i="80"/>
  <c r="R46" i="88"/>
  <c r="Q22" i="96"/>
  <c r="P23" i="96" s="1"/>
  <c r="Q23" i="96" s="1"/>
  <c r="R46" i="109"/>
  <c r="R46" i="111"/>
  <c r="R34" i="99"/>
  <c r="R34" i="112"/>
  <c r="R46" i="110"/>
  <c r="R34" i="90"/>
  <c r="R34" i="103"/>
  <c r="R46" i="108"/>
  <c r="R34" i="106"/>
  <c r="R46" i="107"/>
  <c r="R46" i="106"/>
  <c r="P47" i="112"/>
  <c r="P47" i="111"/>
  <c r="Q47" i="111" s="1"/>
  <c r="P47" i="110"/>
  <c r="Q47" i="110" s="1"/>
  <c r="P47" i="109"/>
  <c r="Q47" i="109" s="1"/>
  <c r="P47" i="108"/>
  <c r="P47" i="107"/>
  <c r="P47" i="99"/>
  <c r="Q47" i="99" s="1"/>
  <c r="P47" i="106"/>
  <c r="P47" i="105"/>
  <c r="P47" i="104"/>
  <c r="P47" i="103"/>
  <c r="Q47" i="103" s="1"/>
  <c r="P47" i="102"/>
  <c r="P47" i="101"/>
  <c r="P47" i="100"/>
  <c r="Q47" i="100" s="1"/>
  <c r="R47" i="100" s="1"/>
  <c r="P47" i="89"/>
  <c r="P47" i="96"/>
  <c r="P47" i="94"/>
  <c r="P47" i="93"/>
  <c r="P47" i="92"/>
  <c r="P47" i="91"/>
  <c r="P47" i="90"/>
  <c r="P47" i="88"/>
  <c r="Q47" i="88" s="1"/>
  <c r="P47" i="87"/>
  <c r="P35" i="112"/>
  <c r="Q35" i="112" s="1"/>
  <c r="P35" i="111"/>
  <c r="Q35" i="111" s="1"/>
  <c r="P35" i="110"/>
  <c r="Q35" i="110" s="1"/>
  <c r="R35" i="110" s="1"/>
  <c r="P35" i="109"/>
  <c r="Q35" i="109" s="1"/>
  <c r="P35" i="108"/>
  <c r="P35" i="107"/>
  <c r="P35" i="99"/>
  <c r="P35" i="106"/>
  <c r="Q35" i="106" s="1"/>
  <c r="P35" i="105"/>
  <c r="P35" i="104"/>
  <c r="Q35" i="104" s="1"/>
  <c r="R35" i="104" s="1"/>
  <c r="P35" i="103"/>
  <c r="Q35" i="103" s="1"/>
  <c r="P35" i="102"/>
  <c r="P35" i="101"/>
  <c r="P35" i="100"/>
  <c r="P35" i="89"/>
  <c r="Q35" i="89" s="1"/>
  <c r="P35" i="96"/>
  <c r="Q35" i="96" s="1"/>
  <c r="P35" i="94"/>
  <c r="P35" i="93"/>
  <c r="Q35" i="93" s="1"/>
  <c r="P35" i="92"/>
  <c r="P35" i="91"/>
  <c r="Q35" i="91" s="1"/>
  <c r="P35" i="90"/>
  <c r="P35" i="88"/>
  <c r="Q35" i="88" s="1"/>
  <c r="R35" i="88" s="1"/>
  <c r="P35" i="87"/>
  <c r="Q47" i="80"/>
  <c r="Q35" i="80"/>
  <c r="P36" i="80" s="1"/>
  <c r="R22" i="112"/>
  <c r="P23" i="112"/>
  <c r="Q23" i="112" s="1"/>
  <c r="R22" i="111"/>
  <c r="P23" i="111"/>
  <c r="R22" i="110"/>
  <c r="P23" i="110"/>
  <c r="P23" i="109"/>
  <c r="Q23" i="109" s="1"/>
  <c r="R23" i="109" s="1"/>
  <c r="R22" i="109"/>
  <c r="R22" i="108"/>
  <c r="P23" i="108"/>
  <c r="P23" i="107"/>
  <c r="Q23" i="107" s="1"/>
  <c r="R23" i="107" s="1"/>
  <c r="R22" i="107"/>
  <c r="R22" i="99"/>
  <c r="P23" i="99"/>
  <c r="Q23" i="99" s="1"/>
  <c r="R22" i="106"/>
  <c r="P23" i="106"/>
  <c r="R22" i="105"/>
  <c r="P23" i="105"/>
  <c r="Q23" i="105" s="1"/>
  <c r="R23" i="105" s="1"/>
  <c r="R22" i="104"/>
  <c r="P23" i="104"/>
  <c r="Q23" i="104" s="1"/>
  <c r="P23" i="103"/>
  <c r="Q23" i="103" s="1"/>
  <c r="R22" i="103"/>
  <c r="P23" i="102"/>
  <c r="Q23" i="102" s="1"/>
  <c r="R22" i="102"/>
  <c r="R22" i="101"/>
  <c r="P23" i="101"/>
  <c r="R22" i="100"/>
  <c r="P23" i="100"/>
  <c r="Q23" i="100" s="1"/>
  <c r="R22" i="89"/>
  <c r="P23" i="89"/>
  <c r="Q23" i="89" s="1"/>
  <c r="R22" i="96"/>
  <c r="R22" i="94"/>
  <c r="P23" i="94"/>
  <c r="Q23" i="94" s="1"/>
  <c r="R22" i="93"/>
  <c r="P23" i="93"/>
  <c r="R22" i="92"/>
  <c r="P23" i="92"/>
  <c r="R22" i="91"/>
  <c r="P23" i="91"/>
  <c r="P23" i="90"/>
  <c r="Q23" i="90" s="1"/>
  <c r="R22" i="88"/>
  <c r="P23" i="88"/>
  <c r="Q23" i="88" s="1"/>
  <c r="R22" i="87"/>
  <c r="P23" i="87"/>
  <c r="C53" i="121" l="1"/>
  <c r="D53" i="121" s="1"/>
  <c r="B54" i="121"/>
  <c r="C54" i="121" s="1"/>
  <c r="D54" i="121" s="1"/>
  <c r="C41" i="121"/>
  <c r="D41" i="121" s="1"/>
  <c r="B42" i="121"/>
  <c r="C42" i="121" s="1"/>
  <c r="D42" i="121" s="1"/>
  <c r="D54" i="120"/>
  <c r="C41" i="120"/>
  <c r="D41" i="120" s="1"/>
  <c r="B42" i="120"/>
  <c r="C42" i="120" s="1"/>
  <c r="D42" i="120" s="1"/>
  <c r="C53" i="120"/>
  <c r="D53" i="120" s="1"/>
  <c r="B54" i="120"/>
  <c r="C54" i="120" s="1"/>
  <c r="C53" i="119"/>
  <c r="D53" i="119" s="1"/>
  <c r="B54" i="119"/>
  <c r="C54" i="119" s="1"/>
  <c r="D54" i="119" s="1"/>
  <c r="D52" i="119"/>
  <c r="C41" i="119"/>
  <c r="D41" i="119" s="1"/>
  <c r="B42" i="119"/>
  <c r="C42" i="119" s="1"/>
  <c r="D40" i="119"/>
  <c r="C53" i="118"/>
  <c r="B54" i="118"/>
  <c r="C54" i="118" s="1"/>
  <c r="D54" i="118" s="1"/>
  <c r="D52" i="118"/>
  <c r="C41" i="118"/>
  <c r="D41" i="118" s="1"/>
  <c r="B42" i="118"/>
  <c r="C42" i="118" s="1"/>
  <c r="D42" i="118" s="1"/>
  <c r="D53" i="118"/>
  <c r="C53" i="117"/>
  <c r="B54" i="117"/>
  <c r="C54" i="117" s="1"/>
  <c r="C41" i="117"/>
  <c r="D41" i="117" s="1"/>
  <c r="B42" i="117"/>
  <c r="C42" i="117" s="1"/>
  <c r="D42" i="117" s="1"/>
  <c r="C53" i="116"/>
  <c r="D53" i="116" s="1"/>
  <c r="B54" i="116"/>
  <c r="C54" i="116" s="1"/>
  <c r="D54" i="116" s="1"/>
  <c r="P24" i="96"/>
  <c r="R23" i="96"/>
  <c r="R23" i="90"/>
  <c r="R47" i="80"/>
  <c r="R36" i="89"/>
  <c r="R35" i="93"/>
  <c r="R36" i="110"/>
  <c r="R47" i="111"/>
  <c r="R47" i="109"/>
  <c r="R35" i="111"/>
  <c r="R47" i="103"/>
  <c r="R35" i="112"/>
  <c r="R36" i="96"/>
  <c r="R35" i="89"/>
  <c r="R35" i="96"/>
  <c r="R35" i="106"/>
  <c r="R47" i="99"/>
  <c r="R47" i="110"/>
  <c r="R47" i="88"/>
  <c r="R35" i="109"/>
  <c r="R35" i="80"/>
  <c r="R35" i="91"/>
  <c r="R35" i="103"/>
  <c r="Q47" i="112"/>
  <c r="P48" i="112" s="1"/>
  <c r="P48" i="108"/>
  <c r="Q47" i="108"/>
  <c r="Q35" i="108"/>
  <c r="Q47" i="107"/>
  <c r="Q35" i="107"/>
  <c r="Q35" i="99"/>
  <c r="Q47" i="106"/>
  <c r="Q47" i="105"/>
  <c r="Q35" i="105"/>
  <c r="Q47" i="104"/>
  <c r="Q47" i="102"/>
  <c r="Q35" i="102"/>
  <c r="Q47" i="101"/>
  <c r="Q35" i="101"/>
  <c r="Q35" i="100"/>
  <c r="Q47" i="89"/>
  <c r="Q47" i="96"/>
  <c r="Q47" i="94"/>
  <c r="Q35" i="94"/>
  <c r="Q47" i="93"/>
  <c r="P48" i="93" s="1"/>
  <c r="Q47" i="92"/>
  <c r="Q35" i="92"/>
  <c r="Q47" i="91"/>
  <c r="Q47" i="90"/>
  <c r="Q35" i="90"/>
  <c r="Q47" i="87"/>
  <c r="Q35" i="87"/>
  <c r="P48" i="111"/>
  <c r="P48" i="110"/>
  <c r="Q48" i="110" s="1"/>
  <c r="R48" i="110" s="1"/>
  <c r="P48" i="109"/>
  <c r="P48" i="99"/>
  <c r="P48" i="103"/>
  <c r="Q48" i="103" s="1"/>
  <c r="R48" i="103" s="1"/>
  <c r="P48" i="100"/>
  <c r="Q48" i="100" s="1"/>
  <c r="R48" i="100" s="1"/>
  <c r="P48" i="88"/>
  <c r="Q48" i="88" s="1"/>
  <c r="P36" i="112"/>
  <c r="Q36" i="112" s="1"/>
  <c r="R36" i="112" s="1"/>
  <c r="P36" i="111"/>
  <c r="P36" i="110"/>
  <c r="Q36" i="110" s="1"/>
  <c r="P36" i="109"/>
  <c r="Q36" i="109" s="1"/>
  <c r="R36" i="109" s="1"/>
  <c r="P36" i="106"/>
  <c r="P36" i="104"/>
  <c r="Q36" i="104" s="1"/>
  <c r="R36" i="104" s="1"/>
  <c r="P36" i="103"/>
  <c r="Q36" i="103" s="1"/>
  <c r="P36" i="89"/>
  <c r="Q36" i="89" s="1"/>
  <c r="P36" i="96"/>
  <c r="Q36" i="96" s="1"/>
  <c r="P36" i="93"/>
  <c r="Q36" i="93" s="1"/>
  <c r="P36" i="91"/>
  <c r="P36" i="88"/>
  <c r="Q36" i="88" s="1"/>
  <c r="R36" i="88" s="1"/>
  <c r="P48" i="80"/>
  <c r="Q48" i="80" s="1"/>
  <c r="Q36" i="80"/>
  <c r="R36" i="80" s="1"/>
  <c r="Q23" i="111"/>
  <c r="Q23" i="110"/>
  <c r="Q23" i="108"/>
  <c r="P24" i="108" s="1"/>
  <c r="Q23" i="106"/>
  <c r="R23" i="106" s="1"/>
  <c r="Q23" i="101"/>
  <c r="R23" i="101" s="1"/>
  <c r="Q24" i="96"/>
  <c r="Q23" i="93"/>
  <c r="R23" i="93" s="1"/>
  <c r="P24" i="92"/>
  <c r="Q23" i="92"/>
  <c r="R23" i="92" s="1"/>
  <c r="Q23" i="91"/>
  <c r="P24" i="109"/>
  <c r="P24" i="107"/>
  <c r="Q24" i="107" s="1"/>
  <c r="R24" i="107" s="1"/>
  <c r="P24" i="99"/>
  <c r="Q24" i="99" s="1"/>
  <c r="P25" i="99" s="1"/>
  <c r="Q25" i="99" s="1"/>
  <c r="P26" i="99" s="1"/>
  <c r="Q26" i="99" s="1"/>
  <c r="P27" i="99" s="1"/>
  <c r="Q27" i="99" s="1"/>
  <c r="P28" i="99" s="1"/>
  <c r="Q28" i="99" s="1"/>
  <c r="P29" i="99" s="1"/>
  <c r="Q29" i="99" s="1"/>
  <c r="P30" i="99" s="1"/>
  <c r="Q30" i="99" s="1"/>
  <c r="R23" i="99"/>
  <c r="P24" i="105"/>
  <c r="Q24" i="105" s="1"/>
  <c r="P24" i="104"/>
  <c r="R23" i="104"/>
  <c r="P24" i="103"/>
  <c r="Q24" i="103" s="1"/>
  <c r="R23" i="103"/>
  <c r="P24" i="102"/>
  <c r="Q24" i="102" s="1"/>
  <c r="R23" i="102"/>
  <c r="P24" i="100"/>
  <c r="Q24" i="100" s="1"/>
  <c r="R23" i="100"/>
  <c r="P24" i="89"/>
  <c r="Q24" i="89" s="1"/>
  <c r="R23" i="89"/>
  <c r="R23" i="94"/>
  <c r="P24" i="94"/>
  <c r="Q24" i="94" s="1"/>
  <c r="P24" i="90"/>
  <c r="P24" i="88"/>
  <c r="Q24" i="88" s="1"/>
  <c r="R23" i="88"/>
  <c r="P24" i="87"/>
  <c r="Q24" i="87" s="1"/>
  <c r="P25" i="87" s="1"/>
  <c r="Q23" i="87"/>
  <c r="R23" i="87" s="1"/>
  <c r="P23" i="80"/>
  <c r="Q23" i="80" s="1"/>
  <c r="C21" i="80"/>
  <c r="D21" i="80" s="1"/>
  <c r="O23" i="97"/>
  <c r="O33" i="97" s="1"/>
  <c r="O43" i="97" s="1"/>
  <c r="P23" i="97"/>
  <c r="P33" i="97" s="1"/>
  <c r="P43" i="97" s="1"/>
  <c r="Q23" i="97"/>
  <c r="Q33" i="97" s="1"/>
  <c r="Q43" i="97" s="1"/>
  <c r="R23" i="97"/>
  <c r="R33" i="97" s="1"/>
  <c r="R43" i="97" s="1"/>
  <c r="S23" i="97"/>
  <c r="S33" i="97" s="1"/>
  <c r="S43" i="97" s="1"/>
  <c r="T23" i="97"/>
  <c r="T33" i="97" s="1"/>
  <c r="T43" i="97" s="1"/>
  <c r="U23" i="97"/>
  <c r="U33" i="97" s="1"/>
  <c r="U43" i="97" s="1"/>
  <c r="V23" i="97"/>
  <c r="V33" i="97" s="1"/>
  <c r="V43" i="97" s="1"/>
  <c r="N23" i="97"/>
  <c r="N33" i="97" s="1"/>
  <c r="N43" i="97" s="1"/>
  <c r="H24" i="12"/>
  <c r="W14" i="12"/>
  <c r="Q14" i="12" s="1"/>
  <c r="M45" i="12" s="1"/>
  <c r="H25" i="12"/>
  <c r="Q15" i="12"/>
  <c r="P15" i="12" s="1"/>
  <c r="O15" i="12" s="1"/>
  <c r="O25" i="12" s="1"/>
  <c r="H26" i="12"/>
  <c r="Q16" i="12"/>
  <c r="P16" i="12" s="1"/>
  <c r="H27" i="12"/>
  <c r="Q17" i="12"/>
  <c r="P17" i="12" s="1"/>
  <c r="P27" i="12" s="1"/>
  <c r="H28" i="12"/>
  <c r="Q18" i="12"/>
  <c r="B22" i="15"/>
  <c r="B23" i="15"/>
  <c r="B24" i="15"/>
  <c r="B25" i="15"/>
  <c r="B26" i="15"/>
  <c r="B27" i="15"/>
  <c r="B28" i="15"/>
  <c r="B29" i="15"/>
  <c r="B30" i="15"/>
  <c r="B31" i="15"/>
  <c r="H29" i="12"/>
  <c r="Q19" i="12"/>
  <c r="B30" i="24"/>
  <c r="C22" i="15"/>
  <c r="C23" i="15"/>
  <c r="C24" i="15"/>
  <c r="C25" i="15"/>
  <c r="C26" i="15"/>
  <c r="C27" i="15"/>
  <c r="C28" i="15"/>
  <c r="C29" i="15"/>
  <c r="C30" i="15"/>
  <c r="C31" i="15"/>
  <c r="C30" i="24"/>
  <c r="D22" i="15"/>
  <c r="D23" i="15"/>
  <c r="D24" i="15"/>
  <c r="D25" i="15"/>
  <c r="D26" i="15"/>
  <c r="D27" i="15"/>
  <c r="D28" i="15"/>
  <c r="D29" i="15"/>
  <c r="D30" i="15"/>
  <c r="D31" i="15"/>
  <c r="D30" i="24"/>
  <c r="E22" i="15"/>
  <c r="E23" i="15"/>
  <c r="E24" i="15"/>
  <c r="E25" i="15"/>
  <c r="E26" i="15"/>
  <c r="E27" i="15"/>
  <c r="E28" i="15"/>
  <c r="E29" i="15"/>
  <c r="E30" i="15"/>
  <c r="E31" i="15"/>
  <c r="E30" i="24"/>
  <c r="F22" i="15"/>
  <c r="F23" i="15"/>
  <c r="F24" i="15"/>
  <c r="F25" i="15"/>
  <c r="F26" i="15"/>
  <c r="F27" i="15"/>
  <c r="F28" i="15"/>
  <c r="F29" i="15"/>
  <c r="F30" i="15"/>
  <c r="F31" i="15"/>
  <c r="F30" i="24"/>
  <c r="G22" i="15"/>
  <c r="G23" i="15"/>
  <c r="G24" i="15"/>
  <c r="G25" i="15"/>
  <c r="G26" i="15"/>
  <c r="G27" i="15"/>
  <c r="G28" i="15"/>
  <c r="G29" i="15"/>
  <c r="G30" i="15"/>
  <c r="G31" i="15"/>
  <c r="G30" i="24"/>
  <c r="H22" i="15"/>
  <c r="H23" i="15"/>
  <c r="H24" i="15"/>
  <c r="H25" i="15"/>
  <c r="H26" i="15"/>
  <c r="H27" i="15"/>
  <c r="H28" i="15"/>
  <c r="H29" i="15"/>
  <c r="H30" i="15"/>
  <c r="H31" i="15"/>
  <c r="H21" i="14" s="1"/>
  <c r="H30" i="24"/>
  <c r="I22" i="15"/>
  <c r="I23" i="15"/>
  <c r="I24" i="15"/>
  <c r="I25" i="15"/>
  <c r="I26" i="15"/>
  <c r="I27" i="15"/>
  <c r="I28" i="15"/>
  <c r="I29" i="15"/>
  <c r="I30" i="15"/>
  <c r="I31" i="15"/>
  <c r="I30" i="24"/>
  <c r="J22" i="15"/>
  <c r="J23" i="15"/>
  <c r="J24" i="15"/>
  <c r="J25" i="15"/>
  <c r="J26" i="15"/>
  <c r="J27" i="15"/>
  <c r="J28" i="15"/>
  <c r="J29" i="15"/>
  <c r="J30" i="15"/>
  <c r="J31" i="15"/>
  <c r="J30" i="24"/>
  <c r="K22" i="15"/>
  <c r="K23" i="15"/>
  <c r="K24" i="15"/>
  <c r="K25" i="15"/>
  <c r="K26" i="15"/>
  <c r="K27" i="15"/>
  <c r="K28" i="15"/>
  <c r="K29" i="15"/>
  <c r="K30" i="15"/>
  <c r="K31" i="15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9" i="24"/>
  <c r="C29" i="24"/>
  <c r="D29" i="24"/>
  <c r="E29" i="24"/>
  <c r="F29" i="24"/>
  <c r="G29" i="24"/>
  <c r="H29" i="24"/>
  <c r="I29" i="24"/>
  <c r="J29" i="24"/>
  <c r="K29" i="24"/>
  <c r="B27" i="24"/>
  <c r="B27" i="25"/>
  <c r="Y32" i="97" s="1"/>
  <c r="C27" i="24"/>
  <c r="C27" i="25"/>
  <c r="Z32" i="97" s="1"/>
  <c r="D27" i="24"/>
  <c r="D27" i="25"/>
  <c r="AA32" i="97" s="1"/>
  <c r="E27" i="24"/>
  <c r="E27" i="25"/>
  <c r="AB32" i="97" s="1"/>
  <c r="F27" i="24"/>
  <c r="F27" i="25"/>
  <c r="AC32" i="97" s="1"/>
  <c r="G27" i="24"/>
  <c r="G27" i="25"/>
  <c r="AD32" i="97" s="1"/>
  <c r="H27" i="24"/>
  <c r="H27" i="25"/>
  <c r="I27" i="24"/>
  <c r="I27" i="25"/>
  <c r="AF32" i="97" s="1"/>
  <c r="J27" i="24"/>
  <c r="J27" i="25"/>
  <c r="AG32" i="97" s="1"/>
  <c r="K27" i="24"/>
  <c r="K27" i="25"/>
  <c r="AH32" i="97" s="1"/>
  <c r="J33" i="12"/>
  <c r="C1" i="28" s="1"/>
  <c r="C45" i="80"/>
  <c r="B46" i="80"/>
  <c r="B47" i="80" s="1"/>
  <c r="C47" i="80"/>
  <c r="C45" i="87"/>
  <c r="B46" i="87"/>
  <c r="C46" i="87" s="1"/>
  <c r="C45" i="88"/>
  <c r="B46" i="88"/>
  <c r="C46" i="88" s="1"/>
  <c r="B47" i="88"/>
  <c r="C47" i="88" s="1"/>
  <c r="C45" i="90"/>
  <c r="B46" i="90"/>
  <c r="C46" i="90" s="1"/>
  <c r="B47" i="90"/>
  <c r="C47" i="90" s="1"/>
  <c r="C45" i="91"/>
  <c r="B46" i="91"/>
  <c r="B47" i="91" s="1"/>
  <c r="C47" i="91" s="1"/>
  <c r="C46" i="91"/>
  <c r="D46" i="91" s="1"/>
  <c r="C45" i="92"/>
  <c r="B46" i="92"/>
  <c r="B47" i="92" s="1"/>
  <c r="B48" i="92" s="1"/>
  <c r="C46" i="92"/>
  <c r="C45" i="93"/>
  <c r="B46" i="93"/>
  <c r="B47" i="93" s="1"/>
  <c r="C46" i="93"/>
  <c r="C45" i="94"/>
  <c r="B46" i="94"/>
  <c r="B47" i="94" s="1"/>
  <c r="C46" i="94"/>
  <c r="C45" i="96"/>
  <c r="B46" i="96"/>
  <c r="B48" i="80"/>
  <c r="C48" i="80"/>
  <c r="B48" i="90"/>
  <c r="C48" i="90" s="1"/>
  <c r="D46" i="87"/>
  <c r="H44" i="26"/>
  <c r="H45" i="26"/>
  <c r="B22" i="87"/>
  <c r="C22" i="87" s="1"/>
  <c r="B23" i="87" s="1"/>
  <c r="C23" i="87" s="1"/>
  <c r="C21" i="88"/>
  <c r="C21" i="90"/>
  <c r="C21" i="91"/>
  <c r="C21" i="92"/>
  <c r="C21" i="93"/>
  <c r="B22" i="93" s="1"/>
  <c r="C22" i="93" s="1"/>
  <c r="C21" i="94"/>
  <c r="C21" i="96"/>
  <c r="D22" i="87"/>
  <c r="AF4" i="97"/>
  <c r="AB4" i="97"/>
  <c r="Z4" i="97"/>
  <c r="U4" i="97"/>
  <c r="P4" i="97"/>
  <c r="L4" i="97"/>
  <c r="E4" i="97"/>
  <c r="A42" i="97"/>
  <c r="A43" i="97"/>
  <c r="A39" i="97"/>
  <c r="A40" i="97"/>
  <c r="A41" i="97"/>
  <c r="C40" i="24"/>
  <c r="D45" i="88"/>
  <c r="D45" i="87"/>
  <c r="C33" i="88"/>
  <c r="B34" i="88"/>
  <c r="C34" i="88" s="1"/>
  <c r="C33" i="87"/>
  <c r="B34" i="87"/>
  <c r="C34" i="87" s="1"/>
  <c r="D34" i="87" s="1"/>
  <c r="D33" i="87"/>
  <c r="D21" i="87"/>
  <c r="M30" i="97"/>
  <c r="A41" i="32" s="1"/>
  <c r="M31" i="97"/>
  <c r="A42" i="32" s="1"/>
  <c r="M29" i="97"/>
  <c r="A40" i="32" s="1"/>
  <c r="O28" i="97"/>
  <c r="P28" i="97"/>
  <c r="Q28" i="97"/>
  <c r="R28" i="97"/>
  <c r="S28" i="97"/>
  <c r="T28" i="97"/>
  <c r="T38" i="97" s="1"/>
  <c r="U28" i="97"/>
  <c r="U38" i="97" s="1"/>
  <c r="V28" i="97"/>
  <c r="V38" i="97" s="1"/>
  <c r="N28" i="97"/>
  <c r="M20" i="97"/>
  <c r="A36" i="32" s="1"/>
  <c r="M21" i="97"/>
  <c r="A37" i="32" s="1"/>
  <c r="M19" i="97"/>
  <c r="A35" i="32" s="1"/>
  <c r="O18" i="97"/>
  <c r="C34" i="32" s="1"/>
  <c r="P18" i="97"/>
  <c r="D34" i="32" s="1"/>
  <c r="Q18" i="97"/>
  <c r="E34" i="32" s="1"/>
  <c r="R18" i="97"/>
  <c r="F34" i="32" s="1"/>
  <c r="S18" i="97"/>
  <c r="G34" i="32" s="1"/>
  <c r="T18" i="97"/>
  <c r="U18" i="97"/>
  <c r="V18" i="97"/>
  <c r="N18" i="97"/>
  <c r="B34" i="32" s="1"/>
  <c r="M15" i="97"/>
  <c r="A31" i="32" s="1"/>
  <c r="M16" i="97"/>
  <c r="A32" i="32" s="1"/>
  <c r="M14" i="97"/>
  <c r="A30" i="32" s="1"/>
  <c r="O13" i="97"/>
  <c r="C29" i="32" s="1"/>
  <c r="P13" i="97"/>
  <c r="D29" i="32" s="1"/>
  <c r="Q13" i="97"/>
  <c r="E29" i="32" s="1"/>
  <c r="R13" i="97"/>
  <c r="F29" i="32" s="1"/>
  <c r="S13" i="97"/>
  <c r="G29" i="32" s="1"/>
  <c r="T13" i="97"/>
  <c r="U13" i="97"/>
  <c r="V13" i="97"/>
  <c r="N13" i="97"/>
  <c r="B29" i="32" s="1"/>
  <c r="M9" i="97"/>
  <c r="A25" i="32" s="1"/>
  <c r="M10" i="97"/>
  <c r="A26" i="32" s="1"/>
  <c r="M11" i="97"/>
  <c r="A27" i="32" s="1"/>
  <c r="N7" i="97"/>
  <c r="B24" i="32" s="1"/>
  <c r="O7" i="97"/>
  <c r="C24" i="32" s="1"/>
  <c r="P7" i="97"/>
  <c r="D24" i="32" s="1"/>
  <c r="Q7" i="97"/>
  <c r="E24" i="32" s="1"/>
  <c r="R7" i="97"/>
  <c r="F24" i="32" s="1"/>
  <c r="S7" i="97"/>
  <c r="G24" i="32" s="1"/>
  <c r="T7" i="97"/>
  <c r="U7" i="97"/>
  <c r="V7" i="97"/>
  <c r="B46" i="112"/>
  <c r="C45" i="112"/>
  <c r="C21" i="112"/>
  <c r="B22" i="112" s="1"/>
  <c r="C22" i="112" s="1"/>
  <c r="B34" i="112"/>
  <c r="C34" i="112"/>
  <c r="C33" i="112"/>
  <c r="B46" i="111"/>
  <c r="C46" i="111" s="1"/>
  <c r="C45" i="111"/>
  <c r="C21" i="111"/>
  <c r="B34" i="111"/>
  <c r="B35" i="111" s="1"/>
  <c r="C35" i="111" s="1"/>
  <c r="C33" i="111"/>
  <c r="B46" i="110"/>
  <c r="C45" i="110"/>
  <c r="C21" i="110"/>
  <c r="B34" i="110"/>
  <c r="B35" i="110" s="1"/>
  <c r="B36" i="110" s="1"/>
  <c r="C33" i="110"/>
  <c r="D33" i="110" s="1"/>
  <c r="B46" i="109"/>
  <c r="C45" i="109"/>
  <c r="D46" i="109" s="1"/>
  <c r="C21" i="109"/>
  <c r="B34" i="109"/>
  <c r="B35" i="109" s="1"/>
  <c r="C33" i="109"/>
  <c r="B46" i="108"/>
  <c r="C45" i="108"/>
  <c r="D45" i="108" s="1"/>
  <c r="C21" i="108"/>
  <c r="B22" i="108" s="1"/>
  <c r="C22" i="108" s="1"/>
  <c r="B34" i="108"/>
  <c r="C34" i="108" s="1"/>
  <c r="D34" i="108" s="1"/>
  <c r="B35" i="108"/>
  <c r="C33" i="108"/>
  <c r="B46" i="107"/>
  <c r="B47" i="107" s="1"/>
  <c r="C45" i="107"/>
  <c r="D45" i="107" s="1"/>
  <c r="C21" i="107"/>
  <c r="D21" i="107" s="1"/>
  <c r="B34" i="107"/>
  <c r="C34" i="107" s="1"/>
  <c r="C33" i="107"/>
  <c r="D33" i="107" s="1"/>
  <c r="B35" i="112"/>
  <c r="C35" i="112" s="1"/>
  <c r="D33" i="112"/>
  <c r="D33" i="111"/>
  <c r="B36" i="111"/>
  <c r="C34" i="111"/>
  <c r="D34" i="111" s="1"/>
  <c r="B22" i="110"/>
  <c r="C22" i="110" s="1"/>
  <c r="D21" i="110"/>
  <c r="C34" i="110"/>
  <c r="B47" i="109"/>
  <c r="B48" i="109" s="1"/>
  <c r="D33" i="109"/>
  <c r="C46" i="109"/>
  <c r="D45" i="109"/>
  <c r="D33" i="108"/>
  <c r="B22" i="107"/>
  <c r="C22" i="107" s="1"/>
  <c r="B46" i="106"/>
  <c r="C45" i="106"/>
  <c r="C21" i="106"/>
  <c r="B34" i="106"/>
  <c r="C34" i="106" s="1"/>
  <c r="C33" i="106"/>
  <c r="D33" i="106" s="1"/>
  <c r="B46" i="105"/>
  <c r="C46" i="105" s="1"/>
  <c r="C45" i="105"/>
  <c r="D45" i="105" s="1"/>
  <c r="C21" i="105"/>
  <c r="B34" i="105"/>
  <c r="B35" i="105" s="1"/>
  <c r="C33" i="105"/>
  <c r="B46" i="104"/>
  <c r="C45" i="104"/>
  <c r="C21" i="104"/>
  <c r="B22" i="104" s="1"/>
  <c r="C22" i="104" s="1"/>
  <c r="B34" i="104"/>
  <c r="B35" i="104" s="1"/>
  <c r="C33" i="104"/>
  <c r="D33" i="104" s="1"/>
  <c r="B46" i="103"/>
  <c r="C45" i="103"/>
  <c r="C21" i="103"/>
  <c r="D21" i="103" s="1"/>
  <c r="B34" i="103"/>
  <c r="C33" i="103"/>
  <c r="B46" i="102"/>
  <c r="C45" i="102"/>
  <c r="C21" i="102"/>
  <c r="D21" i="102" s="1"/>
  <c r="B34" i="102"/>
  <c r="C33" i="102"/>
  <c r="B46" i="101"/>
  <c r="B47" i="101"/>
  <c r="B48" i="101" s="1"/>
  <c r="B49" i="101" s="1"/>
  <c r="C45" i="101"/>
  <c r="D45" i="101" s="1"/>
  <c r="C21" i="101"/>
  <c r="D21" i="101" s="1"/>
  <c r="B34" i="101"/>
  <c r="C33" i="101"/>
  <c r="D33" i="101" s="1"/>
  <c r="B46" i="100"/>
  <c r="C45" i="100"/>
  <c r="D45" i="100" s="1"/>
  <c r="C21" i="100"/>
  <c r="B34" i="100"/>
  <c r="C34" i="100" s="1"/>
  <c r="C33" i="100"/>
  <c r="D21" i="104"/>
  <c r="C46" i="101"/>
  <c r="D46" i="101"/>
  <c r="B22" i="106"/>
  <c r="C22" i="106" s="1"/>
  <c r="D21" i="106"/>
  <c r="B47" i="105"/>
  <c r="B48" i="105" s="1"/>
  <c r="D45" i="104"/>
  <c r="D33" i="103"/>
  <c r="B22" i="103"/>
  <c r="C22" i="103" s="1"/>
  <c r="D45" i="103"/>
  <c r="B47" i="102"/>
  <c r="B48" i="102" s="1"/>
  <c r="C46" i="102"/>
  <c r="D33" i="102"/>
  <c r="B22" i="100"/>
  <c r="C22" i="100" s="1"/>
  <c r="D33" i="100"/>
  <c r="L27" i="95" s="1"/>
  <c r="D21" i="100"/>
  <c r="B46" i="99"/>
  <c r="C46" i="99" s="1"/>
  <c r="C45" i="99"/>
  <c r="D45" i="99" s="1"/>
  <c r="B46" i="89"/>
  <c r="C46" i="89" s="1"/>
  <c r="C45" i="89"/>
  <c r="D45" i="96"/>
  <c r="D45" i="94"/>
  <c r="D45" i="93"/>
  <c r="D45" i="92"/>
  <c r="D45" i="90"/>
  <c r="C21" i="99"/>
  <c r="C21" i="89"/>
  <c r="B22" i="89" s="1"/>
  <c r="C22" i="89" s="1"/>
  <c r="D21" i="93"/>
  <c r="D21" i="91"/>
  <c r="D21" i="90"/>
  <c r="B34" i="99"/>
  <c r="C34" i="99" s="1"/>
  <c r="C33" i="99"/>
  <c r="D33" i="99" s="1"/>
  <c r="B34" i="89"/>
  <c r="C34" i="89" s="1"/>
  <c r="D34" i="89" s="1"/>
  <c r="C33" i="89"/>
  <c r="D33" i="89" s="1"/>
  <c r="B34" i="96"/>
  <c r="C34" i="96" s="1"/>
  <c r="C33" i="96"/>
  <c r="D33" i="96" s="1"/>
  <c r="B34" i="94"/>
  <c r="C33" i="94"/>
  <c r="D33" i="94" s="1"/>
  <c r="B34" i="93"/>
  <c r="C33" i="93"/>
  <c r="D33" i="93" s="1"/>
  <c r="B34" i="92"/>
  <c r="C34" i="92" s="1"/>
  <c r="D34" i="92" s="1"/>
  <c r="C33" i="92"/>
  <c r="D33" i="92" s="1"/>
  <c r="B34" i="91"/>
  <c r="C34" i="91" s="1"/>
  <c r="C33" i="91"/>
  <c r="D33" i="91" s="1"/>
  <c r="B34" i="90"/>
  <c r="C33" i="90"/>
  <c r="D33" i="90" s="1"/>
  <c r="D45" i="80"/>
  <c r="B34" i="80"/>
  <c r="C33" i="80"/>
  <c r="D33" i="80" s="1"/>
  <c r="B35" i="99"/>
  <c r="C35" i="99" s="1"/>
  <c r="B47" i="89"/>
  <c r="D45" i="91"/>
  <c r="D34" i="91"/>
  <c r="B49" i="80"/>
  <c r="C49" i="80" s="1"/>
  <c r="B50" i="80"/>
  <c r="C50" i="80" s="1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P22" i="15"/>
  <c r="P23" i="15"/>
  <c r="P26" i="15"/>
  <c r="P27" i="15"/>
  <c r="P30" i="15"/>
  <c r="P31" i="15"/>
  <c r="Q23" i="15"/>
  <c r="Q24" i="15"/>
  <c r="Q25" i="15"/>
  <c r="Q29" i="15"/>
  <c r="Q30" i="15"/>
  <c r="Q31" i="15"/>
  <c r="R22" i="15"/>
  <c r="R23" i="15"/>
  <c r="R26" i="15"/>
  <c r="R27" i="15"/>
  <c r="R30" i="15"/>
  <c r="R31" i="15"/>
  <c r="S23" i="15"/>
  <c r="S24" i="15"/>
  <c r="S25" i="15"/>
  <c r="F25" i="18"/>
  <c r="S29" i="15"/>
  <c r="S30" i="15"/>
  <c r="T22" i="15"/>
  <c r="T23" i="15"/>
  <c r="T26" i="15"/>
  <c r="T27" i="15"/>
  <c r="T30" i="15"/>
  <c r="U23" i="15"/>
  <c r="U24" i="15"/>
  <c r="U25" i="15"/>
  <c r="U29" i="15"/>
  <c r="U30" i="15"/>
  <c r="V23" i="15"/>
  <c r="V27" i="15"/>
  <c r="V28" i="15"/>
  <c r="V29" i="15"/>
  <c r="V30" i="15"/>
  <c r="V31" i="15"/>
  <c r="W22" i="15"/>
  <c r="W23" i="15"/>
  <c r="W24" i="15"/>
  <c r="W25" i="15"/>
  <c r="W29" i="15"/>
  <c r="W30" i="15"/>
  <c r="W31" i="15"/>
  <c r="X23" i="15"/>
  <c r="X27" i="15"/>
  <c r="X28" i="15"/>
  <c r="X29" i="15"/>
  <c r="X31" i="15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O4" i="33" s="1"/>
  <c r="B31" i="33" s="1"/>
  <c r="F31" i="33" s="1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H30" i="12"/>
  <c r="R24" i="12"/>
  <c r="R25" i="12"/>
  <c r="R26" i="12"/>
  <c r="R27" i="12"/>
  <c r="R28" i="12"/>
  <c r="R31" i="12" s="1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R22" i="20" s="1"/>
  <c r="F22" i="20"/>
  <c r="S22" i="20" s="1"/>
  <c r="G22" i="20"/>
  <c r="H22" i="20"/>
  <c r="I22" i="20"/>
  <c r="J22" i="20"/>
  <c r="K22" i="20"/>
  <c r="C23" i="20"/>
  <c r="D23" i="20"/>
  <c r="E23" i="20"/>
  <c r="F23" i="20"/>
  <c r="G23" i="20"/>
  <c r="T23" i="20" s="1"/>
  <c r="H23" i="20"/>
  <c r="I23" i="20"/>
  <c r="J23" i="20"/>
  <c r="K23" i="20"/>
  <c r="C24" i="20"/>
  <c r="D24" i="20"/>
  <c r="Q24" i="20" s="1"/>
  <c r="E24" i="20"/>
  <c r="R24" i="20" s="1"/>
  <c r="F24" i="20"/>
  <c r="S24" i="20" s="1"/>
  <c r="G24" i="20"/>
  <c r="H24" i="20"/>
  <c r="I24" i="20"/>
  <c r="J24" i="20"/>
  <c r="K24" i="20"/>
  <c r="C25" i="20"/>
  <c r="D25" i="20"/>
  <c r="E25" i="20"/>
  <c r="R25" i="20" s="1"/>
  <c r="F25" i="20"/>
  <c r="G25" i="20"/>
  <c r="H25" i="20"/>
  <c r="I25" i="20"/>
  <c r="J25" i="20"/>
  <c r="K25" i="20"/>
  <c r="X25" i="20" s="1"/>
  <c r="C26" i="20"/>
  <c r="D26" i="20"/>
  <c r="E26" i="20"/>
  <c r="F26" i="20"/>
  <c r="G26" i="20"/>
  <c r="H26" i="20"/>
  <c r="I26" i="20"/>
  <c r="J26" i="20"/>
  <c r="K26" i="20"/>
  <c r="X26" i="20" s="1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V28" i="20" s="1"/>
  <c r="J28" i="20"/>
  <c r="W28" i="20" s="1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V30" i="20" s="1"/>
  <c r="J30" i="20"/>
  <c r="K30" i="20"/>
  <c r="C31" i="20"/>
  <c r="D31" i="20"/>
  <c r="E31" i="20"/>
  <c r="F31" i="20"/>
  <c r="G31" i="20"/>
  <c r="T31" i="20" s="1"/>
  <c r="H31" i="20"/>
  <c r="I31" i="20"/>
  <c r="J31" i="20"/>
  <c r="K31" i="20"/>
  <c r="B22" i="18"/>
  <c r="O22" i="15"/>
  <c r="C22" i="18"/>
  <c r="D22" i="18"/>
  <c r="Q22" i="15"/>
  <c r="Q22" i="18" s="1"/>
  <c r="E22" i="18"/>
  <c r="R22" i="18" s="1"/>
  <c r="F22" i="18"/>
  <c r="S22" i="15"/>
  <c r="S22" i="18" s="1"/>
  <c r="G22" i="18"/>
  <c r="T22" i="18" s="1"/>
  <c r="H22" i="18"/>
  <c r="U22" i="15"/>
  <c r="U22" i="18" s="1"/>
  <c r="I22" i="18"/>
  <c r="V22" i="15"/>
  <c r="V22" i="18" s="1"/>
  <c r="V22" i="20" s="1"/>
  <c r="J22" i="18"/>
  <c r="W22" i="18" s="1"/>
  <c r="K22" i="18"/>
  <c r="X22" i="15"/>
  <c r="X22" i="18" s="1"/>
  <c r="B23" i="18"/>
  <c r="O23" i="18" s="1"/>
  <c r="C23" i="18"/>
  <c r="P23" i="18" s="1"/>
  <c r="D23" i="18"/>
  <c r="Q23" i="18" s="1"/>
  <c r="E23" i="18"/>
  <c r="R23" i="18" s="1"/>
  <c r="F23" i="18"/>
  <c r="S23" i="18" s="1"/>
  <c r="G23" i="18"/>
  <c r="T23" i="18" s="1"/>
  <c r="H23" i="18"/>
  <c r="I23" i="18"/>
  <c r="J23" i="18"/>
  <c r="K23" i="18"/>
  <c r="B24" i="18"/>
  <c r="O24" i="18" s="1"/>
  <c r="C24" i="18"/>
  <c r="P24" i="15"/>
  <c r="P24" i="18" s="1"/>
  <c r="D24" i="18"/>
  <c r="E24" i="18"/>
  <c r="R24" i="15"/>
  <c r="F24" i="18"/>
  <c r="S24" i="18" s="1"/>
  <c r="G24" i="18"/>
  <c r="T24" i="15"/>
  <c r="T24" i="18" s="1"/>
  <c r="H24" i="18"/>
  <c r="I24" i="18"/>
  <c r="V24" i="18" s="1"/>
  <c r="V24" i="15"/>
  <c r="J24" i="18"/>
  <c r="K24" i="18"/>
  <c r="X24" i="15"/>
  <c r="B25" i="18"/>
  <c r="C25" i="18"/>
  <c r="P25" i="18" s="1"/>
  <c r="P25" i="15"/>
  <c r="D25" i="18"/>
  <c r="Q25" i="18" s="1"/>
  <c r="E25" i="18"/>
  <c r="R25" i="18" s="1"/>
  <c r="R25" i="15"/>
  <c r="G25" i="18"/>
  <c r="T25" i="15"/>
  <c r="H25" i="18"/>
  <c r="I25" i="18"/>
  <c r="V25" i="15"/>
  <c r="J25" i="18"/>
  <c r="W25" i="18" s="1"/>
  <c r="K25" i="18"/>
  <c r="X25" i="18" s="1"/>
  <c r="X25" i="15"/>
  <c r="B26" i="18"/>
  <c r="O26" i="15"/>
  <c r="C26" i="18"/>
  <c r="P26" i="18" s="1"/>
  <c r="D26" i="18"/>
  <c r="Q26" i="15"/>
  <c r="E26" i="18"/>
  <c r="R26" i="18" s="1"/>
  <c r="F26" i="18"/>
  <c r="S26" i="15"/>
  <c r="G26" i="18"/>
  <c r="T26" i="18" s="1"/>
  <c r="H26" i="18"/>
  <c r="U26" i="15"/>
  <c r="I26" i="18"/>
  <c r="V26" i="15"/>
  <c r="J26" i="18"/>
  <c r="W26" i="18" s="1"/>
  <c r="W26" i="15"/>
  <c r="K26" i="18"/>
  <c r="X26" i="15"/>
  <c r="B27" i="18"/>
  <c r="O27" i="15"/>
  <c r="O27" i="18" s="1"/>
  <c r="C27" i="18"/>
  <c r="D27" i="18"/>
  <c r="Q27" i="15"/>
  <c r="Q27" i="18" s="1"/>
  <c r="E27" i="18"/>
  <c r="R27" i="18" s="1"/>
  <c r="F27" i="18"/>
  <c r="S27" i="15"/>
  <c r="S27" i="18" s="1"/>
  <c r="G27" i="18"/>
  <c r="T27" i="18" s="1"/>
  <c r="H27" i="18"/>
  <c r="U27" i="18" s="1"/>
  <c r="U27" i="15"/>
  <c r="I27" i="18"/>
  <c r="V27" i="18" s="1"/>
  <c r="J27" i="18"/>
  <c r="W27" i="18" s="1"/>
  <c r="W27" i="15"/>
  <c r="K27" i="18"/>
  <c r="B28" i="18"/>
  <c r="O28" i="15"/>
  <c r="C28" i="18"/>
  <c r="P28" i="15"/>
  <c r="P28" i="18" s="1"/>
  <c r="D28" i="18"/>
  <c r="Q28" i="15"/>
  <c r="Q28" i="18" s="1"/>
  <c r="E28" i="18"/>
  <c r="R28" i="18" s="1"/>
  <c r="R28" i="15"/>
  <c r="F28" i="18"/>
  <c r="S28" i="15"/>
  <c r="S28" i="18" s="1"/>
  <c r="G28" i="18"/>
  <c r="T28" i="18" s="1"/>
  <c r="T28" i="15"/>
  <c r="H28" i="18"/>
  <c r="U28" i="15"/>
  <c r="U28" i="18" s="1"/>
  <c r="I28" i="18"/>
  <c r="J28" i="18"/>
  <c r="W28" i="15"/>
  <c r="W28" i="18" s="1"/>
  <c r="K28" i="18"/>
  <c r="B29" i="18"/>
  <c r="O29" i="18" s="1"/>
  <c r="C29" i="18"/>
  <c r="P29" i="18" s="1"/>
  <c r="P29" i="15"/>
  <c r="D29" i="18"/>
  <c r="Q29" i="18" s="1"/>
  <c r="E29" i="18"/>
  <c r="R29" i="18" s="1"/>
  <c r="R29" i="15"/>
  <c r="F29" i="18"/>
  <c r="G29" i="18"/>
  <c r="T29" i="15"/>
  <c r="H29" i="18"/>
  <c r="U29" i="18" s="1"/>
  <c r="I29" i="18"/>
  <c r="J29" i="18"/>
  <c r="W29" i="18" s="1"/>
  <c r="K29" i="18"/>
  <c r="X29" i="18" s="1"/>
  <c r="B30" i="18"/>
  <c r="C30" i="18"/>
  <c r="P30" i="18" s="1"/>
  <c r="D30" i="18"/>
  <c r="Q30" i="18" s="1"/>
  <c r="E30" i="18"/>
  <c r="F30" i="18"/>
  <c r="S30" i="18" s="1"/>
  <c r="G30" i="18"/>
  <c r="T30" i="18" s="1"/>
  <c r="H30" i="18"/>
  <c r="U30" i="18" s="1"/>
  <c r="I30" i="18"/>
  <c r="V30" i="18" s="1"/>
  <c r="J30" i="18"/>
  <c r="K30" i="18"/>
  <c r="X30" i="15"/>
  <c r="B31" i="18"/>
  <c r="O31" i="18" s="1"/>
  <c r="C31" i="18"/>
  <c r="P31" i="18" s="1"/>
  <c r="D31" i="18"/>
  <c r="Q31" i="18" s="1"/>
  <c r="E31" i="18"/>
  <c r="R31" i="18" s="1"/>
  <c r="F31" i="18"/>
  <c r="G31" i="18"/>
  <c r="T31" i="15"/>
  <c r="T31" i="18" s="1"/>
  <c r="H31" i="18"/>
  <c r="I31" i="18"/>
  <c r="V31" i="18" s="1"/>
  <c r="J31" i="18"/>
  <c r="W31" i="18" s="1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R24" i="18"/>
  <c r="X27" i="18"/>
  <c r="X26" i="18"/>
  <c r="D2" i="34"/>
  <c r="W23" i="18"/>
  <c r="P27" i="18"/>
  <c r="X31" i="18"/>
  <c r="X24" i="18"/>
  <c r="S31" i="15"/>
  <c r="S31" i="18"/>
  <c r="V29" i="18"/>
  <c r="X23" i="18"/>
  <c r="V23" i="18"/>
  <c r="V28" i="18"/>
  <c r="U25" i="18"/>
  <c r="X30" i="18"/>
  <c r="O30" i="18"/>
  <c r="U23" i="18"/>
  <c r="O22" i="18"/>
  <c r="S29" i="18"/>
  <c r="X28" i="18"/>
  <c r="S26" i="18"/>
  <c r="W24" i="18"/>
  <c r="U24" i="18"/>
  <c r="Q24" i="18"/>
  <c r="S31" i="12"/>
  <c r="W21" i="12" l="1"/>
  <c r="S23" i="20"/>
  <c r="D42" i="119"/>
  <c r="D53" i="117"/>
  <c r="D54" i="117"/>
  <c r="Q29" i="20"/>
  <c r="O30" i="20"/>
  <c r="T24" i="20"/>
  <c r="O22" i="20"/>
  <c r="B23" i="112"/>
  <c r="C23" i="112" s="1"/>
  <c r="B24" i="112" s="1"/>
  <c r="C24" i="112" s="1"/>
  <c r="B25" i="112" s="1"/>
  <c r="C25" i="112" s="1"/>
  <c r="D23" i="112"/>
  <c r="C47" i="93"/>
  <c r="B48" i="93"/>
  <c r="D22" i="100"/>
  <c r="B23" i="100"/>
  <c r="C23" i="100" s="1"/>
  <c r="D46" i="111"/>
  <c r="C48" i="92"/>
  <c r="B49" i="92"/>
  <c r="B23" i="107"/>
  <c r="C23" i="107" s="1"/>
  <c r="D22" i="107"/>
  <c r="B48" i="94"/>
  <c r="C47" i="94"/>
  <c r="R3" i="33"/>
  <c r="B46" i="33" s="1"/>
  <c r="C46" i="33" s="1"/>
  <c r="C53" i="33" s="1"/>
  <c r="K57" i="33" s="1"/>
  <c r="B76" i="33" s="1"/>
  <c r="B35" i="100"/>
  <c r="D21" i="112"/>
  <c r="E39" i="32"/>
  <c r="Q38" i="97"/>
  <c r="U31" i="15"/>
  <c r="U31" i="18" s="1"/>
  <c r="D24" i="112"/>
  <c r="B35" i="91"/>
  <c r="B36" i="112"/>
  <c r="D39" i="32"/>
  <c r="P38" i="97"/>
  <c r="B35" i="87"/>
  <c r="B36" i="87" s="1"/>
  <c r="O19" i="33"/>
  <c r="B35" i="96"/>
  <c r="C35" i="96" s="1"/>
  <c r="B36" i="99"/>
  <c r="B35" i="106"/>
  <c r="D21" i="108"/>
  <c r="D45" i="111"/>
  <c r="B39" i="32"/>
  <c r="N38" i="97"/>
  <c r="C39" i="32"/>
  <c r="O38" i="97"/>
  <c r="B48" i="91"/>
  <c r="C21" i="14"/>
  <c r="C54" i="14" s="1"/>
  <c r="U26" i="18"/>
  <c r="S29" i="20"/>
  <c r="R30" i="18"/>
  <c r="B35" i="89"/>
  <c r="B36" i="89" s="1"/>
  <c r="C47" i="102"/>
  <c r="P24" i="101"/>
  <c r="V29" i="20"/>
  <c r="P27" i="20"/>
  <c r="O29" i="20"/>
  <c r="Q26" i="18"/>
  <c r="V25" i="18"/>
  <c r="V25" i="20" s="1"/>
  <c r="T30" i="20"/>
  <c r="Q25" i="20"/>
  <c r="S30" i="20"/>
  <c r="R23" i="20"/>
  <c r="T29" i="18"/>
  <c r="Q31" i="20"/>
  <c r="U27" i="20"/>
  <c r="W25" i="20"/>
  <c r="O26" i="20"/>
  <c r="O26" i="18"/>
  <c r="T25" i="18"/>
  <c r="X31" i="20"/>
  <c r="P31" i="20"/>
  <c r="Q30" i="20"/>
  <c r="R29" i="20"/>
  <c r="S28" i="20"/>
  <c r="T27" i="20"/>
  <c r="U26" i="20"/>
  <c r="W24" i="20"/>
  <c r="X23" i="20"/>
  <c r="P23" i="20"/>
  <c r="Q22" i="20"/>
  <c r="R6" i="33"/>
  <c r="B49" i="33" s="1"/>
  <c r="M49" i="33" s="1"/>
  <c r="O17" i="33"/>
  <c r="D21" i="89"/>
  <c r="B47" i="111"/>
  <c r="B48" i="88"/>
  <c r="B47" i="87"/>
  <c r="U30" i="20"/>
  <c r="X27" i="20"/>
  <c r="Q26" i="20"/>
  <c r="U22" i="20"/>
  <c r="T22" i="20"/>
  <c r="R31" i="20"/>
  <c r="U28" i="20"/>
  <c r="W26" i="20"/>
  <c r="O28" i="18"/>
  <c r="O28" i="20" s="1"/>
  <c r="W31" i="20"/>
  <c r="X30" i="20"/>
  <c r="P30" i="20"/>
  <c r="R28" i="20"/>
  <c r="S27" i="20"/>
  <c r="T26" i="20"/>
  <c r="U25" i="20"/>
  <c r="V24" i="20"/>
  <c r="W23" i="20"/>
  <c r="X22" i="20"/>
  <c r="P22" i="20"/>
  <c r="O24" i="20"/>
  <c r="W30" i="18"/>
  <c r="W30" i="20" s="1"/>
  <c r="B49" i="90"/>
  <c r="B35" i="88"/>
  <c r="C35" i="88" s="1"/>
  <c r="D35" i="88" s="1"/>
  <c r="V26" i="18"/>
  <c r="S31" i="20"/>
  <c r="U29" i="20"/>
  <c r="W27" i="20"/>
  <c r="P26" i="20"/>
  <c r="T29" i="20"/>
  <c r="V27" i="20"/>
  <c r="P25" i="20"/>
  <c r="R30" i="20"/>
  <c r="T28" i="20"/>
  <c r="V26" i="20"/>
  <c r="X24" i="20"/>
  <c r="P24" i="20"/>
  <c r="Q23" i="20"/>
  <c r="V31" i="20"/>
  <c r="X29" i="20"/>
  <c r="P29" i="20"/>
  <c r="Q28" i="20"/>
  <c r="R27" i="20"/>
  <c r="S26" i="20"/>
  <c r="T25" i="20"/>
  <c r="U24" i="20"/>
  <c r="V23" i="20"/>
  <c r="W22" i="20"/>
  <c r="O31" i="20"/>
  <c r="V31" i="12"/>
  <c r="U31" i="12"/>
  <c r="T31" i="12"/>
  <c r="O3" i="33"/>
  <c r="B30" i="33" s="1"/>
  <c r="E30" i="33" s="1"/>
  <c r="S25" i="18"/>
  <c r="G39" i="32"/>
  <c r="S38" i="97"/>
  <c r="D46" i="94"/>
  <c r="D46" i="90"/>
  <c r="U31" i="20"/>
  <c r="W29" i="20"/>
  <c r="X28" i="20"/>
  <c r="P28" i="20"/>
  <c r="Q27" i="20"/>
  <c r="R26" i="20"/>
  <c r="S25" i="20"/>
  <c r="U23" i="20"/>
  <c r="F39" i="32"/>
  <c r="R38" i="97"/>
  <c r="D47" i="93"/>
  <c r="D21" i="14"/>
  <c r="D54" i="14" s="1"/>
  <c r="O15" i="33"/>
  <c r="B42" i="33" s="1"/>
  <c r="O42" i="33" s="1"/>
  <c r="W30" i="12"/>
  <c r="R11" i="33"/>
  <c r="R10" i="33"/>
  <c r="O13" i="33"/>
  <c r="B40" i="33" s="1"/>
  <c r="S40" i="33" s="1"/>
  <c r="R4" i="33"/>
  <c r="B47" i="33" s="1"/>
  <c r="I27" i="26"/>
  <c r="I26" i="29" s="1"/>
  <c r="O14" i="33"/>
  <c r="B41" i="33" s="1"/>
  <c r="P41" i="33" s="1"/>
  <c r="R8" i="33"/>
  <c r="B51" i="33" s="1"/>
  <c r="J51" i="33" s="1"/>
  <c r="W24" i="12"/>
  <c r="W31" i="12" s="1"/>
  <c r="O5" i="33"/>
  <c r="B32" i="33" s="1"/>
  <c r="G32" i="33" s="1"/>
  <c r="F27" i="26"/>
  <c r="F26" i="29" s="1"/>
  <c r="D27" i="26"/>
  <c r="D26" i="29" s="1"/>
  <c r="M38" i="24"/>
  <c r="O10" i="33"/>
  <c r="B37" i="33" s="1"/>
  <c r="R37" i="33" s="1"/>
  <c r="C71" i="24"/>
  <c r="E71" i="24" s="1"/>
  <c r="D31" i="33"/>
  <c r="K27" i="26"/>
  <c r="K26" i="29" s="1"/>
  <c r="M31" i="33"/>
  <c r="R12" i="33"/>
  <c r="O9" i="33"/>
  <c r="B36" i="33" s="1"/>
  <c r="L36" i="33" s="1"/>
  <c r="O11" i="33"/>
  <c r="B38" i="33" s="1"/>
  <c r="P38" i="33" s="1"/>
  <c r="G27" i="26"/>
  <c r="G26" i="29" s="1"/>
  <c r="E27" i="26"/>
  <c r="E26" i="29" s="1"/>
  <c r="C27" i="26"/>
  <c r="C26" i="29" s="1"/>
  <c r="M27" i="24"/>
  <c r="Q25" i="12"/>
  <c r="F44" i="12"/>
  <c r="C85" i="24"/>
  <c r="E85" i="24" s="1"/>
  <c r="C84" i="24"/>
  <c r="E84" i="24" s="1"/>
  <c r="Q26" i="12"/>
  <c r="I46" i="33"/>
  <c r="H31" i="33"/>
  <c r="K31" i="33"/>
  <c r="N45" i="12"/>
  <c r="O45" i="12" s="1"/>
  <c r="Q21" i="12"/>
  <c r="C2" i="28"/>
  <c r="C3" i="28" s="1"/>
  <c r="H41" i="26" s="1"/>
  <c r="L31" i="33"/>
  <c r="J31" i="33"/>
  <c r="I31" i="33"/>
  <c r="G31" i="33"/>
  <c r="E31" i="33"/>
  <c r="H31" i="12"/>
  <c r="J27" i="26"/>
  <c r="J26" i="29" s="1"/>
  <c r="H27" i="26"/>
  <c r="H26" i="29" s="1"/>
  <c r="O25" i="20"/>
  <c r="O27" i="20"/>
  <c r="I47" i="33"/>
  <c r="L47" i="33"/>
  <c r="K47" i="33"/>
  <c r="G47" i="33"/>
  <c r="M47" i="33"/>
  <c r="H47" i="33"/>
  <c r="J47" i="33"/>
  <c r="D47" i="33"/>
  <c r="F47" i="33"/>
  <c r="E47" i="33"/>
  <c r="N49" i="33"/>
  <c r="K49" i="33"/>
  <c r="N36" i="33"/>
  <c r="Q51" i="33"/>
  <c r="J46" i="33"/>
  <c r="J32" i="33"/>
  <c r="O23" i="20"/>
  <c r="C34" i="90"/>
  <c r="B35" i="90"/>
  <c r="C35" i="87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D27" i="88"/>
  <c r="P20" i="12"/>
  <c r="P22" i="18"/>
  <c r="B26" i="112"/>
  <c r="C26" i="112" s="1"/>
  <c r="D25" i="112"/>
  <c r="B24" i="100"/>
  <c r="C24" i="100" s="1"/>
  <c r="D23" i="100"/>
  <c r="D35" i="96"/>
  <c r="D34" i="96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4" i="106"/>
  <c r="D22" i="106"/>
  <c r="B22" i="94"/>
  <c r="C22" i="94" s="1"/>
  <c r="D21" i="94"/>
  <c r="L32" i="33"/>
  <c r="D21" i="109"/>
  <c r="B22" i="109"/>
  <c r="C22" i="109" s="1"/>
  <c r="D22" i="109" s="1"/>
  <c r="C46" i="110"/>
  <c r="B47" i="110"/>
  <c r="C47" i="110" s="1"/>
  <c r="D47" i="110" s="1"/>
  <c r="R9" i="33"/>
  <c r="B52" i="33" s="1"/>
  <c r="R5" i="33"/>
  <c r="R7" i="33"/>
  <c r="B50" i="33" s="1"/>
  <c r="O7" i="33"/>
  <c r="B34" i="33" s="1"/>
  <c r="D21" i="99"/>
  <c r="B22" i="99"/>
  <c r="C22" i="99" s="1"/>
  <c r="O18" i="33"/>
  <c r="O12" i="33"/>
  <c r="B39" i="33" s="1"/>
  <c r="O16" i="33"/>
  <c r="O8" i="33"/>
  <c r="B35" i="33" s="1"/>
  <c r="O6" i="33"/>
  <c r="B37" i="99"/>
  <c r="C36" i="99"/>
  <c r="B35" i="93"/>
  <c r="C34" i="93"/>
  <c r="C46" i="100"/>
  <c r="B47" i="100"/>
  <c r="B35" i="102"/>
  <c r="C34" i="102"/>
  <c r="D34" i="102" s="1"/>
  <c r="C46" i="103"/>
  <c r="B47" i="10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B47" i="106"/>
  <c r="C47" i="106" s="1"/>
  <c r="C46" i="106"/>
  <c r="B49" i="109"/>
  <c r="C48" i="109"/>
  <c r="C35" i="108"/>
  <c r="B36" i="108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B35" i="92"/>
  <c r="C34" i="94"/>
  <c r="B35" i="94"/>
  <c r="D22" i="112"/>
  <c r="C47" i="101"/>
  <c r="C34" i="101"/>
  <c r="B35" i="101"/>
  <c r="D34" i="110"/>
  <c r="D45" i="112"/>
  <c r="B36" i="88"/>
  <c r="D22" i="93"/>
  <c r="B37" i="112"/>
  <c r="C37" i="112" s="1"/>
  <c r="C36" i="112"/>
  <c r="B37" i="111"/>
  <c r="C36" i="111"/>
  <c r="B23" i="108"/>
  <c r="C23" i="108" s="1"/>
  <c r="D22" i="108"/>
  <c r="B22" i="111"/>
  <c r="C22" i="111" s="1"/>
  <c r="D21" i="111"/>
  <c r="B47" i="112"/>
  <c r="C46" i="112"/>
  <c r="B22" i="92"/>
  <c r="C22" i="92" s="1"/>
  <c r="D22" i="92" s="1"/>
  <c r="D21" i="92"/>
  <c r="B47" i="96"/>
  <c r="C46" i="96"/>
  <c r="H3" i="24"/>
  <c r="C76" i="24"/>
  <c r="C73" i="24"/>
  <c r="C78" i="24"/>
  <c r="C80" i="24"/>
  <c r="C81" i="24"/>
  <c r="C77" i="24"/>
  <c r="C82" i="24"/>
  <c r="C83" i="24"/>
  <c r="C74" i="24"/>
  <c r="C75" i="24"/>
  <c r="C79" i="24"/>
  <c r="AE32" i="97"/>
  <c r="D29" i="93"/>
  <c r="C47" i="109"/>
  <c r="D34" i="103"/>
  <c r="D34" i="88"/>
  <c r="D33" i="88"/>
  <c r="D46" i="93"/>
  <c r="B48" i="89"/>
  <c r="C47" i="89"/>
  <c r="B35" i="80"/>
  <c r="C34" i="80"/>
  <c r="B23" i="89"/>
  <c r="C23" i="89" s="1"/>
  <c r="D23" i="89" s="1"/>
  <c r="D22" i="89"/>
  <c r="B35" i="103"/>
  <c r="C34" i="103"/>
  <c r="C46" i="104"/>
  <c r="B47" i="104"/>
  <c r="B48" i="104" s="1"/>
  <c r="B23" i="110"/>
  <c r="C23" i="110" s="1"/>
  <c r="D22" i="110"/>
  <c r="B47" i="108"/>
  <c r="C46" i="108"/>
  <c r="C48" i="91"/>
  <c r="B49" i="91"/>
  <c r="D46" i="88"/>
  <c r="D47" i="88"/>
  <c r="C17" i="24"/>
  <c r="E17" i="24"/>
  <c r="G17" i="24"/>
  <c r="I17" i="24"/>
  <c r="K17" i="24"/>
  <c r="B17" i="24"/>
  <c r="D17" i="24"/>
  <c r="F17" i="24"/>
  <c r="H17" i="24"/>
  <c r="J17" i="24"/>
  <c r="D24" i="100"/>
  <c r="B51" i="80"/>
  <c r="B36" i="96"/>
  <c r="D45" i="89"/>
  <c r="D46" i="89"/>
  <c r="D34" i="112"/>
  <c r="D48" i="91"/>
  <c r="D47" i="80"/>
  <c r="D46" i="80"/>
  <c r="D27" i="93"/>
  <c r="B23" i="103"/>
  <c r="C23" i="103" s="1"/>
  <c r="D22" i="103"/>
  <c r="D45" i="106"/>
  <c r="D46" i="106"/>
  <c r="B36" i="109"/>
  <c r="C35" i="109"/>
  <c r="D46" i="110"/>
  <c r="B22" i="96"/>
  <c r="C22" i="96" s="1"/>
  <c r="D21" i="96"/>
  <c r="B22" i="90"/>
  <c r="C22" i="90" s="1"/>
  <c r="C48" i="88"/>
  <c r="B49" i="88"/>
  <c r="D48" i="90"/>
  <c r="C46" i="80"/>
  <c r="D46" i="92"/>
  <c r="D23" i="93"/>
  <c r="B47" i="99"/>
  <c r="D46" i="102"/>
  <c r="B27" i="26"/>
  <c r="C34" i="109"/>
  <c r="B22" i="91"/>
  <c r="C22" i="91" s="1"/>
  <c r="C47" i="92"/>
  <c r="D47" i="91"/>
  <c r="D46" i="104"/>
  <c r="D47" i="90"/>
  <c r="H54" i="14"/>
  <c r="C72" i="24"/>
  <c r="I21" i="14"/>
  <c r="J21" i="14"/>
  <c r="K21" i="14"/>
  <c r="E21" i="14"/>
  <c r="F21" i="14"/>
  <c r="G21" i="14"/>
  <c r="P26" i="12"/>
  <c r="O16" i="12"/>
  <c r="O17" i="12"/>
  <c r="P19" i="12"/>
  <c r="Q29" i="12"/>
  <c r="P18" i="12"/>
  <c r="Q28" i="12"/>
  <c r="B21" i="14"/>
  <c r="N15" i="12"/>
  <c r="P14" i="12"/>
  <c r="Q24" i="12"/>
  <c r="P48" i="91"/>
  <c r="R47" i="91"/>
  <c r="R35" i="105"/>
  <c r="P36" i="105"/>
  <c r="Q36" i="105" s="1"/>
  <c r="R36" i="105" s="1"/>
  <c r="P25" i="12"/>
  <c r="B22" i="80"/>
  <c r="C22" i="80" s="1"/>
  <c r="R36" i="103"/>
  <c r="R35" i="100"/>
  <c r="P36" i="100"/>
  <c r="Q36" i="100" s="1"/>
  <c r="P48" i="105"/>
  <c r="R47" i="105"/>
  <c r="R47" i="112"/>
  <c r="P24" i="91"/>
  <c r="Q24" i="91" s="1"/>
  <c r="R23" i="91"/>
  <c r="R36" i="93"/>
  <c r="P48" i="92"/>
  <c r="R47" i="92"/>
  <c r="R35" i="101"/>
  <c r="P48" i="106"/>
  <c r="Q48" i="106" s="1"/>
  <c r="P49" i="106" s="1"/>
  <c r="R47" i="106"/>
  <c r="P36" i="87"/>
  <c r="R35" i="87"/>
  <c r="P48" i="101"/>
  <c r="R47" i="101"/>
  <c r="R35" i="99"/>
  <c r="R49" i="103"/>
  <c r="Q27" i="12"/>
  <c r="R48" i="88"/>
  <c r="R36" i="102"/>
  <c r="R35" i="102"/>
  <c r="P36" i="102"/>
  <c r="Q36" i="102" s="1"/>
  <c r="R35" i="90"/>
  <c r="R35" i="94"/>
  <c r="P48" i="107"/>
  <c r="Q48" i="107" s="1"/>
  <c r="R47" i="107"/>
  <c r="R47" i="90"/>
  <c r="P48" i="94"/>
  <c r="Q48" i="94" s="1"/>
  <c r="P49" i="94" s="1"/>
  <c r="R47" i="94"/>
  <c r="R35" i="108"/>
  <c r="D22" i="80"/>
  <c r="P48" i="90"/>
  <c r="Q48" i="90" s="1"/>
  <c r="R48" i="90" s="1"/>
  <c r="P48" i="96"/>
  <c r="R47" i="96"/>
  <c r="P48" i="87"/>
  <c r="Q48" i="87" s="1"/>
  <c r="P49" i="87" s="1"/>
  <c r="R47" i="87"/>
  <c r="R47" i="93"/>
  <c r="R47" i="108"/>
  <c r="P48" i="102"/>
  <c r="Q48" i="102" s="1"/>
  <c r="R47" i="102"/>
  <c r="P36" i="107"/>
  <c r="R35" i="107"/>
  <c r="R37" i="112"/>
  <c r="R48" i="80"/>
  <c r="P36" i="92"/>
  <c r="R35" i="92"/>
  <c r="P48" i="89"/>
  <c r="Q48" i="89" s="1"/>
  <c r="R47" i="89"/>
  <c r="P48" i="104"/>
  <c r="R47" i="104"/>
  <c r="R49" i="80"/>
  <c r="Q48" i="112"/>
  <c r="P49" i="112" s="1"/>
  <c r="P37" i="112"/>
  <c r="Q37" i="112" s="1"/>
  <c r="Q48" i="111"/>
  <c r="Q36" i="111"/>
  <c r="Q48" i="109"/>
  <c r="Q48" i="108"/>
  <c r="P49" i="108" s="1"/>
  <c r="P36" i="108"/>
  <c r="Q36" i="107"/>
  <c r="Q48" i="99"/>
  <c r="P36" i="99"/>
  <c r="Q36" i="106"/>
  <c r="Q48" i="105"/>
  <c r="P49" i="105" s="1"/>
  <c r="Q48" i="104"/>
  <c r="P49" i="104" s="1"/>
  <c r="Q48" i="101"/>
  <c r="P49" i="101" s="1"/>
  <c r="P36" i="101"/>
  <c r="Q48" i="96"/>
  <c r="P49" i="96" s="1"/>
  <c r="P36" i="94"/>
  <c r="Q48" i="93"/>
  <c r="P49" i="93" s="1"/>
  <c r="Q48" i="92"/>
  <c r="P49" i="92" s="1"/>
  <c r="Q36" i="92"/>
  <c r="R36" i="92" s="1"/>
  <c r="Q48" i="91"/>
  <c r="P49" i="91" s="1"/>
  <c r="Q36" i="91"/>
  <c r="P36" i="90"/>
  <c r="Q36" i="87"/>
  <c r="P49" i="110"/>
  <c r="Q49" i="110" s="1"/>
  <c r="P49" i="103"/>
  <c r="Q49" i="103" s="1"/>
  <c r="P49" i="100"/>
  <c r="Q49" i="100" s="1"/>
  <c r="P49" i="88"/>
  <c r="P37" i="110"/>
  <c r="Q37" i="110" s="1"/>
  <c r="R37" i="110" s="1"/>
  <c r="P37" i="109"/>
  <c r="Q37" i="109" s="1"/>
  <c r="P37" i="104"/>
  <c r="Q37" i="104" s="1"/>
  <c r="R37" i="104" s="1"/>
  <c r="P37" i="103"/>
  <c r="Q37" i="103" s="1"/>
  <c r="R37" i="103" s="1"/>
  <c r="P37" i="102"/>
  <c r="Q37" i="102" s="1"/>
  <c r="P37" i="89"/>
  <c r="Q37" i="89" s="1"/>
  <c r="P37" i="96"/>
  <c r="Q37" i="96" s="1"/>
  <c r="R37" i="96" s="1"/>
  <c r="P37" i="93"/>
  <c r="Q37" i="93" s="1"/>
  <c r="P37" i="88"/>
  <c r="Q37" i="88" s="1"/>
  <c r="P49" i="80"/>
  <c r="Q49" i="80" s="1"/>
  <c r="P37" i="80"/>
  <c r="Q37" i="80" s="1"/>
  <c r="R23" i="112"/>
  <c r="P24" i="112"/>
  <c r="Q24" i="112" s="1"/>
  <c r="R23" i="111"/>
  <c r="P24" i="111"/>
  <c r="R23" i="110"/>
  <c r="P24" i="110"/>
  <c r="Q24" i="109"/>
  <c r="R24" i="109" s="1"/>
  <c r="P25" i="108"/>
  <c r="Q24" i="108"/>
  <c r="R24" i="108" s="1"/>
  <c r="R23" i="108"/>
  <c r="R27" i="99"/>
  <c r="R25" i="99"/>
  <c r="R29" i="99"/>
  <c r="R30" i="99"/>
  <c r="R28" i="99"/>
  <c r="R26" i="99"/>
  <c r="R24" i="99"/>
  <c r="B38" i="112"/>
  <c r="D36" i="112"/>
  <c r="D35" i="112"/>
  <c r="D36" i="111"/>
  <c r="D35" i="111"/>
  <c r="B37" i="110"/>
  <c r="C36" i="110"/>
  <c r="C35" i="110"/>
  <c r="D45" i="110"/>
  <c r="D34" i="100"/>
  <c r="L28" i="95" s="1"/>
  <c r="C49" i="101"/>
  <c r="B50" i="101"/>
  <c r="D34" i="101"/>
  <c r="C48" i="101"/>
  <c r="D49" i="101" s="1"/>
  <c r="B22" i="101"/>
  <c r="C22" i="101" s="1"/>
  <c r="D22" i="101" s="1"/>
  <c r="D47" i="101"/>
  <c r="C35" i="102"/>
  <c r="D35" i="102" s="1"/>
  <c r="B36" i="102"/>
  <c r="B49" i="102"/>
  <c r="C48" i="102"/>
  <c r="D48" i="102" s="1"/>
  <c r="D45" i="102"/>
  <c r="B22" i="102"/>
  <c r="C22" i="102" s="1"/>
  <c r="D22" i="102" s="1"/>
  <c r="D47" i="102"/>
  <c r="C35" i="103"/>
  <c r="B36" i="103"/>
  <c r="B49" i="104"/>
  <c r="C48" i="104"/>
  <c r="C35" i="104"/>
  <c r="B36" i="104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C47" i="104"/>
  <c r="C34" i="104"/>
  <c r="B49" i="105"/>
  <c r="C48" i="105"/>
  <c r="D46" i="105"/>
  <c r="C35" i="105"/>
  <c r="B36" i="105"/>
  <c r="D28" i="105"/>
  <c r="D27" i="105"/>
  <c r="D26" i="105"/>
  <c r="C47" i="105"/>
  <c r="D47" i="105" s="1"/>
  <c r="D33" i="105"/>
  <c r="C34" i="105"/>
  <c r="D30" i="105"/>
  <c r="D29" i="105"/>
  <c r="D25" i="105"/>
  <c r="D24" i="105"/>
  <c r="D23" i="105"/>
  <c r="D22" i="105"/>
  <c r="D34" i="106"/>
  <c r="C36" i="109"/>
  <c r="B37" i="109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B48" i="107"/>
  <c r="C47" i="107"/>
  <c r="B35" i="107"/>
  <c r="C46" i="107"/>
  <c r="D34" i="107"/>
  <c r="D23" i="107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2" i="99"/>
  <c r="D46" i="99"/>
  <c r="D35" i="99"/>
  <c r="D34" i="99"/>
  <c r="D36" i="99"/>
  <c r="P24" i="106"/>
  <c r="Q24" i="104"/>
  <c r="R24" i="104" s="1"/>
  <c r="R24" i="103"/>
  <c r="Q24" i="101"/>
  <c r="P25" i="101" s="1"/>
  <c r="R24" i="101"/>
  <c r="P25" i="100"/>
  <c r="Q25" i="100" s="1"/>
  <c r="R24" i="96"/>
  <c r="P25" i="96"/>
  <c r="P24" i="93"/>
  <c r="Q24" i="92"/>
  <c r="R24" i="92" s="1"/>
  <c r="Q24" i="90"/>
  <c r="P25" i="88"/>
  <c r="Q25" i="88" s="1"/>
  <c r="P25" i="107"/>
  <c r="Q25" i="107" s="1"/>
  <c r="P25" i="105"/>
  <c r="Q25" i="105" s="1"/>
  <c r="R24" i="105"/>
  <c r="P25" i="103"/>
  <c r="Q25" i="103" s="1"/>
  <c r="R24" i="100"/>
  <c r="R24" i="89"/>
  <c r="P25" i="89"/>
  <c r="Q25" i="89" s="1"/>
  <c r="R25" i="89" s="1"/>
  <c r="P25" i="94"/>
  <c r="R24" i="94"/>
  <c r="R24" i="87"/>
  <c r="Q25" i="87"/>
  <c r="D23" i="87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E32" i="33" l="1"/>
  <c r="K32" i="33"/>
  <c r="N37" i="33"/>
  <c r="N32" i="33"/>
  <c r="F32" i="33"/>
  <c r="I32" i="33"/>
  <c r="L37" i="33"/>
  <c r="H46" i="33"/>
  <c r="F46" i="33"/>
  <c r="E46" i="33"/>
  <c r="D46" i="33"/>
  <c r="D53" i="33" s="1"/>
  <c r="L57" i="33" s="1"/>
  <c r="B77" i="33" s="1"/>
  <c r="K46" i="33"/>
  <c r="L46" i="33"/>
  <c r="G46" i="33"/>
  <c r="O41" i="33"/>
  <c r="K37" i="33"/>
  <c r="M32" i="33"/>
  <c r="L49" i="33"/>
  <c r="H49" i="33"/>
  <c r="I49" i="33"/>
  <c r="F49" i="33"/>
  <c r="G49" i="33"/>
  <c r="O49" i="33"/>
  <c r="L51" i="33"/>
  <c r="I51" i="33"/>
  <c r="M38" i="33"/>
  <c r="J49" i="33"/>
  <c r="K51" i="33"/>
  <c r="J3" i="24"/>
  <c r="C35" i="89"/>
  <c r="D35" i="89" s="1"/>
  <c r="U41" i="33"/>
  <c r="P25" i="109"/>
  <c r="B48" i="106"/>
  <c r="D29" i="99"/>
  <c r="K3" i="24"/>
  <c r="T41" i="33"/>
  <c r="C35" i="100"/>
  <c r="B36" i="100"/>
  <c r="F16" i="24"/>
  <c r="I3" i="24"/>
  <c r="D37" i="112"/>
  <c r="D48" i="92"/>
  <c r="Q41" i="33"/>
  <c r="L38" i="33"/>
  <c r="H30" i="33"/>
  <c r="D30" i="33"/>
  <c r="N41" i="33"/>
  <c r="C30" i="33"/>
  <c r="C43" i="33" s="1"/>
  <c r="C56" i="33" s="1"/>
  <c r="B61" i="33" s="1"/>
  <c r="C61" i="33" s="1"/>
  <c r="C73" i="33" s="1"/>
  <c r="C85" i="33" s="1"/>
  <c r="B91" i="33" s="1"/>
  <c r="G91" i="33" s="1"/>
  <c r="D47" i="94"/>
  <c r="G3" i="24"/>
  <c r="F30" i="33"/>
  <c r="J30" i="33"/>
  <c r="P25" i="104"/>
  <c r="Q25" i="104" s="1"/>
  <c r="R48" i="105"/>
  <c r="B3" i="24"/>
  <c r="E3" i="24"/>
  <c r="G30" i="33"/>
  <c r="L30" i="33"/>
  <c r="K30" i="33"/>
  <c r="C49" i="90"/>
  <c r="B50" i="90"/>
  <c r="C48" i="94"/>
  <c r="B49" i="94"/>
  <c r="C48" i="93"/>
  <c r="D48" i="93" s="1"/>
  <c r="B49" i="93"/>
  <c r="S41" i="33"/>
  <c r="I30" i="33"/>
  <c r="C35" i="106"/>
  <c r="B36" i="106"/>
  <c r="C35" i="91"/>
  <c r="B36" i="91"/>
  <c r="R48" i="92"/>
  <c r="D3" i="24"/>
  <c r="C3" i="24"/>
  <c r="Q38" i="33"/>
  <c r="W41" i="33"/>
  <c r="W43" i="33" s="1"/>
  <c r="Q36" i="33"/>
  <c r="B48" i="111"/>
  <c r="C47" i="111"/>
  <c r="B48" i="87"/>
  <c r="C47" i="87"/>
  <c r="D47" i="87" s="1"/>
  <c r="D48" i="94"/>
  <c r="F3" i="24"/>
  <c r="D25" i="88"/>
  <c r="R41" i="33"/>
  <c r="B50" i="92"/>
  <c r="C49" i="92"/>
  <c r="D49" i="92" s="1"/>
  <c r="U42" i="33"/>
  <c r="P42" i="33"/>
  <c r="Q42" i="33"/>
  <c r="O51" i="33"/>
  <c r="R42" i="33"/>
  <c r="H51" i="33"/>
  <c r="W42" i="33"/>
  <c r="M51" i="33"/>
  <c r="N51" i="33"/>
  <c r="H16" i="24"/>
  <c r="T42" i="33"/>
  <c r="R38" i="33"/>
  <c r="P51" i="33"/>
  <c r="S37" i="33"/>
  <c r="V41" i="33"/>
  <c r="S42" i="33"/>
  <c r="O37" i="33"/>
  <c r="M37" i="33"/>
  <c r="Q37" i="33"/>
  <c r="P37" i="33"/>
  <c r="X42" i="33"/>
  <c r="X43" i="33" s="1"/>
  <c r="V42" i="33"/>
  <c r="M40" i="33"/>
  <c r="Q40" i="33"/>
  <c r="U40" i="33"/>
  <c r="O38" i="33"/>
  <c r="V40" i="33"/>
  <c r="T40" i="33"/>
  <c r="O40" i="33"/>
  <c r="N40" i="33"/>
  <c r="R40" i="33"/>
  <c r="P40" i="33"/>
  <c r="O36" i="33"/>
  <c r="J37" i="33"/>
  <c r="H32" i="33"/>
  <c r="J36" i="33"/>
  <c r="P36" i="33"/>
  <c r="T38" i="33"/>
  <c r="K36" i="33"/>
  <c r="R36" i="33"/>
  <c r="K38" i="33"/>
  <c r="G16" i="24"/>
  <c r="E16" i="24"/>
  <c r="K16" i="24"/>
  <c r="D16" i="24"/>
  <c r="J16" i="24"/>
  <c r="C16" i="24"/>
  <c r="V43" i="33"/>
  <c r="I16" i="24"/>
  <c r="B16" i="24"/>
  <c r="M36" i="33"/>
  <c r="D43" i="33"/>
  <c r="D56" i="33" s="1"/>
  <c r="B62" i="33" s="1"/>
  <c r="E62" i="33" s="1"/>
  <c r="S38" i="33"/>
  <c r="N38" i="33"/>
  <c r="I36" i="33"/>
  <c r="C46" i="29"/>
  <c r="H43" i="26"/>
  <c r="T23" i="33"/>
  <c r="W56" i="33" s="1"/>
  <c r="V85" i="33" s="1"/>
  <c r="U113" i="33" s="1"/>
  <c r="E118" i="33" s="1"/>
  <c r="P49" i="107"/>
  <c r="Q49" i="107" s="1"/>
  <c r="R48" i="107"/>
  <c r="P49" i="102"/>
  <c r="R48" i="102"/>
  <c r="R36" i="100"/>
  <c r="P49" i="89"/>
  <c r="R48" i="89"/>
  <c r="R37" i="80"/>
  <c r="R48" i="109"/>
  <c r="R36" i="107"/>
  <c r="R48" i="96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D29" i="91"/>
  <c r="C49" i="91"/>
  <c r="B50" i="91"/>
  <c r="D34" i="80"/>
  <c r="D35" i="80"/>
  <c r="E43" i="33"/>
  <c r="E56" i="33" s="1"/>
  <c r="D30" i="99"/>
  <c r="D24" i="107"/>
  <c r="D28" i="104"/>
  <c r="D46" i="100"/>
  <c r="R49" i="100"/>
  <c r="P49" i="90"/>
  <c r="P49" i="109"/>
  <c r="Q49" i="109" s="1"/>
  <c r="P50" i="109" s="1"/>
  <c r="R37" i="102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30" i="80"/>
  <c r="D28" i="80"/>
  <c r="D26" i="80"/>
  <c r="Q31" i="12"/>
  <c r="N17" i="12"/>
  <c r="O27" i="12"/>
  <c r="D24" i="93"/>
  <c r="D50" i="80"/>
  <c r="D48" i="80"/>
  <c r="D49" i="80"/>
  <c r="D22" i="96"/>
  <c r="C36" i="96"/>
  <c r="B37" i="96"/>
  <c r="D49" i="91"/>
  <c r="B36" i="80"/>
  <c r="C35" i="80"/>
  <c r="C12" i="24"/>
  <c r="K12" i="24"/>
  <c r="F12" i="24"/>
  <c r="B12" i="24"/>
  <c r="J12" i="24"/>
  <c r="E12" i="24"/>
  <c r="H12" i="24"/>
  <c r="I12" i="24"/>
  <c r="D12" i="24"/>
  <c r="G12" i="24"/>
  <c r="E80" i="24"/>
  <c r="B33" i="33"/>
  <c r="O23" i="33"/>
  <c r="D26" i="106"/>
  <c r="D29" i="88"/>
  <c r="B36" i="90"/>
  <c r="C35" i="90"/>
  <c r="P37" i="111"/>
  <c r="Q37" i="111" s="1"/>
  <c r="R36" i="111"/>
  <c r="R49" i="110"/>
  <c r="B50" i="88"/>
  <c r="C49" i="88"/>
  <c r="C13" i="24"/>
  <c r="E13" i="24"/>
  <c r="G13" i="24"/>
  <c r="I13" i="24"/>
  <c r="K13" i="24"/>
  <c r="B13" i="24"/>
  <c r="D13" i="24"/>
  <c r="F13" i="24"/>
  <c r="H13" i="24"/>
  <c r="J13" i="24"/>
  <c r="E81" i="24"/>
  <c r="C47" i="96"/>
  <c r="D47" i="96" s="1"/>
  <c r="B48" i="96"/>
  <c r="B48" i="112"/>
  <c r="C47" i="112"/>
  <c r="B36" i="92"/>
  <c r="C35" i="92"/>
  <c r="D35" i="87"/>
  <c r="P25" i="90"/>
  <c r="Q25" i="90" s="1"/>
  <c r="R24" i="90"/>
  <c r="D27" i="99"/>
  <c r="D27" i="107"/>
  <c r="D23" i="104"/>
  <c r="R36" i="91"/>
  <c r="P49" i="99"/>
  <c r="R48" i="99"/>
  <c r="R48" i="93"/>
  <c r="O14" i="12"/>
  <c r="P24" i="12"/>
  <c r="M44" i="12"/>
  <c r="P21" i="12"/>
  <c r="O18" i="12"/>
  <c r="P28" i="12"/>
  <c r="F54" i="14"/>
  <c r="D35" i="109"/>
  <c r="D34" i="109"/>
  <c r="B52" i="80"/>
  <c r="C51" i="80"/>
  <c r="D47" i="89"/>
  <c r="C11" i="24"/>
  <c r="E11" i="24"/>
  <c r="G11" i="24"/>
  <c r="I11" i="24"/>
  <c r="K11" i="24"/>
  <c r="B11" i="24"/>
  <c r="D11" i="24"/>
  <c r="F11" i="24"/>
  <c r="H11" i="24"/>
  <c r="J11" i="24"/>
  <c r="E79" i="24"/>
  <c r="C10" i="24"/>
  <c r="K10" i="24"/>
  <c r="F10" i="24"/>
  <c r="B10" i="24"/>
  <c r="J10" i="24"/>
  <c r="E10" i="24"/>
  <c r="D10" i="24"/>
  <c r="I10" i="24"/>
  <c r="G10" i="24"/>
  <c r="E78" i="24"/>
  <c r="H10" i="24"/>
  <c r="B36" i="101"/>
  <c r="C35" i="101"/>
  <c r="C36" i="108"/>
  <c r="B37" i="108"/>
  <c r="J35" i="33"/>
  <c r="N35" i="33"/>
  <c r="K35" i="33"/>
  <c r="H35" i="33"/>
  <c r="L35" i="33"/>
  <c r="I35" i="33"/>
  <c r="M35" i="33"/>
  <c r="Q35" i="33"/>
  <c r="P35" i="33"/>
  <c r="O35" i="33"/>
  <c r="B23" i="109"/>
  <c r="C23" i="109" s="1"/>
  <c r="D25" i="106"/>
  <c r="D30" i="88"/>
  <c r="D34" i="90"/>
  <c r="C7" i="24"/>
  <c r="E7" i="24"/>
  <c r="G7" i="24"/>
  <c r="I7" i="24"/>
  <c r="K7" i="24"/>
  <c r="B7" i="24"/>
  <c r="D7" i="24"/>
  <c r="F7" i="24"/>
  <c r="H7" i="24"/>
  <c r="J7" i="24"/>
  <c r="E75" i="24"/>
  <c r="D35" i="101"/>
  <c r="B48" i="103"/>
  <c r="C47" i="103"/>
  <c r="P49" i="111"/>
  <c r="Q49" i="111" s="1"/>
  <c r="R48" i="111"/>
  <c r="R37" i="93"/>
  <c r="R48" i="106"/>
  <c r="G54" i="14"/>
  <c r="B26" i="29"/>
  <c r="L27" i="26"/>
  <c r="D23" i="103"/>
  <c r="D30" i="103"/>
  <c r="D28" i="103"/>
  <c r="D29" i="103"/>
  <c r="D25" i="103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B48" i="108"/>
  <c r="C47" i="108"/>
  <c r="D26" i="93"/>
  <c r="C6" i="24"/>
  <c r="K6" i="24"/>
  <c r="F6" i="24"/>
  <c r="B6" i="24"/>
  <c r="J6" i="24"/>
  <c r="E6" i="24"/>
  <c r="D6" i="24"/>
  <c r="I6" i="24"/>
  <c r="H6" i="24"/>
  <c r="G6" i="24"/>
  <c r="E74" i="24"/>
  <c r="C8" i="24"/>
  <c r="K8" i="24"/>
  <c r="F8" i="24"/>
  <c r="B8" i="24"/>
  <c r="J8" i="24"/>
  <c r="E8" i="24"/>
  <c r="H8" i="24"/>
  <c r="I8" i="24"/>
  <c r="D8" i="24"/>
  <c r="G8" i="24"/>
  <c r="E76" i="24"/>
  <c r="C36" i="88"/>
  <c r="B37" i="88"/>
  <c r="D46" i="103"/>
  <c r="B36" i="93"/>
  <c r="C35" i="93"/>
  <c r="Q39" i="33"/>
  <c r="T39" i="33"/>
  <c r="P39" i="33"/>
  <c r="M39" i="33"/>
  <c r="R39" i="33"/>
  <c r="U39" i="33"/>
  <c r="S39" i="33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B23" i="94"/>
  <c r="C23" i="94" s="1"/>
  <c r="R37" i="88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C5" i="24"/>
  <c r="E5" i="24"/>
  <c r="G5" i="24"/>
  <c r="I5" i="24"/>
  <c r="K5" i="24"/>
  <c r="B5" i="24"/>
  <c r="D5" i="24"/>
  <c r="F5" i="24"/>
  <c r="H5" i="24"/>
  <c r="J5" i="24"/>
  <c r="E73" i="24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6" i="111"/>
  <c r="D29" i="111"/>
  <c r="D22" i="111"/>
  <c r="D35" i="108"/>
  <c r="D36" i="108"/>
  <c r="D34" i="93"/>
  <c r="P30" i="12"/>
  <c r="O20" i="12"/>
  <c r="D24" i="99"/>
  <c r="R37" i="109"/>
  <c r="P37" i="87"/>
  <c r="P37" i="92"/>
  <c r="R48" i="104"/>
  <c r="R48" i="87"/>
  <c r="R48" i="101"/>
  <c r="R36" i="87"/>
  <c r="R48" i="112"/>
  <c r="B54" i="14"/>
  <c r="K54" i="14"/>
  <c r="F4" i="24"/>
  <c r="K4" i="24"/>
  <c r="C4" i="24"/>
  <c r="I4" i="24"/>
  <c r="J4" i="24"/>
  <c r="G4" i="24"/>
  <c r="H4" i="24"/>
  <c r="B4" i="24"/>
  <c r="E4" i="24"/>
  <c r="D4" i="24"/>
  <c r="C87" i="24"/>
  <c r="E72" i="24"/>
  <c r="D47" i="92"/>
  <c r="D48" i="109"/>
  <c r="D47" i="109"/>
  <c r="C15" i="24"/>
  <c r="E15" i="24"/>
  <c r="G15" i="24"/>
  <c r="I15" i="24"/>
  <c r="K15" i="24"/>
  <c r="B15" i="24"/>
  <c r="D15" i="24"/>
  <c r="F15" i="24"/>
  <c r="H15" i="24"/>
  <c r="J15" i="24"/>
  <c r="E83" i="24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5" i="108"/>
  <c r="D23" i="108"/>
  <c r="D30" i="93"/>
  <c r="B50" i="109"/>
  <c r="C49" i="109"/>
  <c r="O50" i="33"/>
  <c r="K50" i="33"/>
  <c r="M50" i="33"/>
  <c r="H50" i="33"/>
  <c r="J50" i="33"/>
  <c r="P50" i="33"/>
  <c r="N50" i="33"/>
  <c r="G50" i="33"/>
  <c r="I50" i="33"/>
  <c r="L50" i="33"/>
  <c r="D23" i="94"/>
  <c r="D29" i="106"/>
  <c r="B27" i="112"/>
  <c r="C27" i="112" s="1"/>
  <c r="D26" i="112"/>
  <c r="D28" i="88"/>
  <c r="D22" i="88"/>
  <c r="E54" i="14"/>
  <c r="G118" i="33"/>
  <c r="H118" i="33" s="1"/>
  <c r="D23" i="99"/>
  <c r="D25" i="107"/>
  <c r="D48" i="104"/>
  <c r="B48" i="110"/>
  <c r="B49" i="110" s="1"/>
  <c r="R48" i="108"/>
  <c r="R38" i="80"/>
  <c r="R48" i="91"/>
  <c r="N16" i="12"/>
  <c r="O26" i="12"/>
  <c r="J54" i="14"/>
  <c r="I54" i="14"/>
  <c r="D22" i="91"/>
  <c r="B48" i="99"/>
  <c r="C47" i="99"/>
  <c r="D47" i="99" s="1"/>
  <c r="D24" i="96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B24" i="89"/>
  <c r="C24" i="89" s="1"/>
  <c r="C14" i="24"/>
  <c r="K14" i="24"/>
  <c r="F14" i="24"/>
  <c r="B14" i="24"/>
  <c r="J14" i="24"/>
  <c r="E14" i="24"/>
  <c r="D14" i="24"/>
  <c r="G14" i="24"/>
  <c r="H14" i="24"/>
  <c r="I14" i="24"/>
  <c r="E82" i="24"/>
  <c r="C35" i="94"/>
  <c r="B36" i="94"/>
  <c r="D28" i="93"/>
  <c r="C37" i="99"/>
  <c r="B38" i="99"/>
  <c r="R14" i="33"/>
  <c r="R15" i="33" s="1"/>
  <c r="B48" i="33"/>
  <c r="B37" i="89"/>
  <c r="C36" i="89"/>
  <c r="D23" i="106"/>
  <c r="D28" i="106"/>
  <c r="D24" i="88"/>
  <c r="D23" i="88"/>
  <c r="M15" i="12"/>
  <c r="N25" i="12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D47" i="108"/>
  <c r="B49" i="89"/>
  <c r="C48" i="89"/>
  <c r="D46" i="108"/>
  <c r="D28" i="99"/>
  <c r="D26" i="104"/>
  <c r="R37" i="89"/>
  <c r="R36" i="106"/>
  <c r="R48" i="94"/>
  <c r="O19" i="12"/>
  <c r="P29" i="12"/>
  <c r="D24" i="91"/>
  <c r="D27" i="96"/>
  <c r="D48" i="88"/>
  <c r="C9" i="24"/>
  <c r="E9" i="24"/>
  <c r="G9" i="24"/>
  <c r="I9" i="24"/>
  <c r="K9" i="24"/>
  <c r="B9" i="24"/>
  <c r="D9" i="24"/>
  <c r="F9" i="24"/>
  <c r="H9" i="24"/>
  <c r="J9" i="24"/>
  <c r="E77" i="24"/>
  <c r="D46" i="96"/>
  <c r="D47" i="112"/>
  <c r="D46" i="112"/>
  <c r="B38" i="111"/>
  <c r="C37" i="111"/>
  <c r="D35" i="94"/>
  <c r="D34" i="94"/>
  <c r="D25" i="93"/>
  <c r="B48" i="100"/>
  <c r="C47" i="100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D27" i="106"/>
  <c r="D30" i="106"/>
  <c r="B25" i="100"/>
  <c r="C25" i="100" s="1"/>
  <c r="D26" i="88"/>
  <c r="B37" i="87"/>
  <c r="C36" i="87"/>
  <c r="J76" i="33"/>
  <c r="G76" i="33"/>
  <c r="C76" i="33"/>
  <c r="C82" i="33" s="1"/>
  <c r="K86" i="33" s="1"/>
  <c r="D76" i="33"/>
  <c r="E76" i="33"/>
  <c r="L76" i="33"/>
  <c r="I76" i="33"/>
  <c r="F76" i="33"/>
  <c r="H76" i="33"/>
  <c r="K76" i="33"/>
  <c r="Q49" i="112"/>
  <c r="P38" i="112"/>
  <c r="Q38" i="112" s="1"/>
  <c r="R38" i="112" s="1"/>
  <c r="Q49" i="108"/>
  <c r="Q36" i="108"/>
  <c r="P37" i="107"/>
  <c r="Q49" i="99"/>
  <c r="P50" i="99" s="1"/>
  <c r="Q36" i="99"/>
  <c r="Q49" i="106"/>
  <c r="R49" i="106" s="1"/>
  <c r="P37" i="106"/>
  <c r="Q37" i="106" s="1"/>
  <c r="P38" i="106" s="1"/>
  <c r="Q38" i="106" s="1"/>
  <c r="Q49" i="105"/>
  <c r="P37" i="105"/>
  <c r="Q49" i="104"/>
  <c r="Q49" i="102"/>
  <c r="P50" i="102" s="1"/>
  <c r="Q49" i="101"/>
  <c r="Q36" i="101"/>
  <c r="P37" i="100"/>
  <c r="Q49" i="89"/>
  <c r="P50" i="89" s="1"/>
  <c r="Q49" i="96"/>
  <c r="P50" i="96" s="1"/>
  <c r="P38" i="96"/>
  <c r="Q38" i="96" s="1"/>
  <c r="Q49" i="94"/>
  <c r="R49" i="94" s="1"/>
  <c r="Q36" i="94"/>
  <c r="Q49" i="93"/>
  <c r="Q49" i="92"/>
  <c r="Q37" i="92"/>
  <c r="R37" i="92" s="1"/>
  <c r="Q49" i="91"/>
  <c r="P37" i="91"/>
  <c r="Q37" i="91" s="1"/>
  <c r="R37" i="91" s="1"/>
  <c r="Q49" i="90"/>
  <c r="P50" i="90" s="1"/>
  <c r="Q36" i="90"/>
  <c r="Q49" i="88"/>
  <c r="Q49" i="87"/>
  <c r="Q37" i="87"/>
  <c r="P50" i="110"/>
  <c r="Q50" i="110" s="1"/>
  <c r="R50" i="110" s="1"/>
  <c r="P50" i="103"/>
  <c r="P50" i="100"/>
  <c r="P38" i="110"/>
  <c r="Q38" i="110" s="1"/>
  <c r="P38" i="109"/>
  <c r="Q38" i="109" s="1"/>
  <c r="R38" i="109" s="1"/>
  <c r="P38" i="104"/>
  <c r="Q38" i="104" s="1"/>
  <c r="R38" i="104" s="1"/>
  <c r="P38" i="103"/>
  <c r="Q38" i="103" s="1"/>
  <c r="P38" i="102"/>
  <c r="Q38" i="102" s="1"/>
  <c r="P38" i="89"/>
  <c r="Q38" i="89" s="1"/>
  <c r="R38" i="89" s="1"/>
  <c r="P38" i="93"/>
  <c r="Q38" i="93" s="1"/>
  <c r="P38" i="91"/>
  <c r="Q38" i="91" s="1"/>
  <c r="R38" i="91" s="1"/>
  <c r="P38" i="88"/>
  <c r="Q38" i="88" s="1"/>
  <c r="R38" i="88" s="1"/>
  <c r="P50" i="80"/>
  <c r="Q50" i="80" s="1"/>
  <c r="R50" i="80" s="1"/>
  <c r="P38" i="80"/>
  <c r="Q38" i="80" s="1"/>
  <c r="Q24" i="111"/>
  <c r="Q24" i="110"/>
  <c r="Q25" i="109"/>
  <c r="P26" i="108"/>
  <c r="Q25" i="108"/>
  <c r="B39" i="112"/>
  <c r="C38" i="112"/>
  <c r="B38" i="110"/>
  <c r="C37" i="110"/>
  <c r="D35" i="110"/>
  <c r="D37" i="110"/>
  <c r="D36" i="110"/>
  <c r="B51" i="101"/>
  <c r="C50" i="101"/>
  <c r="D48" i="101"/>
  <c r="B23" i="101"/>
  <c r="C23" i="101" s="1"/>
  <c r="C49" i="102"/>
  <c r="B50" i="102"/>
  <c r="B23" i="102"/>
  <c r="C23" i="102" s="1"/>
  <c r="C36" i="102"/>
  <c r="B37" i="102"/>
  <c r="C36" i="103"/>
  <c r="D36" i="103" s="1"/>
  <c r="B37" i="103"/>
  <c r="D35" i="103"/>
  <c r="C36" i="104"/>
  <c r="D36" i="104" s="1"/>
  <c r="B37" i="104"/>
  <c r="D25" i="104"/>
  <c r="D29" i="104"/>
  <c r="D30" i="104"/>
  <c r="D24" i="104"/>
  <c r="D27" i="104"/>
  <c r="D35" i="104"/>
  <c r="D34" i="104"/>
  <c r="D47" i="104"/>
  <c r="C49" i="104"/>
  <c r="D49" i="104" s="1"/>
  <c r="B50" i="104"/>
  <c r="D35" i="105"/>
  <c r="D36" i="105"/>
  <c r="D49" i="105"/>
  <c r="B37" i="105"/>
  <c r="C36" i="105"/>
  <c r="D48" i="105"/>
  <c r="D34" i="105"/>
  <c r="C49" i="105"/>
  <c r="B50" i="105"/>
  <c r="D47" i="106"/>
  <c r="B49" i="106"/>
  <c r="C48" i="106"/>
  <c r="B38" i="109"/>
  <c r="C37" i="109"/>
  <c r="D37" i="109" s="1"/>
  <c r="D36" i="109"/>
  <c r="C35" i="107"/>
  <c r="B36" i="107"/>
  <c r="C48" i="107"/>
  <c r="D48" i="107" s="1"/>
  <c r="B49" i="107"/>
  <c r="D46" i="107"/>
  <c r="D28" i="107"/>
  <c r="D30" i="107"/>
  <c r="D26" i="107"/>
  <c r="D47" i="107"/>
  <c r="D29" i="107"/>
  <c r="D25" i="99"/>
  <c r="D26" i="99"/>
  <c r="Q24" i="106"/>
  <c r="P25" i="106" s="1"/>
  <c r="R24" i="102"/>
  <c r="P25" i="102"/>
  <c r="Q25" i="102" s="1"/>
  <c r="Q25" i="101"/>
  <c r="P26" i="101" s="1"/>
  <c r="Q25" i="96"/>
  <c r="Q25" i="94"/>
  <c r="R25" i="94" s="1"/>
  <c r="Q24" i="93"/>
  <c r="P25" i="93" s="1"/>
  <c r="Q25" i="93" s="1"/>
  <c r="P26" i="93" s="1"/>
  <c r="P25" i="92"/>
  <c r="R24" i="91"/>
  <c r="P25" i="91"/>
  <c r="R25" i="88"/>
  <c r="R24" i="88"/>
  <c r="P26" i="107"/>
  <c r="Q26" i="107" s="1"/>
  <c r="R25" i="107"/>
  <c r="P26" i="105"/>
  <c r="R25" i="105"/>
  <c r="P26" i="104"/>
  <c r="R25" i="104"/>
  <c r="P26" i="103"/>
  <c r="Q26" i="103" s="1"/>
  <c r="R25" i="103"/>
  <c r="P26" i="89"/>
  <c r="Q26" i="89" s="1"/>
  <c r="R26" i="89"/>
  <c r="R25" i="87"/>
  <c r="P26" i="87"/>
  <c r="D26" i="87"/>
  <c r="D25" i="87"/>
  <c r="D28" i="87"/>
  <c r="D27" i="87"/>
  <c r="D30" i="87"/>
  <c r="D29" i="87"/>
  <c r="D24" i="87"/>
  <c r="R23" i="80"/>
  <c r="P24" i="80"/>
  <c r="Q24" i="80" s="1"/>
  <c r="F77" i="33" l="1"/>
  <c r="J77" i="33"/>
  <c r="H77" i="33"/>
  <c r="D77" i="33"/>
  <c r="D82" i="33" s="1"/>
  <c r="L86" i="33" s="1"/>
  <c r="B106" i="33" s="1"/>
  <c r="J61" i="33"/>
  <c r="J91" i="33"/>
  <c r="L91" i="33"/>
  <c r="L61" i="33"/>
  <c r="C91" i="33"/>
  <c r="C102" i="33" s="1"/>
  <c r="C113" i="33" s="1"/>
  <c r="K91" i="33"/>
  <c r="E91" i="33"/>
  <c r="G61" i="33"/>
  <c r="I61" i="33"/>
  <c r="H91" i="33"/>
  <c r="D91" i="33"/>
  <c r="F91" i="33"/>
  <c r="I91" i="33"/>
  <c r="L77" i="33"/>
  <c r="G77" i="33"/>
  <c r="U43" i="33"/>
  <c r="D26" i="103"/>
  <c r="D27" i="80"/>
  <c r="D23" i="91"/>
  <c r="E61" i="33"/>
  <c r="M77" i="33"/>
  <c r="B49" i="87"/>
  <c r="C48" i="87"/>
  <c r="E77" i="33"/>
  <c r="R49" i="96"/>
  <c r="D61" i="33"/>
  <c r="C50" i="92"/>
  <c r="B51" i="92"/>
  <c r="D47" i="111"/>
  <c r="B37" i="91"/>
  <c r="C36" i="91"/>
  <c r="D36" i="91" s="1"/>
  <c r="C49" i="94"/>
  <c r="B50" i="94"/>
  <c r="P26" i="94"/>
  <c r="K77" i="33"/>
  <c r="D30" i="108"/>
  <c r="D29" i="96"/>
  <c r="D24" i="80"/>
  <c r="H61" i="33"/>
  <c r="B49" i="111"/>
  <c r="C48" i="111"/>
  <c r="D35" i="91"/>
  <c r="C36" i="100"/>
  <c r="B37" i="100"/>
  <c r="C49" i="93"/>
  <c r="B50" i="93"/>
  <c r="I77" i="33"/>
  <c r="D27" i="108"/>
  <c r="D25" i="96"/>
  <c r="D26" i="96"/>
  <c r="D25" i="80"/>
  <c r="D30" i="91"/>
  <c r="K61" i="33"/>
  <c r="C36" i="106"/>
  <c r="D36" i="106" s="1"/>
  <c r="B37" i="106"/>
  <c r="C50" i="90"/>
  <c r="B51" i="90"/>
  <c r="D35" i="100"/>
  <c r="L29" i="95" s="1"/>
  <c r="D36" i="100"/>
  <c r="L30" i="95" s="1"/>
  <c r="R25" i="101"/>
  <c r="D29" i="80"/>
  <c r="D27" i="91"/>
  <c r="F61" i="33"/>
  <c r="D35" i="106"/>
  <c r="D49" i="90"/>
  <c r="S43" i="33"/>
  <c r="S56" i="33" s="1"/>
  <c r="T43" i="33"/>
  <c r="T56" i="33" s="1"/>
  <c r="F119" i="33" s="1"/>
  <c r="R43" i="33"/>
  <c r="R56" i="33" s="1"/>
  <c r="F62" i="33"/>
  <c r="D62" i="33"/>
  <c r="H62" i="33"/>
  <c r="M62" i="33"/>
  <c r="L62" i="33"/>
  <c r="I62" i="33"/>
  <c r="G62" i="33"/>
  <c r="J62" i="33"/>
  <c r="K62" i="33"/>
  <c r="O53" i="33"/>
  <c r="R25" i="90"/>
  <c r="P26" i="90"/>
  <c r="P50" i="111"/>
  <c r="Q50" i="111" s="1"/>
  <c r="R49" i="111"/>
  <c r="R37" i="111"/>
  <c r="P50" i="107"/>
  <c r="R49" i="107"/>
  <c r="D28" i="110"/>
  <c r="D29" i="110"/>
  <c r="R38" i="103"/>
  <c r="P50" i="101"/>
  <c r="P50" i="106"/>
  <c r="Q50" i="106" s="1"/>
  <c r="P50" i="108"/>
  <c r="Q50" i="108" s="1"/>
  <c r="P50" i="112"/>
  <c r="B105" i="33"/>
  <c r="D25" i="90"/>
  <c r="C38" i="99"/>
  <c r="D38" i="99" s="1"/>
  <c r="B39" i="99"/>
  <c r="B28" i="112"/>
  <c r="C28" i="112" s="1"/>
  <c r="B29" i="112" s="1"/>
  <c r="C29" i="112" s="1"/>
  <c r="B30" i="112" s="1"/>
  <c r="C30" i="112" s="1"/>
  <c r="D28" i="112"/>
  <c r="D27" i="112"/>
  <c r="B51" i="109"/>
  <c r="C50" i="109"/>
  <c r="D28" i="108"/>
  <c r="D35" i="93"/>
  <c r="D25" i="111"/>
  <c r="N44" i="12"/>
  <c r="O44" i="12" s="1"/>
  <c r="R49" i="99"/>
  <c r="N27" i="12"/>
  <c r="M17" i="12"/>
  <c r="D23" i="80"/>
  <c r="D36" i="80"/>
  <c r="D26" i="91"/>
  <c r="D28" i="96"/>
  <c r="P50" i="105"/>
  <c r="D36" i="87"/>
  <c r="C37" i="96"/>
  <c r="B38" i="96"/>
  <c r="R36" i="90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D30" i="89"/>
  <c r="B37" i="101"/>
  <c r="C36" i="101"/>
  <c r="B37" i="92"/>
  <c r="C36" i="92"/>
  <c r="D36" i="92" s="1"/>
  <c r="R36" i="101"/>
  <c r="C37" i="87"/>
  <c r="B38" i="87"/>
  <c r="R49" i="112"/>
  <c r="C48" i="99"/>
  <c r="D48" i="99" s="1"/>
  <c r="B49" i="99"/>
  <c r="D24" i="111"/>
  <c r="C50" i="88"/>
  <c r="B51" i="88"/>
  <c r="R49" i="109"/>
  <c r="D23" i="109"/>
  <c r="R25" i="93"/>
  <c r="C48" i="110"/>
  <c r="D47" i="100"/>
  <c r="D30" i="90"/>
  <c r="R38" i="96"/>
  <c r="P43" i="33"/>
  <c r="P56" i="33" s="1"/>
  <c r="C36" i="93"/>
  <c r="B37" i="93"/>
  <c r="C48" i="103"/>
  <c r="B49" i="103"/>
  <c r="D35" i="90"/>
  <c r="C52" i="80"/>
  <c r="B53" i="80"/>
  <c r="P31" i="12"/>
  <c r="C48" i="96"/>
  <c r="B49" i="96"/>
  <c r="C36" i="90"/>
  <c r="B37" i="90"/>
  <c r="D49" i="88"/>
  <c r="D51" i="80"/>
  <c r="C50" i="91"/>
  <c r="B51" i="91"/>
  <c r="D24" i="90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B38" i="88"/>
  <c r="C37" i="88"/>
  <c r="O28" i="12"/>
  <c r="N18" i="12"/>
  <c r="P50" i="91"/>
  <c r="Q50" i="91" s="1"/>
  <c r="R49" i="91"/>
  <c r="R37" i="106"/>
  <c r="D30" i="110"/>
  <c r="R38" i="93"/>
  <c r="P50" i="87"/>
  <c r="R49" i="87"/>
  <c r="P50" i="104"/>
  <c r="Q50" i="104" s="1"/>
  <c r="B26" i="100"/>
  <c r="C26" i="100" s="1"/>
  <c r="D25" i="100"/>
  <c r="C48" i="100"/>
  <c r="B49" i="100"/>
  <c r="D28" i="90"/>
  <c r="C37" i="89"/>
  <c r="B38" i="89"/>
  <c r="C36" i="94"/>
  <c r="B37" i="94"/>
  <c r="D29" i="89"/>
  <c r="D29" i="108"/>
  <c r="M40" i="24"/>
  <c r="M41" i="24" s="1"/>
  <c r="D36" i="93"/>
  <c r="D30" i="111"/>
  <c r="B24" i="94"/>
  <c r="C24" i="94" s="1"/>
  <c r="D24" i="94"/>
  <c r="D47" i="103"/>
  <c r="D24" i="103"/>
  <c r="Q43" i="33"/>
  <c r="Q56" i="33" s="1"/>
  <c r="C37" i="108"/>
  <c r="B38" i="108"/>
  <c r="D23" i="96"/>
  <c r="O24" i="12"/>
  <c r="N14" i="12"/>
  <c r="O21" i="12"/>
  <c r="M43" i="12"/>
  <c r="R49" i="101"/>
  <c r="H33" i="33"/>
  <c r="H43" i="33" s="1"/>
  <c r="H56" i="33" s="1"/>
  <c r="B66" i="33" s="1"/>
  <c r="L33" i="33"/>
  <c r="L43" i="33" s="1"/>
  <c r="K33" i="33"/>
  <c r="K43" i="33" s="1"/>
  <c r="M33" i="33"/>
  <c r="M43" i="33" s="1"/>
  <c r="M56" i="33" s="1"/>
  <c r="B71" i="33" s="1"/>
  <c r="O33" i="33"/>
  <c r="O43" i="33" s="1"/>
  <c r="O56" i="33" s="1"/>
  <c r="F33" i="33"/>
  <c r="F43" i="33" s="1"/>
  <c r="F56" i="33" s="1"/>
  <c r="B64" i="33" s="1"/>
  <c r="J33" i="33"/>
  <c r="J43" i="33" s="1"/>
  <c r="J56" i="33" s="1"/>
  <c r="B68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D37" i="111"/>
  <c r="D36" i="96"/>
  <c r="D25" i="110"/>
  <c r="D29" i="90"/>
  <c r="B24" i="92"/>
  <c r="C24" i="92" s="1"/>
  <c r="D23" i="92"/>
  <c r="D24" i="92"/>
  <c r="C48" i="108"/>
  <c r="B49" i="108"/>
  <c r="D48" i="89"/>
  <c r="C48" i="112"/>
  <c r="B49" i="112"/>
  <c r="D27" i="110"/>
  <c r="D26" i="110"/>
  <c r="P50" i="92"/>
  <c r="R49" i="92"/>
  <c r="R38" i="106"/>
  <c r="D27" i="90"/>
  <c r="D24" i="110"/>
  <c r="D36" i="89"/>
  <c r="D26" i="108"/>
  <c r="M17" i="24"/>
  <c r="D49" i="109"/>
  <c r="D28" i="111"/>
  <c r="D27" i="103"/>
  <c r="R37" i="87"/>
  <c r="D23" i="90"/>
  <c r="R38" i="102"/>
  <c r="D50" i="88"/>
  <c r="R49" i="108"/>
  <c r="D25" i="91"/>
  <c r="R49" i="89"/>
  <c r="D23" i="111"/>
  <c r="R50" i="102"/>
  <c r="R36" i="94"/>
  <c r="R36" i="108"/>
  <c r="R24" i="93"/>
  <c r="P50" i="94"/>
  <c r="P37" i="108"/>
  <c r="C38" i="111"/>
  <c r="D38" i="111" s="1"/>
  <c r="B39" i="111"/>
  <c r="B50" i="89"/>
  <c r="C49" i="89"/>
  <c r="D36" i="88"/>
  <c r="D37" i="88"/>
  <c r="B24" i="109"/>
  <c r="C24" i="109" s="1"/>
  <c r="B63" i="33"/>
  <c r="R36" i="99"/>
  <c r="D37" i="99"/>
  <c r="D24" i="89"/>
  <c r="P53" i="33"/>
  <c r="P50" i="88"/>
  <c r="Q50" i="88" s="1"/>
  <c r="P51" i="88" s="1"/>
  <c r="R49" i="88"/>
  <c r="P50" i="93"/>
  <c r="Q50" i="93" s="1"/>
  <c r="R49" i="93"/>
  <c r="O29" i="12"/>
  <c r="N19" i="12"/>
  <c r="D26" i="90"/>
  <c r="M25" i="12"/>
  <c r="K15" i="12"/>
  <c r="L15" i="12"/>
  <c r="K4" i="12"/>
  <c r="N26" i="12"/>
  <c r="M16" i="12"/>
  <c r="R38" i="110"/>
  <c r="R49" i="104"/>
  <c r="D24" i="108"/>
  <c r="R49" i="105"/>
  <c r="N20" i="12"/>
  <c r="O30" i="12"/>
  <c r="D27" i="111"/>
  <c r="D30" i="96"/>
  <c r="R49" i="90"/>
  <c r="D35" i="92"/>
  <c r="B37" i="80"/>
  <c r="C36" i="80"/>
  <c r="R49" i="102"/>
  <c r="D48" i="100"/>
  <c r="Q50" i="112"/>
  <c r="R50" i="112" s="1"/>
  <c r="P39" i="112"/>
  <c r="Q39" i="112" s="1"/>
  <c r="R39" i="112" s="1"/>
  <c r="P38" i="111"/>
  <c r="Q50" i="109"/>
  <c r="Q37" i="108"/>
  <c r="Q50" i="107"/>
  <c r="P51" i="107" s="1"/>
  <c r="Q37" i="107"/>
  <c r="Q50" i="99"/>
  <c r="R50" i="99" s="1"/>
  <c r="P37" i="99"/>
  <c r="Q50" i="105"/>
  <c r="Q37" i="105"/>
  <c r="Q50" i="103"/>
  <c r="P51" i="102"/>
  <c r="Q50" i="102"/>
  <c r="Q50" i="101"/>
  <c r="R50" i="101" s="1"/>
  <c r="P37" i="101"/>
  <c r="Q50" i="100"/>
  <c r="Q37" i="100"/>
  <c r="Q50" i="89"/>
  <c r="Q50" i="96"/>
  <c r="P39" i="96"/>
  <c r="Q39" i="96" s="1"/>
  <c r="R39" i="96" s="1"/>
  <c r="Q50" i="94"/>
  <c r="P51" i="94" s="1"/>
  <c r="P37" i="94"/>
  <c r="Q50" i="92"/>
  <c r="P38" i="92"/>
  <c r="Q50" i="90"/>
  <c r="P51" i="90" s="1"/>
  <c r="P37" i="90"/>
  <c r="Q50" i="87"/>
  <c r="R50" i="87" s="1"/>
  <c r="P38" i="87"/>
  <c r="P51" i="110"/>
  <c r="P39" i="110"/>
  <c r="P39" i="109"/>
  <c r="Q39" i="109" s="1"/>
  <c r="R39" i="109" s="1"/>
  <c r="P39" i="106"/>
  <c r="Q39" i="106" s="1"/>
  <c r="R39" i="106" s="1"/>
  <c r="P39" i="104"/>
  <c r="Q39" i="104" s="1"/>
  <c r="R39" i="104" s="1"/>
  <c r="P39" i="103"/>
  <c r="Q39" i="103" s="1"/>
  <c r="R39" i="103" s="1"/>
  <c r="P39" i="102"/>
  <c r="Q39" i="102" s="1"/>
  <c r="R39" i="102" s="1"/>
  <c r="P39" i="89"/>
  <c r="P39" i="93"/>
  <c r="Q39" i="93" s="1"/>
  <c r="R39" i="93" s="1"/>
  <c r="P39" i="91"/>
  <c r="Q39" i="91" s="1"/>
  <c r="P39" i="88"/>
  <c r="P51" i="80"/>
  <c r="Q51" i="80" s="1"/>
  <c r="R51" i="80" s="1"/>
  <c r="P39" i="80"/>
  <c r="Q39" i="80" s="1"/>
  <c r="R39" i="80" s="1"/>
  <c r="R24" i="112"/>
  <c r="P25" i="112"/>
  <c r="Q25" i="112" s="1"/>
  <c r="R24" i="111"/>
  <c r="P25" i="111"/>
  <c r="R24" i="110"/>
  <c r="P25" i="110"/>
  <c r="R25" i="109"/>
  <c r="P26" i="109"/>
  <c r="R25" i="108"/>
  <c r="Q26" i="108"/>
  <c r="R26" i="108" s="1"/>
  <c r="D38" i="112"/>
  <c r="B40" i="112"/>
  <c r="C39" i="112"/>
  <c r="B50" i="110"/>
  <c r="C49" i="110"/>
  <c r="C38" i="110"/>
  <c r="B39" i="110"/>
  <c r="B24" i="101"/>
  <c r="C24" i="101" s="1"/>
  <c r="D24" i="101" s="1"/>
  <c r="D50" i="101"/>
  <c r="D23" i="101"/>
  <c r="C51" i="101"/>
  <c r="D51" i="101" s="1"/>
  <c r="B52" i="101"/>
  <c r="C50" i="102"/>
  <c r="D50" i="102" s="1"/>
  <c r="B51" i="102"/>
  <c r="B38" i="102"/>
  <c r="C37" i="102"/>
  <c r="D37" i="102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4" i="102"/>
  <c r="D23" i="102"/>
  <c r="D36" i="102"/>
  <c r="D49" i="102"/>
  <c r="C37" i="103"/>
  <c r="B38" i="103"/>
  <c r="B51" i="104"/>
  <c r="C50" i="104"/>
  <c r="D50" i="104" s="1"/>
  <c r="C37" i="104"/>
  <c r="B38" i="104"/>
  <c r="C50" i="105"/>
  <c r="B51" i="105"/>
  <c r="B38" i="105"/>
  <c r="C37" i="105"/>
  <c r="D37" i="105" s="1"/>
  <c r="D48" i="106"/>
  <c r="B50" i="106"/>
  <c r="C49" i="106"/>
  <c r="D49" i="106" s="1"/>
  <c r="C38" i="109"/>
  <c r="B39" i="109"/>
  <c r="B37" i="107"/>
  <c r="C36" i="107"/>
  <c r="D36" i="107" s="1"/>
  <c r="D35" i="107"/>
  <c r="B50" i="107"/>
  <c r="C49" i="107"/>
  <c r="R24" i="106"/>
  <c r="Q25" i="106"/>
  <c r="Q26" i="105"/>
  <c r="R26" i="105" s="1"/>
  <c r="Q26" i="104"/>
  <c r="P27" i="104" s="1"/>
  <c r="P26" i="102"/>
  <c r="Q26" i="102" s="1"/>
  <c r="Q26" i="101"/>
  <c r="R25" i="100"/>
  <c r="P26" i="100"/>
  <c r="Q26" i="100" s="1"/>
  <c r="R25" i="96"/>
  <c r="P26" i="96"/>
  <c r="Q26" i="94"/>
  <c r="P27" i="94" s="1"/>
  <c r="Q26" i="93"/>
  <c r="R26" i="93"/>
  <c r="Q25" i="92"/>
  <c r="Q25" i="91"/>
  <c r="Q26" i="90"/>
  <c r="P26" i="88"/>
  <c r="Q26" i="88" s="1"/>
  <c r="P27" i="107"/>
  <c r="Q27" i="107" s="1"/>
  <c r="R26" i="107"/>
  <c r="P27" i="103"/>
  <c r="R26" i="103"/>
  <c r="P27" i="89"/>
  <c r="Q27" i="89" s="1"/>
  <c r="Q26" i="87"/>
  <c r="P27" i="87" s="1"/>
  <c r="I106" i="33" l="1"/>
  <c r="E106" i="33"/>
  <c r="G106" i="33"/>
  <c r="L106" i="33"/>
  <c r="M106" i="33"/>
  <c r="J106" i="33"/>
  <c r="F106" i="33"/>
  <c r="K106" i="33"/>
  <c r="D106" i="33"/>
  <c r="H106" i="33"/>
  <c r="P51" i="111"/>
  <c r="R50" i="111"/>
  <c r="P27" i="108"/>
  <c r="B51" i="94"/>
  <c r="C50" i="94"/>
  <c r="D50" i="94" s="1"/>
  <c r="D50" i="92"/>
  <c r="C37" i="106"/>
  <c r="B38" i="106"/>
  <c r="C49" i="111"/>
  <c r="D49" i="111" s="1"/>
  <c r="B50" i="111"/>
  <c r="D49" i="94"/>
  <c r="P51" i="87"/>
  <c r="K56" i="33"/>
  <c r="B69" i="33" s="1"/>
  <c r="S69" i="33" s="1"/>
  <c r="C50" i="93"/>
  <c r="D50" i="93" s="1"/>
  <c r="B51" i="93"/>
  <c r="D49" i="110"/>
  <c r="R50" i="107"/>
  <c r="D25" i="89"/>
  <c r="C37" i="100"/>
  <c r="B38" i="100"/>
  <c r="D48" i="111"/>
  <c r="D49" i="87"/>
  <c r="D48" i="87"/>
  <c r="D49" i="93"/>
  <c r="B38" i="91"/>
  <c r="C37" i="91"/>
  <c r="D37" i="91" s="1"/>
  <c r="D26" i="89"/>
  <c r="D30" i="112"/>
  <c r="D50" i="90"/>
  <c r="B50" i="87"/>
  <c r="C49" i="87"/>
  <c r="D73" i="33"/>
  <c r="D85" i="33" s="1"/>
  <c r="B92" i="33" s="1"/>
  <c r="F92" i="33" s="1"/>
  <c r="C51" i="90"/>
  <c r="B52" i="90"/>
  <c r="B52" i="92"/>
  <c r="C51" i="92"/>
  <c r="D51" i="92" s="1"/>
  <c r="L56" i="33"/>
  <c r="B70" i="33" s="1"/>
  <c r="O70" i="33" s="1"/>
  <c r="V56" i="33"/>
  <c r="E119" i="33" s="1"/>
  <c r="G119" i="33" s="1"/>
  <c r="H119" i="33" s="1"/>
  <c r="P51" i="106"/>
  <c r="R50" i="106"/>
  <c r="P51" i="93"/>
  <c r="Q51" i="93" s="1"/>
  <c r="R50" i="93"/>
  <c r="P51" i="108"/>
  <c r="R50" i="108"/>
  <c r="B25" i="109"/>
  <c r="C25" i="109" s="1"/>
  <c r="D24" i="109"/>
  <c r="D50" i="91"/>
  <c r="P51" i="105"/>
  <c r="R50" i="105"/>
  <c r="P51" i="101"/>
  <c r="M20" i="12"/>
  <c r="N30" i="12"/>
  <c r="R50" i="88"/>
  <c r="C39" i="111"/>
  <c r="D39" i="111" s="1"/>
  <c r="B40" i="111"/>
  <c r="R37" i="108"/>
  <c r="B25" i="92"/>
  <c r="C25" i="92" s="1"/>
  <c r="N43" i="12"/>
  <c r="O43" i="12" s="1"/>
  <c r="M18" i="12"/>
  <c r="N28" i="12"/>
  <c r="C49" i="96"/>
  <c r="D49" i="96" s="1"/>
  <c r="B50" i="96"/>
  <c r="D52" i="80"/>
  <c r="C49" i="99"/>
  <c r="D49" i="99" s="1"/>
  <c r="B50" i="99"/>
  <c r="R37" i="107"/>
  <c r="L81" i="33"/>
  <c r="Q81" i="33"/>
  <c r="Q82" i="33" s="1"/>
  <c r="I81" i="33"/>
  <c r="K81" i="33"/>
  <c r="H81" i="33"/>
  <c r="M81" i="33"/>
  <c r="J81" i="33"/>
  <c r="P81" i="33"/>
  <c r="N81" i="33"/>
  <c r="O81" i="33"/>
  <c r="C49" i="103"/>
  <c r="B50" i="103"/>
  <c r="M19" i="12"/>
  <c r="N29" i="12"/>
  <c r="C50" i="89"/>
  <c r="D50" i="89" s="1"/>
  <c r="B51" i="89"/>
  <c r="D49" i="89"/>
  <c r="J15" i="12"/>
  <c r="B15" i="12"/>
  <c r="B25" i="12"/>
  <c r="D37" i="96"/>
  <c r="D48" i="96"/>
  <c r="D36" i="101"/>
  <c r="D50" i="109"/>
  <c r="C37" i="80"/>
  <c r="B38" i="80"/>
  <c r="P38" i="107"/>
  <c r="S68" i="33"/>
  <c r="Q68" i="33"/>
  <c r="O68" i="33"/>
  <c r="J68" i="33"/>
  <c r="L68" i="33"/>
  <c r="K68" i="33"/>
  <c r="N68" i="33"/>
  <c r="R68" i="33"/>
  <c r="P68" i="33"/>
  <c r="M68" i="33"/>
  <c r="D37" i="108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H80" i="33"/>
  <c r="I80" i="33"/>
  <c r="J80" i="33"/>
  <c r="M80" i="33"/>
  <c r="O80" i="33"/>
  <c r="G80" i="33"/>
  <c r="L80" i="33"/>
  <c r="C37" i="92"/>
  <c r="B38" i="92"/>
  <c r="B40" i="99"/>
  <c r="C39" i="99"/>
  <c r="P51" i="96"/>
  <c r="R51" i="96"/>
  <c r="R50" i="96"/>
  <c r="P71" i="33"/>
  <c r="T71" i="33"/>
  <c r="V71" i="33"/>
  <c r="S71" i="33"/>
  <c r="N71" i="33"/>
  <c r="Q71" i="33"/>
  <c r="U71" i="33"/>
  <c r="M71" i="33"/>
  <c r="R71" i="33"/>
  <c r="O71" i="33"/>
  <c r="C37" i="94"/>
  <c r="D37" i="94" s="1"/>
  <c r="B38" i="94"/>
  <c r="P51" i="92"/>
  <c r="Q51" i="92" s="1"/>
  <c r="R50" i="92"/>
  <c r="P51" i="89"/>
  <c r="Q51" i="89" s="1"/>
  <c r="R50" i="89"/>
  <c r="P38" i="108"/>
  <c r="D49" i="103"/>
  <c r="B25" i="94"/>
  <c r="C25" i="94" s="1"/>
  <c r="D25" i="94" s="1"/>
  <c r="D36" i="94"/>
  <c r="B27" i="100"/>
  <c r="C27" i="100" s="1"/>
  <c r="D26" i="100"/>
  <c r="D48" i="103"/>
  <c r="D28" i="89"/>
  <c r="C37" i="101"/>
  <c r="D37" i="101" s="1"/>
  <c r="B38" i="101"/>
  <c r="M27" i="12"/>
  <c r="K17" i="12"/>
  <c r="L17" i="12"/>
  <c r="K6" i="12"/>
  <c r="C51" i="109"/>
  <c r="B52" i="109"/>
  <c r="P51" i="109"/>
  <c r="Q51" i="109" s="1"/>
  <c r="R50" i="109"/>
  <c r="D36" i="90"/>
  <c r="B78" i="33"/>
  <c r="U57" i="33"/>
  <c r="D48" i="110"/>
  <c r="R37" i="100"/>
  <c r="D37" i="87"/>
  <c r="I15" i="12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C49" i="112"/>
  <c r="B50" i="112"/>
  <c r="B50" i="108"/>
  <c r="C49" i="108"/>
  <c r="P67" i="33"/>
  <c r="M67" i="33"/>
  <c r="K67" i="33"/>
  <c r="I67" i="33"/>
  <c r="J67" i="33"/>
  <c r="O67" i="33"/>
  <c r="Q67" i="33"/>
  <c r="L67" i="33"/>
  <c r="R67" i="33"/>
  <c r="N67" i="33"/>
  <c r="N24" i="12"/>
  <c r="N21" i="12"/>
  <c r="M42" i="12"/>
  <c r="M14" i="12"/>
  <c r="D25" i="109"/>
  <c r="C38" i="89"/>
  <c r="B39" i="89"/>
  <c r="C38" i="88"/>
  <c r="B39" i="88"/>
  <c r="C37" i="93"/>
  <c r="D37" i="93" s="1"/>
  <c r="B38" i="93"/>
  <c r="C51" i="88"/>
  <c r="B52" i="88"/>
  <c r="R39" i="91"/>
  <c r="R50" i="90"/>
  <c r="P51" i="104"/>
  <c r="Q51" i="104" s="1"/>
  <c r="P52" i="104" s="1"/>
  <c r="R50" i="104"/>
  <c r="N65" i="33"/>
  <c r="O65" i="33"/>
  <c r="L65" i="33"/>
  <c r="J65" i="33"/>
  <c r="K65" i="33"/>
  <c r="G65" i="33"/>
  <c r="I65" i="33"/>
  <c r="H65" i="33"/>
  <c r="M65" i="33"/>
  <c r="P65" i="33"/>
  <c r="C38" i="108"/>
  <c r="B39" i="108"/>
  <c r="B52" i="91"/>
  <c r="C51" i="91"/>
  <c r="D51" i="91" s="1"/>
  <c r="R37" i="105"/>
  <c r="B39" i="96"/>
  <c r="C38" i="96"/>
  <c r="P51" i="91"/>
  <c r="Q51" i="91" s="1"/>
  <c r="R50" i="91"/>
  <c r="C49" i="100"/>
  <c r="B50" i="100"/>
  <c r="B54" i="80"/>
  <c r="C54" i="80" s="1"/>
  <c r="C53" i="80"/>
  <c r="D53" i="80" s="1"/>
  <c r="L105" i="33"/>
  <c r="I105" i="33"/>
  <c r="K105" i="33"/>
  <c r="E105" i="33"/>
  <c r="G105" i="33"/>
  <c r="C105" i="33"/>
  <c r="C110" i="33" s="1"/>
  <c r="K114" i="33" s="1"/>
  <c r="D105" i="33"/>
  <c r="D110" i="33" s="1"/>
  <c r="L114" i="33" s="1"/>
  <c r="J105" i="33"/>
  <c r="F105" i="33"/>
  <c r="H105" i="33"/>
  <c r="R50" i="94"/>
  <c r="P51" i="100"/>
  <c r="Q51" i="100" s="1"/>
  <c r="P52" i="100" s="1"/>
  <c r="Q52" i="100" s="1"/>
  <c r="R50" i="100"/>
  <c r="P51" i="103"/>
  <c r="Q51" i="103" s="1"/>
  <c r="R50" i="103"/>
  <c r="P51" i="99"/>
  <c r="Q51" i="99" s="1"/>
  <c r="P51" i="112"/>
  <c r="M26" i="12"/>
  <c r="L16" i="12"/>
  <c r="K16" i="12"/>
  <c r="K5" i="12"/>
  <c r="G25" i="12"/>
  <c r="D37" i="80"/>
  <c r="D48" i="112"/>
  <c r="D48" i="108"/>
  <c r="D27" i="89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O31" i="12"/>
  <c r="D37" i="89"/>
  <c r="F79" i="33"/>
  <c r="O79" i="33"/>
  <c r="G79" i="33"/>
  <c r="N79" i="33"/>
  <c r="L79" i="33"/>
  <c r="H79" i="33"/>
  <c r="I79" i="33"/>
  <c r="J79" i="33"/>
  <c r="M79" i="33"/>
  <c r="K79" i="33"/>
  <c r="B38" i="90"/>
  <c r="C37" i="90"/>
  <c r="C38" i="87"/>
  <c r="B39" i="87"/>
  <c r="D29" i="112"/>
  <c r="D49" i="108"/>
  <c r="Q51" i="112"/>
  <c r="P40" i="112"/>
  <c r="Q40" i="112" s="1"/>
  <c r="R40" i="112" s="1"/>
  <c r="Q51" i="111"/>
  <c r="Q38" i="111"/>
  <c r="R38" i="111" s="1"/>
  <c r="Q51" i="110"/>
  <c r="Q39" i="110"/>
  <c r="Q51" i="108"/>
  <c r="Q38" i="108"/>
  <c r="Q51" i="107"/>
  <c r="Q38" i="107"/>
  <c r="R38" i="107" s="1"/>
  <c r="Q37" i="99"/>
  <c r="Q51" i="106"/>
  <c r="Q51" i="105"/>
  <c r="P38" i="105"/>
  <c r="Q51" i="102"/>
  <c r="R51" i="102" s="1"/>
  <c r="Q51" i="101"/>
  <c r="Q37" i="101"/>
  <c r="P38" i="100"/>
  <c r="Q39" i="89"/>
  <c r="Q51" i="96"/>
  <c r="P52" i="96" s="1"/>
  <c r="P40" i="96"/>
  <c r="Q40" i="96" s="1"/>
  <c r="R40" i="96" s="1"/>
  <c r="Q51" i="94"/>
  <c r="P52" i="94" s="1"/>
  <c r="Q37" i="94"/>
  <c r="P40" i="93"/>
  <c r="Q40" i="93" s="1"/>
  <c r="R40" i="93" s="1"/>
  <c r="Q38" i="92"/>
  <c r="P40" i="91"/>
  <c r="Q51" i="90"/>
  <c r="Q37" i="90"/>
  <c r="Q51" i="88"/>
  <c r="P52" i="88" s="1"/>
  <c r="Q39" i="88"/>
  <c r="Q51" i="87"/>
  <c r="Q38" i="87"/>
  <c r="P40" i="109"/>
  <c r="Q40" i="109" s="1"/>
  <c r="R40" i="109" s="1"/>
  <c r="P40" i="106"/>
  <c r="Q40" i="106" s="1"/>
  <c r="R40" i="106" s="1"/>
  <c r="P40" i="104"/>
  <c r="P40" i="103"/>
  <c r="Q40" i="103" s="1"/>
  <c r="R40" i="103" s="1"/>
  <c r="P40" i="102"/>
  <c r="Q40" i="102" s="1"/>
  <c r="R40" i="102" s="1"/>
  <c r="P52" i="80"/>
  <c r="Q52" i="80" s="1"/>
  <c r="R52" i="80" s="1"/>
  <c r="P40" i="80"/>
  <c r="Q40" i="80"/>
  <c r="R40" i="80" s="1"/>
  <c r="Q25" i="111"/>
  <c r="Q25" i="110"/>
  <c r="Q26" i="109"/>
  <c r="Q27" i="108"/>
  <c r="B41" i="112"/>
  <c r="C40" i="112"/>
  <c r="D39" i="112"/>
  <c r="C39" i="110"/>
  <c r="D39" i="110" s="1"/>
  <c r="B40" i="110"/>
  <c r="D38" i="110"/>
  <c r="B51" i="110"/>
  <c r="C50" i="110"/>
  <c r="B25" i="101"/>
  <c r="C25" i="101" s="1"/>
  <c r="C52" i="101"/>
  <c r="D52" i="101" s="1"/>
  <c r="B53" i="101"/>
  <c r="D26" i="102"/>
  <c r="B52" i="102"/>
  <c r="C51" i="102"/>
  <c r="D30" i="102"/>
  <c r="D51" i="102"/>
  <c r="D29" i="102"/>
  <c r="D28" i="102"/>
  <c r="D25" i="102"/>
  <c r="C38" i="102"/>
  <c r="B39" i="102"/>
  <c r="D27" i="102"/>
  <c r="B39" i="103"/>
  <c r="C38" i="103"/>
  <c r="D38" i="103" s="1"/>
  <c r="D37" i="103"/>
  <c r="C38" i="104"/>
  <c r="D38" i="104" s="1"/>
  <c r="B39" i="104"/>
  <c r="D37" i="104"/>
  <c r="B52" i="104"/>
  <c r="C51" i="104"/>
  <c r="D51" i="104" s="1"/>
  <c r="C38" i="105"/>
  <c r="D38" i="105" s="1"/>
  <c r="B39" i="105"/>
  <c r="B52" i="105"/>
  <c r="C51" i="105"/>
  <c r="D50" i="105"/>
  <c r="B51" i="106"/>
  <c r="C50" i="106"/>
  <c r="B40" i="109"/>
  <c r="C39" i="109"/>
  <c r="D39" i="109" s="1"/>
  <c r="D38" i="109"/>
  <c r="B51" i="107"/>
  <c r="C50" i="107"/>
  <c r="D50" i="107" s="1"/>
  <c r="C37" i="107"/>
  <c r="D37" i="107" s="1"/>
  <c r="B38" i="107"/>
  <c r="D49" i="107"/>
  <c r="P26" i="106"/>
  <c r="R25" i="106"/>
  <c r="P27" i="105"/>
  <c r="Q27" i="105" s="1"/>
  <c r="P28" i="105" s="1"/>
  <c r="Q28" i="105" s="1"/>
  <c r="Q27" i="104"/>
  <c r="R27" i="104" s="1"/>
  <c r="R26" i="104"/>
  <c r="Q27" i="103"/>
  <c r="R27" i="103" s="1"/>
  <c r="R25" i="102"/>
  <c r="P27" i="101"/>
  <c r="R26" i="101"/>
  <c r="P27" i="100"/>
  <c r="Q27" i="100" s="1"/>
  <c r="Q26" i="96"/>
  <c r="P27" i="96" s="1"/>
  <c r="R26" i="94"/>
  <c r="Q27" i="94"/>
  <c r="R27" i="94" s="1"/>
  <c r="P27" i="93"/>
  <c r="R25" i="92"/>
  <c r="P26" i="92"/>
  <c r="R25" i="91"/>
  <c r="P26" i="91"/>
  <c r="R26" i="90"/>
  <c r="P27" i="90"/>
  <c r="P27" i="88"/>
  <c r="Q27" i="88" s="1"/>
  <c r="P28" i="107"/>
  <c r="Q28" i="107" s="1"/>
  <c r="R27" i="107"/>
  <c r="P28" i="89"/>
  <c r="Q28" i="89" s="1"/>
  <c r="R27" i="89"/>
  <c r="R26" i="87"/>
  <c r="Q27" i="87"/>
  <c r="R24" i="80"/>
  <c r="P25" i="80"/>
  <c r="Q25" i="80" s="1"/>
  <c r="D92" i="33" l="1"/>
  <c r="D102" i="33" s="1"/>
  <c r="D113" i="33" s="1"/>
  <c r="L69" i="33"/>
  <c r="I92" i="33"/>
  <c r="N69" i="33"/>
  <c r="J92" i="33"/>
  <c r="K69" i="33"/>
  <c r="K73" i="33" s="1"/>
  <c r="R69" i="33"/>
  <c r="T69" i="33"/>
  <c r="M69" i="33"/>
  <c r="Q69" i="33"/>
  <c r="P69" i="33"/>
  <c r="O69" i="33"/>
  <c r="K92" i="33"/>
  <c r="G92" i="33"/>
  <c r="B51" i="111"/>
  <c r="C50" i="111"/>
  <c r="B53" i="92"/>
  <c r="C52" i="92"/>
  <c r="C51" i="94"/>
  <c r="D51" i="94" s="1"/>
  <c r="B52" i="94"/>
  <c r="P39" i="107"/>
  <c r="B53" i="90"/>
  <c r="C52" i="90"/>
  <c r="B52" i="93"/>
  <c r="C51" i="93"/>
  <c r="D51" i="93" s="1"/>
  <c r="C38" i="106"/>
  <c r="D38" i="106" s="1"/>
  <c r="B39" i="106"/>
  <c r="D50" i="111"/>
  <c r="D52" i="90"/>
  <c r="B39" i="100"/>
  <c r="C38" i="100"/>
  <c r="D37" i="106"/>
  <c r="R27" i="105"/>
  <c r="D38" i="100"/>
  <c r="L32" i="95" s="1"/>
  <c r="D37" i="100"/>
  <c r="L31" i="95" s="1"/>
  <c r="L92" i="33"/>
  <c r="M92" i="33"/>
  <c r="E92" i="33"/>
  <c r="C38" i="91"/>
  <c r="D38" i="91" s="1"/>
  <c r="B39" i="91"/>
  <c r="D51" i="90"/>
  <c r="D52" i="92"/>
  <c r="H92" i="33"/>
  <c r="B51" i="87"/>
  <c r="C50" i="87"/>
  <c r="D50" i="87" s="1"/>
  <c r="P82" i="33"/>
  <c r="I17" i="12"/>
  <c r="N70" i="33"/>
  <c r="L70" i="33"/>
  <c r="Q70" i="33"/>
  <c r="T70" i="33"/>
  <c r="P70" i="33"/>
  <c r="M70" i="33"/>
  <c r="U70" i="33"/>
  <c r="S70" i="33"/>
  <c r="R70" i="33"/>
  <c r="F73" i="33"/>
  <c r="F85" i="33" s="1"/>
  <c r="B94" i="33" s="1"/>
  <c r="J94" i="33" s="1"/>
  <c r="W85" i="33"/>
  <c r="V113" i="33" s="1"/>
  <c r="P52" i="99"/>
  <c r="R51" i="99"/>
  <c r="R51" i="91"/>
  <c r="P52" i="91"/>
  <c r="P52" i="93"/>
  <c r="R51" i="93"/>
  <c r="R51" i="103"/>
  <c r="P52" i="103"/>
  <c r="Q52" i="103" s="1"/>
  <c r="P52" i="89"/>
  <c r="R51" i="89"/>
  <c r="P52" i="87"/>
  <c r="R51" i="87"/>
  <c r="J16" i="12"/>
  <c r="B26" i="12"/>
  <c r="B16" i="12"/>
  <c r="C52" i="88"/>
  <c r="B53" i="88"/>
  <c r="M93" i="33"/>
  <c r="N93" i="33"/>
  <c r="F93" i="33"/>
  <c r="J93" i="33"/>
  <c r="G93" i="33"/>
  <c r="H93" i="33"/>
  <c r="K93" i="33"/>
  <c r="I93" i="33"/>
  <c r="L93" i="33"/>
  <c r="E93" i="33"/>
  <c r="D51" i="109"/>
  <c r="B39" i="94"/>
  <c r="C38" i="94"/>
  <c r="D38" i="94" s="1"/>
  <c r="H15" i="12"/>
  <c r="J4" i="12"/>
  <c r="B51" i="96"/>
  <c r="C50" i="96"/>
  <c r="D50" i="96" s="1"/>
  <c r="R39" i="110"/>
  <c r="P40" i="88"/>
  <c r="R39" i="88"/>
  <c r="R38" i="92"/>
  <c r="R37" i="101"/>
  <c r="P40" i="110"/>
  <c r="Q40" i="110" s="1"/>
  <c r="C38" i="90"/>
  <c r="B39" i="90"/>
  <c r="G26" i="12"/>
  <c r="R51" i="104"/>
  <c r="D51" i="88"/>
  <c r="D52" i="88"/>
  <c r="D38" i="90"/>
  <c r="D52" i="91"/>
  <c r="P53" i="100"/>
  <c r="Q53" i="100" s="1"/>
  <c r="R52" i="100"/>
  <c r="P52" i="112"/>
  <c r="R51" i="112"/>
  <c r="R51" i="88"/>
  <c r="P39" i="92"/>
  <c r="Q39" i="92" s="1"/>
  <c r="P38" i="101"/>
  <c r="Q38" i="101" s="1"/>
  <c r="P52" i="110"/>
  <c r="Q52" i="110" s="1"/>
  <c r="P53" i="110" s="1"/>
  <c r="Q53" i="110" s="1"/>
  <c r="R53" i="110" s="1"/>
  <c r="R51" i="110"/>
  <c r="D37" i="90"/>
  <c r="O82" i="33"/>
  <c r="B53" i="91"/>
  <c r="C52" i="91"/>
  <c r="B39" i="93"/>
  <c r="C38" i="93"/>
  <c r="L14" i="12"/>
  <c r="M24" i="12"/>
  <c r="K14" i="12"/>
  <c r="K3" i="12"/>
  <c r="M41" i="12"/>
  <c r="M21" i="12"/>
  <c r="R51" i="94"/>
  <c r="G73" i="33"/>
  <c r="G85" i="33" s="1"/>
  <c r="J17" i="12"/>
  <c r="B17" i="12"/>
  <c r="B27" i="12"/>
  <c r="U56" i="33"/>
  <c r="U58" i="33" s="1"/>
  <c r="B51" i="99"/>
  <c r="C50" i="99"/>
  <c r="D50" i="99" s="1"/>
  <c r="D37" i="92"/>
  <c r="P52" i="92"/>
  <c r="Q52" i="92" s="1"/>
  <c r="R51" i="92"/>
  <c r="P52" i="101"/>
  <c r="R51" i="101"/>
  <c r="P52" i="105"/>
  <c r="Q52" i="105" s="1"/>
  <c r="P53" i="105" s="1"/>
  <c r="R51" i="105"/>
  <c r="P52" i="107"/>
  <c r="R51" i="107"/>
  <c r="C39" i="87"/>
  <c r="D39" i="87" s="1"/>
  <c r="B40" i="87"/>
  <c r="U72" i="33"/>
  <c r="N72" i="33"/>
  <c r="R72" i="33"/>
  <c r="O72" i="33"/>
  <c r="S72" i="33"/>
  <c r="T72" i="33"/>
  <c r="Q72" i="33"/>
  <c r="V72" i="33"/>
  <c r="V73" i="33" s="1"/>
  <c r="P72" i="33"/>
  <c r="W72" i="33"/>
  <c r="W73" i="33" s="1"/>
  <c r="F15" i="12"/>
  <c r="F25" i="12"/>
  <c r="B40" i="96"/>
  <c r="C39" i="96"/>
  <c r="N42" i="12"/>
  <c r="O42" i="12" s="1"/>
  <c r="B26" i="94"/>
  <c r="C26" i="94" s="1"/>
  <c r="D26" i="94" s="1"/>
  <c r="D39" i="99"/>
  <c r="C38" i="80"/>
  <c r="B39" i="80"/>
  <c r="B52" i="89"/>
  <c r="C51" i="89"/>
  <c r="C50" i="103"/>
  <c r="D50" i="103" s="1"/>
  <c r="B51" i="103"/>
  <c r="R37" i="90"/>
  <c r="P40" i="89"/>
  <c r="R39" i="89"/>
  <c r="P52" i="106"/>
  <c r="Q52" i="106" s="1"/>
  <c r="R51" i="106"/>
  <c r="P52" i="111"/>
  <c r="Q52" i="111" s="1"/>
  <c r="R51" i="111"/>
  <c r="D38" i="87"/>
  <c r="D49" i="112"/>
  <c r="R51" i="100"/>
  <c r="R38" i="108"/>
  <c r="B51" i="100"/>
  <c r="C50" i="100"/>
  <c r="D50" i="100" s="1"/>
  <c r="C39" i="108"/>
  <c r="B40" i="108"/>
  <c r="C39" i="88"/>
  <c r="B40" i="88"/>
  <c r="H73" i="33"/>
  <c r="H85" i="33" s="1"/>
  <c r="B96" i="33" s="1"/>
  <c r="C40" i="99"/>
  <c r="B41" i="99"/>
  <c r="D54" i="80"/>
  <c r="L18" i="12"/>
  <c r="M28" i="12"/>
  <c r="K18" i="12"/>
  <c r="K7" i="12"/>
  <c r="L20" i="12"/>
  <c r="M30" i="12"/>
  <c r="K9" i="12"/>
  <c r="K20" i="12"/>
  <c r="P52" i="90"/>
  <c r="R51" i="90"/>
  <c r="P52" i="102"/>
  <c r="Q52" i="102" s="1"/>
  <c r="R37" i="99"/>
  <c r="D38" i="93"/>
  <c r="D38" i="88"/>
  <c r="I73" i="33"/>
  <c r="G27" i="12"/>
  <c r="C38" i="92"/>
  <c r="B39" i="92"/>
  <c r="D38" i="108"/>
  <c r="R37" i="94"/>
  <c r="P52" i="108"/>
  <c r="Q52" i="108" s="1"/>
  <c r="R51" i="108"/>
  <c r="B40" i="89"/>
  <c r="C39" i="89"/>
  <c r="N31" i="12"/>
  <c r="C50" i="108"/>
  <c r="B51" i="108"/>
  <c r="J73" i="33"/>
  <c r="G15" i="12"/>
  <c r="I4" i="12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39" i="101"/>
  <c r="C38" i="101"/>
  <c r="D38" i="101" s="1"/>
  <c r="B28" i="100"/>
  <c r="C28" i="100" s="1"/>
  <c r="D28" i="100" s="1"/>
  <c r="D27" i="100"/>
  <c r="D39" i="108"/>
  <c r="B41" i="111"/>
  <c r="C40" i="111"/>
  <c r="B26" i="109"/>
  <c r="C26" i="109" s="1"/>
  <c r="D26" i="109" s="1"/>
  <c r="R38" i="87"/>
  <c r="P52" i="109"/>
  <c r="Q52" i="109" s="1"/>
  <c r="R51" i="109"/>
  <c r="I16" i="12"/>
  <c r="D38" i="89"/>
  <c r="C50" i="112"/>
  <c r="D50" i="112" s="1"/>
  <c r="B51" i="112"/>
  <c r="C52" i="109"/>
  <c r="B53" i="109"/>
  <c r="D38" i="96"/>
  <c r="L19" i="12"/>
  <c r="M29" i="12"/>
  <c r="K19" i="12"/>
  <c r="K8" i="12"/>
  <c r="D49" i="100"/>
  <c r="B26" i="92"/>
  <c r="C26" i="92" s="1"/>
  <c r="D26" i="92" s="1"/>
  <c r="D25" i="92"/>
  <c r="D39" i="96"/>
  <c r="Q52" i="112"/>
  <c r="P41" i="112"/>
  <c r="Q41" i="112" s="1"/>
  <c r="R41" i="112" s="1"/>
  <c r="P39" i="111"/>
  <c r="P39" i="108"/>
  <c r="Q52" i="107"/>
  <c r="P40" i="107"/>
  <c r="Q39" i="107"/>
  <c r="Q52" i="99"/>
  <c r="P38" i="99"/>
  <c r="Q38" i="105"/>
  <c r="Q52" i="104"/>
  <c r="Q40" i="104"/>
  <c r="R40" i="104" s="1"/>
  <c r="Q52" i="101"/>
  <c r="Q38" i="100"/>
  <c r="R38" i="100" s="1"/>
  <c r="Q52" i="89"/>
  <c r="Q40" i="89"/>
  <c r="R40" i="89" s="1"/>
  <c r="Q52" i="96"/>
  <c r="P41" i="96"/>
  <c r="Q52" i="94"/>
  <c r="P38" i="94"/>
  <c r="Q52" i="93"/>
  <c r="P41" i="93"/>
  <c r="Q41" i="93" s="1"/>
  <c r="R41" i="93" s="1"/>
  <c r="Q52" i="91"/>
  <c r="R52" i="91" s="1"/>
  <c r="Q40" i="91"/>
  <c r="R40" i="91" s="1"/>
  <c r="Q52" i="90"/>
  <c r="P38" i="90"/>
  <c r="Q52" i="88"/>
  <c r="Q40" i="88"/>
  <c r="R40" i="88" s="1"/>
  <c r="P53" i="87"/>
  <c r="Q52" i="87"/>
  <c r="R52" i="87" s="1"/>
  <c r="P39" i="87"/>
  <c r="P41" i="109"/>
  <c r="Q41" i="109" s="1"/>
  <c r="R41" i="109" s="1"/>
  <c r="P41" i="106"/>
  <c r="Q41" i="106" s="1"/>
  <c r="R41" i="106" s="1"/>
  <c r="P41" i="103"/>
  <c r="P41" i="102"/>
  <c r="Q41" i="102" s="1"/>
  <c r="R41" i="102" s="1"/>
  <c r="P42" i="93"/>
  <c r="Q42" i="93" s="1"/>
  <c r="R42" i="93" s="1"/>
  <c r="P53" i="80"/>
  <c r="Q53" i="80" s="1"/>
  <c r="R53" i="80" s="1"/>
  <c r="P41" i="80"/>
  <c r="Q41" i="80" s="1"/>
  <c r="R41" i="80" s="1"/>
  <c r="R25" i="112"/>
  <c r="P26" i="112"/>
  <c r="Q26" i="112" s="1"/>
  <c r="R25" i="111"/>
  <c r="P26" i="111"/>
  <c r="R25" i="110"/>
  <c r="P26" i="110"/>
  <c r="R26" i="109"/>
  <c r="P27" i="109"/>
  <c r="P28" i="108"/>
  <c r="R27" i="108"/>
  <c r="B42" i="112"/>
  <c r="C42" i="112" s="1"/>
  <c r="C41" i="112"/>
  <c r="D40" i="112"/>
  <c r="B52" i="110"/>
  <c r="C51" i="110"/>
  <c r="D51" i="110" s="1"/>
  <c r="C40" i="110"/>
  <c r="B41" i="110"/>
  <c r="D50" i="110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D26" i="101"/>
  <c r="D25" i="101"/>
  <c r="B54" i="101"/>
  <c r="C54" i="101" s="1"/>
  <c r="C53" i="101"/>
  <c r="D53" i="101" s="1"/>
  <c r="D28" i="101"/>
  <c r="D38" i="102"/>
  <c r="B53" i="102"/>
  <c r="C52" i="102"/>
  <c r="D52" i="102" s="1"/>
  <c r="C39" i="102"/>
  <c r="D39" i="102" s="1"/>
  <c r="B40" i="102"/>
  <c r="B40" i="103"/>
  <c r="C39" i="103"/>
  <c r="B53" i="104"/>
  <c r="C52" i="104"/>
  <c r="D52" i="104" s="1"/>
  <c r="C39" i="104"/>
  <c r="B40" i="104"/>
  <c r="C52" i="105"/>
  <c r="B53" i="105"/>
  <c r="B40" i="105"/>
  <c r="C39" i="105"/>
  <c r="D51" i="105"/>
  <c r="D52" i="105"/>
  <c r="D50" i="106"/>
  <c r="D51" i="106"/>
  <c r="C51" i="106"/>
  <c r="B52" i="106"/>
  <c r="C40" i="109"/>
  <c r="B41" i="109"/>
  <c r="B52" i="107"/>
  <c r="C51" i="107"/>
  <c r="D51" i="107" s="1"/>
  <c r="C38" i="107"/>
  <c r="D38" i="107" s="1"/>
  <c r="B39" i="107"/>
  <c r="Q26" i="106"/>
  <c r="P28" i="104"/>
  <c r="P28" i="103"/>
  <c r="Q28" i="103" s="1"/>
  <c r="P29" i="103" s="1"/>
  <c r="Q29" i="103" s="1"/>
  <c r="P27" i="102"/>
  <c r="Q27" i="102" s="1"/>
  <c r="R26" i="102"/>
  <c r="Q27" i="101"/>
  <c r="P28" i="101" s="1"/>
  <c r="R26" i="100"/>
  <c r="R27" i="100"/>
  <c r="R26" i="96"/>
  <c r="Q27" i="96"/>
  <c r="R27" i="96" s="1"/>
  <c r="P28" i="94"/>
  <c r="Q27" i="93"/>
  <c r="Q26" i="92"/>
  <c r="Q26" i="91"/>
  <c r="Q27" i="90"/>
  <c r="R26" i="88"/>
  <c r="P28" i="88"/>
  <c r="Q28" i="88" s="1"/>
  <c r="P29" i="107"/>
  <c r="Q29" i="107" s="1"/>
  <c r="R28" i="107"/>
  <c r="P29" i="105"/>
  <c r="R28" i="105"/>
  <c r="R28" i="103"/>
  <c r="P29" i="89"/>
  <c r="Q29" i="89" s="1"/>
  <c r="R28" i="89"/>
  <c r="P28" i="87"/>
  <c r="R27" i="87"/>
  <c r="G17" i="12" l="1"/>
  <c r="G6" i="12" s="1"/>
  <c r="L73" i="33"/>
  <c r="L85" i="33" s="1"/>
  <c r="B100" i="33" s="1"/>
  <c r="M73" i="33"/>
  <c r="M85" i="33" s="1"/>
  <c r="B101" i="33" s="1"/>
  <c r="V101" i="33" s="1"/>
  <c r="V102" i="33" s="1"/>
  <c r="O73" i="33"/>
  <c r="O85" i="33" s="1"/>
  <c r="N73" i="33"/>
  <c r="N85" i="33" s="1"/>
  <c r="P40" i="92"/>
  <c r="Q40" i="92" s="1"/>
  <c r="R40" i="92" s="1"/>
  <c r="R39" i="92"/>
  <c r="B40" i="100"/>
  <c r="C39" i="100"/>
  <c r="D39" i="100" s="1"/>
  <c r="L33" i="95" s="1"/>
  <c r="B40" i="91"/>
  <c r="C39" i="91"/>
  <c r="D39" i="91" s="1"/>
  <c r="C52" i="94"/>
  <c r="B53" i="94"/>
  <c r="D29" i="101"/>
  <c r="E102" i="33"/>
  <c r="E113" i="33" s="1"/>
  <c r="C39" i="106"/>
  <c r="D39" i="106" s="1"/>
  <c r="B40" i="106"/>
  <c r="P28" i="96"/>
  <c r="I6" i="12"/>
  <c r="C51" i="87"/>
  <c r="D51" i="87" s="1"/>
  <c r="B52" i="87"/>
  <c r="S73" i="33"/>
  <c r="C52" i="93"/>
  <c r="B53" i="93"/>
  <c r="C53" i="92"/>
  <c r="D54" i="92" s="1"/>
  <c r="B54" i="92"/>
  <c r="C54" i="92" s="1"/>
  <c r="P54" i="110"/>
  <c r="Q54" i="110" s="1"/>
  <c r="R54" i="110" s="1"/>
  <c r="C53" i="90"/>
  <c r="B54" i="90"/>
  <c r="C54" i="90" s="1"/>
  <c r="B52" i="111"/>
  <c r="C51" i="111"/>
  <c r="P73" i="33"/>
  <c r="P85" i="33" s="1"/>
  <c r="I19" i="12"/>
  <c r="I8" i="12" s="1"/>
  <c r="I18" i="12"/>
  <c r="D41" i="12" s="1"/>
  <c r="Q73" i="33"/>
  <c r="Q85" i="33" s="1"/>
  <c r="T73" i="33"/>
  <c r="R73" i="33"/>
  <c r="R85" i="33" s="1"/>
  <c r="U73" i="33"/>
  <c r="I85" i="33"/>
  <c r="B97" i="33" s="1"/>
  <c r="O97" i="33" s="1"/>
  <c r="K85" i="33"/>
  <c r="B99" i="33" s="1"/>
  <c r="K99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P53" i="109"/>
  <c r="R52" i="109"/>
  <c r="P53" i="106"/>
  <c r="R52" i="106"/>
  <c r="R38" i="101"/>
  <c r="P39" i="101"/>
  <c r="P53" i="108"/>
  <c r="R52" i="108"/>
  <c r="P53" i="92"/>
  <c r="R52" i="92"/>
  <c r="P53" i="102"/>
  <c r="R52" i="102"/>
  <c r="D41" i="99"/>
  <c r="P53" i="111"/>
  <c r="R52" i="111"/>
  <c r="R52" i="103"/>
  <c r="P53" i="103"/>
  <c r="R39" i="107"/>
  <c r="C39" i="101"/>
  <c r="D39" i="101" s="1"/>
  <c r="B40" i="101"/>
  <c r="D50" i="108"/>
  <c r="B42" i="99"/>
  <c r="C42" i="99" s="1"/>
  <c r="C41" i="99"/>
  <c r="B52" i="99"/>
  <c r="C51" i="99"/>
  <c r="I14" i="12"/>
  <c r="M39" i="12"/>
  <c r="K21" i="12"/>
  <c r="C43" i="12"/>
  <c r="D54" i="101"/>
  <c r="R38" i="105"/>
  <c r="P53" i="107"/>
  <c r="Q53" i="107" s="1"/>
  <c r="R52" i="107"/>
  <c r="J19" i="12"/>
  <c r="G19" i="12" s="1"/>
  <c r="G8" i="12" s="1"/>
  <c r="B19" i="12"/>
  <c r="B29" i="12"/>
  <c r="C51" i="112"/>
  <c r="B52" i="112"/>
  <c r="L108" i="33"/>
  <c r="G108" i="33"/>
  <c r="O108" i="33"/>
  <c r="I108" i="33"/>
  <c r="M108" i="33"/>
  <c r="N108" i="33"/>
  <c r="H108" i="33"/>
  <c r="K108" i="33"/>
  <c r="J108" i="33"/>
  <c r="F108" i="33"/>
  <c r="B20" i="12"/>
  <c r="J20" i="12"/>
  <c r="B30" i="12"/>
  <c r="G28" i="12"/>
  <c r="C40" i="88"/>
  <c r="D40" i="88" s="1"/>
  <c r="B41" i="88"/>
  <c r="E15" i="12"/>
  <c r="E25" i="12"/>
  <c r="J14" i="12"/>
  <c r="B24" i="12"/>
  <c r="M40" i="12"/>
  <c r="L21" i="12"/>
  <c r="B14" i="12"/>
  <c r="H16" i="12"/>
  <c r="H5" i="12" s="1"/>
  <c r="J5" i="12"/>
  <c r="D43" i="12"/>
  <c r="P53" i="90"/>
  <c r="R52" i="90"/>
  <c r="M109" i="33"/>
  <c r="N109" i="33"/>
  <c r="I109" i="33"/>
  <c r="H109" i="33"/>
  <c r="G109" i="33"/>
  <c r="K109" i="33"/>
  <c r="P109" i="33"/>
  <c r="P110" i="33" s="1"/>
  <c r="J109" i="33"/>
  <c r="L109" i="33"/>
  <c r="O109" i="33"/>
  <c r="M31" i="12"/>
  <c r="G24" i="12"/>
  <c r="B40" i="90"/>
  <c r="C39" i="90"/>
  <c r="B52" i="96"/>
  <c r="C51" i="96"/>
  <c r="P53" i="93"/>
  <c r="R52" i="93"/>
  <c r="P53" i="101"/>
  <c r="R52" i="101"/>
  <c r="J18" i="12"/>
  <c r="B18" i="12"/>
  <c r="B28" i="12"/>
  <c r="D52" i="89"/>
  <c r="D51" i="89"/>
  <c r="D40" i="99"/>
  <c r="F4" i="12"/>
  <c r="R52" i="105"/>
  <c r="P41" i="110"/>
  <c r="Q41" i="110" s="1"/>
  <c r="R40" i="110"/>
  <c r="P53" i="91"/>
  <c r="P53" i="89"/>
  <c r="Q53" i="89" s="1"/>
  <c r="R52" i="89"/>
  <c r="P53" i="112"/>
  <c r="R52" i="112"/>
  <c r="B27" i="92"/>
  <c r="C27" i="92" s="1"/>
  <c r="D41" i="111"/>
  <c r="D40" i="111"/>
  <c r="B41" i="89"/>
  <c r="C40" i="89"/>
  <c r="D40" i="89" s="1"/>
  <c r="D39" i="88"/>
  <c r="C40" i="108"/>
  <c r="D40" i="108" s="1"/>
  <c r="B41" i="108"/>
  <c r="B53" i="89"/>
  <c r="C52" i="89"/>
  <c r="D42" i="99"/>
  <c r="B40" i="93"/>
  <c r="C39" i="93"/>
  <c r="H4" i="12"/>
  <c r="B54" i="88"/>
  <c r="C54" i="88" s="1"/>
  <c r="C53" i="88"/>
  <c r="P53" i="96"/>
  <c r="Q53" i="96" s="1"/>
  <c r="R52" i="96"/>
  <c r="P53" i="104"/>
  <c r="R52" i="104"/>
  <c r="G29" i="12"/>
  <c r="B27" i="109"/>
  <c r="C27" i="109" s="1"/>
  <c r="B28" i="109" s="1"/>
  <c r="C28" i="109" s="1"/>
  <c r="B29" i="109" s="1"/>
  <c r="C29" i="109" s="1"/>
  <c r="B30" i="109" s="1"/>
  <c r="C30" i="109" s="1"/>
  <c r="D30" i="109" s="1"/>
  <c r="D27" i="109"/>
  <c r="B95" i="33"/>
  <c r="P41" i="88"/>
  <c r="Q41" i="88" s="1"/>
  <c r="R41" i="88" s="1"/>
  <c r="B42" i="111"/>
  <c r="C42" i="111" s="1"/>
  <c r="C41" i="111"/>
  <c r="D42" i="111" s="1"/>
  <c r="B107" i="33"/>
  <c r="T86" i="33"/>
  <c r="G4" i="12"/>
  <c r="C39" i="92"/>
  <c r="D39" i="92" s="1"/>
  <c r="B40" i="92"/>
  <c r="N41" i="12"/>
  <c r="O41" i="12" s="1"/>
  <c r="P54" i="100"/>
  <c r="Q54" i="100" s="1"/>
  <c r="R54" i="100" s="1"/>
  <c r="R53" i="100"/>
  <c r="I7" i="12"/>
  <c r="P41" i="104"/>
  <c r="P53" i="88"/>
  <c r="R52" i="88"/>
  <c r="P53" i="94"/>
  <c r="Q53" i="94" s="1"/>
  <c r="R53" i="94" s="1"/>
  <c r="R52" i="94"/>
  <c r="P39" i="100"/>
  <c r="Q39" i="100" s="1"/>
  <c r="R39" i="100" s="1"/>
  <c r="B29" i="100"/>
  <c r="C29" i="100" s="1"/>
  <c r="B30" i="100" s="1"/>
  <c r="C30" i="100" s="1"/>
  <c r="D30" i="100" s="1"/>
  <c r="D29" i="100"/>
  <c r="J85" i="33"/>
  <c r="B98" i="33" s="1"/>
  <c r="D38" i="92"/>
  <c r="D52" i="109"/>
  <c r="C39" i="80"/>
  <c r="D39" i="80" s="1"/>
  <c r="B40" i="80"/>
  <c r="D39" i="93"/>
  <c r="K21" i="13"/>
  <c r="K17" i="13"/>
  <c r="K20" i="13"/>
  <c r="K2" i="13"/>
  <c r="K3" i="13" s="1"/>
  <c r="K4" i="13" s="1"/>
  <c r="K19" i="13"/>
  <c r="K18" i="13"/>
  <c r="K10" i="12"/>
  <c r="C53" i="91"/>
  <c r="D54" i="91" s="1"/>
  <c r="B54" i="91"/>
  <c r="C54" i="91" s="1"/>
  <c r="F26" i="12"/>
  <c r="C39" i="94"/>
  <c r="D39" i="94" s="1"/>
  <c r="B40" i="94"/>
  <c r="G30" i="12"/>
  <c r="C51" i="103"/>
  <c r="D51" i="103" s="1"/>
  <c r="B52" i="103"/>
  <c r="B41" i="96"/>
  <c r="C40" i="96"/>
  <c r="P53" i="99"/>
  <c r="R52" i="99"/>
  <c r="B54" i="109"/>
  <c r="C54" i="109" s="1"/>
  <c r="D54" i="109" s="1"/>
  <c r="C53" i="109"/>
  <c r="D53" i="109" s="1"/>
  <c r="G16" i="12"/>
  <c r="G5" i="12" s="1"/>
  <c r="I5" i="12"/>
  <c r="D28" i="109"/>
  <c r="C51" i="108"/>
  <c r="B52" i="108"/>
  <c r="D51" i="112"/>
  <c r="F27" i="12"/>
  <c r="I20" i="12"/>
  <c r="Q96" i="33"/>
  <c r="K96" i="33"/>
  <c r="M96" i="33"/>
  <c r="L96" i="33"/>
  <c r="I96" i="33"/>
  <c r="N96" i="33"/>
  <c r="O96" i="33"/>
  <c r="H96" i="33"/>
  <c r="J96" i="33"/>
  <c r="P96" i="33"/>
  <c r="C51" i="100"/>
  <c r="B52" i="100"/>
  <c r="D38" i="80"/>
  <c r="B27" i="94"/>
  <c r="C27" i="94" s="1"/>
  <c r="B28" i="94" s="1"/>
  <c r="C28" i="94" s="1"/>
  <c r="B29" i="94" s="1"/>
  <c r="C29" i="94" s="1"/>
  <c r="B41" i="87"/>
  <c r="C40" i="87"/>
  <c r="D40" i="87" s="1"/>
  <c r="H17" i="12"/>
  <c r="H6" i="12" s="1"/>
  <c r="J6" i="12"/>
  <c r="R52" i="110"/>
  <c r="D39" i="89"/>
  <c r="Q53" i="112"/>
  <c r="P42" i="112"/>
  <c r="Q53" i="111"/>
  <c r="Q39" i="111"/>
  <c r="R39" i="111" s="1"/>
  <c r="Q53" i="109"/>
  <c r="R53" i="109" s="1"/>
  <c r="P54" i="108"/>
  <c r="Q54" i="108" s="1"/>
  <c r="R54" i="108" s="1"/>
  <c r="Q53" i="108"/>
  <c r="R53" i="108" s="1"/>
  <c r="Q39" i="108"/>
  <c r="R39" i="108" s="1"/>
  <c r="Q40" i="107"/>
  <c r="R40" i="107" s="1"/>
  <c r="Q53" i="99"/>
  <c r="P39" i="99"/>
  <c r="Q38" i="99"/>
  <c r="R38" i="99" s="1"/>
  <c r="Q53" i="106"/>
  <c r="Q53" i="105"/>
  <c r="R53" i="105" s="1"/>
  <c r="P39" i="105"/>
  <c r="Q53" i="104"/>
  <c r="Q41" i="104"/>
  <c r="P54" i="103"/>
  <c r="Q54" i="103" s="1"/>
  <c r="R54" i="103" s="1"/>
  <c r="Q53" i="103"/>
  <c r="R53" i="103" s="1"/>
  <c r="Q41" i="103"/>
  <c r="Q53" i="102"/>
  <c r="Q53" i="101"/>
  <c r="Q39" i="101"/>
  <c r="R39" i="101" s="1"/>
  <c r="P41" i="89"/>
  <c r="Q41" i="96"/>
  <c r="R41" i="96" s="1"/>
  <c r="Q38" i="94"/>
  <c r="R38" i="94" s="1"/>
  <c r="Q53" i="93"/>
  <c r="Q53" i="92"/>
  <c r="Q53" i="91"/>
  <c r="P41" i="91"/>
  <c r="Q53" i="90"/>
  <c r="R53" i="90" s="1"/>
  <c r="Q38" i="90"/>
  <c r="R38" i="90" s="1"/>
  <c r="Q53" i="88"/>
  <c r="R53" i="88" s="1"/>
  <c r="P54" i="87"/>
  <c r="Q54" i="87" s="1"/>
  <c r="R54" i="87" s="1"/>
  <c r="Q53" i="87"/>
  <c r="R53" i="87" s="1"/>
  <c r="Q39" i="87"/>
  <c r="R39" i="87" s="1"/>
  <c r="P42" i="109"/>
  <c r="Q42" i="109" s="1"/>
  <c r="P42" i="106"/>
  <c r="P42" i="102"/>
  <c r="Q42" i="102" s="1"/>
  <c r="P54" i="80"/>
  <c r="Q54" i="80" s="1"/>
  <c r="R54" i="80" s="1"/>
  <c r="P42" i="80"/>
  <c r="Q42" i="80" s="1"/>
  <c r="R42" i="80" s="1"/>
  <c r="P27" i="111"/>
  <c r="Q26" i="111"/>
  <c r="Q26" i="110"/>
  <c r="P28" i="109"/>
  <c r="Q27" i="109"/>
  <c r="Q28" i="108"/>
  <c r="D42" i="112"/>
  <c r="D41" i="112"/>
  <c r="D40" i="110"/>
  <c r="B53" i="110"/>
  <c r="C52" i="110"/>
  <c r="C41" i="110"/>
  <c r="D41" i="110" s="1"/>
  <c r="B42" i="110"/>
  <c r="C42" i="110" s="1"/>
  <c r="D27" i="101"/>
  <c r="C53" i="102"/>
  <c r="D53" i="102" s="1"/>
  <c r="B54" i="102"/>
  <c r="C54" i="102" s="1"/>
  <c r="C40" i="102"/>
  <c r="D40" i="102" s="1"/>
  <c r="B41" i="102"/>
  <c r="D40" i="103"/>
  <c r="D39" i="103"/>
  <c r="C40" i="103"/>
  <c r="B41" i="103"/>
  <c r="B41" i="104"/>
  <c r="C40" i="104"/>
  <c r="D39" i="104"/>
  <c r="B54" i="104"/>
  <c r="C54" i="104" s="1"/>
  <c r="C53" i="104"/>
  <c r="C40" i="105"/>
  <c r="D40" i="105" s="1"/>
  <c r="B41" i="105"/>
  <c r="B54" i="105"/>
  <c r="C54" i="105" s="1"/>
  <c r="C53" i="105"/>
  <c r="D53" i="105" s="1"/>
  <c r="D39" i="105"/>
  <c r="C52" i="106"/>
  <c r="B53" i="106"/>
  <c r="C41" i="109"/>
  <c r="D41" i="109" s="1"/>
  <c r="B42" i="109"/>
  <c r="C42" i="109" s="1"/>
  <c r="D40" i="109"/>
  <c r="C39" i="107"/>
  <c r="B40" i="107"/>
  <c r="B53" i="107"/>
  <c r="C52" i="107"/>
  <c r="D52" i="107" s="1"/>
  <c r="R26" i="106"/>
  <c r="P27" i="106"/>
  <c r="Q29" i="105"/>
  <c r="P30" i="105" s="1"/>
  <c r="Q28" i="104"/>
  <c r="R27" i="101"/>
  <c r="P29" i="101"/>
  <c r="Q28" i="101"/>
  <c r="R28" i="101" s="1"/>
  <c r="P28" i="100"/>
  <c r="Q28" i="100" s="1"/>
  <c r="Q28" i="96"/>
  <c r="Q28" i="94"/>
  <c r="R27" i="93"/>
  <c r="P28" i="93"/>
  <c r="R26" i="92"/>
  <c r="P27" i="92"/>
  <c r="R26" i="91"/>
  <c r="P27" i="91"/>
  <c r="R27" i="90"/>
  <c r="P28" i="90"/>
  <c r="R28" i="88"/>
  <c r="R27" i="88"/>
  <c r="P30" i="107"/>
  <c r="R29" i="107"/>
  <c r="R29" i="105"/>
  <c r="P30" i="103"/>
  <c r="Q30" i="103" s="1"/>
  <c r="R29" i="103"/>
  <c r="P30" i="89"/>
  <c r="Q30" i="89" s="1"/>
  <c r="R30" i="89" s="1"/>
  <c r="R29" i="89"/>
  <c r="Q28" i="87"/>
  <c r="P26" i="80"/>
  <c r="R25" i="80"/>
  <c r="G18" i="12" l="1"/>
  <c r="G7" i="12" s="1"/>
  <c r="C53" i="94"/>
  <c r="B54" i="94"/>
  <c r="C54" i="94" s="1"/>
  <c r="D52" i="87"/>
  <c r="D52" i="94"/>
  <c r="D54" i="94"/>
  <c r="D54" i="102"/>
  <c r="P40" i="101"/>
  <c r="D53" i="91"/>
  <c r="D51" i="111"/>
  <c r="C53" i="93"/>
  <c r="D54" i="93" s="1"/>
  <c r="B54" i="93"/>
  <c r="C54" i="93" s="1"/>
  <c r="C40" i="106"/>
  <c r="B41" i="106"/>
  <c r="P54" i="88"/>
  <c r="Q54" i="88" s="1"/>
  <c r="R54" i="88" s="1"/>
  <c r="P54" i="105"/>
  <c r="Q54" i="105" s="1"/>
  <c r="R54" i="105" s="1"/>
  <c r="P40" i="108"/>
  <c r="C52" i="111"/>
  <c r="D52" i="111" s="1"/>
  <c r="B53" i="111"/>
  <c r="D52" i="93"/>
  <c r="B41" i="91"/>
  <c r="C40" i="91"/>
  <c r="D53" i="90"/>
  <c r="D54" i="90"/>
  <c r="D53" i="92"/>
  <c r="C40" i="100"/>
  <c r="D40" i="100" s="1"/>
  <c r="L34" i="95" s="1"/>
  <c r="B41" i="100"/>
  <c r="D53" i="94"/>
  <c r="C52" i="87"/>
  <c r="B53" i="87"/>
  <c r="F16" i="12"/>
  <c r="F5" i="12" s="1"/>
  <c r="S85" i="33"/>
  <c r="U85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1" i="12"/>
  <c r="P54" i="89"/>
  <c r="Q54" i="89" s="1"/>
  <c r="R54" i="89" s="1"/>
  <c r="R53" i="89"/>
  <c r="R53" i="96"/>
  <c r="P54" i="96"/>
  <c r="Q54" i="96" s="1"/>
  <c r="R54" i="96" s="1"/>
  <c r="R42" i="102"/>
  <c r="B30" i="94"/>
  <c r="C30" i="94" s="1"/>
  <c r="D30" i="94" s="1"/>
  <c r="D29" i="94"/>
  <c r="E16" i="12"/>
  <c r="E5" i="12" s="1"/>
  <c r="E26" i="12"/>
  <c r="K53" i="13"/>
  <c r="K43" i="13"/>
  <c r="N98" i="33"/>
  <c r="S98" i="33"/>
  <c r="L98" i="33"/>
  <c r="O98" i="33"/>
  <c r="R98" i="33"/>
  <c r="Q98" i="33"/>
  <c r="M98" i="33"/>
  <c r="J98" i="33"/>
  <c r="P98" i="33"/>
  <c r="K98" i="33"/>
  <c r="D29" i="109"/>
  <c r="B41" i="93"/>
  <c r="C40" i="93"/>
  <c r="N40" i="12"/>
  <c r="O40" i="12" s="1"/>
  <c r="B42" i="88"/>
  <c r="C42" i="88" s="1"/>
  <c r="C41" i="88"/>
  <c r="D41" i="88" s="1"/>
  <c r="D51" i="99"/>
  <c r="G20" i="12"/>
  <c r="G9" i="12" s="1"/>
  <c r="I9" i="12"/>
  <c r="C52" i="112"/>
  <c r="B53" i="112"/>
  <c r="B53" i="99"/>
  <c r="C52" i="99"/>
  <c r="P54" i="91"/>
  <c r="Q54" i="91" s="1"/>
  <c r="R54" i="91" s="1"/>
  <c r="R53" i="91"/>
  <c r="P54" i="94"/>
  <c r="Q54" i="94" s="1"/>
  <c r="R54" i="94" s="1"/>
  <c r="P54" i="104"/>
  <c r="Q54" i="104" s="1"/>
  <c r="R54" i="104" s="1"/>
  <c r="R53" i="104"/>
  <c r="P54" i="99"/>
  <c r="Q54" i="99" s="1"/>
  <c r="R54" i="99" s="1"/>
  <c r="R53" i="99"/>
  <c r="P54" i="109"/>
  <c r="Q54" i="109" s="1"/>
  <c r="R54" i="109" s="1"/>
  <c r="P54" i="111"/>
  <c r="Q54" i="111" s="1"/>
  <c r="R54" i="111" s="1"/>
  <c r="R53" i="111"/>
  <c r="E17" i="12"/>
  <c r="E6" i="12" s="1"/>
  <c r="E27" i="12"/>
  <c r="K54" i="13"/>
  <c r="K44" i="13"/>
  <c r="K21" i="15"/>
  <c r="K21" i="17" s="1"/>
  <c r="K54" i="17" s="1"/>
  <c r="D40" i="96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R41" i="110"/>
  <c r="P42" i="110"/>
  <c r="Q42" i="110" s="1"/>
  <c r="D51" i="96"/>
  <c r="H14" i="12"/>
  <c r="J3" i="12"/>
  <c r="J21" i="12"/>
  <c r="M38" i="12"/>
  <c r="C42" i="12"/>
  <c r="F28" i="12"/>
  <c r="K40" i="13"/>
  <c r="K50" i="13"/>
  <c r="F17" i="12"/>
  <c r="F6" i="12" s="1"/>
  <c r="B53" i="96"/>
  <c r="C52" i="96"/>
  <c r="D51" i="108"/>
  <c r="P54" i="101"/>
  <c r="Q54" i="101" s="1"/>
  <c r="R54" i="101" s="1"/>
  <c r="R53" i="101"/>
  <c r="P54" i="107"/>
  <c r="Q54" i="107" s="1"/>
  <c r="R54" i="107" s="1"/>
  <c r="R53" i="107"/>
  <c r="C41" i="96"/>
  <c r="D41" i="96" s="1"/>
  <c r="B42" i="96"/>
  <c r="C42" i="96" s="1"/>
  <c r="D42" i="96" s="1"/>
  <c r="C40" i="80"/>
  <c r="B41" i="80"/>
  <c r="F29" i="12"/>
  <c r="B54" i="89"/>
  <c r="C54" i="89" s="1"/>
  <c r="D54" i="89" s="1"/>
  <c r="C53" i="89"/>
  <c r="D53" i="89" s="1"/>
  <c r="D15" i="12"/>
  <c r="D25" i="12"/>
  <c r="G43" i="12"/>
  <c r="E43" i="12"/>
  <c r="O100" i="33"/>
  <c r="L100" i="33"/>
  <c r="T100" i="33"/>
  <c r="M100" i="33"/>
  <c r="S100" i="33"/>
  <c r="N100" i="33"/>
  <c r="P100" i="33"/>
  <c r="U100" i="33"/>
  <c r="R100" i="33"/>
  <c r="Q100" i="33"/>
  <c r="P54" i="92"/>
  <c r="Q54" i="92" s="1"/>
  <c r="R54" i="92" s="1"/>
  <c r="R53" i="92"/>
  <c r="P54" i="102"/>
  <c r="Q54" i="102" s="1"/>
  <c r="R54" i="102" s="1"/>
  <c r="R53" i="102"/>
  <c r="P54" i="112"/>
  <c r="Q54" i="112" s="1"/>
  <c r="R54" i="112" s="1"/>
  <c r="R53" i="112"/>
  <c r="C52" i="100"/>
  <c r="D52" i="100" s="1"/>
  <c r="B53" i="100"/>
  <c r="C52" i="108"/>
  <c r="B53" i="108"/>
  <c r="B53" i="103"/>
  <c r="C52" i="103"/>
  <c r="D52" i="103" s="1"/>
  <c r="K51" i="13"/>
  <c r="K41" i="13"/>
  <c r="B41" i="92"/>
  <c r="C40" i="92"/>
  <c r="B28" i="92"/>
  <c r="C28" i="92" s="1"/>
  <c r="D27" i="92"/>
  <c r="B41" i="90"/>
  <c r="C40" i="90"/>
  <c r="D40" i="90" s="1"/>
  <c r="E4" i="12"/>
  <c r="J9" i="12"/>
  <c r="H20" i="12"/>
  <c r="H9" i="12" s="1"/>
  <c r="H19" i="12"/>
  <c r="H8" i="12" s="1"/>
  <c r="J8" i="12"/>
  <c r="D28" i="94"/>
  <c r="R42" i="109"/>
  <c r="P42" i="103"/>
  <c r="Q42" i="103" s="1"/>
  <c r="R42" i="103" s="1"/>
  <c r="R41" i="103"/>
  <c r="C41" i="87"/>
  <c r="D41" i="87" s="1"/>
  <c r="B42" i="87"/>
  <c r="C42" i="87" s="1"/>
  <c r="D42" i="87" s="1"/>
  <c r="D51" i="100"/>
  <c r="C40" i="94"/>
  <c r="D40" i="94" s="1"/>
  <c r="B41" i="94"/>
  <c r="K42" i="13"/>
  <c r="K52" i="13"/>
  <c r="C41" i="89"/>
  <c r="B42" i="89"/>
  <c r="C42" i="89" s="1"/>
  <c r="D34" i="12"/>
  <c r="G31" i="12"/>
  <c r="F24" i="12"/>
  <c r="B21" i="12"/>
  <c r="C34" i="12"/>
  <c r="O110" i="33"/>
  <c r="N39" i="12"/>
  <c r="O39" i="12" s="1"/>
  <c r="D39" i="90"/>
  <c r="P42" i="104"/>
  <c r="Q42" i="104" s="1"/>
  <c r="R42" i="104" s="1"/>
  <c r="R41" i="104"/>
  <c r="P54" i="90"/>
  <c r="Q54" i="90" s="1"/>
  <c r="R54" i="90" s="1"/>
  <c r="P54" i="93"/>
  <c r="Q54" i="93" s="1"/>
  <c r="R53" i="93"/>
  <c r="P42" i="96"/>
  <c r="Q42" i="96" s="1"/>
  <c r="R42" i="96" s="1"/>
  <c r="P54" i="106"/>
  <c r="Q54" i="106" s="1"/>
  <c r="R54" i="106" s="1"/>
  <c r="R53" i="106"/>
  <c r="D27" i="94"/>
  <c r="F30" i="12"/>
  <c r="K5" i="13"/>
  <c r="L95" i="33"/>
  <c r="I95" i="33"/>
  <c r="H95" i="33"/>
  <c r="H102" i="33" s="1"/>
  <c r="N95" i="33"/>
  <c r="K95" i="33"/>
  <c r="G95" i="33"/>
  <c r="G102" i="33" s="1"/>
  <c r="G113" i="33" s="1"/>
  <c r="P95" i="33"/>
  <c r="M95" i="33"/>
  <c r="J95" i="33"/>
  <c r="O95" i="33"/>
  <c r="D40" i="93"/>
  <c r="C41" i="108"/>
  <c r="D41" i="108" s="1"/>
  <c r="B42" i="108"/>
  <c r="C42" i="108" s="1"/>
  <c r="D42" i="108" s="1"/>
  <c r="H18" i="12"/>
  <c r="H7" i="12" s="1"/>
  <c r="J7" i="12"/>
  <c r="D42" i="12"/>
  <c r="I3" i="12"/>
  <c r="G14" i="12"/>
  <c r="M37" i="12"/>
  <c r="C41" i="12"/>
  <c r="I21" i="12"/>
  <c r="C40" i="101"/>
  <c r="D40" i="101" s="1"/>
  <c r="B41" i="101"/>
  <c r="Q42" i="112"/>
  <c r="R42" i="112" s="1"/>
  <c r="P40" i="111"/>
  <c r="Q40" i="108"/>
  <c r="P41" i="107"/>
  <c r="Q39" i="99"/>
  <c r="R39" i="99" s="1"/>
  <c r="Q42" i="106"/>
  <c r="R42" i="106" s="1"/>
  <c r="Q39" i="105"/>
  <c r="R39" i="105" s="1"/>
  <c r="Q40" i="101"/>
  <c r="R40" i="101" s="1"/>
  <c r="P40" i="100"/>
  <c r="Q41" i="89"/>
  <c r="R41" i="89" s="1"/>
  <c r="P39" i="94"/>
  <c r="P41" i="92"/>
  <c r="Q41" i="91"/>
  <c r="R41" i="91" s="1"/>
  <c r="P39" i="90"/>
  <c r="P42" i="88"/>
  <c r="Q42" i="88" s="1"/>
  <c r="P40" i="87"/>
  <c r="R26" i="112"/>
  <c r="P27" i="112"/>
  <c r="Q27" i="112" s="1"/>
  <c r="R26" i="111"/>
  <c r="Q27" i="111"/>
  <c r="R26" i="110"/>
  <c r="P27" i="110"/>
  <c r="R27" i="109"/>
  <c r="Q28" i="109"/>
  <c r="P29" i="109" s="1"/>
  <c r="R28" i="108"/>
  <c r="P29" i="108"/>
  <c r="Q30" i="107"/>
  <c r="R30" i="107" s="1"/>
  <c r="D42" i="110"/>
  <c r="B54" i="110"/>
  <c r="C54" i="110" s="1"/>
  <c r="C53" i="110"/>
  <c r="D53" i="110"/>
  <c r="D52" i="110"/>
  <c r="B42" i="102"/>
  <c r="C42" i="102" s="1"/>
  <c r="C41" i="102"/>
  <c r="D41" i="102" s="1"/>
  <c r="C41" i="103"/>
  <c r="B42" i="103"/>
  <c r="C42" i="103" s="1"/>
  <c r="D40" i="104"/>
  <c r="C41" i="104"/>
  <c r="B42" i="104"/>
  <c r="C42" i="104" s="1"/>
  <c r="D54" i="104"/>
  <c r="D53" i="104"/>
  <c r="D54" i="105"/>
  <c r="B42" i="105"/>
  <c r="C42" i="105" s="1"/>
  <c r="C41" i="105"/>
  <c r="D41" i="105" s="1"/>
  <c r="C53" i="106"/>
  <c r="D53" i="106" s="1"/>
  <c r="B54" i="106"/>
  <c r="C54" i="106" s="1"/>
  <c r="D54" i="106" s="1"/>
  <c r="D52" i="106"/>
  <c r="D42" i="109"/>
  <c r="B41" i="107"/>
  <c r="C40" i="107"/>
  <c r="D40" i="107" s="1"/>
  <c r="B54" i="107"/>
  <c r="C54" i="107" s="1"/>
  <c r="C53" i="107"/>
  <c r="D53" i="107" s="1"/>
  <c r="D39" i="107"/>
  <c r="Q27" i="106"/>
  <c r="Q30" i="105"/>
  <c r="R30" i="105" s="1"/>
  <c r="R28" i="104"/>
  <c r="P29" i="104"/>
  <c r="R30" i="103"/>
  <c r="R27" i="102"/>
  <c r="P28" i="102"/>
  <c r="Q28" i="102" s="1"/>
  <c r="Q29" i="101"/>
  <c r="R29" i="101" s="1"/>
  <c r="R28" i="96"/>
  <c r="P29" i="96"/>
  <c r="R28" i="94"/>
  <c r="P29" i="94"/>
  <c r="Q28" i="93"/>
  <c r="Q27" i="92"/>
  <c r="P28" i="92" s="1"/>
  <c r="Q27" i="91"/>
  <c r="Q28" i="90"/>
  <c r="P29" i="88"/>
  <c r="Q29" i="88" s="1"/>
  <c r="R28" i="87"/>
  <c r="P29" i="87"/>
  <c r="Q26" i="80"/>
  <c r="P27" i="80" s="1"/>
  <c r="Q27" i="80" s="1"/>
  <c r="D39" i="12" l="1"/>
  <c r="D54" i="110"/>
  <c r="B42" i="100"/>
  <c r="C42" i="100" s="1"/>
  <c r="C41" i="100"/>
  <c r="D42" i="100" s="1"/>
  <c r="L36" i="95" s="1"/>
  <c r="D53" i="93"/>
  <c r="B42" i="106"/>
  <c r="C42" i="106" s="1"/>
  <c r="C41" i="106"/>
  <c r="D41" i="106" s="1"/>
  <c r="R26" i="80"/>
  <c r="C53" i="111"/>
  <c r="B54" i="111"/>
  <c r="C54" i="111" s="1"/>
  <c r="D40" i="106"/>
  <c r="D53" i="111"/>
  <c r="C53" i="87"/>
  <c r="D53" i="87" s="1"/>
  <c r="B54" i="87"/>
  <c r="C54" i="87" s="1"/>
  <c r="D54" i="87" s="1"/>
  <c r="D40" i="91"/>
  <c r="D41" i="91"/>
  <c r="C41" i="91"/>
  <c r="B42" i="91"/>
  <c r="C42" i="91" s="1"/>
  <c r="P30" i="101"/>
  <c r="Q30" i="101" s="1"/>
  <c r="R30" i="101" s="1"/>
  <c r="D42" i="104"/>
  <c r="H113" i="33"/>
  <c r="T85" i="33"/>
  <c r="T87" i="33" s="1"/>
  <c r="W87" i="33" s="1"/>
  <c r="F120" i="33"/>
  <c r="I102" i="33"/>
  <c r="I113" i="33" s="1"/>
  <c r="U102" i="33"/>
  <c r="K21" i="20"/>
  <c r="K21" i="18"/>
  <c r="T102" i="33"/>
  <c r="S114" i="33"/>
  <c r="F19" i="12"/>
  <c r="F8" i="12" s="1"/>
  <c r="D40" i="12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C41" i="94"/>
  <c r="B42" i="94"/>
  <c r="C42" i="94" s="1"/>
  <c r="B29" i="92"/>
  <c r="C29" i="92" s="1"/>
  <c r="B30" i="92" s="1"/>
  <c r="C30" i="92" s="1"/>
  <c r="D28" i="92"/>
  <c r="D53" i="96"/>
  <c r="D52" i="96"/>
  <c r="H3" i="12"/>
  <c r="M36" i="12"/>
  <c r="C40" i="12"/>
  <c r="H21" i="12"/>
  <c r="D54" i="107"/>
  <c r="D42" i="105"/>
  <c r="E41" i="12"/>
  <c r="G41" i="12"/>
  <c r="K6" i="13"/>
  <c r="D53" i="103"/>
  <c r="D42" i="89"/>
  <c r="B54" i="103"/>
  <c r="C54" i="103" s="1"/>
  <c r="C53" i="103"/>
  <c r="C53" i="96"/>
  <c r="B54" i="96"/>
  <c r="C54" i="96" s="1"/>
  <c r="D54" i="96" s="1"/>
  <c r="R40" i="108"/>
  <c r="N37" i="12"/>
  <c r="O37" i="12" s="1"/>
  <c r="D41" i="92"/>
  <c r="D40" i="92"/>
  <c r="B54" i="108"/>
  <c r="C54" i="108" s="1"/>
  <c r="C53" i="108"/>
  <c r="D53" i="108" s="1"/>
  <c r="E18" i="12"/>
  <c r="E28" i="12"/>
  <c r="B54" i="99"/>
  <c r="C54" i="99" s="1"/>
  <c r="C53" i="99"/>
  <c r="D53" i="99" s="1"/>
  <c r="B42" i="93"/>
  <c r="C42" i="93" s="1"/>
  <c r="C41" i="93"/>
  <c r="D41" i="93" s="1"/>
  <c r="D16" i="12"/>
  <c r="D5" i="12" s="1"/>
  <c r="D26" i="12"/>
  <c r="P42" i="91"/>
  <c r="Q42" i="91" s="1"/>
  <c r="R42" i="91" s="1"/>
  <c r="G3" i="12"/>
  <c r="C39" i="12"/>
  <c r="M35" i="12"/>
  <c r="G21" i="12"/>
  <c r="N102" i="33"/>
  <c r="N113" i="33" s="1"/>
  <c r="R54" i="93"/>
  <c r="C41" i="92"/>
  <c r="B42" i="92"/>
  <c r="C42" i="92" s="1"/>
  <c r="E19" i="12"/>
  <c r="E8" i="12" s="1"/>
  <c r="E29" i="12"/>
  <c r="F18" i="12"/>
  <c r="K54" i="15"/>
  <c r="K54" i="18"/>
  <c r="K54" i="20"/>
  <c r="B54" i="112"/>
  <c r="C54" i="112" s="1"/>
  <c r="C53" i="112"/>
  <c r="D53" i="112" s="1"/>
  <c r="G34" i="12"/>
  <c r="E34" i="12"/>
  <c r="I17" i="13"/>
  <c r="I20" i="13"/>
  <c r="I2" i="13"/>
  <c r="I3" i="13" s="1"/>
  <c r="I4" i="13" s="1"/>
  <c r="I18" i="13"/>
  <c r="I19" i="13"/>
  <c r="I21" i="13"/>
  <c r="I10" i="12"/>
  <c r="E20" i="12"/>
  <c r="E9" i="12" s="1"/>
  <c r="E30" i="12"/>
  <c r="F31" i="12"/>
  <c r="E14" i="12"/>
  <c r="E24" i="12"/>
  <c r="B54" i="100"/>
  <c r="C54" i="100" s="1"/>
  <c r="C53" i="100"/>
  <c r="E42" i="12"/>
  <c r="G42" i="12"/>
  <c r="R42" i="110"/>
  <c r="D17" i="12"/>
  <c r="D6" i="12" s="1"/>
  <c r="D27" i="12"/>
  <c r="D52" i="112"/>
  <c r="D52" i="99"/>
  <c r="S102" i="33"/>
  <c r="F20" i="12"/>
  <c r="F9" i="12" s="1"/>
  <c r="F14" i="12"/>
  <c r="C41" i="90"/>
  <c r="D41" i="90" s="1"/>
  <c r="B42" i="90"/>
  <c r="C42" i="90" s="1"/>
  <c r="D42" i="90" s="1"/>
  <c r="N38" i="12"/>
  <c r="O38" i="12" s="1"/>
  <c r="B42" i="101"/>
  <c r="C42" i="101" s="1"/>
  <c r="C41" i="101"/>
  <c r="L102" i="33"/>
  <c r="L113" i="33" s="1"/>
  <c r="D30" i="92"/>
  <c r="C15" i="12"/>
  <c r="C25" i="12"/>
  <c r="L4" i="12" s="1"/>
  <c r="B4" i="12" s="1"/>
  <c r="C41" i="80"/>
  <c r="D41" i="80" s="1"/>
  <c r="B42" i="80"/>
  <c r="C42" i="80" s="1"/>
  <c r="D42" i="88"/>
  <c r="D52" i="108"/>
  <c r="R42" i="88"/>
  <c r="P40" i="105"/>
  <c r="Q40" i="105" s="1"/>
  <c r="R40" i="105" s="1"/>
  <c r="M102" i="33"/>
  <c r="M113" i="33" s="1"/>
  <c r="D4" i="12"/>
  <c r="D40" i="80"/>
  <c r="E120" i="33"/>
  <c r="W113" i="33"/>
  <c r="J20" i="13"/>
  <c r="J17" i="13"/>
  <c r="J21" i="13"/>
  <c r="J2" i="13"/>
  <c r="J3" i="13" s="1"/>
  <c r="J4" i="13" s="1"/>
  <c r="J19" i="13"/>
  <c r="J18" i="13"/>
  <c r="J10" i="12"/>
  <c r="X21" i="15"/>
  <c r="X21" i="18" s="1"/>
  <c r="K20" i="14"/>
  <c r="D41" i="89"/>
  <c r="Q40" i="111"/>
  <c r="R40" i="111" s="1"/>
  <c r="P41" i="108"/>
  <c r="P42" i="107"/>
  <c r="Q42" i="107" s="1"/>
  <c r="R42" i="107" s="1"/>
  <c r="Q41" i="107"/>
  <c r="R41" i="107" s="1"/>
  <c r="P40" i="99"/>
  <c r="P41" i="101"/>
  <c r="Q40" i="100"/>
  <c r="R40" i="100" s="1"/>
  <c r="P42" i="89"/>
  <c r="Q39" i="94"/>
  <c r="R39" i="94" s="1"/>
  <c r="Q41" i="92"/>
  <c r="R41" i="92" s="1"/>
  <c r="Q39" i="90"/>
  <c r="R39" i="90" s="1"/>
  <c r="Q40" i="87"/>
  <c r="R40" i="87" s="1"/>
  <c r="P28" i="112"/>
  <c r="Q28" i="112" s="1"/>
  <c r="R27" i="111"/>
  <c r="P28" i="111"/>
  <c r="Q27" i="110"/>
  <c r="R28" i="109"/>
  <c r="Q29" i="109"/>
  <c r="R29" i="109" s="1"/>
  <c r="Q29" i="108"/>
  <c r="D42" i="102"/>
  <c r="D42" i="103"/>
  <c r="D41" i="103"/>
  <c r="D41" i="104"/>
  <c r="B42" i="107"/>
  <c r="C42" i="107" s="1"/>
  <c r="C41" i="107"/>
  <c r="D41" i="107" s="1"/>
  <c r="R27" i="106"/>
  <c r="P28" i="106"/>
  <c r="Q29" i="104"/>
  <c r="P29" i="102"/>
  <c r="Q29" i="102" s="1"/>
  <c r="R28" i="100"/>
  <c r="P29" i="100"/>
  <c r="Q29" i="100" s="1"/>
  <c r="Q29" i="96"/>
  <c r="R29" i="96" s="1"/>
  <c r="Q29" i="94"/>
  <c r="R28" i="93"/>
  <c r="P29" i="93"/>
  <c r="P29" i="92"/>
  <c r="Q28" i="92"/>
  <c r="R27" i="92"/>
  <c r="R28" i="92"/>
  <c r="R27" i="91"/>
  <c r="P28" i="91"/>
  <c r="R28" i="90"/>
  <c r="P29" i="90"/>
  <c r="R29" i="88"/>
  <c r="Q29" i="87"/>
  <c r="R29" i="87" s="1"/>
  <c r="R27" i="80"/>
  <c r="P28" i="80"/>
  <c r="Q28" i="80" s="1"/>
  <c r="P29" i="80" s="1"/>
  <c r="X21" i="20" l="1"/>
  <c r="D54" i="108"/>
  <c r="D54" i="103"/>
  <c r="D42" i="106"/>
  <c r="D42" i="80"/>
  <c r="D54" i="112"/>
  <c r="D42" i="92"/>
  <c r="D42" i="91"/>
  <c r="D54" i="111"/>
  <c r="D41" i="100"/>
  <c r="L35" i="95" s="1"/>
  <c r="G120" i="33"/>
  <c r="H120" i="33" s="1"/>
  <c r="R113" i="33"/>
  <c r="T113" i="33" s="1"/>
  <c r="E122" i="33"/>
  <c r="P41" i="111"/>
  <c r="D41" i="101"/>
  <c r="D42" i="101"/>
  <c r="I40" i="13"/>
  <c r="I50" i="13"/>
  <c r="J52" i="13"/>
  <c r="J42" i="13"/>
  <c r="D53" i="100"/>
  <c r="D54" i="100"/>
  <c r="F7" i="12"/>
  <c r="D38" i="12"/>
  <c r="H2" i="13"/>
  <c r="H3" i="13" s="1"/>
  <c r="H4" i="13" s="1"/>
  <c r="H17" i="13"/>
  <c r="H20" i="13"/>
  <c r="H21" i="13"/>
  <c r="H18" i="13"/>
  <c r="H19" i="13"/>
  <c r="H10" i="12"/>
  <c r="J5" i="13"/>
  <c r="F3" i="12"/>
  <c r="C38" i="12"/>
  <c r="M34" i="12"/>
  <c r="F21" i="12"/>
  <c r="C17" i="12"/>
  <c r="C6" i="12" s="1"/>
  <c r="C27" i="12"/>
  <c r="L6" i="12" s="1"/>
  <c r="B6" i="12" s="1"/>
  <c r="D19" i="12"/>
  <c r="D8" i="12" s="1"/>
  <c r="D29" i="12"/>
  <c r="D18" i="12"/>
  <c r="D7" i="12" s="1"/>
  <c r="D28" i="12"/>
  <c r="D41" i="94"/>
  <c r="D42" i="94"/>
  <c r="J41" i="13"/>
  <c r="J51" i="13"/>
  <c r="K20" i="15"/>
  <c r="K20" i="17" s="1"/>
  <c r="K53" i="17" s="1"/>
  <c r="K53" i="14"/>
  <c r="J54" i="13"/>
  <c r="J44" i="13"/>
  <c r="J21" i="15"/>
  <c r="J21" i="17" s="1"/>
  <c r="J54" i="17" s="1"/>
  <c r="C4" i="12"/>
  <c r="I54" i="13"/>
  <c r="I44" i="13"/>
  <c r="I21" i="15"/>
  <c r="I21" i="17" s="1"/>
  <c r="I54" i="17" s="1"/>
  <c r="N35" i="12"/>
  <c r="O35" i="12" s="1"/>
  <c r="C16" i="12"/>
  <c r="C5" i="12" s="1"/>
  <c r="C26" i="12"/>
  <c r="L5" i="12" s="1"/>
  <c r="B5" i="12" s="1"/>
  <c r="E7" i="12"/>
  <c r="D37" i="12"/>
  <c r="J40" i="13"/>
  <c r="J50" i="13"/>
  <c r="E31" i="12"/>
  <c r="D14" i="12"/>
  <c r="D24" i="12"/>
  <c r="I52" i="13"/>
  <c r="I42" i="13"/>
  <c r="G39" i="12"/>
  <c r="E39" i="12"/>
  <c r="K7" i="13"/>
  <c r="P41" i="105"/>
  <c r="J43" i="13"/>
  <c r="J53" i="13"/>
  <c r="E3" i="12"/>
  <c r="C37" i="12"/>
  <c r="E21" i="12"/>
  <c r="I51" i="13"/>
  <c r="I41" i="13"/>
  <c r="G21" i="13"/>
  <c r="G17" i="13"/>
  <c r="G2" i="13"/>
  <c r="G3" i="13" s="1"/>
  <c r="G4" i="13" s="1"/>
  <c r="G20" i="13"/>
  <c r="G19" i="13"/>
  <c r="G18" i="13"/>
  <c r="G10" i="12"/>
  <c r="P30" i="109"/>
  <c r="Q30" i="109" s="1"/>
  <c r="R30" i="109" s="1"/>
  <c r="P42" i="92"/>
  <c r="Q42" i="92" s="1"/>
  <c r="R42" i="92" s="1"/>
  <c r="I5" i="13"/>
  <c r="X54" i="15"/>
  <c r="X54" i="18" s="1"/>
  <c r="X54" i="20" s="1"/>
  <c r="D42" i="93"/>
  <c r="G40" i="12"/>
  <c r="E40" i="12"/>
  <c r="D29" i="92"/>
  <c r="D20" i="12"/>
  <c r="D9" i="12" s="1"/>
  <c r="D30" i="12"/>
  <c r="I43" i="13"/>
  <c r="I53" i="13"/>
  <c r="D54" i="99"/>
  <c r="N36" i="12"/>
  <c r="O36" i="12" s="1"/>
  <c r="Q41" i="111"/>
  <c r="R41" i="111" s="1"/>
  <c r="Q41" i="108"/>
  <c r="R41" i="108" s="1"/>
  <c r="Q40" i="99"/>
  <c r="R40" i="99" s="1"/>
  <c r="Q41" i="105"/>
  <c r="R41" i="105" s="1"/>
  <c r="Q41" i="101"/>
  <c r="R41" i="101" s="1"/>
  <c r="P41" i="100"/>
  <c r="Q42" i="89"/>
  <c r="R42" i="89" s="1"/>
  <c r="P40" i="94"/>
  <c r="P40" i="90"/>
  <c r="P41" i="87"/>
  <c r="R28" i="112"/>
  <c r="R27" i="112"/>
  <c r="P29" i="112"/>
  <c r="Q29" i="112" s="1"/>
  <c r="Q28" i="111"/>
  <c r="R28" i="111" s="1"/>
  <c r="R27" i="110"/>
  <c r="P28" i="110"/>
  <c r="R29" i="108"/>
  <c r="P30" i="108"/>
  <c r="Q30" i="108" s="1"/>
  <c r="R30" i="108" s="1"/>
  <c r="D42" i="107"/>
  <c r="Q28" i="106"/>
  <c r="R29" i="104"/>
  <c r="P30" i="104"/>
  <c r="Q30" i="104" s="1"/>
  <c r="R30" i="104" s="1"/>
  <c r="R28" i="102"/>
  <c r="R29" i="102"/>
  <c r="P30" i="102"/>
  <c r="Q30" i="102" s="1"/>
  <c r="P30" i="100"/>
  <c r="Q30" i="100" s="1"/>
  <c r="P30" i="96"/>
  <c r="Q30" i="96" s="1"/>
  <c r="R30" i="96" s="1"/>
  <c r="R29" i="94"/>
  <c r="P30" i="94"/>
  <c r="Q30" i="94" s="1"/>
  <c r="R30" i="94" s="1"/>
  <c r="Q29" i="93"/>
  <c r="P30" i="92"/>
  <c r="Q30" i="92" s="1"/>
  <c r="Q29" i="92"/>
  <c r="Q28" i="91"/>
  <c r="Q29" i="90"/>
  <c r="P30" i="88"/>
  <c r="P30" i="87"/>
  <c r="Q30" i="87" s="1"/>
  <c r="R30" i="87" s="1"/>
  <c r="R28" i="80"/>
  <c r="Q29" i="80"/>
  <c r="P30" i="80" s="1"/>
  <c r="Q30" i="80" s="1"/>
  <c r="I21" i="18" l="1"/>
  <c r="J21" i="20"/>
  <c r="J21" i="18"/>
  <c r="K20" i="20"/>
  <c r="K20" i="18"/>
  <c r="I21" i="20"/>
  <c r="F121" i="33"/>
  <c r="F122" i="33" s="1"/>
  <c r="S113" i="33"/>
  <c r="S115" i="33" s="1"/>
  <c r="X115" i="33" s="1"/>
  <c r="K53" i="15"/>
  <c r="K53" i="20"/>
  <c r="K53" i="18"/>
  <c r="G5" i="13"/>
  <c r="E37" i="12"/>
  <c r="G37" i="12"/>
  <c r="D3" i="12"/>
  <c r="D21" i="12"/>
  <c r="C36" i="12"/>
  <c r="J20" i="14"/>
  <c r="W21" i="15"/>
  <c r="K19" i="14"/>
  <c r="X20" i="15"/>
  <c r="C18" i="12"/>
  <c r="C7" i="12" s="1"/>
  <c r="C28" i="12"/>
  <c r="L7" i="12" s="1"/>
  <c r="B7" i="12" s="1"/>
  <c r="N34" i="12"/>
  <c r="N46" i="12" s="1"/>
  <c r="G40" i="13"/>
  <c r="G50" i="13"/>
  <c r="E21" i="13"/>
  <c r="E17" i="13"/>
  <c r="E19" i="13"/>
  <c r="E18" i="13"/>
  <c r="E2" i="13"/>
  <c r="E3" i="13" s="1"/>
  <c r="E4" i="13" s="1"/>
  <c r="E20" i="13"/>
  <c r="E10" i="12"/>
  <c r="E38" i="12"/>
  <c r="G38" i="12"/>
  <c r="H42" i="13"/>
  <c r="H52" i="13"/>
  <c r="D31" i="12"/>
  <c r="C14" i="12"/>
  <c r="C24" i="12"/>
  <c r="G54" i="13"/>
  <c r="G44" i="13"/>
  <c r="G21" i="15"/>
  <c r="G21" i="17" s="1"/>
  <c r="G54" i="17" s="1"/>
  <c r="I54" i="18"/>
  <c r="I54" i="15"/>
  <c r="I54" i="20"/>
  <c r="C19" i="12"/>
  <c r="C8" i="12" s="1"/>
  <c r="C29" i="12"/>
  <c r="L8" i="12" s="1"/>
  <c r="B8" i="12" s="1"/>
  <c r="F2" i="13"/>
  <c r="F3" i="13" s="1"/>
  <c r="F4" i="13" s="1"/>
  <c r="F18" i="13"/>
  <c r="F21" i="13"/>
  <c r="F17" i="13"/>
  <c r="F19" i="13"/>
  <c r="F20" i="13"/>
  <c r="F10" i="12"/>
  <c r="H41" i="13"/>
  <c r="H51" i="13"/>
  <c r="H54" i="13"/>
  <c r="H44" i="13"/>
  <c r="H21" i="15"/>
  <c r="H21" i="17" s="1"/>
  <c r="H54" i="17" s="1"/>
  <c r="G53" i="13"/>
  <c r="G43" i="13"/>
  <c r="I20" i="14"/>
  <c r="V21" i="15"/>
  <c r="J54" i="15"/>
  <c r="J54" i="18"/>
  <c r="J54" i="20"/>
  <c r="D36" i="12"/>
  <c r="H43" i="13"/>
  <c r="H53" i="13"/>
  <c r="C20" i="12"/>
  <c r="C9" i="12" s="1"/>
  <c r="C30" i="12"/>
  <c r="L9" i="12" s="1"/>
  <c r="B9" i="12" s="1"/>
  <c r="G51" i="13"/>
  <c r="G41" i="13"/>
  <c r="H50" i="13"/>
  <c r="H40" i="13"/>
  <c r="I6" i="13"/>
  <c r="G42" i="13"/>
  <c r="G52" i="13"/>
  <c r="K8" i="13"/>
  <c r="J6" i="13"/>
  <c r="H5" i="13"/>
  <c r="P42" i="111"/>
  <c r="Q42" i="111" s="1"/>
  <c r="R42" i="111" s="1"/>
  <c r="P42" i="108"/>
  <c r="Q42" i="108" s="1"/>
  <c r="P41" i="99"/>
  <c r="P42" i="105"/>
  <c r="Q42" i="105" s="1"/>
  <c r="R42" i="105" s="1"/>
  <c r="P42" i="101"/>
  <c r="Q42" i="101" s="1"/>
  <c r="Q41" i="100"/>
  <c r="R41" i="100" s="1"/>
  <c r="Q40" i="94"/>
  <c r="R40" i="94" s="1"/>
  <c r="Q40" i="90"/>
  <c r="R40" i="90" s="1"/>
  <c r="Q41" i="87"/>
  <c r="R29" i="112"/>
  <c r="P29" i="111"/>
  <c r="Q28" i="110"/>
  <c r="R28" i="106"/>
  <c r="P29" i="106"/>
  <c r="R30" i="102"/>
  <c r="R30" i="100"/>
  <c r="R29" i="100"/>
  <c r="R29" i="93"/>
  <c r="P30" i="93"/>
  <c r="Q30" i="93" s="1"/>
  <c r="R30" i="93" s="1"/>
  <c r="R29" i="92"/>
  <c r="R30" i="92"/>
  <c r="R28" i="91"/>
  <c r="P29" i="91"/>
  <c r="R29" i="90"/>
  <c r="P30" i="90"/>
  <c r="Q30" i="90" s="1"/>
  <c r="R30" i="90" s="1"/>
  <c r="Q30" i="88"/>
  <c r="R30" i="88" s="1"/>
  <c r="R29" i="80"/>
  <c r="R30" i="80"/>
  <c r="W21" i="18" l="1"/>
  <c r="W21" i="20" s="1"/>
  <c r="X20" i="18"/>
  <c r="X20" i="20" s="1"/>
  <c r="P41" i="90"/>
  <c r="Q41" i="90" s="1"/>
  <c r="V21" i="18"/>
  <c r="V21" i="20" s="1"/>
  <c r="O34" i="12"/>
  <c r="G21" i="18"/>
  <c r="H21" i="20"/>
  <c r="H21" i="18"/>
  <c r="G21" i="20"/>
  <c r="M46" i="12"/>
  <c r="G121" i="33"/>
  <c r="G122" i="33" s="1"/>
  <c r="H122" i="33" s="1"/>
  <c r="F52" i="13"/>
  <c r="F42" i="13"/>
  <c r="K52" i="14"/>
  <c r="K19" i="15"/>
  <c r="K19" i="17" s="1"/>
  <c r="K52" i="17" s="1"/>
  <c r="I7" i="13"/>
  <c r="F50" i="13"/>
  <c r="F40" i="13"/>
  <c r="L3" i="12"/>
  <c r="C31" i="12"/>
  <c r="E50" i="13"/>
  <c r="E40" i="13"/>
  <c r="W54" i="15"/>
  <c r="W54" i="18" s="1"/>
  <c r="W54" i="20" s="1"/>
  <c r="V54" i="15"/>
  <c r="V54" i="18" s="1"/>
  <c r="V54" i="20" s="1"/>
  <c r="X53" i="15"/>
  <c r="X53" i="18" s="1"/>
  <c r="X53" i="20" s="1"/>
  <c r="R42" i="101"/>
  <c r="H6" i="13"/>
  <c r="K9" i="13"/>
  <c r="I20" i="15"/>
  <c r="I20" i="17" s="1"/>
  <c r="I53" i="17" s="1"/>
  <c r="I53" i="14"/>
  <c r="H54" i="15"/>
  <c r="H54" i="18"/>
  <c r="H54" i="20"/>
  <c r="F44" i="13"/>
  <c r="F54" i="13"/>
  <c r="F21" i="15"/>
  <c r="F21" i="17" s="1"/>
  <c r="F54" i="17" s="1"/>
  <c r="C3" i="12"/>
  <c r="C21" i="12"/>
  <c r="C35" i="12"/>
  <c r="E44" i="13"/>
  <c r="E54" i="13"/>
  <c r="E21" i="15"/>
  <c r="E21" i="17" s="1"/>
  <c r="E54" i="17" s="1"/>
  <c r="J53" i="14"/>
  <c r="J20" i="15"/>
  <c r="J20" i="17" s="1"/>
  <c r="J53" i="17" s="1"/>
  <c r="G6" i="13"/>
  <c r="R41" i="87"/>
  <c r="F41" i="13"/>
  <c r="F51" i="13"/>
  <c r="J7" i="13"/>
  <c r="H20" i="14"/>
  <c r="U21" i="15"/>
  <c r="D35" i="12"/>
  <c r="F5" i="13"/>
  <c r="G36" i="12"/>
  <c r="E36" i="12"/>
  <c r="R42" i="108"/>
  <c r="E42" i="13"/>
  <c r="E52" i="13"/>
  <c r="G54" i="20"/>
  <c r="G54" i="15"/>
  <c r="G54" i="18"/>
  <c r="E43" i="13"/>
  <c r="E53" i="13"/>
  <c r="E5" i="13"/>
  <c r="D2" i="13"/>
  <c r="D3" i="13" s="1"/>
  <c r="D4" i="13" s="1"/>
  <c r="D18" i="13"/>
  <c r="D21" i="13"/>
  <c r="D20" i="13"/>
  <c r="D19" i="13"/>
  <c r="D17" i="13"/>
  <c r="D10" i="12"/>
  <c r="F43" i="13"/>
  <c r="F53" i="13"/>
  <c r="T21" i="15"/>
  <c r="G20" i="14"/>
  <c r="E51" i="13"/>
  <c r="E41" i="13"/>
  <c r="Q41" i="99"/>
  <c r="R41" i="99" s="1"/>
  <c r="P42" i="100"/>
  <c r="Q42" i="100" s="1"/>
  <c r="P41" i="94"/>
  <c r="P42" i="87"/>
  <c r="Q42" i="87" s="1"/>
  <c r="R42" i="87" s="1"/>
  <c r="P30" i="112"/>
  <c r="Q30" i="112" s="1"/>
  <c r="P30" i="111"/>
  <c r="Q30" i="111" s="1"/>
  <c r="R30" i="111" s="1"/>
  <c r="Q29" i="111"/>
  <c r="R29" i="111" s="1"/>
  <c r="R28" i="110"/>
  <c r="P29" i="110"/>
  <c r="Q29" i="106"/>
  <c r="R29" i="106" s="1"/>
  <c r="Q29" i="91"/>
  <c r="R29" i="91" s="1"/>
  <c r="T21" i="18" l="1"/>
  <c r="T21" i="20" s="1"/>
  <c r="P42" i="99"/>
  <c r="Q42" i="99" s="1"/>
  <c r="R42" i="99" s="1"/>
  <c r="U21" i="18"/>
  <c r="U21" i="20" s="1"/>
  <c r="J20" i="18"/>
  <c r="K19" i="18"/>
  <c r="F21" i="20"/>
  <c r="E21" i="18"/>
  <c r="I20" i="20"/>
  <c r="F21" i="18"/>
  <c r="I20" i="18"/>
  <c r="K19" i="20"/>
  <c r="K17" i="25" s="1"/>
  <c r="J20" i="20"/>
  <c r="E21" i="20"/>
  <c r="D44" i="12"/>
  <c r="H121" i="33"/>
  <c r="D42" i="13"/>
  <c r="D52" i="13"/>
  <c r="R21" i="15"/>
  <c r="E20" i="14"/>
  <c r="C21" i="13"/>
  <c r="C20" i="13"/>
  <c r="C17" i="13"/>
  <c r="C19" i="13"/>
  <c r="C2" i="13"/>
  <c r="C3" i="13" s="1"/>
  <c r="C4" i="13" s="1"/>
  <c r="C18" i="13"/>
  <c r="C10" i="12"/>
  <c r="I53" i="15"/>
  <c r="I53" i="20"/>
  <c r="I53" i="18"/>
  <c r="K52" i="15"/>
  <c r="K52" i="20"/>
  <c r="K52" i="18"/>
  <c r="H53" i="14"/>
  <c r="H20" i="15"/>
  <c r="H20" i="17" s="1"/>
  <c r="H53" i="17" s="1"/>
  <c r="G20" i="15"/>
  <c r="G20" i="17" s="1"/>
  <c r="G53" i="17" s="1"/>
  <c r="G53" i="14"/>
  <c r="D53" i="13"/>
  <c r="D43" i="13"/>
  <c r="T54" i="15"/>
  <c r="T54" i="18" s="1"/>
  <c r="T54" i="20" s="1"/>
  <c r="V20" i="15"/>
  <c r="I19" i="14"/>
  <c r="D50" i="13"/>
  <c r="D40" i="13"/>
  <c r="D44" i="13"/>
  <c r="D54" i="13"/>
  <c r="D21" i="15"/>
  <c r="D21" i="17" s="1"/>
  <c r="D54" i="17" s="1"/>
  <c r="G7" i="13"/>
  <c r="I8" i="13"/>
  <c r="D41" i="13"/>
  <c r="D51" i="13"/>
  <c r="J8" i="13"/>
  <c r="E54" i="15"/>
  <c r="E54" i="18"/>
  <c r="E54" i="20"/>
  <c r="S21" i="15"/>
  <c r="F20" i="14"/>
  <c r="U54" i="15"/>
  <c r="U54" i="18" s="1"/>
  <c r="U54" i="20" s="1"/>
  <c r="K10" i="13"/>
  <c r="B3" i="12"/>
  <c r="L10" i="12"/>
  <c r="R41" i="90"/>
  <c r="R42" i="100"/>
  <c r="D5" i="13"/>
  <c r="F6" i="13"/>
  <c r="P30" i="91"/>
  <c r="Q30" i="91" s="1"/>
  <c r="R30" i="91" s="1"/>
  <c r="W20" i="15"/>
  <c r="J19" i="14"/>
  <c r="E6" i="13"/>
  <c r="J53" i="15"/>
  <c r="J53" i="20"/>
  <c r="J53" i="18"/>
  <c r="E35" i="12"/>
  <c r="G35" i="12"/>
  <c r="C44" i="12"/>
  <c r="F54" i="20"/>
  <c r="F54" i="15"/>
  <c r="F54" i="18"/>
  <c r="H7" i="13"/>
  <c r="K18" i="14"/>
  <c r="X19" i="15"/>
  <c r="Q41" i="94"/>
  <c r="P42" i="90"/>
  <c r="Q42" i="90" s="1"/>
  <c r="R42" i="90" s="1"/>
  <c r="R30" i="112"/>
  <c r="Q29" i="110"/>
  <c r="R29" i="110" s="1"/>
  <c r="P30" i="106"/>
  <c r="Q30" i="106" s="1"/>
  <c r="R30" i="106" s="1"/>
  <c r="W20" i="18" l="1"/>
  <c r="W20" i="20" s="1"/>
  <c r="X19" i="18"/>
  <c r="X19" i="20" s="1"/>
  <c r="S21" i="18"/>
  <c r="S21" i="20" s="1"/>
  <c r="V20" i="18"/>
  <c r="V20" i="20" s="1"/>
  <c r="R21" i="18"/>
  <c r="R21" i="20" s="1"/>
  <c r="D21" i="20"/>
  <c r="G20" i="18"/>
  <c r="H20" i="18"/>
  <c r="D21" i="18"/>
  <c r="G20" i="20"/>
  <c r="H20" i="20"/>
  <c r="K18" i="15"/>
  <c r="K18" i="17" s="1"/>
  <c r="K51" i="17" s="1"/>
  <c r="K51" i="14"/>
  <c r="W53" i="15"/>
  <c r="W53" i="18" s="1"/>
  <c r="W53" i="20" s="1"/>
  <c r="C40" i="13"/>
  <c r="C50" i="13"/>
  <c r="R54" i="15"/>
  <c r="R54" i="18" s="1"/>
  <c r="R54" i="20" s="1"/>
  <c r="AH22" i="97"/>
  <c r="K17" i="26"/>
  <c r="K16" i="29" s="1"/>
  <c r="D6" i="13"/>
  <c r="I19" i="15"/>
  <c r="I19" i="17" s="1"/>
  <c r="I52" i="17" s="1"/>
  <c r="I52" i="14"/>
  <c r="C53" i="13"/>
  <c r="C43" i="13"/>
  <c r="G19" i="14"/>
  <c r="T20" i="15"/>
  <c r="J19" i="15"/>
  <c r="J19" i="17" s="1"/>
  <c r="J52" i="17" s="1"/>
  <c r="J52" i="14"/>
  <c r="F53" i="14"/>
  <c r="F20" i="15"/>
  <c r="F20" i="17" s="1"/>
  <c r="F53" i="17" s="1"/>
  <c r="D54" i="18"/>
  <c r="D54" i="15"/>
  <c r="D54" i="20"/>
  <c r="C54" i="13"/>
  <c r="C44" i="13"/>
  <c r="C21" i="15"/>
  <c r="C21" i="17" s="1"/>
  <c r="C54" i="17" s="1"/>
  <c r="H8" i="13"/>
  <c r="E7" i="13"/>
  <c r="B19" i="13"/>
  <c r="B18" i="13"/>
  <c r="B21" i="13"/>
  <c r="B20" i="13"/>
  <c r="B17" i="13"/>
  <c r="B2" i="13"/>
  <c r="B3" i="13" s="1"/>
  <c r="B4" i="13" s="1"/>
  <c r="B10" i="12"/>
  <c r="G8" i="13"/>
  <c r="U20" i="15"/>
  <c r="H19" i="14"/>
  <c r="V53" i="15"/>
  <c r="V53" i="18" s="1"/>
  <c r="V53" i="20" s="1"/>
  <c r="E20" i="15"/>
  <c r="E20" i="17" s="1"/>
  <c r="E53" i="17" s="1"/>
  <c r="E53" i="14"/>
  <c r="S54" i="15"/>
  <c r="S54" i="18" s="1"/>
  <c r="S54" i="20" s="1"/>
  <c r="C42" i="13"/>
  <c r="C52" i="13"/>
  <c r="R41" i="94"/>
  <c r="J9" i="13"/>
  <c r="H53" i="15"/>
  <c r="H53" i="18"/>
  <c r="H53" i="20"/>
  <c r="I9" i="13"/>
  <c r="C51" i="13"/>
  <c r="C41" i="13"/>
  <c r="X52" i="15"/>
  <c r="X52" i="18" s="1"/>
  <c r="X52" i="20" s="1"/>
  <c r="F7" i="13"/>
  <c r="K11" i="13"/>
  <c r="Q21" i="15"/>
  <c r="D20" i="14"/>
  <c r="G53" i="15"/>
  <c r="G53" i="20"/>
  <c r="G53" i="18"/>
  <c r="C5" i="13"/>
  <c r="P42" i="94"/>
  <c r="Q42" i="94" s="1"/>
  <c r="R42" i="94" s="1"/>
  <c r="P30" i="110"/>
  <c r="Q30" i="110" s="1"/>
  <c r="R30" i="110" s="1"/>
  <c r="Q21" i="18" l="1"/>
  <c r="Q21" i="20" s="1"/>
  <c r="T20" i="18"/>
  <c r="T20" i="20" s="1"/>
  <c r="U20" i="18"/>
  <c r="U20" i="20" s="1"/>
  <c r="E20" i="20"/>
  <c r="K18" i="20"/>
  <c r="K16" i="25" s="1"/>
  <c r="E20" i="18"/>
  <c r="C21" i="20"/>
  <c r="F20" i="18"/>
  <c r="I19" i="18"/>
  <c r="J19" i="18"/>
  <c r="C21" i="18"/>
  <c r="F20" i="20"/>
  <c r="J19" i="20"/>
  <c r="J17" i="25" s="1"/>
  <c r="I19" i="20"/>
  <c r="I17" i="25" s="1"/>
  <c r="K18" i="18"/>
  <c r="C6" i="13"/>
  <c r="B53" i="13"/>
  <c r="B43" i="13"/>
  <c r="H9" i="13"/>
  <c r="B44" i="13"/>
  <c r="B54" i="13"/>
  <c r="B21" i="15"/>
  <c r="B21" i="17" s="1"/>
  <c r="B54" i="17" s="1"/>
  <c r="W19" i="15"/>
  <c r="J18" i="14"/>
  <c r="B51" i="13"/>
  <c r="B41" i="13"/>
  <c r="C54" i="20"/>
  <c r="C54" i="15"/>
  <c r="C54" i="18"/>
  <c r="K17" i="14"/>
  <c r="X18" i="15"/>
  <c r="X18" i="18" s="1"/>
  <c r="U53" i="15"/>
  <c r="U53" i="18" s="1"/>
  <c r="U53" i="20" s="1"/>
  <c r="E53" i="15"/>
  <c r="E53" i="20"/>
  <c r="E53" i="18"/>
  <c r="G9" i="13"/>
  <c r="B42" i="13"/>
  <c r="B52" i="13"/>
  <c r="G52" i="14"/>
  <c r="G19" i="15"/>
  <c r="G19" i="17" s="1"/>
  <c r="G52" i="17" s="1"/>
  <c r="K51" i="15"/>
  <c r="K51" i="20"/>
  <c r="K51" i="18"/>
  <c r="T53" i="15"/>
  <c r="T53" i="18" s="1"/>
  <c r="T53" i="20" s="1"/>
  <c r="K12" i="13"/>
  <c r="K34" i="13"/>
  <c r="E19" i="14"/>
  <c r="R20" i="15"/>
  <c r="C20" i="14"/>
  <c r="P21" i="15"/>
  <c r="F19" i="14"/>
  <c r="S20" i="15"/>
  <c r="D53" i="14"/>
  <c r="D20" i="15"/>
  <c r="D20" i="17" s="1"/>
  <c r="D53" i="17" s="1"/>
  <c r="F53" i="15"/>
  <c r="F53" i="20"/>
  <c r="F53" i="18"/>
  <c r="I10" i="13"/>
  <c r="B5" i="13"/>
  <c r="E8" i="13"/>
  <c r="Q54" i="15"/>
  <c r="Q54" i="18" s="1"/>
  <c r="Q54" i="20" s="1"/>
  <c r="I52" i="15"/>
  <c r="I52" i="18"/>
  <c r="I52" i="20"/>
  <c r="D7" i="13"/>
  <c r="F8" i="13"/>
  <c r="J10" i="13"/>
  <c r="H19" i="15"/>
  <c r="H19" i="17" s="1"/>
  <c r="H52" i="17" s="1"/>
  <c r="H52" i="14"/>
  <c r="B40" i="13"/>
  <c r="B50" i="13"/>
  <c r="J52" i="15"/>
  <c r="J52" i="20"/>
  <c r="J52" i="18"/>
  <c r="V19" i="15"/>
  <c r="I18" i="14"/>
  <c r="S20" i="18" l="1"/>
  <c r="S20" i="20" s="1"/>
  <c r="V19" i="18"/>
  <c r="V19" i="20" s="1"/>
  <c r="X18" i="20"/>
  <c r="W19" i="18"/>
  <c r="W19" i="20" s="1"/>
  <c r="R20" i="18"/>
  <c r="R20" i="20" s="1"/>
  <c r="H19" i="20"/>
  <c r="H17" i="25" s="1"/>
  <c r="P21" i="18"/>
  <c r="P21" i="20" s="1"/>
  <c r="D20" i="20"/>
  <c r="D20" i="18"/>
  <c r="H19" i="18"/>
  <c r="G19" i="18"/>
  <c r="B21" i="18"/>
  <c r="B21" i="20"/>
  <c r="G19" i="20"/>
  <c r="G17" i="25" s="1"/>
  <c r="D53" i="15"/>
  <c r="D53" i="18"/>
  <c r="D53" i="20"/>
  <c r="C20" i="15"/>
  <c r="C20" i="17" s="1"/>
  <c r="C53" i="17" s="1"/>
  <c r="C53" i="14"/>
  <c r="K50" i="14"/>
  <c r="K17" i="15"/>
  <c r="K17" i="17" s="1"/>
  <c r="K50" i="17" s="1"/>
  <c r="S53" i="15"/>
  <c r="S53" i="18" s="1"/>
  <c r="S53" i="20" s="1"/>
  <c r="X51" i="15"/>
  <c r="X51" i="18" s="1"/>
  <c r="X51" i="20" s="1"/>
  <c r="R53" i="15"/>
  <c r="R53" i="18" s="1"/>
  <c r="R53" i="20" s="1"/>
  <c r="B20" i="14"/>
  <c r="O21" i="15"/>
  <c r="AF22" i="97"/>
  <c r="I17" i="26"/>
  <c r="I16" i="29" s="1"/>
  <c r="K13" i="13"/>
  <c r="K45" i="13"/>
  <c r="K35" i="13"/>
  <c r="H10" i="13"/>
  <c r="C7" i="13"/>
  <c r="J11" i="13"/>
  <c r="W52" i="15"/>
  <c r="W52" i="18" s="1"/>
  <c r="W52" i="20" s="1"/>
  <c r="H52" i="15"/>
  <c r="H52" i="18"/>
  <c r="H52" i="20"/>
  <c r="F9" i="13"/>
  <c r="V52" i="15"/>
  <c r="V52" i="18" s="1"/>
  <c r="V52" i="20" s="1"/>
  <c r="E9" i="13"/>
  <c r="I11" i="13"/>
  <c r="E52" i="14"/>
  <c r="E19" i="15"/>
  <c r="E19" i="17" s="1"/>
  <c r="E52" i="17" s="1"/>
  <c r="T19" i="15"/>
  <c r="G18" i="14"/>
  <c r="P54" i="15"/>
  <c r="P54" i="18" s="1"/>
  <c r="P54" i="20" s="1"/>
  <c r="B54" i="15"/>
  <c r="B54" i="18"/>
  <c r="B54" i="20"/>
  <c r="AH21" i="97"/>
  <c r="K16" i="26"/>
  <c r="K15" i="29" s="1"/>
  <c r="U19" i="15"/>
  <c r="H18" i="14"/>
  <c r="F19" i="15"/>
  <c r="F19" i="17" s="1"/>
  <c r="F52" i="17" s="1"/>
  <c r="F52" i="14"/>
  <c r="G52" i="15"/>
  <c r="G52" i="18"/>
  <c r="G52" i="20"/>
  <c r="G10" i="13"/>
  <c r="J51" i="14"/>
  <c r="J18" i="15"/>
  <c r="J18" i="17" s="1"/>
  <c r="J51" i="17" s="1"/>
  <c r="I18" i="15"/>
  <c r="I18" i="17" s="1"/>
  <c r="I51" i="17" s="1"/>
  <c r="I51" i="14"/>
  <c r="D8" i="13"/>
  <c r="AG22" i="97"/>
  <c r="J17" i="26"/>
  <c r="J16" i="29" s="1"/>
  <c r="B6" i="13"/>
  <c r="D19" i="14"/>
  <c r="Q20" i="15"/>
  <c r="T19" i="18" l="1"/>
  <c r="T19" i="20" s="1"/>
  <c r="U19" i="18"/>
  <c r="U19" i="20" s="1"/>
  <c r="F19" i="20"/>
  <c r="F17" i="25" s="1"/>
  <c r="F19" i="18"/>
  <c r="Q20" i="18"/>
  <c r="Q20" i="20" s="1"/>
  <c r="O21" i="18"/>
  <c r="O21" i="20" s="1"/>
  <c r="E19" i="18"/>
  <c r="J18" i="20"/>
  <c r="J16" i="25" s="1"/>
  <c r="K17" i="20"/>
  <c r="K15" i="25" s="1"/>
  <c r="C20" i="20"/>
  <c r="I18" i="18"/>
  <c r="K17" i="18"/>
  <c r="C20" i="18"/>
  <c r="I18" i="20"/>
  <c r="I16" i="25" s="1"/>
  <c r="J18" i="18"/>
  <c r="E19" i="20"/>
  <c r="E17" i="25" s="1"/>
  <c r="D19" i="15"/>
  <c r="D19" i="17" s="1"/>
  <c r="D52" i="17" s="1"/>
  <c r="D52" i="14"/>
  <c r="I17" i="14"/>
  <c r="V18" i="15"/>
  <c r="I12" i="13"/>
  <c r="I34" i="13"/>
  <c r="F10" i="13"/>
  <c r="J12" i="13"/>
  <c r="J34" i="13"/>
  <c r="C53" i="15"/>
  <c r="C53" i="20"/>
  <c r="C53" i="18"/>
  <c r="O54" i="15"/>
  <c r="O54" i="18" s="1"/>
  <c r="O54" i="20" s="1"/>
  <c r="K36" i="13"/>
  <c r="K14" i="13"/>
  <c r="K46" i="13"/>
  <c r="AD22" i="97"/>
  <c r="G17" i="26"/>
  <c r="G16" i="29" s="1"/>
  <c r="C19" i="14"/>
  <c r="P20" i="15"/>
  <c r="X17" i="15"/>
  <c r="K16" i="14"/>
  <c r="G11" i="13"/>
  <c r="E18" i="14"/>
  <c r="R19" i="15"/>
  <c r="E10" i="13"/>
  <c r="C8" i="13"/>
  <c r="K50" i="15"/>
  <c r="K50" i="20"/>
  <c r="K50" i="18"/>
  <c r="F18" i="14"/>
  <c r="S19" i="15"/>
  <c r="B7" i="13"/>
  <c r="W18" i="15"/>
  <c r="J17" i="14"/>
  <c r="E52" i="15"/>
  <c r="E52" i="20"/>
  <c r="E52" i="18"/>
  <c r="U52" i="15"/>
  <c r="U52" i="18" s="1"/>
  <c r="U52" i="20" s="1"/>
  <c r="B20" i="15"/>
  <c r="B20" i="17" s="1"/>
  <c r="B53" i="17" s="1"/>
  <c r="B53" i="14"/>
  <c r="Q53" i="15"/>
  <c r="Q53" i="18" s="1"/>
  <c r="Q53" i="20" s="1"/>
  <c r="AE22" i="97"/>
  <c r="H17" i="26"/>
  <c r="H16" i="29" s="1"/>
  <c r="J51" i="15"/>
  <c r="J51" i="18"/>
  <c r="J51" i="20"/>
  <c r="T52" i="15"/>
  <c r="T52" i="18" s="1"/>
  <c r="T52" i="20" s="1"/>
  <c r="H18" i="15"/>
  <c r="H18" i="17" s="1"/>
  <c r="H51" i="17" s="1"/>
  <c r="H51" i="14"/>
  <c r="G18" i="15"/>
  <c r="G18" i="17" s="1"/>
  <c r="G51" i="17" s="1"/>
  <c r="G51" i="14"/>
  <c r="F52" i="15"/>
  <c r="F52" i="20"/>
  <c r="F52" i="18"/>
  <c r="D9" i="13"/>
  <c r="I51" i="15"/>
  <c r="I51" i="20"/>
  <c r="I51" i="18"/>
  <c r="H11" i="13"/>
  <c r="S19" i="18" l="1"/>
  <c r="S19" i="20" s="1"/>
  <c r="R19" i="18"/>
  <c r="W18" i="18"/>
  <c r="W18" i="20" s="1"/>
  <c r="P20" i="18"/>
  <c r="P20" i="20" s="1"/>
  <c r="V18" i="18"/>
  <c r="V18" i="20" s="1"/>
  <c r="G18" i="20"/>
  <c r="G16" i="25" s="1"/>
  <c r="H18" i="20"/>
  <c r="H16" i="25" s="1"/>
  <c r="G18" i="18"/>
  <c r="H18" i="18"/>
  <c r="R19" i="20"/>
  <c r="X17" i="18"/>
  <c r="X17" i="20" s="1"/>
  <c r="L12" i="27" s="1"/>
  <c r="V13" i="32" s="1"/>
  <c r="K17" i="97" s="1"/>
  <c r="B20" i="18"/>
  <c r="D19" i="20"/>
  <c r="D17" i="25" s="1"/>
  <c r="B20" i="20"/>
  <c r="D19" i="18"/>
  <c r="H17" i="14"/>
  <c r="U18" i="15"/>
  <c r="I17" i="15"/>
  <c r="I17" i="17" s="1"/>
  <c r="I50" i="17" s="1"/>
  <c r="I50" i="14"/>
  <c r="X50" i="15"/>
  <c r="X50" i="18" s="1"/>
  <c r="X50" i="20" s="1"/>
  <c r="G12" i="13"/>
  <c r="G34" i="13"/>
  <c r="J13" i="13"/>
  <c r="J45" i="13"/>
  <c r="J35" i="13"/>
  <c r="B53" i="15"/>
  <c r="B53" i="18"/>
  <c r="B53" i="20"/>
  <c r="R52" i="15"/>
  <c r="R52" i="18" s="1"/>
  <c r="R52" i="20" s="1"/>
  <c r="K15" i="13"/>
  <c r="K47" i="13"/>
  <c r="K37" i="13"/>
  <c r="P53" i="15"/>
  <c r="P53" i="18" s="1"/>
  <c r="P53" i="20" s="1"/>
  <c r="B8" i="13"/>
  <c r="E11" i="13"/>
  <c r="D10" i="13"/>
  <c r="G51" i="15"/>
  <c r="G51" i="20"/>
  <c r="G51" i="18"/>
  <c r="AC22" i="97"/>
  <c r="F17" i="26"/>
  <c r="F16" i="29" s="1"/>
  <c r="G17" i="14"/>
  <c r="T18" i="15"/>
  <c r="B19" i="14"/>
  <c r="O20" i="15"/>
  <c r="F51" i="14"/>
  <c r="F18" i="15"/>
  <c r="F18" i="17" s="1"/>
  <c r="F51" i="17" s="1"/>
  <c r="E51" i="14"/>
  <c r="E18" i="15"/>
  <c r="E18" i="17" s="1"/>
  <c r="E51" i="17" s="1"/>
  <c r="C52" i="14"/>
  <c r="C19" i="15"/>
  <c r="C19" i="17" s="1"/>
  <c r="C52" i="17" s="1"/>
  <c r="I13" i="13"/>
  <c r="I45" i="13"/>
  <c r="I35" i="13"/>
  <c r="D52" i="15"/>
  <c r="D52" i="18"/>
  <c r="D52" i="20"/>
  <c r="W51" i="15"/>
  <c r="W51" i="18" s="1"/>
  <c r="W51" i="20" s="1"/>
  <c r="AG21" i="97"/>
  <c r="J16" i="26"/>
  <c r="J15" i="29" s="1"/>
  <c r="J17" i="15"/>
  <c r="J17" i="17" s="1"/>
  <c r="J50" i="17" s="1"/>
  <c r="J50" i="14"/>
  <c r="C9" i="13"/>
  <c r="K49" i="14"/>
  <c r="AH20" i="97"/>
  <c r="K15" i="26"/>
  <c r="K14" i="29" s="1"/>
  <c r="F11" i="13"/>
  <c r="Q19" i="15"/>
  <c r="D18" i="14"/>
  <c r="H12" i="13"/>
  <c r="H34" i="13"/>
  <c r="AB22" i="97"/>
  <c r="E17" i="26"/>
  <c r="E16" i="29" s="1"/>
  <c r="S52" i="15"/>
  <c r="S52" i="18" s="1"/>
  <c r="S52" i="20" s="1"/>
  <c r="V51" i="15"/>
  <c r="V51" i="18" s="1"/>
  <c r="V51" i="20" s="1"/>
  <c r="H51" i="15"/>
  <c r="H51" i="18"/>
  <c r="H51" i="20"/>
  <c r="AF21" i="97"/>
  <c r="I16" i="26"/>
  <c r="I15" i="29" s="1"/>
  <c r="U18" i="18" l="1"/>
  <c r="U18" i="20" s="1"/>
  <c r="T18" i="18"/>
  <c r="T18" i="20" s="1"/>
  <c r="O20" i="18"/>
  <c r="O20" i="20" s="1"/>
  <c r="Q19" i="18"/>
  <c r="Q19" i="20" s="1"/>
  <c r="J17" i="20"/>
  <c r="J15" i="25" s="1"/>
  <c r="I17" i="20"/>
  <c r="I15" i="25" s="1"/>
  <c r="C19" i="20"/>
  <c r="C17" i="25" s="1"/>
  <c r="E18" i="18"/>
  <c r="F18" i="20"/>
  <c r="F16" i="25" s="1"/>
  <c r="I17" i="18"/>
  <c r="J17" i="18"/>
  <c r="C19" i="18"/>
  <c r="E18" i="20"/>
  <c r="E16" i="25" s="1"/>
  <c r="F18" i="18"/>
  <c r="U51" i="15"/>
  <c r="U51" i="18" s="1"/>
  <c r="U51" i="20" s="1"/>
  <c r="E12" i="13"/>
  <c r="E34" i="13"/>
  <c r="H13" i="13"/>
  <c r="H45" i="13"/>
  <c r="H35" i="13"/>
  <c r="C10" i="13"/>
  <c r="G17" i="15"/>
  <c r="G17" i="17" s="1"/>
  <c r="G50" i="17" s="1"/>
  <c r="G50" i="14"/>
  <c r="D51" i="14"/>
  <c r="D18" i="15"/>
  <c r="D18" i="17" s="1"/>
  <c r="D51" i="17" s="1"/>
  <c r="P19" i="15"/>
  <c r="C18" i="14"/>
  <c r="S18" i="15"/>
  <c r="F17" i="14"/>
  <c r="D11" i="13"/>
  <c r="O53" i="15"/>
  <c r="O53" i="18" s="1"/>
  <c r="O53" i="20" s="1"/>
  <c r="Q52" i="15"/>
  <c r="Q52" i="18" s="1"/>
  <c r="Q52" i="20" s="1"/>
  <c r="C52" i="15"/>
  <c r="C52" i="18"/>
  <c r="C52" i="20"/>
  <c r="F51" i="15"/>
  <c r="F51" i="18"/>
  <c r="F51" i="20"/>
  <c r="B9" i="13"/>
  <c r="AE21" i="97"/>
  <c r="H16" i="26"/>
  <c r="H15" i="29" s="1"/>
  <c r="G13" i="13"/>
  <c r="G45" i="13"/>
  <c r="G35" i="13"/>
  <c r="I50" i="15"/>
  <c r="I50" i="20"/>
  <c r="I50" i="18"/>
  <c r="H17" i="15"/>
  <c r="H17" i="17" s="1"/>
  <c r="H50" i="17" s="1"/>
  <c r="H50" i="14"/>
  <c r="F12" i="13"/>
  <c r="F34" i="13"/>
  <c r="J50" i="15"/>
  <c r="J50" i="20"/>
  <c r="J50" i="18"/>
  <c r="B52" i="14"/>
  <c r="B19" i="15"/>
  <c r="B19" i="17" s="1"/>
  <c r="B52" i="17" s="1"/>
  <c r="K38" i="13"/>
  <c r="K16" i="13"/>
  <c r="K48" i="13"/>
  <c r="J46" i="13"/>
  <c r="J14" i="13"/>
  <c r="J36" i="13"/>
  <c r="I16" i="14"/>
  <c r="V17" i="15"/>
  <c r="I46" i="13"/>
  <c r="I36" i="13"/>
  <c r="I14" i="13"/>
  <c r="W17" i="15"/>
  <c r="J16" i="14"/>
  <c r="R18" i="15"/>
  <c r="E17" i="14"/>
  <c r="AA22" i="97"/>
  <c r="D17" i="26"/>
  <c r="D16" i="29" s="1"/>
  <c r="T51" i="15"/>
  <c r="T51" i="18" s="1"/>
  <c r="T51" i="20" s="1"/>
  <c r="E51" i="15"/>
  <c r="E51" i="20"/>
  <c r="E51" i="18"/>
  <c r="AD21" i="97"/>
  <c r="G16" i="26"/>
  <c r="G15" i="29" s="1"/>
  <c r="W17" i="18" l="1"/>
  <c r="W17" i="20" s="1"/>
  <c r="K12" i="27" s="1"/>
  <c r="U13" i="32" s="1"/>
  <c r="J17" i="97" s="1"/>
  <c r="V17" i="18"/>
  <c r="V17" i="20" s="1"/>
  <c r="J12" i="27" s="1"/>
  <c r="T13" i="32" s="1"/>
  <c r="I17" i="97" s="1"/>
  <c r="R18" i="18"/>
  <c r="R18" i="20" s="1"/>
  <c r="P19" i="18"/>
  <c r="P19" i="20" s="1"/>
  <c r="S18" i="18"/>
  <c r="S18" i="20" s="1"/>
  <c r="B19" i="18"/>
  <c r="B19" i="20"/>
  <c r="B17" i="25" s="1"/>
  <c r="D18" i="20"/>
  <c r="D16" i="25" s="1"/>
  <c r="G17" i="18"/>
  <c r="H17" i="20"/>
  <c r="H15" i="25" s="1"/>
  <c r="H17" i="18"/>
  <c r="D18" i="18"/>
  <c r="G17" i="20"/>
  <c r="G15" i="25" s="1"/>
  <c r="O19" i="15"/>
  <c r="O19" i="18" s="1"/>
  <c r="B18" i="14"/>
  <c r="S51" i="15"/>
  <c r="S51" i="18" s="1"/>
  <c r="S51" i="20" s="1"/>
  <c r="Z22" i="97"/>
  <c r="C17" i="26"/>
  <c r="C16" i="29" s="1"/>
  <c r="E50" i="14"/>
  <c r="E17" i="15"/>
  <c r="E17" i="17" s="1"/>
  <c r="E50" i="17" s="1"/>
  <c r="I47" i="13"/>
  <c r="I37" i="13"/>
  <c r="I15" i="13"/>
  <c r="G50" i="15"/>
  <c r="G50" i="20"/>
  <c r="G50" i="18"/>
  <c r="J37" i="13"/>
  <c r="J47" i="13"/>
  <c r="J15" i="13"/>
  <c r="AB21" i="97"/>
  <c r="E16" i="26"/>
  <c r="E15" i="29" s="1"/>
  <c r="H50" i="15"/>
  <c r="H50" i="20"/>
  <c r="H50" i="18"/>
  <c r="P52" i="15"/>
  <c r="P52" i="18" s="1"/>
  <c r="P52" i="20" s="1"/>
  <c r="D12" i="13"/>
  <c r="D34" i="13"/>
  <c r="G16" i="14"/>
  <c r="T17" i="15"/>
  <c r="H36" i="13"/>
  <c r="H14" i="13"/>
  <c r="H46" i="13"/>
  <c r="B52" i="15"/>
  <c r="B52" i="20"/>
  <c r="B52" i="18"/>
  <c r="E45" i="13"/>
  <c r="E13" i="13"/>
  <c r="E35" i="13"/>
  <c r="R51" i="15"/>
  <c r="R51" i="18" s="1"/>
  <c r="R51" i="20" s="1"/>
  <c r="U17" i="15"/>
  <c r="H16" i="14"/>
  <c r="B10" i="13"/>
  <c r="AF20" i="97"/>
  <c r="I15" i="26"/>
  <c r="I14" i="29" s="1"/>
  <c r="F50" i="14"/>
  <c r="F17" i="15"/>
  <c r="F17" i="17" s="1"/>
  <c r="F50" i="17" s="1"/>
  <c r="AC21" i="97"/>
  <c r="F16" i="26"/>
  <c r="F15" i="29" s="1"/>
  <c r="K49" i="13"/>
  <c r="K43" i="17" s="1"/>
  <c r="K39" i="13"/>
  <c r="K10" i="17"/>
  <c r="K16" i="15"/>
  <c r="K16" i="17" s="1"/>
  <c r="K49" i="17" s="1"/>
  <c r="K11" i="17"/>
  <c r="J49" i="14"/>
  <c r="I49" i="14"/>
  <c r="W50" i="15"/>
  <c r="W50" i="18" s="1"/>
  <c r="W50" i="20" s="1"/>
  <c r="D17" i="14"/>
  <c r="Q18" i="15"/>
  <c r="C11" i="13"/>
  <c r="K9" i="17"/>
  <c r="F45" i="13"/>
  <c r="F13" i="13"/>
  <c r="F35" i="13"/>
  <c r="V50" i="15"/>
  <c r="V50" i="18" s="1"/>
  <c r="V50" i="20" s="1"/>
  <c r="G14" i="13"/>
  <c r="G36" i="13"/>
  <c r="G46" i="13"/>
  <c r="AG20" i="97"/>
  <c r="J15" i="26"/>
  <c r="J14" i="29" s="1"/>
  <c r="C18" i="15"/>
  <c r="C18" i="17" s="1"/>
  <c r="C51" i="17" s="1"/>
  <c r="C51" i="14"/>
  <c r="D51" i="15"/>
  <c r="D51" i="20"/>
  <c r="D51" i="18"/>
  <c r="T17" i="18" l="1"/>
  <c r="T17" i="20" s="1"/>
  <c r="H12" i="27" s="1"/>
  <c r="R13" i="32" s="1"/>
  <c r="G17" i="97" s="1"/>
  <c r="Q18" i="18"/>
  <c r="Q18" i="20" s="1"/>
  <c r="U17" i="18"/>
  <c r="U17" i="20" s="1"/>
  <c r="I12" i="27" s="1"/>
  <c r="S13" i="32" s="1"/>
  <c r="H17" i="97" s="1"/>
  <c r="O19" i="20"/>
  <c r="C18" i="20"/>
  <c r="C16" i="25" s="1"/>
  <c r="C18" i="18"/>
  <c r="F17" i="18"/>
  <c r="F17" i="20"/>
  <c r="F15" i="25" s="1"/>
  <c r="K16" i="20"/>
  <c r="K14" i="25" s="1"/>
  <c r="E17" i="20"/>
  <c r="E15" i="25" s="1"/>
  <c r="K16" i="18"/>
  <c r="E17" i="18"/>
  <c r="K44" i="17"/>
  <c r="X16" i="15"/>
  <c r="K15" i="14"/>
  <c r="AA21" i="97"/>
  <c r="D16" i="26"/>
  <c r="D15" i="29" s="1"/>
  <c r="E36" i="13"/>
  <c r="E14" i="13"/>
  <c r="E46" i="13"/>
  <c r="D50" i="14"/>
  <c r="D17" i="15"/>
  <c r="D17" i="17" s="1"/>
  <c r="D50" i="17" s="1"/>
  <c r="D45" i="13"/>
  <c r="D13" i="13"/>
  <c r="D35" i="13"/>
  <c r="T50" i="15"/>
  <c r="T50" i="18" s="1"/>
  <c r="T50" i="20" s="1"/>
  <c r="E50" i="15"/>
  <c r="E50" i="20"/>
  <c r="E50" i="18"/>
  <c r="AD20" i="97"/>
  <c r="G15" i="26"/>
  <c r="G14" i="29" s="1"/>
  <c r="Y22" i="97"/>
  <c r="B17" i="26"/>
  <c r="K42" i="22"/>
  <c r="K29" i="22" s="1"/>
  <c r="K16" i="22" s="1"/>
  <c r="K3" i="22" s="1"/>
  <c r="B11" i="13"/>
  <c r="G15" i="13"/>
  <c r="G47" i="13"/>
  <c r="G37" i="13"/>
  <c r="AE20" i="97"/>
  <c r="H15" i="26"/>
  <c r="H14" i="29" s="1"/>
  <c r="F16" i="14"/>
  <c r="S17" i="15"/>
  <c r="G49" i="14"/>
  <c r="J16" i="13"/>
  <c r="J48" i="13"/>
  <c r="J38" i="13"/>
  <c r="I16" i="13"/>
  <c r="I10" i="17" s="1"/>
  <c r="I48" i="13"/>
  <c r="I38" i="13"/>
  <c r="H47" i="13"/>
  <c r="H15" i="13"/>
  <c r="H37" i="13"/>
  <c r="Q51" i="15"/>
  <c r="Q51" i="18" s="1"/>
  <c r="Q51" i="20" s="1"/>
  <c r="C12" i="13"/>
  <c r="C34" i="13"/>
  <c r="K49" i="18"/>
  <c r="K49" i="20"/>
  <c r="K42" i="17"/>
  <c r="K49" i="15"/>
  <c r="F50" i="15"/>
  <c r="F50" i="20"/>
  <c r="F50" i="18"/>
  <c r="B51" i="14"/>
  <c r="B18" i="15"/>
  <c r="B18" i="17" s="1"/>
  <c r="B51" i="17" s="1"/>
  <c r="C51" i="15"/>
  <c r="C51" i="20"/>
  <c r="C51" i="18"/>
  <c r="P18" i="15"/>
  <c r="C17" i="14"/>
  <c r="F36" i="13"/>
  <c r="F14" i="13"/>
  <c r="F46" i="13"/>
  <c r="H49" i="14"/>
  <c r="O52" i="15"/>
  <c r="O52" i="18" s="1"/>
  <c r="O52" i="20" s="1"/>
  <c r="U50" i="15"/>
  <c r="U50" i="18" s="1"/>
  <c r="U50" i="20" s="1"/>
  <c r="E16" i="14"/>
  <c r="R17" i="15"/>
  <c r="X16" i="18" l="1"/>
  <c r="X16" i="20" s="1"/>
  <c r="L11" i="27" s="1"/>
  <c r="V12" i="32" s="1"/>
  <c r="K16" i="97" s="1"/>
  <c r="S17" i="18"/>
  <c r="S17" i="20" s="1"/>
  <c r="G12" i="27" s="1"/>
  <c r="Q13" i="32" s="1"/>
  <c r="F17" i="97" s="1"/>
  <c r="P18" i="18"/>
  <c r="P18" i="20" s="1"/>
  <c r="R17" i="18"/>
  <c r="R17" i="20" s="1"/>
  <c r="F12" i="27" s="1"/>
  <c r="P13" i="32" s="1"/>
  <c r="E17" i="97" s="1"/>
  <c r="D17" i="18"/>
  <c r="D17" i="20"/>
  <c r="D15" i="25" s="1"/>
  <c r="B18" i="18"/>
  <c r="B18" i="20"/>
  <c r="B16" i="25" s="1"/>
  <c r="C50" i="14"/>
  <c r="C17" i="15"/>
  <c r="C17" i="17" s="1"/>
  <c r="C50" i="17" s="1"/>
  <c r="C13" i="13"/>
  <c r="C45" i="13"/>
  <c r="C35" i="13"/>
  <c r="B12" i="13"/>
  <c r="B34" i="13"/>
  <c r="E15" i="13"/>
  <c r="E47" i="13"/>
  <c r="E37" i="13"/>
  <c r="F49" i="14"/>
  <c r="D14" i="13"/>
  <c r="D46" i="13"/>
  <c r="D36" i="13"/>
  <c r="S50" i="15"/>
  <c r="S50" i="18" s="1"/>
  <c r="S50" i="20" s="1"/>
  <c r="G38" i="13"/>
  <c r="G48" i="13"/>
  <c r="G16" i="13"/>
  <c r="E49" i="14"/>
  <c r="Z21" i="97"/>
  <c r="C16" i="26"/>
  <c r="C15" i="29" s="1"/>
  <c r="B17" i="14"/>
  <c r="O18" i="15"/>
  <c r="O18" i="18" s="1"/>
  <c r="X49" i="15"/>
  <c r="X49" i="18" s="1"/>
  <c r="X49" i="20" s="1"/>
  <c r="K48" i="14"/>
  <c r="K15" i="15"/>
  <c r="K15" i="17" s="1"/>
  <c r="K48" i="17" s="1"/>
  <c r="P51" i="15"/>
  <c r="P51" i="18" s="1"/>
  <c r="P51" i="20" s="1"/>
  <c r="D16" i="14"/>
  <c r="Q17" i="15"/>
  <c r="AB20" i="97"/>
  <c r="E15" i="26"/>
  <c r="E14" i="29" s="1"/>
  <c r="F15" i="13"/>
  <c r="F47" i="13"/>
  <c r="F37" i="13"/>
  <c r="H38" i="13"/>
  <c r="H48" i="13"/>
  <c r="H16" i="13"/>
  <c r="R50" i="15"/>
  <c r="R50" i="18" s="1"/>
  <c r="R50" i="20" s="1"/>
  <c r="D50" i="15"/>
  <c r="D50" i="20"/>
  <c r="D50" i="18"/>
  <c r="AH19" i="97"/>
  <c r="K14" i="26"/>
  <c r="K13" i="29" s="1"/>
  <c r="B51" i="15"/>
  <c r="B51" i="18"/>
  <c r="B51" i="20"/>
  <c r="I39" i="13"/>
  <c r="I49" i="13"/>
  <c r="I9" i="17"/>
  <c r="I16" i="15"/>
  <c r="I16" i="17" s="1"/>
  <c r="I49" i="17" s="1"/>
  <c r="I11" i="17"/>
  <c r="J49" i="13"/>
  <c r="J39" i="13"/>
  <c r="J9" i="17"/>
  <c r="J11" i="17"/>
  <c r="J10" i="17"/>
  <c r="J16" i="15"/>
  <c r="J16" i="17" s="1"/>
  <c r="J49" i="17" s="1"/>
  <c r="G10" i="17"/>
  <c r="B16" i="29"/>
  <c r="L17" i="26"/>
  <c r="AC20" i="97"/>
  <c r="F15" i="26"/>
  <c r="F14" i="29" s="1"/>
  <c r="Q17" i="18" l="1"/>
  <c r="Q17" i="20" s="1"/>
  <c r="E12" i="27" s="1"/>
  <c r="O13" i="32" s="1"/>
  <c r="D17" i="97" s="1"/>
  <c r="O18" i="20"/>
  <c r="I16" i="20"/>
  <c r="I14" i="25" s="1"/>
  <c r="I16" i="18"/>
  <c r="K15" i="20"/>
  <c r="K13" i="25" s="1"/>
  <c r="C17" i="20"/>
  <c r="C15" i="25" s="1"/>
  <c r="C17" i="18"/>
  <c r="J16" i="20"/>
  <c r="J14" i="25" s="1"/>
  <c r="J16" i="18"/>
  <c r="K15" i="18"/>
  <c r="G9" i="17"/>
  <c r="J42" i="22"/>
  <c r="J29" i="22" s="1"/>
  <c r="J16" i="22" s="1"/>
  <c r="J3" i="22" s="1"/>
  <c r="K14" i="14"/>
  <c r="X15" i="15"/>
  <c r="B45" i="13"/>
  <c r="B13" i="13"/>
  <c r="B35" i="13"/>
  <c r="H49" i="13"/>
  <c r="H39" i="13"/>
  <c r="H9" i="17"/>
  <c r="H16" i="15"/>
  <c r="H16" i="17" s="1"/>
  <c r="H49" i="17" s="1"/>
  <c r="H11" i="17"/>
  <c r="H10" i="17"/>
  <c r="F48" i="13"/>
  <c r="F38" i="13"/>
  <c r="F16" i="13"/>
  <c r="F11" i="17" s="1"/>
  <c r="K48" i="15"/>
  <c r="K48" i="20"/>
  <c r="K48" i="18"/>
  <c r="E38" i="13"/>
  <c r="E48" i="13"/>
  <c r="E16" i="13"/>
  <c r="J43" i="17"/>
  <c r="J49" i="15"/>
  <c r="J42" i="17"/>
  <c r="J49" i="18"/>
  <c r="J49" i="20"/>
  <c r="I42" i="22"/>
  <c r="I29" i="22" s="1"/>
  <c r="I16" i="22" s="1"/>
  <c r="I3" i="22" s="1"/>
  <c r="D49" i="14"/>
  <c r="AA20" i="97"/>
  <c r="D15" i="26"/>
  <c r="D14" i="29" s="1"/>
  <c r="C16" i="14"/>
  <c r="P17" i="15"/>
  <c r="I44" i="17"/>
  <c r="I49" i="15"/>
  <c r="I49" i="18"/>
  <c r="I49" i="20"/>
  <c r="B50" i="14"/>
  <c r="B17" i="15"/>
  <c r="B17" i="17" s="1"/>
  <c r="B50" i="17" s="1"/>
  <c r="D37" i="13"/>
  <c r="D47" i="13"/>
  <c r="D15" i="13"/>
  <c r="C50" i="15"/>
  <c r="C50" i="20"/>
  <c r="C50" i="18"/>
  <c r="O51" i="15"/>
  <c r="O51" i="18" s="1"/>
  <c r="O51" i="20" s="1"/>
  <c r="J44" i="17"/>
  <c r="Y21" i="97"/>
  <c r="B16" i="26"/>
  <c r="I42" i="17"/>
  <c r="Q50" i="15"/>
  <c r="Q50" i="18" s="1"/>
  <c r="Q50" i="20" s="1"/>
  <c r="W16" i="15"/>
  <c r="J15" i="14"/>
  <c r="I15" i="14"/>
  <c r="V16" i="15"/>
  <c r="I43" i="17"/>
  <c r="G49" i="13"/>
  <c r="G42" i="17" s="1"/>
  <c r="G39" i="13"/>
  <c r="G42" i="22" s="1"/>
  <c r="G16" i="15"/>
  <c r="G16" i="17" s="1"/>
  <c r="G49" i="17" s="1"/>
  <c r="C14" i="13"/>
  <c r="C46" i="13"/>
  <c r="C36" i="13"/>
  <c r="G11" i="17"/>
  <c r="V16" i="18" l="1"/>
  <c r="V16" i="20" s="1"/>
  <c r="J11" i="27" s="1"/>
  <c r="T12" i="32" s="1"/>
  <c r="I16" i="97" s="1"/>
  <c r="X15" i="18"/>
  <c r="X15" i="20" s="1"/>
  <c r="L10" i="27" s="1"/>
  <c r="V11" i="32" s="1"/>
  <c r="K15" i="97" s="1"/>
  <c r="W16" i="18"/>
  <c r="W16" i="20" s="1"/>
  <c r="K11" i="27" s="1"/>
  <c r="U12" i="32" s="1"/>
  <c r="J16" i="97" s="1"/>
  <c r="P17" i="18"/>
  <c r="P17" i="20" s="1"/>
  <c r="D12" i="27" s="1"/>
  <c r="N13" i="32" s="1"/>
  <c r="C17" i="97" s="1"/>
  <c r="H16" i="18"/>
  <c r="B17" i="20"/>
  <c r="B15" i="25" s="1"/>
  <c r="G16" i="20"/>
  <c r="G14" i="25" s="1"/>
  <c r="B17" i="18"/>
  <c r="G16" i="18"/>
  <c r="H16" i="20"/>
  <c r="H14" i="25" s="1"/>
  <c r="H42" i="22"/>
  <c r="H29" i="22" s="1"/>
  <c r="H16" i="22" s="1"/>
  <c r="H3" i="22" s="1"/>
  <c r="E11" i="17"/>
  <c r="E10" i="17"/>
  <c r="V49" i="15"/>
  <c r="V49" i="18" s="1"/>
  <c r="V49" i="20" s="1"/>
  <c r="W49" i="15"/>
  <c r="W49" i="18" s="1"/>
  <c r="W49" i="20" s="1"/>
  <c r="AG19" i="97"/>
  <c r="J14" i="26"/>
  <c r="J13" i="29" s="1"/>
  <c r="J15" i="15"/>
  <c r="J15" i="17" s="1"/>
  <c r="J48" i="17" s="1"/>
  <c r="J48" i="14"/>
  <c r="O17" i="15"/>
  <c r="B16" i="14"/>
  <c r="C37" i="13"/>
  <c r="C15" i="13"/>
  <c r="C47" i="13"/>
  <c r="G49" i="15"/>
  <c r="G49" i="20"/>
  <c r="G49" i="18"/>
  <c r="B15" i="29"/>
  <c r="L16" i="26"/>
  <c r="B50" i="15"/>
  <c r="B50" i="20"/>
  <c r="B50" i="18"/>
  <c r="AF19" i="97"/>
  <c r="I14" i="26"/>
  <c r="I13" i="29" s="1"/>
  <c r="H49" i="15"/>
  <c r="H43" i="17"/>
  <c r="H44" i="17"/>
  <c r="H49" i="18"/>
  <c r="H49" i="20"/>
  <c r="H42" i="17"/>
  <c r="D48" i="13"/>
  <c r="D16" i="13"/>
  <c r="D38" i="13"/>
  <c r="F39" i="13"/>
  <c r="F49" i="13"/>
  <c r="F9" i="17"/>
  <c r="F10" i="17"/>
  <c r="F16" i="15"/>
  <c r="F16" i="17" s="1"/>
  <c r="F49" i="17" s="1"/>
  <c r="U16" i="15"/>
  <c r="H15" i="14"/>
  <c r="K14" i="15"/>
  <c r="K14" i="17" s="1"/>
  <c r="K47" i="17" s="1"/>
  <c r="K47" i="14"/>
  <c r="I15" i="15"/>
  <c r="I15" i="17" s="1"/>
  <c r="I48" i="17" s="1"/>
  <c r="I48" i="14"/>
  <c r="AH18" i="97"/>
  <c r="K13" i="26"/>
  <c r="K12" i="29" s="1"/>
  <c r="G44" i="17"/>
  <c r="P50" i="15"/>
  <c r="P50" i="18" s="1"/>
  <c r="P50" i="20" s="1"/>
  <c r="C49" i="14"/>
  <c r="E49" i="13"/>
  <c r="E43" i="17" s="1"/>
  <c r="E39" i="13"/>
  <c r="E9" i="17"/>
  <c r="E16" i="15"/>
  <c r="E16" i="17" s="1"/>
  <c r="E49" i="17" s="1"/>
  <c r="X48" i="15"/>
  <c r="X48" i="18" s="1"/>
  <c r="X48" i="20" s="1"/>
  <c r="T16" i="15"/>
  <c r="G15" i="14"/>
  <c r="Z20" i="97"/>
  <c r="C15" i="26"/>
  <c r="C14" i="29" s="1"/>
  <c r="G29" i="22"/>
  <c r="G16" i="22" s="1"/>
  <c r="G3" i="22" s="1"/>
  <c r="B36" i="13"/>
  <c r="B14" i="13"/>
  <c r="B46" i="13"/>
  <c r="G43" i="17"/>
  <c r="T16" i="18" l="1"/>
  <c r="T16" i="20" s="1"/>
  <c r="H11" i="27" s="1"/>
  <c r="R12" i="32" s="1"/>
  <c r="G16" i="97" s="1"/>
  <c r="U16" i="18"/>
  <c r="U16" i="20" s="1"/>
  <c r="I11" i="27" s="1"/>
  <c r="S12" i="32" s="1"/>
  <c r="H16" i="97" s="1"/>
  <c r="F16" i="20"/>
  <c r="F14" i="25" s="1"/>
  <c r="O17" i="18"/>
  <c r="O17" i="20" s="1"/>
  <c r="C12" i="27" s="1"/>
  <c r="M13" i="32" s="1"/>
  <c r="B17" i="97" s="1"/>
  <c r="K14" i="20"/>
  <c r="K12" i="25" s="1"/>
  <c r="J15" i="18"/>
  <c r="E16" i="20"/>
  <c r="E14" i="25" s="1"/>
  <c r="I15" i="18"/>
  <c r="K14" i="18"/>
  <c r="F16" i="18"/>
  <c r="E16" i="18"/>
  <c r="I15" i="20"/>
  <c r="I13" i="25" s="1"/>
  <c r="J15" i="20"/>
  <c r="J13" i="25" s="1"/>
  <c r="E49" i="15"/>
  <c r="E44" i="17"/>
  <c r="E49" i="20"/>
  <c r="E49" i="18"/>
  <c r="U49" i="15"/>
  <c r="U49" i="18" s="1"/>
  <c r="U49" i="20" s="1"/>
  <c r="O50" i="15"/>
  <c r="O50" i="18" s="1"/>
  <c r="O50" i="20" s="1"/>
  <c r="X14" i="15"/>
  <c r="K13" i="14"/>
  <c r="S16" i="15"/>
  <c r="F15" i="14"/>
  <c r="B49" i="14"/>
  <c r="B47" i="13"/>
  <c r="B15" i="13"/>
  <c r="B37" i="13"/>
  <c r="R16" i="15"/>
  <c r="E15" i="14"/>
  <c r="E42" i="17"/>
  <c r="D10" i="17"/>
  <c r="AD19" i="97"/>
  <c r="G14" i="26"/>
  <c r="G13" i="29" s="1"/>
  <c r="C38" i="13"/>
  <c r="C48" i="13"/>
  <c r="C16" i="13"/>
  <c r="AE19" i="97"/>
  <c r="H14" i="26"/>
  <c r="H13" i="29" s="1"/>
  <c r="I48" i="15"/>
  <c r="I48" i="20"/>
  <c r="I48" i="18"/>
  <c r="H48" i="14"/>
  <c r="H15" i="15"/>
  <c r="H15" i="17" s="1"/>
  <c r="H48" i="17" s="1"/>
  <c r="V15" i="15"/>
  <c r="I14" i="14"/>
  <c r="D39" i="13"/>
  <c r="D49" i="13"/>
  <c r="D9" i="17"/>
  <c r="D16" i="15"/>
  <c r="D16" i="17" s="1"/>
  <c r="D49" i="17" s="1"/>
  <c r="D11" i="17"/>
  <c r="G15" i="15"/>
  <c r="G15" i="17" s="1"/>
  <c r="G48" i="17" s="1"/>
  <c r="G48" i="14"/>
  <c r="K47" i="15"/>
  <c r="K47" i="18"/>
  <c r="K47" i="20"/>
  <c r="F44" i="17"/>
  <c r="F49" i="20"/>
  <c r="F42" i="17"/>
  <c r="F49" i="15"/>
  <c r="F49" i="18"/>
  <c r="F43" i="17"/>
  <c r="T49" i="15"/>
  <c r="T49" i="18" s="1"/>
  <c r="T49" i="20" s="1"/>
  <c r="J48" i="15"/>
  <c r="J48" i="20"/>
  <c r="J48" i="18"/>
  <c r="E42" i="22"/>
  <c r="F42" i="22"/>
  <c r="J14" i="14"/>
  <c r="W15" i="15"/>
  <c r="W15" i="18" s="1"/>
  <c r="Y20" i="97"/>
  <c r="B15" i="26"/>
  <c r="V15" i="18" l="1"/>
  <c r="V15" i="20" s="1"/>
  <c r="J10" i="27" s="1"/>
  <c r="T11" i="32" s="1"/>
  <c r="I15" i="97" s="1"/>
  <c r="X14" i="18"/>
  <c r="X14" i="20" s="1"/>
  <c r="L9" i="27" s="1"/>
  <c r="V10" i="32" s="1"/>
  <c r="K14" i="97" s="1"/>
  <c r="W15" i="20"/>
  <c r="K10" i="27" s="1"/>
  <c r="U11" i="32" s="1"/>
  <c r="J15" i="97" s="1"/>
  <c r="R16" i="18"/>
  <c r="R16" i="20" s="1"/>
  <c r="F11" i="27" s="1"/>
  <c r="P12" i="32" s="1"/>
  <c r="E16" i="97" s="1"/>
  <c r="S16" i="18"/>
  <c r="S16" i="20" s="1"/>
  <c r="G11" i="27" s="1"/>
  <c r="Q12" i="32" s="1"/>
  <c r="F16" i="97" s="1"/>
  <c r="H15" i="18"/>
  <c r="H15" i="20"/>
  <c r="H13" i="25" s="1"/>
  <c r="G15" i="18"/>
  <c r="D16" i="20"/>
  <c r="D14" i="25" s="1"/>
  <c r="G15" i="20"/>
  <c r="G13" i="25" s="1"/>
  <c r="D16" i="18"/>
  <c r="C9" i="17"/>
  <c r="C11" i="17"/>
  <c r="D49" i="15"/>
  <c r="D43" i="17"/>
  <c r="D49" i="20"/>
  <c r="D49" i="18"/>
  <c r="D42" i="17"/>
  <c r="D44" i="17"/>
  <c r="R49" i="15"/>
  <c r="R49" i="18" s="1"/>
  <c r="R49" i="20" s="1"/>
  <c r="X47" i="15"/>
  <c r="X47" i="18" s="1"/>
  <c r="X47" i="20" s="1"/>
  <c r="J47" i="14"/>
  <c r="J14" i="15"/>
  <c r="J14" i="17" s="1"/>
  <c r="J47" i="17" s="1"/>
  <c r="G48" i="15"/>
  <c r="G48" i="20"/>
  <c r="G48" i="18"/>
  <c r="D15" i="14"/>
  <c r="Q16" i="15"/>
  <c r="D42" i="22"/>
  <c r="AB19" i="97"/>
  <c r="E14" i="26"/>
  <c r="E13" i="29" s="1"/>
  <c r="G14" i="14"/>
  <c r="T15" i="15"/>
  <c r="I14" i="15"/>
  <c r="I14" i="17" s="1"/>
  <c r="I47" i="17" s="1"/>
  <c r="I47" i="14"/>
  <c r="AG18" i="97"/>
  <c r="J13" i="26"/>
  <c r="J12" i="29" s="1"/>
  <c r="C49" i="13"/>
  <c r="C39" i="13"/>
  <c r="C16" i="15"/>
  <c r="C16" i="17" s="1"/>
  <c r="C49" i="17" s="1"/>
  <c r="C10" i="17"/>
  <c r="AF18" i="97"/>
  <c r="I13" i="26"/>
  <c r="I12" i="29" s="1"/>
  <c r="B48" i="13"/>
  <c r="B38" i="13"/>
  <c r="B16" i="13"/>
  <c r="F15" i="15"/>
  <c r="F15" i="17" s="1"/>
  <c r="F48" i="17" s="1"/>
  <c r="F48" i="14"/>
  <c r="AC19" i="97"/>
  <c r="F14" i="26"/>
  <c r="F13" i="29" s="1"/>
  <c r="E29" i="22"/>
  <c r="E16" i="22" s="1"/>
  <c r="E3" i="22" s="1"/>
  <c r="AH17" i="97"/>
  <c r="K12" i="26"/>
  <c r="K11" i="29" s="1"/>
  <c r="H14" i="14"/>
  <c r="U15" i="15"/>
  <c r="E15" i="15"/>
  <c r="E15" i="17" s="1"/>
  <c r="E48" i="17" s="1"/>
  <c r="E48" i="14"/>
  <c r="B14" i="29"/>
  <c r="L15" i="26"/>
  <c r="H48" i="15"/>
  <c r="H48" i="18"/>
  <c r="H48" i="20"/>
  <c r="V48" i="15"/>
  <c r="V48" i="18" s="1"/>
  <c r="V48" i="20" s="1"/>
  <c r="F29" i="22"/>
  <c r="F16" i="22" s="1"/>
  <c r="F3" i="22" s="1"/>
  <c r="W48" i="15"/>
  <c r="W48" i="18" s="1"/>
  <c r="W48" i="20" s="1"/>
  <c r="S49" i="15"/>
  <c r="S49" i="18" s="1"/>
  <c r="S49" i="20" s="1"/>
  <c r="K13" i="15"/>
  <c r="K13" i="17" s="1"/>
  <c r="K46" i="17" s="1"/>
  <c r="K46" i="14"/>
  <c r="U15" i="18" l="1"/>
  <c r="U15" i="20" s="1"/>
  <c r="I10" i="27" s="1"/>
  <c r="S11" i="32" s="1"/>
  <c r="H15" i="97" s="1"/>
  <c r="Q16" i="18"/>
  <c r="Q16" i="20" s="1"/>
  <c r="E11" i="27" s="1"/>
  <c r="O12" i="32" s="1"/>
  <c r="D16" i="97" s="1"/>
  <c r="T15" i="18"/>
  <c r="T15" i="20" s="1"/>
  <c r="H10" i="27" s="1"/>
  <c r="R11" i="32" s="1"/>
  <c r="G15" i="97" s="1"/>
  <c r="E15" i="20"/>
  <c r="E13" i="25" s="1"/>
  <c r="F15" i="20"/>
  <c r="F13" i="25" s="1"/>
  <c r="F15" i="18"/>
  <c r="C16" i="20"/>
  <c r="C14" i="25" s="1"/>
  <c r="J14" i="20"/>
  <c r="J12" i="25" s="1"/>
  <c r="J14" i="18"/>
  <c r="E15" i="18"/>
  <c r="C16" i="18"/>
  <c r="I14" i="20"/>
  <c r="I12" i="25" s="1"/>
  <c r="K13" i="18"/>
  <c r="K13" i="20"/>
  <c r="K11" i="25" s="1"/>
  <c r="I14" i="18"/>
  <c r="C44" i="17"/>
  <c r="C43" i="17"/>
  <c r="AA19" i="97"/>
  <c r="D14" i="26"/>
  <c r="D13" i="29" s="1"/>
  <c r="H14" i="15"/>
  <c r="H14" i="17" s="1"/>
  <c r="H47" i="17" s="1"/>
  <c r="H47" i="14"/>
  <c r="B49" i="13"/>
  <c r="B43" i="17" s="1"/>
  <c r="B39" i="13"/>
  <c r="B10" i="17"/>
  <c r="B11" i="17"/>
  <c r="B16" i="15"/>
  <c r="B16" i="17" s="1"/>
  <c r="B49" i="17" s="1"/>
  <c r="T48" i="15"/>
  <c r="T48" i="18" s="1"/>
  <c r="T48" i="20" s="1"/>
  <c r="E48" i="15"/>
  <c r="E48" i="18"/>
  <c r="E48" i="20"/>
  <c r="AE18" i="97"/>
  <c r="H13" i="26"/>
  <c r="H12" i="29" s="1"/>
  <c r="G14" i="15"/>
  <c r="G14" i="17" s="1"/>
  <c r="G47" i="17" s="1"/>
  <c r="G47" i="14"/>
  <c r="B9" i="17"/>
  <c r="Q49" i="15"/>
  <c r="Q49" i="18" s="1"/>
  <c r="Q49" i="20" s="1"/>
  <c r="R15" i="15"/>
  <c r="E14" i="14"/>
  <c r="AD18" i="97"/>
  <c r="G13" i="26"/>
  <c r="G12" i="29" s="1"/>
  <c r="C15" i="14"/>
  <c r="P16" i="15"/>
  <c r="F48" i="15"/>
  <c r="F48" i="18"/>
  <c r="F48" i="20"/>
  <c r="D15" i="15"/>
  <c r="D15" i="17" s="1"/>
  <c r="D48" i="17" s="1"/>
  <c r="D48" i="14"/>
  <c r="K46" i="15"/>
  <c r="K46" i="18"/>
  <c r="K46" i="20"/>
  <c r="F14" i="14"/>
  <c r="S15" i="15"/>
  <c r="C42" i="22"/>
  <c r="J13" i="14"/>
  <c r="W14" i="15"/>
  <c r="X13" i="15"/>
  <c r="K12" i="14"/>
  <c r="U48" i="15"/>
  <c r="U48" i="18" s="1"/>
  <c r="U48" i="20" s="1"/>
  <c r="C42" i="17"/>
  <c r="C49" i="18"/>
  <c r="C49" i="20"/>
  <c r="C49" i="15"/>
  <c r="I47" i="15"/>
  <c r="I47" i="20"/>
  <c r="I47" i="18"/>
  <c r="J47" i="15"/>
  <c r="J47" i="20"/>
  <c r="J47" i="18"/>
  <c r="I13" i="14"/>
  <c r="V14" i="15"/>
  <c r="D29" i="22"/>
  <c r="D16" i="22" s="1"/>
  <c r="D3" i="22" s="1"/>
  <c r="S15" i="18" l="1"/>
  <c r="S15" i="20" s="1"/>
  <c r="G10" i="27" s="1"/>
  <c r="Q11" i="32" s="1"/>
  <c r="F15" i="97" s="1"/>
  <c r="B44" i="17"/>
  <c r="R15" i="18"/>
  <c r="R15" i="20" s="1"/>
  <c r="F10" i="27" s="1"/>
  <c r="P11" i="32" s="1"/>
  <c r="E15" i="97" s="1"/>
  <c r="P16" i="18"/>
  <c r="P16" i="20" s="1"/>
  <c r="D11" i="27" s="1"/>
  <c r="N12" i="32" s="1"/>
  <c r="C16" i="97" s="1"/>
  <c r="X13" i="18"/>
  <c r="X13" i="20" s="1"/>
  <c r="L8" i="27" s="1"/>
  <c r="V9" i="32" s="1"/>
  <c r="K13" i="97" s="1"/>
  <c r="W14" i="18"/>
  <c r="W14" i="20" s="1"/>
  <c r="K9" i="27" s="1"/>
  <c r="U10" i="32" s="1"/>
  <c r="J14" i="97" s="1"/>
  <c r="V14" i="18"/>
  <c r="V14" i="20" s="1"/>
  <c r="J9" i="27" s="1"/>
  <c r="T10" i="32" s="1"/>
  <c r="I14" i="97" s="1"/>
  <c r="H14" i="18"/>
  <c r="H14" i="20"/>
  <c r="H12" i="25" s="1"/>
  <c r="D15" i="18"/>
  <c r="G14" i="18"/>
  <c r="B16" i="18"/>
  <c r="D15" i="20"/>
  <c r="D13" i="25" s="1"/>
  <c r="G14" i="20"/>
  <c r="G12" i="25" s="1"/>
  <c r="B16" i="20"/>
  <c r="B14" i="25" s="1"/>
  <c r="I46" i="14"/>
  <c r="I13" i="15"/>
  <c r="I13" i="17" s="1"/>
  <c r="I46" i="17" s="1"/>
  <c r="D48" i="15"/>
  <c r="D48" i="20"/>
  <c r="D48" i="18"/>
  <c r="F47" i="14"/>
  <c r="F14" i="15"/>
  <c r="F14" i="17" s="1"/>
  <c r="F47" i="17" s="1"/>
  <c r="Q15" i="15"/>
  <c r="D14" i="14"/>
  <c r="AG17" i="97"/>
  <c r="J12" i="26"/>
  <c r="J11" i="29" s="1"/>
  <c r="B15" i="14"/>
  <c r="O16" i="15"/>
  <c r="O16" i="18" s="1"/>
  <c r="B42" i="22"/>
  <c r="Z19" i="97"/>
  <c r="C14" i="26"/>
  <c r="C13" i="29" s="1"/>
  <c r="J13" i="15"/>
  <c r="J13" i="17" s="1"/>
  <c r="J46" i="17" s="1"/>
  <c r="J46" i="14"/>
  <c r="V47" i="15"/>
  <c r="V47" i="18" s="1"/>
  <c r="V47" i="20" s="1"/>
  <c r="AB18" i="97"/>
  <c r="E13" i="26"/>
  <c r="E12" i="29" s="1"/>
  <c r="G47" i="15"/>
  <c r="G47" i="18"/>
  <c r="G47" i="20"/>
  <c r="B49" i="20"/>
  <c r="B49" i="18"/>
  <c r="B42" i="17"/>
  <c r="B49" i="15"/>
  <c r="C29" i="22"/>
  <c r="C16" i="22" s="1"/>
  <c r="C3" i="22" s="1"/>
  <c r="AF17" i="97"/>
  <c r="I12" i="26"/>
  <c r="I11" i="29" s="1"/>
  <c r="C15" i="15"/>
  <c r="C15" i="17" s="1"/>
  <c r="C48" i="17" s="1"/>
  <c r="C48" i="14"/>
  <c r="G13" i="14"/>
  <c r="T14" i="15"/>
  <c r="K12" i="15"/>
  <c r="K12" i="17" s="1"/>
  <c r="K45" i="17" s="1"/>
  <c r="K45" i="14"/>
  <c r="X46" i="15"/>
  <c r="X46" i="18" s="1"/>
  <c r="X46" i="20" s="1"/>
  <c r="AH16" i="97"/>
  <c r="K11" i="26"/>
  <c r="K10" i="29" s="1"/>
  <c r="P49" i="15"/>
  <c r="P49" i="18" s="1"/>
  <c r="P49" i="20" s="1"/>
  <c r="AC18" i="97"/>
  <c r="F13" i="26"/>
  <c r="F12" i="29" s="1"/>
  <c r="R48" i="15"/>
  <c r="R48" i="18" s="1"/>
  <c r="R48" i="20" s="1"/>
  <c r="H47" i="15"/>
  <c r="H47" i="20"/>
  <c r="H47" i="18"/>
  <c r="W47" i="15"/>
  <c r="W47" i="18" s="1"/>
  <c r="W47" i="20" s="1"/>
  <c r="S48" i="15"/>
  <c r="S48" i="18" s="1"/>
  <c r="S48" i="20" s="1"/>
  <c r="E47" i="14"/>
  <c r="E14" i="15"/>
  <c r="E14" i="17" s="1"/>
  <c r="E47" i="17" s="1"/>
  <c r="U14" i="15"/>
  <c r="H13" i="14"/>
  <c r="U14" i="18" l="1"/>
  <c r="U14" i="20" s="1"/>
  <c r="I9" i="27" s="1"/>
  <c r="S10" i="32" s="1"/>
  <c r="H14" i="97" s="1"/>
  <c r="Q15" i="18"/>
  <c r="Q15" i="20" s="1"/>
  <c r="E10" i="27" s="1"/>
  <c r="O11" i="32" s="1"/>
  <c r="D15" i="97" s="1"/>
  <c r="K12" i="18"/>
  <c r="O16" i="20"/>
  <c r="C11" i="27" s="1"/>
  <c r="M12" i="32" s="1"/>
  <c r="B16" i="97" s="1"/>
  <c r="I13" i="20"/>
  <c r="I11" i="25" s="1"/>
  <c r="T14" i="18"/>
  <c r="T14" i="20" s="1"/>
  <c r="H9" i="27" s="1"/>
  <c r="R10" i="32" s="1"/>
  <c r="G14" i="97" s="1"/>
  <c r="F14" i="20"/>
  <c r="F12" i="25" s="1"/>
  <c r="I13" i="18"/>
  <c r="E14" i="20"/>
  <c r="E12" i="25" s="1"/>
  <c r="K12" i="20"/>
  <c r="K10" i="25" s="1"/>
  <c r="E14" i="18"/>
  <c r="C15" i="18"/>
  <c r="J13" i="20"/>
  <c r="J11" i="25" s="1"/>
  <c r="C15" i="20"/>
  <c r="C13" i="25" s="1"/>
  <c r="J13" i="18"/>
  <c r="F14" i="18"/>
  <c r="J12" i="14"/>
  <c r="W13" i="15"/>
  <c r="B15" i="15"/>
  <c r="B15" i="17" s="1"/>
  <c r="B48" i="17" s="1"/>
  <c r="B48" i="14"/>
  <c r="AD17" i="97"/>
  <c r="G12" i="26"/>
  <c r="G11" i="29" s="1"/>
  <c r="AA18" i="97"/>
  <c r="D13" i="26"/>
  <c r="D12" i="29" s="1"/>
  <c r="AE17" i="97"/>
  <c r="H12" i="26"/>
  <c r="H11" i="29" s="1"/>
  <c r="K45" i="15"/>
  <c r="K45" i="20"/>
  <c r="K45" i="18"/>
  <c r="G46" i="14"/>
  <c r="G13" i="15"/>
  <c r="G13" i="17" s="1"/>
  <c r="G46" i="17" s="1"/>
  <c r="Q48" i="15"/>
  <c r="Q48" i="18" s="1"/>
  <c r="Q48" i="20" s="1"/>
  <c r="C14" i="14"/>
  <c r="P15" i="15"/>
  <c r="F13" i="14"/>
  <c r="S14" i="15"/>
  <c r="B29" i="22"/>
  <c r="B16" i="22" s="1"/>
  <c r="B3" i="22" s="1"/>
  <c r="F47" i="15"/>
  <c r="F47" i="18"/>
  <c r="F47" i="20"/>
  <c r="E13" i="14"/>
  <c r="R14" i="15"/>
  <c r="X12" i="15"/>
  <c r="X12" i="18" s="1"/>
  <c r="K11" i="14"/>
  <c r="O49" i="15"/>
  <c r="O49" i="18" s="1"/>
  <c r="O49" i="20" s="1"/>
  <c r="I12" i="14"/>
  <c r="V13" i="15"/>
  <c r="Y19" i="97"/>
  <c r="B14" i="26"/>
  <c r="H46" i="14"/>
  <c r="H13" i="15"/>
  <c r="H13" i="17" s="1"/>
  <c r="H46" i="17" s="1"/>
  <c r="E47" i="15"/>
  <c r="E47" i="20"/>
  <c r="E47" i="18"/>
  <c r="U47" i="15"/>
  <c r="U47" i="18" s="1"/>
  <c r="U47" i="20" s="1"/>
  <c r="C48" i="15"/>
  <c r="C48" i="20"/>
  <c r="C48" i="18"/>
  <c r="T47" i="15"/>
  <c r="T47" i="18" s="1"/>
  <c r="T47" i="20" s="1"/>
  <c r="J46" i="15"/>
  <c r="J46" i="18"/>
  <c r="J46" i="20"/>
  <c r="D47" i="14"/>
  <c r="D14" i="15"/>
  <c r="D14" i="17" s="1"/>
  <c r="D47" i="17" s="1"/>
  <c r="I46" i="15"/>
  <c r="I46" i="20"/>
  <c r="I46" i="18"/>
  <c r="R14" i="18" l="1"/>
  <c r="R14" i="20" s="1"/>
  <c r="F9" i="27" s="1"/>
  <c r="P10" i="32" s="1"/>
  <c r="E14" i="97" s="1"/>
  <c r="V13" i="18"/>
  <c r="V13" i="20" s="1"/>
  <c r="J8" i="27" s="1"/>
  <c r="T9" i="32" s="1"/>
  <c r="I13" i="97" s="1"/>
  <c r="S14" i="18"/>
  <c r="S14" i="20" s="1"/>
  <c r="G9" i="27" s="1"/>
  <c r="Q10" i="32" s="1"/>
  <c r="F14" i="97" s="1"/>
  <c r="W13" i="18"/>
  <c r="W13" i="20" s="1"/>
  <c r="K8" i="27" s="1"/>
  <c r="U9" i="32" s="1"/>
  <c r="J13" i="97" s="1"/>
  <c r="P15" i="18"/>
  <c r="P15" i="20" s="1"/>
  <c r="D10" i="27" s="1"/>
  <c r="N11" i="32" s="1"/>
  <c r="C15" i="97" s="1"/>
  <c r="X12" i="20"/>
  <c r="L7" i="27" s="1"/>
  <c r="V8" i="32" s="1"/>
  <c r="K12" i="97" s="1"/>
  <c r="D14" i="20"/>
  <c r="D12" i="25" s="1"/>
  <c r="B15" i="20"/>
  <c r="B13" i="25" s="1"/>
  <c r="B15" i="18"/>
  <c r="H13" i="20"/>
  <c r="H11" i="25" s="1"/>
  <c r="G13" i="20"/>
  <c r="G11" i="25" s="1"/>
  <c r="D14" i="18"/>
  <c r="H13" i="18"/>
  <c r="G13" i="18"/>
  <c r="T13" i="15"/>
  <c r="G12" i="14"/>
  <c r="V46" i="15"/>
  <c r="V46" i="18" s="1"/>
  <c r="V46" i="20" s="1"/>
  <c r="AB17" i="97"/>
  <c r="E12" i="26"/>
  <c r="E11" i="29" s="1"/>
  <c r="K11" i="18"/>
  <c r="K11" i="15"/>
  <c r="X11" i="15" s="1"/>
  <c r="K11" i="20"/>
  <c r="C14" i="15"/>
  <c r="C14" i="17" s="1"/>
  <c r="C47" i="17" s="1"/>
  <c r="C47" i="14"/>
  <c r="G46" i="15"/>
  <c r="G46" i="20"/>
  <c r="G46" i="18"/>
  <c r="B48" i="15"/>
  <c r="B48" i="20"/>
  <c r="B48" i="18"/>
  <c r="Z18" i="97"/>
  <c r="C13" i="26"/>
  <c r="C12" i="29" s="1"/>
  <c r="H12" i="14"/>
  <c r="U13" i="15"/>
  <c r="H46" i="15"/>
  <c r="H46" i="20"/>
  <c r="H46" i="18"/>
  <c r="E13" i="15"/>
  <c r="E13" i="17" s="1"/>
  <c r="E46" i="17" s="1"/>
  <c r="E46" i="14"/>
  <c r="S47" i="15"/>
  <c r="S47" i="18" s="1"/>
  <c r="S47" i="20" s="1"/>
  <c r="AF16" i="97"/>
  <c r="I11" i="26"/>
  <c r="I10" i="29" s="1"/>
  <c r="B14" i="14"/>
  <c r="O15" i="15"/>
  <c r="Q14" i="15"/>
  <c r="D13" i="14"/>
  <c r="D47" i="15"/>
  <c r="D47" i="20"/>
  <c r="D47" i="18"/>
  <c r="P48" i="15"/>
  <c r="P48" i="18" s="1"/>
  <c r="P48" i="20" s="1"/>
  <c r="X45" i="15"/>
  <c r="X45" i="18" s="1"/>
  <c r="X45" i="20" s="1"/>
  <c r="K44" i="14"/>
  <c r="AG16" i="97"/>
  <c r="J11" i="26"/>
  <c r="J10" i="29" s="1"/>
  <c r="F13" i="15"/>
  <c r="F13" i="17" s="1"/>
  <c r="F46" i="17" s="1"/>
  <c r="F46" i="14"/>
  <c r="R47" i="15"/>
  <c r="R47" i="18" s="1"/>
  <c r="R47" i="20" s="1"/>
  <c r="AH15" i="97"/>
  <c r="K10" i="26"/>
  <c r="K9" i="29" s="1"/>
  <c r="AC17" i="97"/>
  <c r="F12" i="26"/>
  <c r="F11" i="29" s="1"/>
  <c r="B13" i="29"/>
  <c r="L14" i="26"/>
  <c r="W46" i="15"/>
  <c r="W46" i="18" s="1"/>
  <c r="W46" i="20" s="1"/>
  <c r="I45" i="14"/>
  <c r="I12" i="15"/>
  <c r="I12" i="17" s="1"/>
  <c r="I45" i="17" s="1"/>
  <c r="J45" i="14"/>
  <c r="J12" i="15"/>
  <c r="J12" i="17" s="1"/>
  <c r="J45" i="17" s="1"/>
  <c r="E13" i="18" l="1"/>
  <c r="Q14" i="18"/>
  <c r="Q14" i="20" s="1"/>
  <c r="E9" i="27" s="1"/>
  <c r="O10" i="32" s="1"/>
  <c r="D14" i="97" s="1"/>
  <c r="O15" i="18"/>
  <c r="O15" i="20" s="1"/>
  <c r="C10" i="27" s="1"/>
  <c r="M11" i="32" s="1"/>
  <c r="B15" i="97" s="1"/>
  <c r="F13" i="20"/>
  <c r="F11" i="25" s="1"/>
  <c r="T13" i="18"/>
  <c r="T13" i="20" s="1"/>
  <c r="H8" i="27" s="1"/>
  <c r="R9" i="32" s="1"/>
  <c r="G13" i="97" s="1"/>
  <c r="U13" i="18"/>
  <c r="U13" i="20" s="1"/>
  <c r="I8" i="27" s="1"/>
  <c r="S9" i="32" s="1"/>
  <c r="H13" i="97" s="1"/>
  <c r="I12" i="18"/>
  <c r="J12" i="20"/>
  <c r="J10" i="25" s="1"/>
  <c r="I12" i="20"/>
  <c r="I10" i="25" s="1"/>
  <c r="F13" i="18"/>
  <c r="C14" i="20"/>
  <c r="C12" i="25" s="1"/>
  <c r="C14" i="18"/>
  <c r="J12" i="18"/>
  <c r="E13" i="20"/>
  <c r="E11" i="25" s="1"/>
  <c r="W12" i="15"/>
  <c r="J11" i="14"/>
  <c r="AD16" i="97"/>
  <c r="G11" i="26"/>
  <c r="G10" i="29" s="1"/>
  <c r="K9" i="25"/>
  <c r="H45" i="14"/>
  <c r="H12" i="15"/>
  <c r="H12" i="17" s="1"/>
  <c r="H45" i="17" s="1"/>
  <c r="J45" i="15"/>
  <c r="J45" i="20"/>
  <c r="J45" i="18"/>
  <c r="F46" i="15"/>
  <c r="F46" i="18"/>
  <c r="F46" i="20"/>
  <c r="T46" i="15"/>
  <c r="T46" i="18" s="1"/>
  <c r="T46" i="20" s="1"/>
  <c r="X11" i="18"/>
  <c r="X11" i="20" s="1"/>
  <c r="L6" i="27" s="1"/>
  <c r="V7" i="32" s="1"/>
  <c r="K11" i="97" s="1"/>
  <c r="V12" i="15"/>
  <c r="I11" i="14"/>
  <c r="F12" i="14"/>
  <c r="S13" i="15"/>
  <c r="U46" i="15"/>
  <c r="U46" i="18" s="1"/>
  <c r="U46" i="20" s="1"/>
  <c r="G45" i="14"/>
  <c r="G12" i="15"/>
  <c r="G12" i="17" s="1"/>
  <c r="G45" i="17" s="1"/>
  <c r="I45" i="15"/>
  <c r="I45" i="20"/>
  <c r="I45" i="18"/>
  <c r="C47" i="15"/>
  <c r="C47" i="20"/>
  <c r="C47" i="18"/>
  <c r="D13" i="15"/>
  <c r="D13" i="17" s="1"/>
  <c r="D46" i="17" s="1"/>
  <c r="D46" i="14"/>
  <c r="R13" i="15"/>
  <c r="E12" i="14"/>
  <c r="Y18" i="97"/>
  <c r="B13" i="26"/>
  <c r="B47" i="14"/>
  <c r="B14" i="15"/>
  <c r="B14" i="17" s="1"/>
  <c r="B47" i="17" s="1"/>
  <c r="AA17" i="97"/>
  <c r="D12" i="26"/>
  <c r="D11" i="29" s="1"/>
  <c r="P14" i="15"/>
  <c r="C13" i="14"/>
  <c r="AE16" i="97"/>
  <c r="H11" i="26"/>
  <c r="H10" i="29" s="1"/>
  <c r="K44" i="18"/>
  <c r="K44" i="15"/>
  <c r="K44" i="20"/>
  <c r="Q47" i="15"/>
  <c r="Q47" i="18" s="1"/>
  <c r="Q47" i="20" s="1"/>
  <c r="E46" i="15"/>
  <c r="E46" i="18"/>
  <c r="E46" i="20"/>
  <c r="O48" i="15"/>
  <c r="O48" i="18" s="1"/>
  <c r="O48" i="20" s="1"/>
  <c r="V12" i="18" l="1"/>
  <c r="V12" i="20" s="1"/>
  <c r="J7" i="27" s="1"/>
  <c r="T8" i="32" s="1"/>
  <c r="I12" i="97" s="1"/>
  <c r="S13" i="18"/>
  <c r="S13" i="20" s="1"/>
  <c r="G8" i="27" s="1"/>
  <c r="Q9" i="32" s="1"/>
  <c r="F13" i="97" s="1"/>
  <c r="P14" i="18"/>
  <c r="P14" i="20" s="1"/>
  <c r="D9" i="27" s="1"/>
  <c r="N10" i="32" s="1"/>
  <c r="C14" i="97" s="1"/>
  <c r="R13" i="18"/>
  <c r="R13" i="20" s="1"/>
  <c r="F8" i="27" s="1"/>
  <c r="P9" i="32" s="1"/>
  <c r="E13" i="97" s="1"/>
  <c r="D13" i="20"/>
  <c r="D11" i="25" s="1"/>
  <c r="G12" i="20"/>
  <c r="G10" i="25" s="1"/>
  <c r="W12" i="18"/>
  <c r="W12" i="20" s="1"/>
  <c r="K7" i="27" s="1"/>
  <c r="U8" i="32" s="1"/>
  <c r="J12" i="97" s="1"/>
  <c r="D13" i="18"/>
  <c r="B14" i="18"/>
  <c r="G12" i="18"/>
  <c r="H12" i="20"/>
  <c r="H10" i="25" s="1"/>
  <c r="B14" i="20"/>
  <c r="B12" i="25" s="1"/>
  <c r="H12" i="18"/>
  <c r="AG15" i="97"/>
  <c r="J10" i="26"/>
  <c r="J9" i="29" s="1"/>
  <c r="B12" i="29"/>
  <c r="L13" i="26"/>
  <c r="D12" i="14"/>
  <c r="Q13" i="15"/>
  <c r="H45" i="15"/>
  <c r="H45" i="18"/>
  <c r="H45" i="20"/>
  <c r="D46" i="15"/>
  <c r="D46" i="20"/>
  <c r="D46" i="18"/>
  <c r="I11" i="15"/>
  <c r="V11" i="15" s="1"/>
  <c r="I11" i="18"/>
  <c r="I11" i="20"/>
  <c r="W45" i="15"/>
  <c r="W45" i="18" s="1"/>
  <c r="W45" i="20" s="1"/>
  <c r="J44" i="14"/>
  <c r="AH14" i="97"/>
  <c r="K9" i="26"/>
  <c r="K8" i="29" s="1"/>
  <c r="T12" i="15"/>
  <c r="G11" i="14"/>
  <c r="V45" i="15"/>
  <c r="V45" i="18" s="1"/>
  <c r="V45" i="20" s="1"/>
  <c r="I44" i="14"/>
  <c r="X44" i="15"/>
  <c r="X44" i="18" s="1"/>
  <c r="X44" i="20" s="1"/>
  <c r="K10" i="14"/>
  <c r="K43" i="14"/>
  <c r="O14" i="15"/>
  <c r="B13" i="14"/>
  <c r="E12" i="15"/>
  <c r="E12" i="17" s="1"/>
  <c r="E45" i="17" s="1"/>
  <c r="E45" i="14"/>
  <c r="K51" i="22"/>
  <c r="K38" i="22" s="1"/>
  <c r="K25" i="22" s="1"/>
  <c r="B47" i="15"/>
  <c r="B47" i="20"/>
  <c r="B47" i="18"/>
  <c r="P47" i="15"/>
  <c r="P47" i="18" s="1"/>
  <c r="P47" i="20" s="1"/>
  <c r="G45" i="15"/>
  <c r="G45" i="20"/>
  <c r="G45" i="18"/>
  <c r="AC16" i="97"/>
  <c r="F11" i="26"/>
  <c r="F10" i="29" s="1"/>
  <c r="Z17" i="97"/>
  <c r="C12" i="26"/>
  <c r="C11" i="29" s="1"/>
  <c r="S46" i="15"/>
  <c r="S46" i="18" s="1"/>
  <c r="S46" i="20" s="1"/>
  <c r="J11" i="18"/>
  <c r="J11" i="20"/>
  <c r="J11" i="15"/>
  <c r="W11" i="15" s="1"/>
  <c r="U12" i="15"/>
  <c r="H11" i="14"/>
  <c r="R46" i="15"/>
  <c r="R46" i="18" s="1"/>
  <c r="R46" i="20" s="1"/>
  <c r="C46" i="14"/>
  <c r="C13" i="15"/>
  <c r="C13" i="17" s="1"/>
  <c r="C46" i="17" s="1"/>
  <c r="AB16" i="97"/>
  <c r="E11" i="26"/>
  <c r="E10" i="29" s="1"/>
  <c r="F45" i="14"/>
  <c r="F12" i="15"/>
  <c r="F12" i="17" s="1"/>
  <c r="F45" i="17" s="1"/>
  <c r="AF15" i="97"/>
  <c r="I10" i="26"/>
  <c r="I9" i="29" s="1"/>
  <c r="U12" i="18" l="1"/>
  <c r="U12" i="20" s="1"/>
  <c r="I7" i="27" s="1"/>
  <c r="S8" i="32" s="1"/>
  <c r="H12" i="97" s="1"/>
  <c r="O14" i="18"/>
  <c r="O14" i="20" s="1"/>
  <c r="C9" i="27" s="1"/>
  <c r="M10" i="32" s="1"/>
  <c r="B14" i="97" s="1"/>
  <c r="F12" i="20"/>
  <c r="F10" i="25" s="1"/>
  <c r="Q13" i="18"/>
  <c r="Q13" i="20" s="1"/>
  <c r="E8" i="27" s="1"/>
  <c r="O9" i="32" s="1"/>
  <c r="D13" i="97" s="1"/>
  <c r="E12" i="20"/>
  <c r="E10" i="25" s="1"/>
  <c r="C13" i="18"/>
  <c r="T12" i="18"/>
  <c r="T12" i="20" s="1"/>
  <c r="H7" i="27" s="1"/>
  <c r="R8" i="32" s="1"/>
  <c r="G12" i="97" s="1"/>
  <c r="F12" i="18"/>
  <c r="C13" i="20"/>
  <c r="C11" i="25" s="1"/>
  <c r="E12" i="18"/>
  <c r="K63" i="22"/>
  <c r="K12" i="22"/>
  <c r="Q46" i="15"/>
  <c r="Q46" i="18" s="1"/>
  <c r="Q46" i="20" s="1"/>
  <c r="S12" i="15"/>
  <c r="F11" i="14"/>
  <c r="K43" i="15"/>
  <c r="K43" i="18"/>
  <c r="K43" i="20"/>
  <c r="D12" i="15"/>
  <c r="D12" i="17" s="1"/>
  <c r="D45" i="17" s="1"/>
  <c r="D45" i="14"/>
  <c r="H11" i="18"/>
  <c r="H11" i="15"/>
  <c r="U11" i="15" s="1"/>
  <c r="H11" i="20"/>
  <c r="C12" i="14"/>
  <c r="P13" i="15"/>
  <c r="K10" i="15"/>
  <c r="X10" i="15" s="1"/>
  <c r="K10" i="20"/>
  <c r="K10" i="18"/>
  <c r="G11" i="18"/>
  <c r="G11" i="15"/>
  <c r="T11" i="15" s="1"/>
  <c r="G11" i="20"/>
  <c r="J44" i="15"/>
  <c r="J44" i="18"/>
  <c r="J44" i="20"/>
  <c r="F45" i="15"/>
  <c r="F45" i="20"/>
  <c r="F45" i="18"/>
  <c r="C46" i="15"/>
  <c r="C46" i="20"/>
  <c r="C46" i="18"/>
  <c r="J9" i="25"/>
  <c r="E45" i="15"/>
  <c r="E45" i="20"/>
  <c r="E45" i="18"/>
  <c r="I9" i="25"/>
  <c r="U45" i="15"/>
  <c r="U45" i="18" s="1"/>
  <c r="U45" i="20" s="1"/>
  <c r="H44" i="14"/>
  <c r="W11" i="18"/>
  <c r="W11" i="20" s="1"/>
  <c r="K6" i="27" s="1"/>
  <c r="U7" i="32" s="1"/>
  <c r="J11" i="97" s="1"/>
  <c r="O47" i="15"/>
  <c r="O47" i="18" s="1"/>
  <c r="O47" i="20" s="1"/>
  <c r="V11" i="18"/>
  <c r="V11" i="20" s="1"/>
  <c r="J6" i="27" s="1"/>
  <c r="T7" i="32" s="1"/>
  <c r="I11" i="97" s="1"/>
  <c r="R12" i="15"/>
  <c r="E11" i="14"/>
  <c r="T45" i="15"/>
  <c r="T45" i="18" s="1"/>
  <c r="T45" i="20" s="1"/>
  <c r="G44" i="14"/>
  <c r="Y17" i="97"/>
  <c r="B12" i="26"/>
  <c r="AE15" i="97"/>
  <c r="H10" i="26"/>
  <c r="H9" i="29" s="1"/>
  <c r="AA16" i="97"/>
  <c r="D11" i="26"/>
  <c r="D10" i="29" s="1"/>
  <c r="B13" i="15"/>
  <c r="B13" i="17" s="1"/>
  <c r="B46" i="17" s="1"/>
  <c r="B46" i="14"/>
  <c r="I44" i="15"/>
  <c r="I44" i="18"/>
  <c r="I44" i="20"/>
  <c r="AD15" i="97"/>
  <c r="G10" i="26"/>
  <c r="G9" i="29" s="1"/>
  <c r="P13" i="18" l="1"/>
  <c r="P13" i="20" s="1"/>
  <c r="D8" i="27" s="1"/>
  <c r="N9" i="32" s="1"/>
  <c r="C13" i="97" s="1"/>
  <c r="S12" i="18"/>
  <c r="S12" i="20" s="1"/>
  <c r="G7" i="27" s="1"/>
  <c r="Q8" i="32" s="1"/>
  <c r="F12" i="97" s="1"/>
  <c r="R12" i="18"/>
  <c r="R12" i="20" s="1"/>
  <c r="F7" i="27" s="1"/>
  <c r="P8" i="32" s="1"/>
  <c r="E12" i="97" s="1"/>
  <c r="D12" i="20"/>
  <c r="D10" i="25" s="1"/>
  <c r="B13" i="20"/>
  <c r="B11" i="25" s="1"/>
  <c r="B13" i="18"/>
  <c r="D12" i="18"/>
  <c r="W44" i="15"/>
  <c r="W44" i="18" s="1"/>
  <c r="W44" i="20" s="1"/>
  <c r="J10" i="14"/>
  <c r="J43" i="14"/>
  <c r="AB15" i="97"/>
  <c r="E10" i="26"/>
  <c r="E9" i="29" s="1"/>
  <c r="F11" i="18"/>
  <c r="F11" i="15"/>
  <c r="S11" i="15" s="1"/>
  <c r="F11" i="20"/>
  <c r="K38" i="25"/>
  <c r="X11" i="22"/>
  <c r="L31" i="27" s="1"/>
  <c r="V32" i="32" s="1"/>
  <c r="K36" i="97" s="1"/>
  <c r="AG14" i="97"/>
  <c r="J9" i="26"/>
  <c r="J8" i="29" s="1"/>
  <c r="G9" i="25"/>
  <c r="D45" i="15"/>
  <c r="D45" i="18"/>
  <c r="D45" i="20"/>
  <c r="G44" i="15"/>
  <c r="G44" i="18"/>
  <c r="G44" i="20"/>
  <c r="Q12" i="15"/>
  <c r="D11" i="14"/>
  <c r="I51" i="22"/>
  <c r="I38" i="22" s="1"/>
  <c r="I25" i="22" s="1"/>
  <c r="AF14" i="97"/>
  <c r="I9" i="26"/>
  <c r="I8" i="29" s="1"/>
  <c r="T11" i="18"/>
  <c r="T11" i="20" s="1"/>
  <c r="H6" i="27" s="1"/>
  <c r="R7" i="32" s="1"/>
  <c r="G11" i="97" s="1"/>
  <c r="B12" i="14"/>
  <c r="O13" i="15"/>
  <c r="V44" i="15"/>
  <c r="V44" i="18" s="1"/>
  <c r="V44" i="20" s="1"/>
  <c r="I10" i="14"/>
  <c r="I43" i="14"/>
  <c r="AC15" i="97"/>
  <c r="F10" i="26"/>
  <c r="F9" i="29" s="1"/>
  <c r="P46" i="15"/>
  <c r="P46" i="18" s="1"/>
  <c r="P46" i="20" s="1"/>
  <c r="X10" i="18"/>
  <c r="X10" i="20" s="1"/>
  <c r="L5" i="27" s="1"/>
  <c r="V6" i="32" s="1"/>
  <c r="K10" i="97" s="1"/>
  <c r="C12" i="15"/>
  <c r="C12" i="17" s="1"/>
  <c r="C45" i="17" s="1"/>
  <c r="C45" i="14"/>
  <c r="E11" i="15"/>
  <c r="R11" i="15" s="1"/>
  <c r="E11" i="18"/>
  <c r="E11" i="20"/>
  <c r="H9" i="25"/>
  <c r="R45" i="15"/>
  <c r="R45" i="18" s="1"/>
  <c r="R45" i="20" s="1"/>
  <c r="E44" i="14"/>
  <c r="K50" i="22"/>
  <c r="K37" i="22" s="1"/>
  <c r="K24" i="22" s="1"/>
  <c r="K62" i="22" s="1"/>
  <c r="Z16" i="97"/>
  <c r="C11" i="26"/>
  <c r="C10" i="29" s="1"/>
  <c r="K8" i="25"/>
  <c r="K26" i="25"/>
  <c r="B11" i="29"/>
  <c r="L12" i="26"/>
  <c r="B46" i="15"/>
  <c r="B46" i="18"/>
  <c r="B46" i="20"/>
  <c r="H44" i="15"/>
  <c r="H44" i="18"/>
  <c r="H44" i="20"/>
  <c r="S45" i="15"/>
  <c r="S45" i="18" s="1"/>
  <c r="S45" i="20" s="1"/>
  <c r="F44" i="14"/>
  <c r="J51" i="22"/>
  <c r="J38" i="22" s="1"/>
  <c r="J25" i="22" s="1"/>
  <c r="U11" i="18"/>
  <c r="U11" i="20" s="1"/>
  <c r="I6" i="27" s="1"/>
  <c r="S7" i="32" s="1"/>
  <c r="H11" i="97" s="1"/>
  <c r="X43" i="15"/>
  <c r="X43" i="18" s="1"/>
  <c r="X43" i="20" s="1"/>
  <c r="K9" i="14"/>
  <c r="K42" i="14"/>
  <c r="O13" i="18" l="1"/>
  <c r="O13" i="20" s="1"/>
  <c r="C8" i="27" s="1"/>
  <c r="M9" i="32" s="1"/>
  <c r="B13" i="97" s="1"/>
  <c r="C12" i="20"/>
  <c r="C12" i="18"/>
  <c r="Q12" i="18"/>
  <c r="Q12" i="20" s="1"/>
  <c r="E7" i="27" s="1"/>
  <c r="O8" i="32" s="1"/>
  <c r="D12" i="97" s="1"/>
  <c r="J63" i="22"/>
  <c r="J12" i="22"/>
  <c r="I63" i="22"/>
  <c r="I12" i="22"/>
  <c r="K42" i="18"/>
  <c r="K42" i="15"/>
  <c r="K42" i="20"/>
  <c r="E44" i="15"/>
  <c r="E44" i="18"/>
  <c r="E44" i="20"/>
  <c r="AE14" i="97"/>
  <c r="H9" i="26"/>
  <c r="H8" i="29" s="1"/>
  <c r="P12" i="15"/>
  <c r="C11" i="14"/>
  <c r="AD14" i="97"/>
  <c r="G9" i="26"/>
  <c r="G8" i="29" s="1"/>
  <c r="C45" i="15"/>
  <c r="C45" i="18"/>
  <c r="C45" i="20"/>
  <c r="S11" i="18"/>
  <c r="S11" i="20" s="1"/>
  <c r="G6" i="27" s="1"/>
  <c r="Q7" i="32" s="1"/>
  <c r="F11" i="97" s="1"/>
  <c r="K9" i="18"/>
  <c r="K9" i="15"/>
  <c r="X9" i="15" s="1"/>
  <c r="K9" i="20"/>
  <c r="H51" i="22"/>
  <c r="H38" i="22" s="1"/>
  <c r="H25" i="22" s="1"/>
  <c r="H63" i="22" s="1"/>
  <c r="K26" i="26"/>
  <c r="K25" i="29" s="1"/>
  <c r="AH31" i="97"/>
  <c r="B12" i="15"/>
  <c r="B12" i="17" s="1"/>
  <c r="B45" i="17" s="1"/>
  <c r="B45" i="14"/>
  <c r="AA15" i="97"/>
  <c r="D10" i="26"/>
  <c r="D9" i="29" s="1"/>
  <c r="U44" i="15"/>
  <c r="U44" i="18" s="1"/>
  <c r="U44" i="20" s="1"/>
  <c r="H10" i="14"/>
  <c r="H43" i="14"/>
  <c r="K11" i="22"/>
  <c r="E9" i="25"/>
  <c r="G51" i="22"/>
  <c r="G38" i="22" s="1"/>
  <c r="G25" i="22" s="1"/>
  <c r="R11" i="18"/>
  <c r="R11" i="20" s="1"/>
  <c r="F6" i="27" s="1"/>
  <c r="P7" i="32" s="1"/>
  <c r="E11" i="97" s="1"/>
  <c r="AH13" i="97"/>
  <c r="K8" i="26"/>
  <c r="K7" i="29" s="1"/>
  <c r="I43" i="15"/>
  <c r="I43" i="18"/>
  <c r="I43" i="20"/>
  <c r="T44" i="15"/>
  <c r="T44" i="18" s="1"/>
  <c r="T44" i="20" s="1"/>
  <c r="G10" i="14"/>
  <c r="G43" i="14"/>
  <c r="I10" i="15"/>
  <c r="V10" i="15" s="1"/>
  <c r="I10" i="18"/>
  <c r="I10" i="20"/>
  <c r="D11" i="15"/>
  <c r="Q11" i="15" s="1"/>
  <c r="D11" i="18"/>
  <c r="D11" i="20"/>
  <c r="AH43" i="97"/>
  <c r="K38" i="26"/>
  <c r="K37" i="29" s="1"/>
  <c r="J43" i="15"/>
  <c r="J43" i="18"/>
  <c r="J43" i="20"/>
  <c r="O46" i="15"/>
  <c r="O46" i="18" s="1"/>
  <c r="O46" i="20" s="1"/>
  <c r="C10" i="25"/>
  <c r="F9" i="25"/>
  <c r="J10" i="15"/>
  <c r="W10" i="15" s="1"/>
  <c r="J10" i="18"/>
  <c r="J10" i="20"/>
  <c r="K37" i="25"/>
  <c r="X10" i="22"/>
  <c r="L30" i="27" s="1"/>
  <c r="V31" i="32" s="1"/>
  <c r="K35" i="97" s="1"/>
  <c r="F44" i="15"/>
  <c r="F44" i="18"/>
  <c r="F44" i="20"/>
  <c r="Y16" i="97"/>
  <c r="B11" i="26"/>
  <c r="Q45" i="15"/>
  <c r="Q45" i="18" s="1"/>
  <c r="Q45" i="20" s="1"/>
  <c r="D44" i="14"/>
  <c r="P12" i="18" l="1"/>
  <c r="P12" i="20" s="1"/>
  <c r="D7" i="27" s="1"/>
  <c r="N8" i="32" s="1"/>
  <c r="C12" i="97" s="1"/>
  <c r="B12" i="18"/>
  <c r="B12" i="20"/>
  <c r="B10" i="25" s="1"/>
  <c r="G63" i="22"/>
  <c r="G12" i="22"/>
  <c r="AC14" i="97"/>
  <c r="F9" i="26"/>
  <c r="F8" i="29" s="1"/>
  <c r="S44" i="15"/>
  <c r="S44" i="18" s="1"/>
  <c r="S44" i="20" s="1"/>
  <c r="F10" i="14"/>
  <c r="F43" i="14"/>
  <c r="W43" i="15"/>
  <c r="W43" i="18" s="1"/>
  <c r="W43" i="20" s="1"/>
  <c r="J9" i="14"/>
  <c r="J42" i="14"/>
  <c r="V10" i="18"/>
  <c r="V10" i="20" s="1"/>
  <c r="J5" i="27" s="1"/>
  <c r="T6" i="32" s="1"/>
  <c r="I10" i="97" s="1"/>
  <c r="V43" i="15"/>
  <c r="V43" i="18" s="1"/>
  <c r="V43" i="20" s="1"/>
  <c r="I9" i="14"/>
  <c r="I42" i="14"/>
  <c r="H12" i="22"/>
  <c r="C11" i="15"/>
  <c r="P11" i="15" s="1"/>
  <c r="C11" i="18"/>
  <c r="C11" i="20"/>
  <c r="H43" i="15"/>
  <c r="H43" i="18"/>
  <c r="H43" i="20"/>
  <c r="B45" i="15"/>
  <c r="B45" i="20"/>
  <c r="B45" i="18"/>
  <c r="K25" i="25"/>
  <c r="AH42" i="97"/>
  <c r="K37" i="26"/>
  <c r="K36" i="29" s="1"/>
  <c r="Z15" i="97"/>
  <c r="C10" i="26"/>
  <c r="C9" i="29" s="1"/>
  <c r="G43" i="15"/>
  <c r="G43" i="18"/>
  <c r="G43" i="20"/>
  <c r="H10" i="15"/>
  <c r="U10" i="15" s="1"/>
  <c r="H10" i="18"/>
  <c r="H10" i="20"/>
  <c r="X42" i="15"/>
  <c r="X42" i="18" s="1"/>
  <c r="X42" i="20" s="1"/>
  <c r="L20" i="27" s="1"/>
  <c r="V21" i="32" s="1"/>
  <c r="K25" i="97" s="1"/>
  <c r="K8" i="14"/>
  <c r="K41" i="14"/>
  <c r="G10" i="15"/>
  <c r="T10" i="15" s="1"/>
  <c r="G10" i="18"/>
  <c r="G10" i="20"/>
  <c r="O12" i="15"/>
  <c r="B11" i="14"/>
  <c r="K7" i="25"/>
  <c r="K49" i="22"/>
  <c r="K36" i="22" s="1"/>
  <c r="K23" i="22" s="1"/>
  <c r="J8" i="25"/>
  <c r="D44" i="15"/>
  <c r="D44" i="18"/>
  <c r="D44" i="20"/>
  <c r="B10" i="29"/>
  <c r="L11" i="26"/>
  <c r="W10" i="18"/>
  <c r="W10" i="20" s="1"/>
  <c r="K5" i="27" s="1"/>
  <c r="U6" i="32" s="1"/>
  <c r="J10" i="97" s="1"/>
  <c r="D9" i="25"/>
  <c r="Q11" i="18"/>
  <c r="Q11" i="20" s="1"/>
  <c r="E6" i="27" s="1"/>
  <c r="O7" i="32" s="1"/>
  <c r="D11" i="97" s="1"/>
  <c r="X9" i="18"/>
  <c r="X9" i="20" s="1"/>
  <c r="L4" i="27" s="1"/>
  <c r="V5" i="32" s="1"/>
  <c r="K9" i="97" s="1"/>
  <c r="P45" i="15"/>
  <c r="P45" i="18" s="1"/>
  <c r="P45" i="20" s="1"/>
  <c r="C44" i="14"/>
  <c r="I38" i="25"/>
  <c r="V11" i="22"/>
  <c r="J31" i="27" s="1"/>
  <c r="T32" i="32" s="1"/>
  <c r="I36" i="97" s="1"/>
  <c r="J26" i="25"/>
  <c r="I26" i="25"/>
  <c r="E51" i="22"/>
  <c r="E38" i="22" s="1"/>
  <c r="E25" i="22" s="1"/>
  <c r="F51" i="22"/>
  <c r="F38" i="22" s="1"/>
  <c r="F25" i="22" s="1"/>
  <c r="J50" i="22"/>
  <c r="J37" i="22" s="1"/>
  <c r="J24" i="22" s="1"/>
  <c r="I8" i="25"/>
  <c r="I50" i="22"/>
  <c r="I37" i="22" s="1"/>
  <c r="I24" i="22" s="1"/>
  <c r="AB14" i="97"/>
  <c r="E9" i="26"/>
  <c r="E8" i="29" s="1"/>
  <c r="H38" i="25"/>
  <c r="U11" i="22"/>
  <c r="I31" i="27" s="1"/>
  <c r="S32" i="32" s="1"/>
  <c r="H36" i="97" s="1"/>
  <c r="R44" i="15"/>
  <c r="R44" i="18" s="1"/>
  <c r="R44" i="20" s="1"/>
  <c r="E10" i="14"/>
  <c r="E43" i="14"/>
  <c r="J38" i="25"/>
  <c r="W11" i="22"/>
  <c r="K31" i="27" s="1"/>
  <c r="U32" i="32" s="1"/>
  <c r="J36" i="97" s="1"/>
  <c r="O12" i="18" l="1"/>
  <c r="O12" i="20" s="1"/>
  <c r="C7" i="27" s="1"/>
  <c r="M8" i="32" s="1"/>
  <c r="B12" i="97" s="1"/>
  <c r="J62" i="22"/>
  <c r="J11" i="22"/>
  <c r="K61" i="22"/>
  <c r="K10" i="22"/>
  <c r="F63" i="22"/>
  <c r="F12" i="22"/>
  <c r="I62" i="22"/>
  <c r="I11" i="22"/>
  <c r="E63" i="22"/>
  <c r="E12" i="22"/>
  <c r="G26" i="25"/>
  <c r="K25" i="26"/>
  <c r="K24" i="29" s="1"/>
  <c r="AH30" i="97"/>
  <c r="P11" i="18"/>
  <c r="P11" i="20" s="1"/>
  <c r="D6" i="27" s="1"/>
  <c r="N7" i="32" s="1"/>
  <c r="C11" i="97" s="1"/>
  <c r="F43" i="15"/>
  <c r="F43" i="18"/>
  <c r="F43" i="20"/>
  <c r="AF43" i="97"/>
  <c r="I38" i="26"/>
  <c r="I37" i="29" s="1"/>
  <c r="F10" i="15"/>
  <c r="S10" i="15" s="1"/>
  <c r="F10" i="18"/>
  <c r="F10" i="20"/>
  <c r="AE43" i="97"/>
  <c r="H38" i="26"/>
  <c r="H37" i="29" s="1"/>
  <c r="AA14" i="97"/>
  <c r="D9" i="26"/>
  <c r="D8" i="29" s="1"/>
  <c r="G8" i="25"/>
  <c r="T43" i="15"/>
  <c r="T43" i="18" s="1"/>
  <c r="T43" i="20" s="1"/>
  <c r="G9" i="14"/>
  <c r="G42" i="14"/>
  <c r="AF13" i="97"/>
  <c r="I8" i="26"/>
  <c r="I7" i="29" s="1"/>
  <c r="C44" i="15"/>
  <c r="C44" i="18"/>
  <c r="C44" i="20"/>
  <c r="D51" i="22"/>
  <c r="D38" i="22" s="1"/>
  <c r="D25" i="22" s="1"/>
  <c r="T10" i="18"/>
  <c r="T10" i="20" s="1"/>
  <c r="H5" i="27" s="1"/>
  <c r="R6" i="32" s="1"/>
  <c r="G10" i="97" s="1"/>
  <c r="O45" i="15"/>
  <c r="O45" i="18" s="1"/>
  <c r="O45" i="20" s="1"/>
  <c r="B44" i="14"/>
  <c r="AG43" i="97"/>
  <c r="J38" i="26"/>
  <c r="J37" i="29" s="1"/>
  <c r="H26" i="25"/>
  <c r="Y15" i="97"/>
  <c r="B10" i="26"/>
  <c r="G50" i="22"/>
  <c r="G37" i="22" s="1"/>
  <c r="G24" i="22" s="1"/>
  <c r="I26" i="26"/>
  <c r="I25" i="29" s="1"/>
  <c r="AF31" i="97"/>
  <c r="Q44" i="15"/>
  <c r="Q44" i="18" s="1"/>
  <c r="Q44" i="20" s="1"/>
  <c r="D10" i="14"/>
  <c r="D43" i="14"/>
  <c r="E43" i="15"/>
  <c r="E43" i="18"/>
  <c r="E43" i="20"/>
  <c r="K41" i="15"/>
  <c r="K41" i="17" s="1"/>
  <c r="K41" i="18" s="1"/>
  <c r="H8" i="25"/>
  <c r="H50" i="22"/>
  <c r="H37" i="22" s="1"/>
  <c r="H24" i="22" s="1"/>
  <c r="I42" i="15"/>
  <c r="I42" i="18"/>
  <c r="I42" i="20"/>
  <c r="J42" i="15"/>
  <c r="J42" i="18"/>
  <c r="J42" i="20"/>
  <c r="E10" i="15"/>
  <c r="R10" i="15" s="1"/>
  <c r="E10" i="18"/>
  <c r="E10" i="20"/>
  <c r="J26" i="26"/>
  <c r="J25" i="29" s="1"/>
  <c r="AG31" i="97"/>
  <c r="AG13" i="97"/>
  <c r="J8" i="26"/>
  <c r="J7" i="29" s="1"/>
  <c r="AH12" i="97"/>
  <c r="K7" i="26"/>
  <c r="K6" i="29" s="1"/>
  <c r="K8" i="15"/>
  <c r="U10" i="18"/>
  <c r="U10" i="20" s="1"/>
  <c r="I5" i="27" s="1"/>
  <c r="S6" i="32" s="1"/>
  <c r="H10" i="97" s="1"/>
  <c r="U43" i="15"/>
  <c r="U43" i="18" s="1"/>
  <c r="U43" i="20" s="1"/>
  <c r="H9" i="14"/>
  <c r="H42" i="14"/>
  <c r="I9" i="15"/>
  <c r="V9" i="15" s="1"/>
  <c r="I9" i="18"/>
  <c r="I9" i="20"/>
  <c r="J9" i="15"/>
  <c r="W9" i="15" s="1"/>
  <c r="J9" i="18"/>
  <c r="J9" i="20"/>
  <c r="B11" i="15"/>
  <c r="O11" i="15" s="1"/>
  <c r="B11" i="18"/>
  <c r="B11" i="20"/>
  <c r="C9" i="25"/>
  <c r="G38" i="25"/>
  <c r="T11" i="22"/>
  <c r="H31" i="27" s="1"/>
  <c r="R32" i="32" s="1"/>
  <c r="G36" i="97" s="1"/>
  <c r="K41" i="20" l="1"/>
  <c r="K24" i="25" s="1"/>
  <c r="X8" i="15"/>
  <c r="K8" i="17"/>
  <c r="G62" i="22"/>
  <c r="G11" i="22"/>
  <c r="H62" i="22"/>
  <c r="H11" i="22"/>
  <c r="D63" i="22"/>
  <c r="D12" i="22"/>
  <c r="E8" i="25"/>
  <c r="I49" i="22"/>
  <c r="I36" i="22" s="1"/>
  <c r="I23" i="22" s="1"/>
  <c r="AE13" i="97"/>
  <c r="H8" i="26"/>
  <c r="H7" i="29" s="1"/>
  <c r="D10" i="15"/>
  <c r="Q10" i="15" s="1"/>
  <c r="D10" i="18"/>
  <c r="D10" i="20"/>
  <c r="B44" i="15"/>
  <c r="B44" i="18"/>
  <c r="B44" i="20"/>
  <c r="R10" i="18"/>
  <c r="R10" i="20" s="1"/>
  <c r="F5" i="27" s="1"/>
  <c r="P6" i="32" s="1"/>
  <c r="E10" i="97" s="1"/>
  <c r="V42" i="15"/>
  <c r="V42" i="18" s="1"/>
  <c r="V42" i="20" s="1"/>
  <c r="J20" i="27" s="1"/>
  <c r="T21" i="32" s="1"/>
  <c r="I25" i="97" s="1"/>
  <c r="I8" i="14"/>
  <c r="I41" i="14"/>
  <c r="I37" i="25"/>
  <c r="V10" i="22"/>
  <c r="J30" i="27" s="1"/>
  <c r="T31" i="32" s="1"/>
  <c r="I35" i="97" s="1"/>
  <c r="J7" i="25"/>
  <c r="K48" i="22"/>
  <c r="K35" i="22" s="1"/>
  <c r="K22" i="22" s="1"/>
  <c r="B9" i="29"/>
  <c r="L10" i="26"/>
  <c r="F26" i="25"/>
  <c r="AD43" i="97"/>
  <c r="G38" i="26"/>
  <c r="G37" i="29" s="1"/>
  <c r="X41" i="15"/>
  <c r="X41" i="18" s="1"/>
  <c r="K7" i="14"/>
  <c r="K40" i="14"/>
  <c r="G42" i="15"/>
  <c r="G42" i="18"/>
  <c r="G42" i="20"/>
  <c r="F50" i="22"/>
  <c r="F37" i="22" s="1"/>
  <c r="F24" i="22" s="1"/>
  <c r="F38" i="25"/>
  <c r="S11" i="22"/>
  <c r="G31" i="27" s="1"/>
  <c r="Q32" i="32" s="1"/>
  <c r="F36" i="97" s="1"/>
  <c r="H9" i="18"/>
  <c r="H9" i="15"/>
  <c r="U9" i="15" s="1"/>
  <c r="H9" i="20"/>
  <c r="W9" i="18"/>
  <c r="W9" i="20" s="1"/>
  <c r="K4" i="27" s="1"/>
  <c r="U5" i="32" s="1"/>
  <c r="J9" i="97" s="1"/>
  <c r="J25" i="25"/>
  <c r="E26" i="25"/>
  <c r="G9" i="15"/>
  <c r="T9" i="15" s="1"/>
  <c r="G9" i="18"/>
  <c r="G9" i="20"/>
  <c r="S43" i="15"/>
  <c r="S43" i="18" s="1"/>
  <c r="S43" i="20" s="1"/>
  <c r="F9" i="14"/>
  <c r="F42" i="14"/>
  <c r="E50" i="22"/>
  <c r="E37" i="22" s="1"/>
  <c r="E24" i="22" s="1"/>
  <c r="H26" i="26"/>
  <c r="H25" i="29" s="1"/>
  <c r="AE31" i="97"/>
  <c r="F8" i="25"/>
  <c r="G26" i="26"/>
  <c r="G25" i="29" s="1"/>
  <c r="AD31" i="97"/>
  <c r="K36" i="25"/>
  <c r="X9" i="22"/>
  <c r="L29" i="27" s="1"/>
  <c r="V30" i="32" s="1"/>
  <c r="K34" i="97" s="1"/>
  <c r="I7" i="25"/>
  <c r="Z14" i="97"/>
  <c r="C9" i="26"/>
  <c r="C8" i="29" s="1"/>
  <c r="B9" i="25"/>
  <c r="C51" i="22"/>
  <c r="C38" i="22" s="1"/>
  <c r="C25" i="22" s="1"/>
  <c r="S10" i="18"/>
  <c r="S10" i="20" s="1"/>
  <c r="G5" i="27" s="1"/>
  <c r="Q6" i="32" s="1"/>
  <c r="F10" i="97" s="1"/>
  <c r="V9" i="18"/>
  <c r="V9" i="20" s="1"/>
  <c r="J4" i="27" s="1"/>
  <c r="T5" i="32" s="1"/>
  <c r="I9" i="97" s="1"/>
  <c r="J49" i="22"/>
  <c r="J36" i="22" s="1"/>
  <c r="J23" i="22" s="1"/>
  <c r="J61" i="22" s="1"/>
  <c r="W42" i="15"/>
  <c r="W42" i="18" s="1"/>
  <c r="W42" i="20" s="1"/>
  <c r="K20" i="27" s="1"/>
  <c r="U21" i="32" s="1"/>
  <c r="J25" i="97" s="1"/>
  <c r="J8" i="14"/>
  <c r="J41" i="14"/>
  <c r="R43" i="15"/>
  <c r="R43" i="18" s="1"/>
  <c r="R43" i="20" s="1"/>
  <c r="E9" i="14"/>
  <c r="E42" i="14"/>
  <c r="O11" i="18"/>
  <c r="O11" i="20" s="1"/>
  <c r="C6" i="27" s="1"/>
  <c r="M7" i="32" s="1"/>
  <c r="B11" i="97" s="1"/>
  <c r="H42" i="15"/>
  <c r="H42" i="18"/>
  <c r="H42" i="20"/>
  <c r="I25" i="25"/>
  <c r="D43" i="15"/>
  <c r="D43" i="18"/>
  <c r="D43" i="20"/>
  <c r="P44" i="15"/>
  <c r="P44" i="18" s="1"/>
  <c r="P44" i="20" s="1"/>
  <c r="C10" i="14"/>
  <c r="C43" i="14"/>
  <c r="AD13" i="97"/>
  <c r="G8" i="26"/>
  <c r="G7" i="29" s="1"/>
  <c r="E38" i="25"/>
  <c r="R11" i="22"/>
  <c r="F31" i="27" s="1"/>
  <c r="P32" i="32" s="1"/>
  <c r="E36" i="97" s="1"/>
  <c r="J37" i="25"/>
  <c r="W10" i="22"/>
  <c r="K30" i="27" s="1"/>
  <c r="U31" i="32" s="1"/>
  <c r="J35" i="97" s="1"/>
  <c r="X41" i="20" l="1"/>
  <c r="L19" i="27" s="1"/>
  <c r="V20" i="32" s="1"/>
  <c r="K24" i="97" s="1"/>
  <c r="K8" i="18"/>
  <c r="X8" i="18" s="1"/>
  <c r="K8" i="20"/>
  <c r="I61" i="22"/>
  <c r="I10" i="22"/>
  <c r="F62" i="22"/>
  <c r="F11" i="22"/>
  <c r="E62" i="22"/>
  <c r="E11" i="22"/>
  <c r="C63" i="22"/>
  <c r="C12" i="22"/>
  <c r="K60" i="22"/>
  <c r="K9" i="22"/>
  <c r="AG42" i="97"/>
  <c r="J37" i="26"/>
  <c r="J36" i="29" s="1"/>
  <c r="G49" i="22"/>
  <c r="G36" i="22" s="1"/>
  <c r="G23" i="22" s="1"/>
  <c r="F26" i="26"/>
  <c r="F25" i="29" s="1"/>
  <c r="AC31" i="97"/>
  <c r="D26" i="25"/>
  <c r="H49" i="22"/>
  <c r="H36" i="22" s="1"/>
  <c r="H23" i="22" s="1"/>
  <c r="E9" i="18"/>
  <c r="E9" i="20"/>
  <c r="E9" i="15"/>
  <c r="R9" i="15" s="1"/>
  <c r="J10" i="22"/>
  <c r="AH41" i="97"/>
  <c r="K36" i="26"/>
  <c r="K35" i="29" s="1"/>
  <c r="G7" i="25"/>
  <c r="AC43" i="97"/>
  <c r="F38" i="26"/>
  <c r="F37" i="29" s="1"/>
  <c r="T42" i="15"/>
  <c r="T42" i="18" s="1"/>
  <c r="T42" i="20" s="1"/>
  <c r="H20" i="27" s="1"/>
  <c r="R21" i="32" s="1"/>
  <c r="G25" i="97" s="1"/>
  <c r="G8" i="14"/>
  <c r="G41" i="14"/>
  <c r="AG12" i="97"/>
  <c r="J7" i="26"/>
  <c r="J6" i="29" s="1"/>
  <c r="AB13" i="97"/>
  <c r="E8" i="26"/>
  <c r="E7" i="29" s="1"/>
  <c r="J36" i="25"/>
  <c r="W9" i="22"/>
  <c r="K29" i="27" s="1"/>
  <c r="U30" i="32" s="1"/>
  <c r="J34" i="97" s="1"/>
  <c r="AB43" i="97"/>
  <c r="E38" i="26"/>
  <c r="E37" i="29" s="1"/>
  <c r="D50" i="22"/>
  <c r="D37" i="22" s="1"/>
  <c r="D24" i="22" s="1"/>
  <c r="U42" i="15"/>
  <c r="U42" i="18" s="1"/>
  <c r="U42" i="20" s="1"/>
  <c r="I20" i="27" s="1"/>
  <c r="S21" i="32" s="1"/>
  <c r="H25" i="97" s="1"/>
  <c r="H8" i="14"/>
  <c r="H41" i="14"/>
  <c r="T9" i="18"/>
  <c r="T9" i="20" s="1"/>
  <c r="H4" i="27" s="1"/>
  <c r="R5" i="32" s="1"/>
  <c r="G9" i="97" s="1"/>
  <c r="K40" i="15"/>
  <c r="K40" i="17" s="1"/>
  <c r="K40" i="20" s="1"/>
  <c r="H25" i="25"/>
  <c r="J41" i="15"/>
  <c r="J41" i="17" s="1"/>
  <c r="J41" i="18" s="1"/>
  <c r="K7" i="15"/>
  <c r="AF42" i="97"/>
  <c r="I37" i="26"/>
  <c r="I36" i="29" s="1"/>
  <c r="D38" i="25"/>
  <c r="Q11" i="22"/>
  <c r="E31" i="27" s="1"/>
  <c r="O32" i="32" s="1"/>
  <c r="D36" i="97" s="1"/>
  <c r="E42" i="15"/>
  <c r="E42" i="18"/>
  <c r="E42" i="20"/>
  <c r="Q43" i="15"/>
  <c r="Q43" i="18" s="1"/>
  <c r="Q43" i="20" s="1"/>
  <c r="D9" i="14"/>
  <c r="D42" i="14"/>
  <c r="J8" i="15"/>
  <c r="B51" i="22"/>
  <c r="B38" i="22" s="1"/>
  <c r="B25" i="22" s="1"/>
  <c r="Y14" i="97"/>
  <c r="B9" i="26"/>
  <c r="C43" i="15"/>
  <c r="C43" i="18"/>
  <c r="C43" i="20"/>
  <c r="I25" i="26"/>
  <c r="I24" i="29" s="1"/>
  <c r="AF30" i="97"/>
  <c r="AC13" i="97"/>
  <c r="F8" i="26"/>
  <c r="F7" i="29" s="1"/>
  <c r="E26" i="26"/>
  <c r="E25" i="29" s="1"/>
  <c r="AB31" i="97"/>
  <c r="H7" i="25"/>
  <c r="K24" i="26"/>
  <c r="K23" i="29" s="1"/>
  <c r="AH29" i="97"/>
  <c r="O44" i="15"/>
  <c r="O44" i="18" s="1"/>
  <c r="O44" i="20" s="1"/>
  <c r="B10" i="14"/>
  <c r="B43" i="14"/>
  <c r="H37" i="25"/>
  <c r="U10" i="22"/>
  <c r="I30" i="27" s="1"/>
  <c r="S31" i="32" s="1"/>
  <c r="H35" i="97" s="1"/>
  <c r="C10" i="15"/>
  <c r="P10" i="15" s="1"/>
  <c r="C10" i="18"/>
  <c r="C10" i="20"/>
  <c r="F42" i="15"/>
  <c r="F42" i="18"/>
  <c r="F42" i="20"/>
  <c r="I41" i="15"/>
  <c r="I41" i="17" s="1"/>
  <c r="I41" i="18" s="1"/>
  <c r="D8" i="25"/>
  <c r="AF12" i="97"/>
  <c r="I7" i="26"/>
  <c r="I6" i="29" s="1"/>
  <c r="F9" i="15"/>
  <c r="S9" i="15" s="1"/>
  <c r="F9" i="18"/>
  <c r="F9" i="20"/>
  <c r="J25" i="26"/>
  <c r="J24" i="29" s="1"/>
  <c r="AG30" i="97"/>
  <c r="U9" i="18"/>
  <c r="U9" i="20" s="1"/>
  <c r="I4" i="27" s="1"/>
  <c r="S5" i="32" s="1"/>
  <c r="H9" i="97" s="1"/>
  <c r="G25" i="25"/>
  <c r="I8" i="15"/>
  <c r="Q10" i="18"/>
  <c r="Q10" i="20" s="1"/>
  <c r="E5" i="27" s="1"/>
  <c r="O6" i="32" s="1"/>
  <c r="D10" i="97" s="1"/>
  <c r="G37" i="25"/>
  <c r="T10" i="22"/>
  <c r="H30" i="27" s="1"/>
  <c r="R31" i="32" s="1"/>
  <c r="G35" i="97" s="1"/>
  <c r="J41" i="20" l="1"/>
  <c r="J24" i="25" s="1"/>
  <c r="W8" i="15"/>
  <c r="J8" i="17"/>
  <c r="K40" i="18"/>
  <c r="V8" i="15"/>
  <c r="I8" i="17"/>
  <c r="I41" i="20"/>
  <c r="I24" i="25" s="1"/>
  <c r="X7" i="15"/>
  <c r="K7" i="17"/>
  <c r="K6" i="25"/>
  <c r="X8" i="20"/>
  <c r="L3" i="27" s="1"/>
  <c r="V4" i="32" s="1"/>
  <c r="K8" i="97" s="1"/>
  <c r="B63" i="22"/>
  <c r="B12" i="22"/>
  <c r="D62" i="22"/>
  <c r="D11" i="22"/>
  <c r="G61" i="22"/>
  <c r="G10" i="22"/>
  <c r="H61" i="22"/>
  <c r="H10" i="22"/>
  <c r="G25" i="26"/>
  <c r="G24" i="29" s="1"/>
  <c r="AD30" i="97"/>
  <c r="S9" i="18"/>
  <c r="S9" i="20" s="1"/>
  <c r="G4" i="27" s="1"/>
  <c r="Q5" i="32" s="1"/>
  <c r="F9" i="97" s="1"/>
  <c r="V41" i="15"/>
  <c r="V41" i="18" s="1"/>
  <c r="I7" i="14"/>
  <c r="I40" i="14"/>
  <c r="AE42" i="97"/>
  <c r="H37" i="26"/>
  <c r="H36" i="29" s="1"/>
  <c r="AE12" i="97"/>
  <c r="H7" i="26"/>
  <c r="H6" i="29" s="1"/>
  <c r="C50" i="22"/>
  <c r="C37" i="22" s="1"/>
  <c r="C24" i="22" s="1"/>
  <c r="C62" i="22" s="1"/>
  <c r="E49" i="22"/>
  <c r="E36" i="22" s="1"/>
  <c r="E23" i="22" s="1"/>
  <c r="K47" i="22"/>
  <c r="K34" i="22" s="1"/>
  <c r="K21" i="22" s="1"/>
  <c r="H8" i="15"/>
  <c r="G8" i="15"/>
  <c r="R42" i="15"/>
  <c r="R42" i="18" s="1"/>
  <c r="R42" i="20" s="1"/>
  <c r="F20" i="27" s="1"/>
  <c r="P21" i="32" s="1"/>
  <c r="E25" i="97" s="1"/>
  <c r="E8" i="14"/>
  <c r="E41" i="14"/>
  <c r="X40" i="15"/>
  <c r="K6" i="14"/>
  <c r="K39" i="14"/>
  <c r="F49" i="22"/>
  <c r="F36" i="22" s="1"/>
  <c r="F23" i="22" s="1"/>
  <c r="B10" i="15"/>
  <c r="O10" i="15" s="1"/>
  <c r="B10" i="18"/>
  <c r="B10" i="20"/>
  <c r="B8" i="29"/>
  <c r="L9" i="26"/>
  <c r="AG41" i="97"/>
  <c r="J36" i="26"/>
  <c r="J35" i="29" s="1"/>
  <c r="E7" i="25"/>
  <c r="D26" i="26"/>
  <c r="D25" i="29" s="1"/>
  <c r="AA31" i="97"/>
  <c r="C38" i="25"/>
  <c r="P11" i="22"/>
  <c r="D31" i="27" s="1"/>
  <c r="N32" i="32" s="1"/>
  <c r="C36" i="97" s="1"/>
  <c r="S42" i="15"/>
  <c r="S42" i="18" s="1"/>
  <c r="S42" i="20" s="1"/>
  <c r="G20" i="27" s="1"/>
  <c r="Q21" i="32" s="1"/>
  <c r="F25" i="97" s="1"/>
  <c r="F8" i="14"/>
  <c r="F41" i="14"/>
  <c r="AA43" i="97"/>
  <c r="D38" i="26"/>
  <c r="D37" i="29" s="1"/>
  <c r="W41" i="15"/>
  <c r="W41" i="18" s="1"/>
  <c r="J7" i="14"/>
  <c r="J40" i="14"/>
  <c r="R9" i="18"/>
  <c r="R9" i="20" s="1"/>
  <c r="F4" i="27" s="1"/>
  <c r="P5" i="32" s="1"/>
  <c r="E9" i="97" s="1"/>
  <c r="E37" i="25"/>
  <c r="R10" i="22"/>
  <c r="F30" i="27" s="1"/>
  <c r="P31" i="32" s="1"/>
  <c r="E35" i="97" s="1"/>
  <c r="C8" i="25"/>
  <c r="D42" i="15"/>
  <c r="D42" i="18"/>
  <c r="D42" i="20"/>
  <c r="J48" i="22"/>
  <c r="J35" i="22" s="1"/>
  <c r="J22" i="22" s="1"/>
  <c r="AD42" i="97"/>
  <c r="G37" i="26"/>
  <c r="G36" i="29" s="1"/>
  <c r="AA13" i="97"/>
  <c r="D8" i="26"/>
  <c r="D7" i="29" s="1"/>
  <c r="D9" i="18"/>
  <c r="D9" i="15"/>
  <c r="Q9" i="15" s="1"/>
  <c r="D9" i="20"/>
  <c r="AD12" i="97"/>
  <c r="G7" i="26"/>
  <c r="G6" i="29" s="1"/>
  <c r="F37" i="25"/>
  <c r="S10" i="22"/>
  <c r="G30" i="27" s="1"/>
  <c r="Q31" i="32" s="1"/>
  <c r="F35" i="97" s="1"/>
  <c r="B43" i="15"/>
  <c r="B43" i="18"/>
  <c r="B43" i="20"/>
  <c r="P43" i="15"/>
  <c r="P43" i="18" s="1"/>
  <c r="P43" i="20" s="1"/>
  <c r="C9" i="14"/>
  <c r="C42" i="14"/>
  <c r="P10" i="18"/>
  <c r="P10" i="20" s="1"/>
  <c r="D5" i="27" s="1"/>
  <c r="N6" i="32" s="1"/>
  <c r="C10" i="97" s="1"/>
  <c r="H25" i="26"/>
  <c r="H24" i="29" s="1"/>
  <c r="AE30" i="97"/>
  <c r="F25" i="25"/>
  <c r="F7" i="25"/>
  <c r="I48" i="22"/>
  <c r="I35" i="22" s="1"/>
  <c r="I22" i="22" s="1"/>
  <c r="C26" i="25"/>
  <c r="E25" i="25"/>
  <c r="K23" i="25"/>
  <c r="H41" i="15"/>
  <c r="H41" i="17" s="1"/>
  <c r="H41" i="18" s="1"/>
  <c r="G41" i="15"/>
  <c r="G41" i="17" s="1"/>
  <c r="G41" i="18" s="1"/>
  <c r="K35" i="25"/>
  <c r="X8" i="22"/>
  <c r="L28" i="27" s="1"/>
  <c r="V29" i="32" s="1"/>
  <c r="K33" i="97" s="1"/>
  <c r="I36" i="25"/>
  <c r="V9" i="22"/>
  <c r="J29" i="27" s="1"/>
  <c r="T30" i="32" s="1"/>
  <c r="I34" i="97" s="1"/>
  <c r="V41" i="20" l="1"/>
  <c r="J19" i="27" s="1"/>
  <c r="T20" i="32" s="1"/>
  <c r="I24" i="97" s="1"/>
  <c r="W41" i="20"/>
  <c r="K19" i="27" s="1"/>
  <c r="U20" i="32" s="1"/>
  <c r="J24" i="97" s="1"/>
  <c r="X40" i="18"/>
  <c r="X40" i="20" s="1"/>
  <c r="L18" i="27" s="1"/>
  <c r="V19" i="32" s="1"/>
  <c r="K23" i="97" s="1"/>
  <c r="G41" i="20"/>
  <c r="G24" i="25" s="1"/>
  <c r="H41" i="20"/>
  <c r="H24" i="25" s="1"/>
  <c r="T8" i="15"/>
  <c r="G8" i="17"/>
  <c r="K7" i="18"/>
  <c r="X7" i="18" s="1"/>
  <c r="K7" i="20"/>
  <c r="U8" i="15"/>
  <c r="H8" i="17"/>
  <c r="J8" i="20"/>
  <c r="J6" i="25" s="1"/>
  <c r="AG11" i="97" s="1"/>
  <c r="J8" i="18"/>
  <c r="W8" i="18" s="1"/>
  <c r="AH11" i="97"/>
  <c r="K6" i="26"/>
  <c r="K5" i="29" s="1"/>
  <c r="I8" i="18"/>
  <c r="V8" i="18" s="1"/>
  <c r="I8" i="20"/>
  <c r="I6" i="25" s="1"/>
  <c r="AF11" i="97" s="1"/>
  <c r="K59" i="22"/>
  <c r="K8" i="22"/>
  <c r="J60" i="22"/>
  <c r="J9" i="22"/>
  <c r="F61" i="22"/>
  <c r="F10" i="22"/>
  <c r="E61" i="22"/>
  <c r="E10" i="22"/>
  <c r="I60" i="22"/>
  <c r="I9" i="22"/>
  <c r="B50" i="22"/>
  <c r="B37" i="22" s="1"/>
  <c r="B24" i="22" s="1"/>
  <c r="T41" i="15"/>
  <c r="T41" i="18" s="1"/>
  <c r="G7" i="14"/>
  <c r="G40" i="14"/>
  <c r="AF29" i="97"/>
  <c r="I24" i="26"/>
  <c r="I23" i="29" s="1"/>
  <c r="O43" i="15"/>
  <c r="O43" i="18" s="1"/>
  <c r="O43" i="20" s="1"/>
  <c r="B9" i="14"/>
  <c r="B42" i="14"/>
  <c r="F8" i="15"/>
  <c r="E25" i="26"/>
  <c r="E24" i="29" s="1"/>
  <c r="AB30" i="97"/>
  <c r="D25" i="25"/>
  <c r="H36" i="25"/>
  <c r="U9" i="22"/>
  <c r="I29" i="27" s="1"/>
  <c r="S30" i="32" s="1"/>
  <c r="H34" i="97" s="1"/>
  <c r="AC12" i="97"/>
  <c r="F7" i="26"/>
  <c r="F6" i="29" s="1"/>
  <c r="AC42" i="97"/>
  <c r="F37" i="26"/>
  <c r="F36" i="29" s="1"/>
  <c r="D49" i="22"/>
  <c r="D36" i="22" s="1"/>
  <c r="D23" i="22" s="1"/>
  <c r="B8" i="25"/>
  <c r="K39" i="15"/>
  <c r="K39" i="17" s="1"/>
  <c r="K39" i="20" s="1"/>
  <c r="G48" i="22"/>
  <c r="G35" i="22" s="1"/>
  <c r="G22" i="22" s="1"/>
  <c r="C42" i="15"/>
  <c r="C42" i="18"/>
  <c r="C42" i="20"/>
  <c r="Q42" i="15"/>
  <c r="Q42" i="18" s="1"/>
  <c r="Q42" i="20" s="1"/>
  <c r="E20" i="27" s="1"/>
  <c r="O21" i="32" s="1"/>
  <c r="D25" i="97" s="1"/>
  <c r="D8" i="14"/>
  <c r="D41" i="14"/>
  <c r="AB12" i="97"/>
  <c r="E7" i="26"/>
  <c r="E6" i="29" s="1"/>
  <c r="O10" i="18"/>
  <c r="O10" i="20" s="1"/>
  <c r="C5" i="27" s="1"/>
  <c r="M6" i="32" s="1"/>
  <c r="B10" i="97" s="1"/>
  <c r="K6" i="15"/>
  <c r="G36" i="25"/>
  <c r="T9" i="22"/>
  <c r="H29" i="27" s="1"/>
  <c r="R30" i="32" s="1"/>
  <c r="G34" i="97" s="1"/>
  <c r="F25" i="26"/>
  <c r="F24" i="29" s="1"/>
  <c r="AC30" i="97"/>
  <c r="H48" i="22"/>
  <c r="H35" i="22" s="1"/>
  <c r="H22" i="22" s="1"/>
  <c r="U41" i="15"/>
  <c r="U41" i="18" s="1"/>
  <c r="H7" i="14"/>
  <c r="H40" i="14"/>
  <c r="C9" i="18"/>
  <c r="C9" i="15"/>
  <c r="P9" i="15" s="1"/>
  <c r="C9" i="20"/>
  <c r="AH40" i="97"/>
  <c r="K35" i="26"/>
  <c r="K34" i="29" s="1"/>
  <c r="K23" i="26"/>
  <c r="K22" i="29" s="1"/>
  <c r="AH28" i="97"/>
  <c r="D7" i="25"/>
  <c r="Z13" i="97"/>
  <c r="C8" i="26"/>
  <c r="C7" i="29" s="1"/>
  <c r="J40" i="15"/>
  <c r="J40" i="17" s="1"/>
  <c r="J40" i="18" s="1"/>
  <c r="Z43" i="97"/>
  <c r="C38" i="26"/>
  <c r="C37" i="29" s="1"/>
  <c r="E41" i="15"/>
  <c r="E41" i="17" s="1"/>
  <c r="E41" i="20" s="1"/>
  <c r="D37" i="25"/>
  <c r="Q10" i="22"/>
  <c r="E30" i="27" s="1"/>
  <c r="O31" i="32" s="1"/>
  <c r="D35" i="97" s="1"/>
  <c r="AF41" i="97"/>
  <c r="I36" i="26"/>
  <c r="I35" i="29" s="1"/>
  <c r="C26" i="26"/>
  <c r="C25" i="29" s="1"/>
  <c r="Z31" i="97"/>
  <c r="B26" i="25"/>
  <c r="J7" i="15"/>
  <c r="E8" i="15"/>
  <c r="C11" i="22"/>
  <c r="I40" i="15"/>
  <c r="I40" i="17" s="1"/>
  <c r="I40" i="18" s="1"/>
  <c r="Q9" i="18"/>
  <c r="Q9" i="20" s="1"/>
  <c r="E4" i="27" s="1"/>
  <c r="O5" i="32" s="1"/>
  <c r="D9" i="97" s="1"/>
  <c r="AB42" i="97"/>
  <c r="E37" i="26"/>
  <c r="E36" i="29" s="1"/>
  <c r="F41" i="15"/>
  <c r="F41" i="17" s="1"/>
  <c r="F41" i="20" s="1"/>
  <c r="J24" i="26"/>
  <c r="J23" i="29" s="1"/>
  <c r="AG29" i="97"/>
  <c r="C37" i="25"/>
  <c r="P10" i="22"/>
  <c r="D30" i="27" s="1"/>
  <c r="N31" i="32" s="1"/>
  <c r="C35" i="97" s="1"/>
  <c r="I7" i="15"/>
  <c r="B38" i="25"/>
  <c r="O11" i="22"/>
  <c r="C31" i="27" s="1"/>
  <c r="M32" i="32" s="1"/>
  <c r="B36" i="97" s="1"/>
  <c r="U41" i="20" l="1"/>
  <c r="I19" i="27" s="1"/>
  <c r="S20" i="32" s="1"/>
  <c r="H24" i="97" s="1"/>
  <c r="I6" i="26"/>
  <c r="I5" i="29" s="1"/>
  <c r="J6" i="26"/>
  <c r="J5" i="29" s="1"/>
  <c r="T41" i="20"/>
  <c r="H19" i="27" s="1"/>
  <c r="R20" i="32" s="1"/>
  <c r="G24" i="97" s="1"/>
  <c r="E41" i="18"/>
  <c r="E48" i="22" s="1"/>
  <c r="E35" i="22" s="1"/>
  <c r="E22" i="22" s="1"/>
  <c r="E60" i="22" s="1"/>
  <c r="J40" i="20"/>
  <c r="J23" i="25" s="1"/>
  <c r="I40" i="20"/>
  <c r="I23" i="25" s="1"/>
  <c r="W8" i="20"/>
  <c r="K3" i="27" s="1"/>
  <c r="U4" i="32" s="1"/>
  <c r="J8" i="97" s="1"/>
  <c r="V7" i="15"/>
  <c r="I7" i="17"/>
  <c r="F41" i="18"/>
  <c r="K39" i="18"/>
  <c r="K46" i="22" s="1"/>
  <c r="K33" i="22" s="1"/>
  <c r="K20" i="22" s="1"/>
  <c r="X7" i="20"/>
  <c r="K5" i="25"/>
  <c r="S8" i="15"/>
  <c r="F8" i="17"/>
  <c r="V8" i="20"/>
  <c r="J3" i="27" s="1"/>
  <c r="T4" i="32" s="1"/>
  <c r="I8" i="97" s="1"/>
  <c r="R8" i="15"/>
  <c r="E8" i="17"/>
  <c r="H8" i="18"/>
  <c r="U8" i="18" s="1"/>
  <c r="H8" i="20"/>
  <c r="H6" i="25" s="1"/>
  <c r="H6" i="26" s="1"/>
  <c r="H5" i="29" s="1"/>
  <c r="G8" i="18"/>
  <c r="T8" i="18" s="1"/>
  <c r="G8" i="20"/>
  <c r="G6" i="25" s="1"/>
  <c r="AD11" i="97" s="1"/>
  <c r="W7" i="15"/>
  <c r="J7" i="17"/>
  <c r="X6" i="15"/>
  <c r="K6" i="17"/>
  <c r="D61" i="22"/>
  <c r="D10" i="22"/>
  <c r="B62" i="22"/>
  <c r="B11" i="22"/>
  <c r="G60" i="22"/>
  <c r="G9" i="22"/>
  <c r="H60" i="22"/>
  <c r="H9" i="22"/>
  <c r="C49" i="22"/>
  <c r="C36" i="22" s="1"/>
  <c r="C23" i="22" s="1"/>
  <c r="C61" i="22" s="1"/>
  <c r="B9" i="15"/>
  <c r="O9" i="15" s="1"/>
  <c r="B9" i="18"/>
  <c r="B9" i="20"/>
  <c r="F24" i="25"/>
  <c r="V40" i="15"/>
  <c r="V40" i="18" s="1"/>
  <c r="I6" i="14"/>
  <c r="I39" i="14"/>
  <c r="B26" i="26"/>
  <c r="Y31" i="97"/>
  <c r="AA42" i="97"/>
  <c r="D37" i="26"/>
  <c r="D36" i="29" s="1"/>
  <c r="R41" i="15"/>
  <c r="E7" i="14"/>
  <c r="E40" i="14"/>
  <c r="P9" i="18"/>
  <c r="P9" i="20" s="1"/>
  <c r="D4" i="27" s="1"/>
  <c r="N5" i="32" s="1"/>
  <c r="C9" i="97" s="1"/>
  <c r="P42" i="15"/>
  <c r="P42" i="18" s="1"/>
  <c r="P42" i="20" s="1"/>
  <c r="D20" i="27" s="1"/>
  <c r="N21" i="32" s="1"/>
  <c r="C25" i="97" s="1"/>
  <c r="C8" i="14"/>
  <c r="C41" i="14"/>
  <c r="X39" i="15"/>
  <c r="K5" i="14"/>
  <c r="K38" i="14"/>
  <c r="H24" i="26"/>
  <c r="H23" i="29" s="1"/>
  <c r="AE29" i="97"/>
  <c r="E36" i="25"/>
  <c r="R9" i="22"/>
  <c r="F29" i="27" s="1"/>
  <c r="P30" i="32" s="1"/>
  <c r="E34" i="97" s="1"/>
  <c r="AA12" i="97"/>
  <c r="D7" i="26"/>
  <c r="D6" i="29" s="1"/>
  <c r="H40" i="15"/>
  <c r="H40" i="17" s="1"/>
  <c r="H40" i="20" s="1"/>
  <c r="Z42" i="97"/>
  <c r="C37" i="26"/>
  <c r="C36" i="29" s="1"/>
  <c r="Y43" i="97"/>
  <c r="B38" i="26"/>
  <c r="G24" i="26"/>
  <c r="G23" i="29" s="1"/>
  <c r="AD29" i="97"/>
  <c r="H7" i="15"/>
  <c r="Y13" i="97"/>
  <c r="B8" i="26"/>
  <c r="F36" i="25"/>
  <c r="S9" i="22"/>
  <c r="G29" i="27" s="1"/>
  <c r="Q30" i="32" s="1"/>
  <c r="F34" i="97" s="1"/>
  <c r="D41" i="15"/>
  <c r="D41" i="17" s="1"/>
  <c r="D41" i="18" s="1"/>
  <c r="G40" i="15"/>
  <c r="G40" i="17" s="1"/>
  <c r="G40" i="18" s="1"/>
  <c r="F48" i="22"/>
  <c r="F35" i="22" s="1"/>
  <c r="F22" i="22" s="1"/>
  <c r="W40" i="15"/>
  <c r="W40" i="18" s="1"/>
  <c r="J6" i="14"/>
  <c r="J39" i="14"/>
  <c r="AD41" i="97"/>
  <c r="G36" i="26"/>
  <c r="G35" i="29" s="1"/>
  <c r="D8" i="15"/>
  <c r="D25" i="26"/>
  <c r="D24" i="29" s="1"/>
  <c r="AA30" i="97"/>
  <c r="G7" i="15"/>
  <c r="J35" i="25"/>
  <c r="W8" i="22"/>
  <c r="K28" i="27" s="1"/>
  <c r="U29" i="32" s="1"/>
  <c r="J33" i="97" s="1"/>
  <c r="S41" i="15"/>
  <c r="F7" i="14"/>
  <c r="F40" i="14"/>
  <c r="J47" i="22"/>
  <c r="J34" i="22" s="1"/>
  <c r="J21" i="22" s="1"/>
  <c r="AE41" i="97"/>
  <c r="H36" i="26"/>
  <c r="H35" i="29" s="1"/>
  <c r="I47" i="22"/>
  <c r="I34" i="22" s="1"/>
  <c r="I21" i="22" s="1"/>
  <c r="E24" i="25"/>
  <c r="C7" i="25"/>
  <c r="C25" i="25"/>
  <c r="K22" i="25"/>
  <c r="B42" i="15"/>
  <c r="B42" i="18"/>
  <c r="B42" i="20"/>
  <c r="I35" i="25"/>
  <c r="V8" i="22"/>
  <c r="J28" i="27" s="1"/>
  <c r="T29" i="32" s="1"/>
  <c r="I33" i="97" s="1"/>
  <c r="K34" i="25"/>
  <c r="X7" i="22"/>
  <c r="L27" i="27" s="1"/>
  <c r="V28" i="32" s="1"/>
  <c r="K32" i="97" s="1"/>
  <c r="S41" i="18" l="1"/>
  <c r="S41" i="20" s="1"/>
  <c r="G19" i="27" s="1"/>
  <c r="Q20" i="32" s="1"/>
  <c r="F24" i="97" s="1"/>
  <c r="V40" i="20"/>
  <c r="J18" i="27" s="1"/>
  <c r="T19" i="32" s="1"/>
  <c r="I23" i="97" s="1"/>
  <c r="G6" i="26"/>
  <c r="G5" i="29" s="1"/>
  <c r="R41" i="18"/>
  <c r="R41" i="20" s="1"/>
  <c r="F19" i="27" s="1"/>
  <c r="P20" i="32" s="1"/>
  <c r="E24" i="97" s="1"/>
  <c r="AE11" i="97"/>
  <c r="W40" i="20"/>
  <c r="K18" i="27" s="1"/>
  <c r="U19" i="32" s="1"/>
  <c r="J23" i="97" s="1"/>
  <c r="X39" i="18"/>
  <c r="X39" i="20" s="1"/>
  <c r="L17" i="27" s="1"/>
  <c r="V18" i="32" s="1"/>
  <c r="K22" i="97" s="1"/>
  <c r="D41" i="20"/>
  <c r="D24" i="25" s="1"/>
  <c r="G40" i="20"/>
  <c r="G23" i="25" s="1"/>
  <c r="Q8" i="15"/>
  <c r="D8" i="17"/>
  <c r="H40" i="18"/>
  <c r="H47" i="22" s="1"/>
  <c r="H34" i="22" s="1"/>
  <c r="H21" i="22" s="1"/>
  <c r="U8" i="20"/>
  <c r="I3" i="27" s="1"/>
  <c r="S4" i="32" s="1"/>
  <c r="H8" i="97" s="1"/>
  <c r="F8" i="18"/>
  <c r="S8" i="18" s="1"/>
  <c r="F8" i="20"/>
  <c r="F6" i="25" s="1"/>
  <c r="AC11" i="97" s="1"/>
  <c r="U7" i="15"/>
  <c r="H7" i="17"/>
  <c r="K6" i="18"/>
  <c r="X6" i="18" s="1"/>
  <c r="K6" i="20"/>
  <c r="K4" i="25" s="1"/>
  <c r="AH9" i="97" s="1"/>
  <c r="E8" i="18"/>
  <c r="R8" i="18" s="1"/>
  <c r="E8" i="20"/>
  <c r="T8" i="20"/>
  <c r="H3" i="27" s="1"/>
  <c r="R4" i="32" s="1"/>
  <c r="G8" i="97" s="1"/>
  <c r="AH10" i="97"/>
  <c r="K5" i="26"/>
  <c r="K4" i="29" s="1"/>
  <c r="I7" i="18"/>
  <c r="V7" i="18" s="1"/>
  <c r="I7" i="20"/>
  <c r="I5" i="25" s="1"/>
  <c r="AF10" i="97" s="1"/>
  <c r="T7" i="15"/>
  <c r="G7" i="17"/>
  <c r="J7" i="18"/>
  <c r="W7" i="18" s="1"/>
  <c r="J7" i="20"/>
  <c r="J5" i="25" s="1"/>
  <c r="J5" i="26" s="1"/>
  <c r="J4" i="29" s="1"/>
  <c r="K58" i="22"/>
  <c r="K7" i="22"/>
  <c r="F60" i="22"/>
  <c r="F9" i="22"/>
  <c r="I59" i="22"/>
  <c r="I8" i="22"/>
  <c r="J59" i="22"/>
  <c r="J8" i="22"/>
  <c r="K38" i="15"/>
  <c r="K38" i="17" s="1"/>
  <c r="K38" i="18" s="1"/>
  <c r="AC29" i="97"/>
  <c r="F24" i="26"/>
  <c r="F23" i="29" s="1"/>
  <c r="E35" i="25"/>
  <c r="R8" i="22"/>
  <c r="F28" i="27" s="1"/>
  <c r="P29" i="32" s="1"/>
  <c r="E33" i="97" s="1"/>
  <c r="B25" i="25"/>
  <c r="B49" i="22"/>
  <c r="B36" i="22" s="1"/>
  <c r="B23" i="22" s="1"/>
  <c r="C25" i="26"/>
  <c r="C24" i="29" s="1"/>
  <c r="Z30" i="97"/>
  <c r="F7" i="15"/>
  <c r="AF40" i="97"/>
  <c r="I35" i="26"/>
  <c r="I34" i="29" s="1"/>
  <c r="G47" i="22"/>
  <c r="G34" i="22" s="1"/>
  <c r="G21" i="22" s="1"/>
  <c r="J23" i="26"/>
  <c r="J22" i="29" s="1"/>
  <c r="AG28" i="97"/>
  <c r="K5" i="15"/>
  <c r="B7" i="25"/>
  <c r="H35" i="25"/>
  <c r="U8" i="22"/>
  <c r="I28" i="27" s="1"/>
  <c r="S29" i="32" s="1"/>
  <c r="H33" i="97" s="1"/>
  <c r="T40" i="15"/>
  <c r="T40" i="18" s="1"/>
  <c r="G6" i="14"/>
  <c r="G39" i="14"/>
  <c r="O9" i="18"/>
  <c r="O9" i="20" s="1"/>
  <c r="C4" i="27" s="1"/>
  <c r="M5" i="32" s="1"/>
  <c r="B9" i="97" s="1"/>
  <c r="C36" i="25"/>
  <c r="P9" i="22"/>
  <c r="D29" i="27" s="1"/>
  <c r="N30" i="32" s="1"/>
  <c r="C34" i="97" s="1"/>
  <c r="AG40" i="97"/>
  <c r="J35" i="26"/>
  <c r="J34" i="29" s="1"/>
  <c r="AC41" i="97"/>
  <c r="F36" i="26"/>
  <c r="F35" i="29" s="1"/>
  <c r="C41" i="15"/>
  <c r="C41" i="17" s="1"/>
  <c r="C41" i="18" s="1"/>
  <c r="B25" i="29"/>
  <c r="L26" i="26"/>
  <c r="G35" i="25"/>
  <c r="T8" i="22"/>
  <c r="H28" i="27" s="1"/>
  <c r="R29" i="32" s="1"/>
  <c r="G33" i="97" s="1"/>
  <c r="O42" i="15"/>
  <c r="O42" i="18" s="1"/>
  <c r="O42" i="20" s="1"/>
  <c r="C20" i="27" s="1"/>
  <c r="M21" i="32" s="1"/>
  <c r="B25" i="97" s="1"/>
  <c r="B8" i="14"/>
  <c r="B41" i="14"/>
  <c r="C8" i="15"/>
  <c r="I39" i="15"/>
  <c r="I39" i="17" s="1"/>
  <c r="I39" i="18" s="1"/>
  <c r="C10" i="22"/>
  <c r="H23" i="25"/>
  <c r="AB41" i="97"/>
  <c r="E36" i="26"/>
  <c r="E35" i="29" s="1"/>
  <c r="E40" i="15"/>
  <c r="E40" i="17" s="1"/>
  <c r="E40" i="18" s="1"/>
  <c r="I6" i="15"/>
  <c r="B37" i="25"/>
  <c r="O10" i="22"/>
  <c r="C30" i="27" s="1"/>
  <c r="M31" i="32" s="1"/>
  <c r="B35" i="97" s="1"/>
  <c r="Z12" i="97"/>
  <c r="C7" i="26"/>
  <c r="C6" i="29" s="1"/>
  <c r="K22" i="26"/>
  <c r="K21" i="29" s="1"/>
  <c r="AH27" i="97"/>
  <c r="AB29" i="97"/>
  <c r="E24" i="26"/>
  <c r="E23" i="29" s="1"/>
  <c r="I23" i="26"/>
  <c r="I22" i="29" s="1"/>
  <c r="AF28" i="97"/>
  <c r="J39" i="15"/>
  <c r="J39" i="17" s="1"/>
  <c r="J39" i="20" s="1"/>
  <c r="D48" i="22"/>
  <c r="D35" i="22" s="1"/>
  <c r="D22" i="22" s="1"/>
  <c r="B7" i="29"/>
  <c r="L8" i="26"/>
  <c r="E7" i="15"/>
  <c r="AH39" i="97"/>
  <c r="K34" i="26"/>
  <c r="K33" i="29" s="1"/>
  <c r="F40" i="15"/>
  <c r="F40" i="17" s="1"/>
  <c r="F40" i="18" s="1"/>
  <c r="J6" i="15"/>
  <c r="Q41" i="15"/>
  <c r="Q41" i="18" s="1"/>
  <c r="D7" i="14"/>
  <c r="D40" i="14"/>
  <c r="B37" i="29"/>
  <c r="L38" i="26"/>
  <c r="U40" i="15"/>
  <c r="H6" i="14"/>
  <c r="H39" i="14"/>
  <c r="E9" i="22"/>
  <c r="D36" i="25"/>
  <c r="Q9" i="22"/>
  <c r="E29" i="27" s="1"/>
  <c r="O30" i="32" s="1"/>
  <c r="D34" i="97" s="1"/>
  <c r="Q41" i="20" l="1"/>
  <c r="E19" i="27" s="1"/>
  <c r="O20" i="32" s="1"/>
  <c r="D24" i="97" s="1"/>
  <c r="U40" i="18"/>
  <c r="U40" i="20" s="1"/>
  <c r="I18" i="27" s="1"/>
  <c r="S19" i="32" s="1"/>
  <c r="H23" i="97" s="1"/>
  <c r="I5" i="26"/>
  <c r="I4" i="29" s="1"/>
  <c r="AG10" i="97"/>
  <c r="E40" i="20"/>
  <c r="E23" i="25" s="1"/>
  <c r="J39" i="18"/>
  <c r="J46" i="22" s="1"/>
  <c r="J33" i="22" s="1"/>
  <c r="J20" i="22" s="1"/>
  <c r="T40" i="20"/>
  <c r="H18" i="27" s="1"/>
  <c r="R19" i="32" s="1"/>
  <c r="G23" i="97" s="1"/>
  <c r="F40" i="20"/>
  <c r="F23" i="25" s="1"/>
  <c r="W7" i="20"/>
  <c r="V7" i="20"/>
  <c r="K4" i="26"/>
  <c r="K3" i="29" s="1"/>
  <c r="F6" i="26"/>
  <c r="F5" i="29" s="1"/>
  <c r="E6" i="25"/>
  <c r="R8" i="20"/>
  <c r="F3" i="27" s="1"/>
  <c r="P4" i="32" s="1"/>
  <c r="E8" i="97" s="1"/>
  <c r="H7" i="20"/>
  <c r="H5" i="25" s="1"/>
  <c r="H5" i="26" s="1"/>
  <c r="H4" i="29" s="1"/>
  <c r="H7" i="18"/>
  <c r="U7" i="18" s="1"/>
  <c r="W6" i="15"/>
  <c r="J6" i="17"/>
  <c r="R7" i="15"/>
  <c r="E7" i="17"/>
  <c r="I39" i="20"/>
  <c r="I22" i="25" s="1"/>
  <c r="C41" i="20"/>
  <c r="C24" i="25" s="1"/>
  <c r="S7" i="15"/>
  <c r="F7" i="17"/>
  <c r="G7" i="18"/>
  <c r="T7" i="18" s="1"/>
  <c r="G7" i="20"/>
  <c r="G5" i="25" s="1"/>
  <c r="AD10" i="97" s="1"/>
  <c r="P8" i="15"/>
  <c r="C8" i="17"/>
  <c r="X5" i="15"/>
  <c r="K5" i="17"/>
  <c r="K38" i="20"/>
  <c r="K21" i="25" s="1"/>
  <c r="D8" i="20"/>
  <c r="D6" i="25" s="1"/>
  <c r="D6" i="26" s="1"/>
  <c r="D5" i="29" s="1"/>
  <c r="D8" i="18"/>
  <c r="Q8" i="18" s="1"/>
  <c r="V6" i="15"/>
  <c r="I6" i="17"/>
  <c r="X6" i="20"/>
  <c r="S8" i="20"/>
  <c r="G3" i="27" s="1"/>
  <c r="Q4" i="32" s="1"/>
  <c r="F8" i="97" s="1"/>
  <c r="G59" i="22"/>
  <c r="G8" i="22"/>
  <c r="B61" i="22"/>
  <c r="B10" i="22"/>
  <c r="D60" i="22"/>
  <c r="D9" i="22"/>
  <c r="H59" i="22"/>
  <c r="H8" i="22"/>
  <c r="H6" i="15"/>
  <c r="J22" i="25"/>
  <c r="H23" i="26"/>
  <c r="H22" i="29" s="1"/>
  <c r="AE28" i="97"/>
  <c r="G6" i="15"/>
  <c r="Z41" i="97"/>
  <c r="C36" i="26"/>
  <c r="C35" i="29" s="1"/>
  <c r="J34" i="25"/>
  <c r="W7" i="22"/>
  <c r="K27" i="27" s="1"/>
  <c r="U28" i="32" s="1"/>
  <c r="J32" i="97" s="1"/>
  <c r="W39" i="15"/>
  <c r="J5" i="14"/>
  <c r="J38" i="14"/>
  <c r="D24" i="26"/>
  <c r="D23" i="29" s="1"/>
  <c r="AA29" i="97"/>
  <c r="I46" i="22"/>
  <c r="I33" i="22" s="1"/>
  <c r="I20" i="22" s="1"/>
  <c r="K45" i="22"/>
  <c r="K32" i="22" s="1"/>
  <c r="K19" i="22" s="1"/>
  <c r="F47" i="22"/>
  <c r="F34" i="22" s="1"/>
  <c r="F21" i="22" s="1"/>
  <c r="E47" i="22"/>
  <c r="E34" i="22" s="1"/>
  <c r="E21" i="22" s="1"/>
  <c r="I34" i="25"/>
  <c r="V7" i="22"/>
  <c r="J27" i="27" s="1"/>
  <c r="T28" i="32" s="1"/>
  <c r="I32" i="97" s="1"/>
  <c r="V39" i="15"/>
  <c r="V39" i="18" s="1"/>
  <c r="I5" i="14"/>
  <c r="I38" i="14"/>
  <c r="C48" i="22"/>
  <c r="C35" i="22" s="1"/>
  <c r="C22" i="22" s="1"/>
  <c r="D40" i="15"/>
  <c r="D40" i="17" s="1"/>
  <c r="D40" i="20" s="1"/>
  <c r="S40" i="15"/>
  <c r="S40" i="18" s="1"/>
  <c r="F6" i="14"/>
  <c r="F39" i="14"/>
  <c r="B8" i="15"/>
  <c r="P41" i="15"/>
  <c r="P41" i="18" s="1"/>
  <c r="C7" i="14"/>
  <c r="C40" i="14"/>
  <c r="B25" i="26"/>
  <c r="Y30" i="97"/>
  <c r="AA41" i="97"/>
  <c r="D36" i="26"/>
  <c r="D35" i="29" s="1"/>
  <c r="B41" i="15"/>
  <c r="B41" i="17" s="1"/>
  <c r="B41" i="18" s="1"/>
  <c r="AE40" i="97"/>
  <c r="H35" i="26"/>
  <c r="H34" i="29" s="1"/>
  <c r="X38" i="15"/>
  <c r="X38" i="18" s="1"/>
  <c r="K4" i="14"/>
  <c r="K37" i="14"/>
  <c r="R40" i="15"/>
  <c r="R40" i="18" s="1"/>
  <c r="E6" i="14"/>
  <c r="E39" i="14"/>
  <c r="D7" i="15"/>
  <c r="Y12" i="97"/>
  <c r="B7" i="26"/>
  <c r="F35" i="25"/>
  <c r="S8" i="22"/>
  <c r="G28" i="27" s="1"/>
  <c r="Q29" i="32" s="1"/>
  <c r="F33" i="97" s="1"/>
  <c r="Y42" i="97"/>
  <c r="B37" i="26"/>
  <c r="AB40" i="97"/>
  <c r="E35" i="26"/>
  <c r="E34" i="29" s="1"/>
  <c r="H39" i="15"/>
  <c r="H39" i="17" s="1"/>
  <c r="H39" i="18" s="1"/>
  <c r="AD40" i="97"/>
  <c r="G35" i="26"/>
  <c r="G34" i="29" s="1"/>
  <c r="G39" i="15"/>
  <c r="G39" i="17" s="1"/>
  <c r="G39" i="18" s="1"/>
  <c r="AD28" i="97"/>
  <c r="G23" i="26"/>
  <c r="G22" i="29" s="1"/>
  <c r="K33" i="25"/>
  <c r="X6" i="22"/>
  <c r="L26" i="27" s="1"/>
  <c r="V27" i="32" s="1"/>
  <c r="K31" i="97" s="1"/>
  <c r="AE10" i="97" l="1"/>
  <c r="AA11" i="97"/>
  <c r="V39" i="20"/>
  <c r="J17" i="27" s="1"/>
  <c r="T18" i="32" s="1"/>
  <c r="I22" i="97" s="1"/>
  <c r="X38" i="20"/>
  <c r="L16" i="27" s="1"/>
  <c r="V17" i="32" s="1"/>
  <c r="K21" i="97" s="1"/>
  <c r="R40" i="20"/>
  <c r="F18" i="27" s="1"/>
  <c r="P19" i="32" s="1"/>
  <c r="E23" i="97" s="1"/>
  <c r="W39" i="18"/>
  <c r="W39" i="20" s="1"/>
  <c r="K17" i="27" s="1"/>
  <c r="U18" i="32" s="1"/>
  <c r="J22" i="97" s="1"/>
  <c r="S40" i="20"/>
  <c r="G18" i="27" s="1"/>
  <c r="Q19" i="32" s="1"/>
  <c r="F23" i="97" s="1"/>
  <c r="G5" i="26"/>
  <c r="G4" i="29" s="1"/>
  <c r="U7" i="20"/>
  <c r="P41" i="20"/>
  <c r="D19" i="27" s="1"/>
  <c r="N20" i="32" s="1"/>
  <c r="C24" i="97" s="1"/>
  <c r="D40" i="18"/>
  <c r="D47" i="22" s="1"/>
  <c r="D34" i="22" s="1"/>
  <c r="D21" i="22" s="1"/>
  <c r="H39" i="20"/>
  <c r="H22" i="25" s="1"/>
  <c r="B41" i="20"/>
  <c r="B24" i="25" s="1"/>
  <c r="C8" i="18"/>
  <c r="P8" i="18" s="1"/>
  <c r="C8" i="20"/>
  <c r="C6" i="25" s="1"/>
  <c r="Z11" i="97" s="1"/>
  <c r="F7" i="20"/>
  <c r="F5" i="25" s="1"/>
  <c r="AC10" i="97" s="1"/>
  <c r="F7" i="18"/>
  <c r="S7" i="18" s="1"/>
  <c r="E7" i="18"/>
  <c r="R7" i="18" s="1"/>
  <c r="E7" i="20"/>
  <c r="U6" i="15"/>
  <c r="H6" i="17"/>
  <c r="I6" i="18"/>
  <c r="V6" i="18" s="1"/>
  <c r="I6" i="20"/>
  <c r="T6" i="15"/>
  <c r="G6" i="17"/>
  <c r="K5" i="18"/>
  <c r="X5" i="18" s="1"/>
  <c r="K5" i="20"/>
  <c r="K3" i="25" s="1"/>
  <c r="AH8" i="97" s="1"/>
  <c r="J6" i="18"/>
  <c r="W6" i="18" s="1"/>
  <c r="J6" i="20"/>
  <c r="J4" i="25" s="1"/>
  <c r="AG9" i="97" s="1"/>
  <c r="G39" i="20"/>
  <c r="G22" i="25" s="1"/>
  <c r="Q7" i="15"/>
  <c r="D7" i="17"/>
  <c r="O8" i="15"/>
  <c r="B8" i="17"/>
  <c r="Q8" i="20"/>
  <c r="E3" i="27" s="1"/>
  <c r="O4" i="32" s="1"/>
  <c r="D8" i="97" s="1"/>
  <c r="T7" i="20"/>
  <c r="AB11" i="97"/>
  <c r="E6" i="26"/>
  <c r="E5" i="29" s="1"/>
  <c r="K57" i="22"/>
  <c r="K6" i="22"/>
  <c r="C60" i="22"/>
  <c r="C9" i="22"/>
  <c r="E59" i="22"/>
  <c r="E8" i="22"/>
  <c r="I58" i="22"/>
  <c r="I7" i="22"/>
  <c r="F59" i="22"/>
  <c r="F8" i="22"/>
  <c r="J58" i="22"/>
  <c r="J7" i="22"/>
  <c r="T39" i="15"/>
  <c r="T39" i="18" s="1"/>
  <c r="G5" i="14"/>
  <c r="G38" i="14"/>
  <c r="C40" i="15"/>
  <c r="C40" i="17" s="1"/>
  <c r="C40" i="20" s="1"/>
  <c r="F39" i="15"/>
  <c r="F39" i="17" s="1"/>
  <c r="F39" i="20" s="1"/>
  <c r="B6" i="29"/>
  <c r="L7" i="26"/>
  <c r="B36" i="29"/>
  <c r="L37" i="26"/>
  <c r="E39" i="15"/>
  <c r="E39" i="17" s="1"/>
  <c r="E39" i="18" s="1"/>
  <c r="C7" i="15"/>
  <c r="F6" i="15"/>
  <c r="AF39" i="97"/>
  <c r="I34" i="26"/>
  <c r="I33" i="29" s="1"/>
  <c r="AG39" i="97"/>
  <c r="J34" i="26"/>
  <c r="J33" i="29" s="1"/>
  <c r="AF27" i="97"/>
  <c r="I22" i="26"/>
  <c r="I21" i="29" s="1"/>
  <c r="D35" i="25"/>
  <c r="Q8" i="22"/>
  <c r="E28" i="27" s="1"/>
  <c r="O29" i="32" s="1"/>
  <c r="D33" i="97" s="1"/>
  <c r="B48" i="22"/>
  <c r="B35" i="22" s="1"/>
  <c r="B22" i="22" s="1"/>
  <c r="E23" i="26"/>
  <c r="E22" i="29" s="1"/>
  <c r="AB28" i="97"/>
  <c r="J22" i="26"/>
  <c r="J21" i="29" s="1"/>
  <c r="AG27" i="97"/>
  <c r="B24" i="29"/>
  <c r="L25" i="26"/>
  <c r="C24" i="26"/>
  <c r="C23" i="29" s="1"/>
  <c r="Z29" i="97"/>
  <c r="F23" i="26"/>
  <c r="F22" i="29" s="1"/>
  <c r="AC28" i="97"/>
  <c r="U39" i="15"/>
  <c r="U39" i="18" s="1"/>
  <c r="H5" i="14"/>
  <c r="H38" i="14"/>
  <c r="E6" i="15"/>
  <c r="O41" i="15"/>
  <c r="O41" i="18" s="1"/>
  <c r="B7" i="14"/>
  <c r="B40" i="14"/>
  <c r="D23" i="25"/>
  <c r="I38" i="15"/>
  <c r="I38" i="17" s="1"/>
  <c r="I38" i="18" s="1"/>
  <c r="J38" i="15"/>
  <c r="J38" i="17" s="1"/>
  <c r="J38" i="20" s="1"/>
  <c r="AH26" i="97"/>
  <c r="K21" i="26"/>
  <c r="K20" i="29" s="1"/>
  <c r="B36" i="25"/>
  <c r="O9" i="22"/>
  <c r="C29" i="27" s="1"/>
  <c r="M30" i="32" s="1"/>
  <c r="B34" i="97" s="1"/>
  <c r="H46" i="22"/>
  <c r="H33" i="22" s="1"/>
  <c r="H20" i="22" s="1"/>
  <c r="AC40" i="97"/>
  <c r="F35" i="26"/>
  <c r="F34" i="29" s="1"/>
  <c r="K37" i="15"/>
  <c r="K37" i="17" s="1"/>
  <c r="K37" i="20" s="1"/>
  <c r="I5" i="15"/>
  <c r="J5" i="15"/>
  <c r="G46" i="22"/>
  <c r="G33" i="22" s="1"/>
  <c r="G20" i="22" s="1"/>
  <c r="H34" i="25"/>
  <c r="U7" i="22"/>
  <c r="I27" i="27" s="1"/>
  <c r="S28" i="32" s="1"/>
  <c r="H32" i="97" s="1"/>
  <c r="AH38" i="97"/>
  <c r="K33" i="26"/>
  <c r="K32" i="29" s="1"/>
  <c r="K4" i="15"/>
  <c r="Q40" i="15"/>
  <c r="D6" i="14"/>
  <c r="D39" i="14"/>
  <c r="G34" i="25"/>
  <c r="T7" i="22"/>
  <c r="H27" i="27" s="1"/>
  <c r="R28" i="32" s="1"/>
  <c r="G32" i="97" s="1"/>
  <c r="C6" i="26" l="1"/>
  <c r="C5" i="29" s="1"/>
  <c r="J4" i="26"/>
  <c r="J3" i="29" s="1"/>
  <c r="F5" i="26"/>
  <c r="F4" i="29" s="1"/>
  <c r="T39" i="20"/>
  <c r="H17" i="27" s="1"/>
  <c r="R18" i="32" s="1"/>
  <c r="G22" i="97" s="1"/>
  <c r="U39" i="20"/>
  <c r="I17" i="27" s="1"/>
  <c r="S18" i="32" s="1"/>
  <c r="H22" i="97" s="1"/>
  <c r="Q40" i="18"/>
  <c r="Q40" i="20" s="1"/>
  <c r="E18" i="27" s="1"/>
  <c r="O19" i="32" s="1"/>
  <c r="D23" i="97" s="1"/>
  <c r="K3" i="26"/>
  <c r="K2" i="29" s="1"/>
  <c r="X5" i="20"/>
  <c r="P8" i="20"/>
  <c r="D3" i="27" s="1"/>
  <c r="N4" i="32" s="1"/>
  <c r="C8" i="97" s="1"/>
  <c r="F39" i="18"/>
  <c r="F46" i="22" s="1"/>
  <c r="F33" i="22" s="1"/>
  <c r="F20" i="22" s="1"/>
  <c r="S7" i="20"/>
  <c r="J38" i="18"/>
  <c r="J45" i="22" s="1"/>
  <c r="J32" i="22" s="1"/>
  <c r="J19" i="22" s="1"/>
  <c r="E39" i="20"/>
  <c r="E22" i="25" s="1"/>
  <c r="O41" i="20"/>
  <c r="C19" i="27" s="1"/>
  <c r="M20" i="32" s="1"/>
  <c r="B24" i="97" s="1"/>
  <c r="K37" i="18"/>
  <c r="K44" i="22" s="1"/>
  <c r="K31" i="22" s="1"/>
  <c r="K18" i="22" s="1"/>
  <c r="V5" i="15"/>
  <c r="I5" i="17"/>
  <c r="X4" i="15"/>
  <c r="K4" i="17"/>
  <c r="C40" i="18"/>
  <c r="C47" i="22" s="1"/>
  <c r="C34" i="22" s="1"/>
  <c r="C21" i="22" s="1"/>
  <c r="V6" i="20"/>
  <c r="I4" i="25"/>
  <c r="E5" i="25"/>
  <c r="R7" i="20"/>
  <c r="R6" i="15"/>
  <c r="E6" i="17"/>
  <c r="B8" i="20"/>
  <c r="B6" i="25" s="1"/>
  <c r="Y11" i="97" s="1"/>
  <c r="B8" i="18"/>
  <c r="O8" i="18" s="1"/>
  <c r="W5" i="15"/>
  <c r="J5" i="17"/>
  <c r="I38" i="20"/>
  <c r="I21" i="25" s="1"/>
  <c r="P7" i="15"/>
  <c r="C7" i="17"/>
  <c r="G6" i="18"/>
  <c r="T6" i="18" s="1"/>
  <c r="G6" i="20"/>
  <c r="G4" i="25" s="1"/>
  <c r="AD9" i="97" s="1"/>
  <c r="H6" i="18"/>
  <c r="U6" i="18" s="1"/>
  <c r="H6" i="20"/>
  <c r="H4" i="25" s="1"/>
  <c r="AE9" i="97" s="1"/>
  <c r="S6" i="15"/>
  <c r="F6" i="17"/>
  <c r="D7" i="18"/>
  <c r="Q7" i="18" s="1"/>
  <c r="D7" i="20"/>
  <c r="D5" i="25" s="1"/>
  <c r="AA10" i="97" s="1"/>
  <c r="W6" i="20"/>
  <c r="H58" i="22"/>
  <c r="H7" i="22"/>
  <c r="D59" i="22"/>
  <c r="D8" i="22"/>
  <c r="G58" i="22"/>
  <c r="G7" i="22"/>
  <c r="B60" i="22"/>
  <c r="B9" i="22"/>
  <c r="I45" i="22"/>
  <c r="I32" i="22" s="1"/>
  <c r="I19" i="22" s="1"/>
  <c r="G5" i="15"/>
  <c r="P40" i="15"/>
  <c r="C6" i="14"/>
  <c r="C39" i="14"/>
  <c r="I33" i="25"/>
  <c r="V6" i="22"/>
  <c r="J26" i="27" s="1"/>
  <c r="T27" i="32" s="1"/>
  <c r="I31" i="97" s="1"/>
  <c r="D23" i="26"/>
  <c r="D22" i="29" s="1"/>
  <c r="AA28" i="97"/>
  <c r="E34" i="25"/>
  <c r="R7" i="22"/>
  <c r="F27" i="27" s="1"/>
  <c r="P28" i="32" s="1"/>
  <c r="E32" i="97" s="1"/>
  <c r="K20" i="25"/>
  <c r="J21" i="25"/>
  <c r="Y29" i="97"/>
  <c r="B24" i="26"/>
  <c r="F22" i="25"/>
  <c r="AE39" i="97"/>
  <c r="H34" i="26"/>
  <c r="H33" i="29" s="1"/>
  <c r="G22" i="26"/>
  <c r="G21" i="29" s="1"/>
  <c r="AD27" i="97"/>
  <c r="W38" i="15"/>
  <c r="J4" i="14"/>
  <c r="J37" i="14"/>
  <c r="H22" i="26"/>
  <c r="H21" i="29" s="1"/>
  <c r="AE27" i="97"/>
  <c r="J33" i="25"/>
  <c r="W6" i="22"/>
  <c r="K26" i="27" s="1"/>
  <c r="U27" i="32" s="1"/>
  <c r="J31" i="97" s="1"/>
  <c r="C35" i="25"/>
  <c r="P8" i="22"/>
  <c r="D28" i="27" s="1"/>
  <c r="N29" i="32" s="1"/>
  <c r="C33" i="97" s="1"/>
  <c r="D6" i="15"/>
  <c r="X37" i="15"/>
  <c r="K3" i="14"/>
  <c r="K36" i="14"/>
  <c r="B40" i="15"/>
  <c r="B40" i="17" s="1"/>
  <c r="B40" i="18" s="1"/>
  <c r="H38" i="15"/>
  <c r="H38" i="17" s="1"/>
  <c r="H38" i="20" s="1"/>
  <c r="E46" i="22"/>
  <c r="E33" i="22" s="1"/>
  <c r="E20" i="22" s="1"/>
  <c r="S39" i="15"/>
  <c r="F5" i="14"/>
  <c r="F38" i="14"/>
  <c r="V38" i="15"/>
  <c r="V38" i="18" s="1"/>
  <c r="I4" i="14"/>
  <c r="I37" i="14"/>
  <c r="AA40" i="97"/>
  <c r="D35" i="26"/>
  <c r="D34" i="29" s="1"/>
  <c r="AD39" i="97"/>
  <c r="G34" i="26"/>
  <c r="G33" i="29" s="1"/>
  <c r="D39" i="15"/>
  <c r="D39" i="17" s="1"/>
  <c r="D39" i="18" s="1"/>
  <c r="Y41" i="97"/>
  <c r="B36" i="26"/>
  <c r="B7" i="15"/>
  <c r="H5" i="15"/>
  <c r="R39" i="15"/>
  <c r="R39" i="18" s="1"/>
  <c r="E5" i="14"/>
  <c r="E38" i="14"/>
  <c r="C23" i="25"/>
  <c r="G38" i="15"/>
  <c r="G38" i="17" s="1"/>
  <c r="G38" i="18" s="1"/>
  <c r="F34" i="25"/>
  <c r="S7" i="22"/>
  <c r="G27" i="27" s="1"/>
  <c r="Q28" i="32" s="1"/>
  <c r="F32" i="97" s="1"/>
  <c r="K32" i="25"/>
  <c r="X5" i="22"/>
  <c r="L25" i="27" s="1"/>
  <c r="V26" i="32" s="1"/>
  <c r="K30" i="97" s="1"/>
  <c r="V38" i="20" l="1"/>
  <c r="J16" i="27" s="1"/>
  <c r="T17" i="32" s="1"/>
  <c r="I21" i="97" s="1"/>
  <c r="G4" i="26"/>
  <c r="G3" i="29" s="1"/>
  <c r="P40" i="18"/>
  <c r="P40" i="20" s="1"/>
  <c r="D18" i="27" s="1"/>
  <c r="N19" i="32" s="1"/>
  <c r="C23" i="97" s="1"/>
  <c r="W38" i="18"/>
  <c r="W38" i="20" s="1"/>
  <c r="K16" i="27" s="1"/>
  <c r="U17" i="32" s="1"/>
  <c r="J21" i="97" s="1"/>
  <c r="H38" i="18"/>
  <c r="S39" i="18"/>
  <c r="S39" i="20" s="1"/>
  <c r="G17" i="27" s="1"/>
  <c r="Q18" i="32" s="1"/>
  <c r="F22" i="97" s="1"/>
  <c r="R39" i="20"/>
  <c r="F17" i="27" s="1"/>
  <c r="P18" i="32" s="1"/>
  <c r="E22" i="97" s="1"/>
  <c r="D5" i="26"/>
  <c r="D4" i="29" s="1"/>
  <c r="H4" i="26"/>
  <c r="H3" i="29" s="1"/>
  <c r="B6" i="26"/>
  <c r="B5" i="29" s="1"/>
  <c r="D39" i="20"/>
  <c r="D22" i="25" s="1"/>
  <c r="X37" i="18"/>
  <c r="X37" i="20" s="1"/>
  <c r="L15" i="27" s="1"/>
  <c r="V16" i="32" s="1"/>
  <c r="K20" i="97" s="1"/>
  <c r="T5" i="15"/>
  <c r="G5" i="17"/>
  <c r="F6" i="20"/>
  <c r="F4" i="25" s="1"/>
  <c r="F4" i="26" s="1"/>
  <c r="F3" i="29" s="1"/>
  <c r="F6" i="18"/>
  <c r="S6" i="18" s="1"/>
  <c r="AB10" i="97"/>
  <c r="E5" i="26"/>
  <c r="E4" i="29" s="1"/>
  <c r="K4" i="18"/>
  <c r="X4" i="18" s="1"/>
  <c r="K4" i="20"/>
  <c r="U5" i="15"/>
  <c r="H5" i="17"/>
  <c r="T6" i="20"/>
  <c r="J5" i="18"/>
  <c r="W5" i="18" s="1"/>
  <c r="J5" i="20"/>
  <c r="J3" i="25" s="1"/>
  <c r="J3" i="26" s="1"/>
  <c r="E6" i="18"/>
  <c r="R6" i="18" s="1"/>
  <c r="E6" i="20"/>
  <c r="E4" i="25" s="1"/>
  <c r="E4" i="26" s="1"/>
  <c r="E3" i="29" s="1"/>
  <c r="AF9" i="97"/>
  <c r="I4" i="26"/>
  <c r="I3" i="29" s="1"/>
  <c r="G38" i="20"/>
  <c r="G21" i="25" s="1"/>
  <c r="B40" i="20"/>
  <c r="B23" i="25" s="1"/>
  <c r="C7" i="18"/>
  <c r="P7" i="18" s="1"/>
  <c r="C7" i="20"/>
  <c r="C5" i="25" s="1"/>
  <c r="Z10" i="97" s="1"/>
  <c r="I5" i="20"/>
  <c r="I3" i="25" s="1"/>
  <c r="AF8" i="97" s="1"/>
  <c r="I5" i="18"/>
  <c r="V5" i="18" s="1"/>
  <c r="O7" i="15"/>
  <c r="B7" i="17"/>
  <c r="Q6" i="15"/>
  <c r="D6" i="17"/>
  <c r="Q7" i="20"/>
  <c r="U6" i="20"/>
  <c r="O8" i="20"/>
  <c r="C3" i="27" s="1"/>
  <c r="M4" i="32" s="1"/>
  <c r="B8" i="97" s="1"/>
  <c r="E58" i="22"/>
  <c r="E7" i="22"/>
  <c r="J57" i="22"/>
  <c r="J6" i="22"/>
  <c r="C59" i="22"/>
  <c r="C8" i="22"/>
  <c r="K56" i="22"/>
  <c r="K5" i="22"/>
  <c r="F58" i="22"/>
  <c r="F7" i="22"/>
  <c r="I57" i="22"/>
  <c r="I6" i="22"/>
  <c r="J37" i="15"/>
  <c r="J37" i="17" s="1"/>
  <c r="J37" i="18" s="1"/>
  <c r="F38" i="15"/>
  <c r="F38" i="17" s="1"/>
  <c r="F38" i="18" s="1"/>
  <c r="H21" i="25"/>
  <c r="J4" i="15"/>
  <c r="Q39" i="15"/>
  <c r="Q39" i="18" s="1"/>
  <c r="Q39" i="20" s="1"/>
  <c r="E17" i="27" s="1"/>
  <c r="O18" i="32" s="1"/>
  <c r="D22" i="97" s="1"/>
  <c r="D5" i="14"/>
  <c r="D38" i="14"/>
  <c r="AH37" i="97"/>
  <c r="K32" i="26"/>
  <c r="K31" i="29" s="1"/>
  <c r="F5" i="15"/>
  <c r="F22" i="26"/>
  <c r="F21" i="29" s="1"/>
  <c r="AC27" i="97"/>
  <c r="AF38" i="97"/>
  <c r="I33" i="26"/>
  <c r="I32" i="29" s="1"/>
  <c r="B35" i="25"/>
  <c r="O8" i="22"/>
  <c r="C28" i="27" s="1"/>
  <c r="M29" i="32" s="1"/>
  <c r="B33" i="97" s="1"/>
  <c r="Z28" i="97"/>
  <c r="C23" i="26"/>
  <c r="C22" i="29" s="1"/>
  <c r="I21" i="26"/>
  <c r="I20" i="29" s="1"/>
  <c r="AF26" i="97"/>
  <c r="U38" i="15"/>
  <c r="H4" i="14"/>
  <c r="H37" i="14"/>
  <c r="Z40" i="97"/>
  <c r="C35" i="26"/>
  <c r="C34" i="29" s="1"/>
  <c r="B23" i="29"/>
  <c r="L24" i="26"/>
  <c r="C39" i="15"/>
  <c r="C39" i="17" s="1"/>
  <c r="C39" i="20" s="1"/>
  <c r="C6" i="15"/>
  <c r="G33" i="25"/>
  <c r="T6" i="22"/>
  <c r="H26" i="27" s="1"/>
  <c r="R27" i="32" s="1"/>
  <c r="G31" i="97" s="1"/>
  <c r="AC39" i="97"/>
  <c r="F34" i="26"/>
  <c r="F33" i="29" s="1"/>
  <c r="AB39" i="97"/>
  <c r="E34" i="26"/>
  <c r="E33" i="29" s="1"/>
  <c r="I37" i="15"/>
  <c r="I37" i="17" s="1"/>
  <c r="I37" i="18" s="1"/>
  <c r="B47" i="22"/>
  <c r="B34" i="22" s="1"/>
  <c r="B21" i="22" s="1"/>
  <c r="K3" i="15"/>
  <c r="AG38" i="97"/>
  <c r="J33" i="26"/>
  <c r="J32" i="29" s="1"/>
  <c r="B35" i="29"/>
  <c r="L36" i="26"/>
  <c r="K36" i="15"/>
  <c r="K36" i="17" s="1"/>
  <c r="K36" i="18" s="1"/>
  <c r="E5" i="15"/>
  <c r="I4" i="15"/>
  <c r="O40" i="15"/>
  <c r="O40" i="18" s="1"/>
  <c r="B6" i="14"/>
  <c r="B39" i="14"/>
  <c r="E22" i="26"/>
  <c r="E21" i="29" s="1"/>
  <c r="AB27" i="97"/>
  <c r="J21" i="26"/>
  <c r="J20" i="29" s="1"/>
  <c r="AG26" i="97"/>
  <c r="D34" i="25"/>
  <c r="Q7" i="22"/>
  <c r="E27" i="27" s="1"/>
  <c r="O28" i="32" s="1"/>
  <c r="D32" i="97" s="1"/>
  <c r="H45" i="22"/>
  <c r="H32" i="22" s="1"/>
  <c r="H19" i="22" s="1"/>
  <c r="E38" i="15"/>
  <c r="E38" i="17" s="1"/>
  <c r="E38" i="18" s="1"/>
  <c r="G45" i="22"/>
  <c r="G32" i="22" s="1"/>
  <c r="G19" i="22" s="1"/>
  <c r="T38" i="15"/>
  <c r="T38" i="18" s="1"/>
  <c r="G4" i="14"/>
  <c r="G37" i="14"/>
  <c r="D46" i="22"/>
  <c r="D33" i="22" s="1"/>
  <c r="D20" i="22" s="1"/>
  <c r="D58" i="22" s="1"/>
  <c r="K20" i="26"/>
  <c r="K19" i="29" s="1"/>
  <c r="AH25" i="97"/>
  <c r="H33" i="25"/>
  <c r="U6" i="22"/>
  <c r="I26" i="27" s="1"/>
  <c r="S27" i="32" s="1"/>
  <c r="H31" i="97" s="1"/>
  <c r="AC9" i="97" l="1"/>
  <c r="U38" i="18"/>
  <c r="U38" i="20" s="1"/>
  <c r="I16" i="27" s="1"/>
  <c r="S17" i="32" s="1"/>
  <c r="H21" i="97" s="1"/>
  <c r="C39" i="18"/>
  <c r="C46" i="22" s="1"/>
  <c r="C33" i="22" s="1"/>
  <c r="C20" i="22" s="1"/>
  <c r="AB9" i="97"/>
  <c r="O40" i="20"/>
  <c r="C18" i="27" s="1"/>
  <c r="M19" i="32" s="1"/>
  <c r="B23" i="97" s="1"/>
  <c r="AG8" i="97"/>
  <c r="I3" i="26"/>
  <c r="I2" i="29" s="1"/>
  <c r="L6" i="26"/>
  <c r="S6" i="20"/>
  <c r="T38" i="20"/>
  <c r="H16" i="27" s="1"/>
  <c r="R17" i="32" s="1"/>
  <c r="G21" i="97" s="1"/>
  <c r="J37" i="20"/>
  <c r="J20" i="25" s="1"/>
  <c r="C5" i="26"/>
  <c r="C4" i="29" s="1"/>
  <c r="P7" i="20"/>
  <c r="W5" i="20"/>
  <c r="E38" i="20"/>
  <c r="E21" i="25" s="1"/>
  <c r="V5" i="20"/>
  <c r="K36" i="20"/>
  <c r="K19" i="25" s="1"/>
  <c r="R5" i="15"/>
  <c r="E5" i="17"/>
  <c r="I37" i="20"/>
  <c r="I20" i="25" s="1"/>
  <c r="P6" i="15"/>
  <c r="C6" i="17"/>
  <c r="D6" i="18"/>
  <c r="Q6" i="18" s="1"/>
  <c r="D6" i="20"/>
  <c r="X4" i="20"/>
  <c r="V4" i="15"/>
  <c r="I4" i="17"/>
  <c r="X3" i="15"/>
  <c r="K3" i="17"/>
  <c r="S5" i="15"/>
  <c r="F5" i="17"/>
  <c r="F38" i="20"/>
  <c r="F21" i="25" s="1"/>
  <c r="R6" i="20"/>
  <c r="H5" i="20"/>
  <c r="H3" i="25" s="1"/>
  <c r="AE8" i="97" s="1"/>
  <c r="H5" i="18"/>
  <c r="U5" i="18" s="1"/>
  <c r="G5" i="20"/>
  <c r="G3" i="25" s="1"/>
  <c r="AD8" i="97" s="1"/>
  <c r="G5" i="18"/>
  <c r="T5" i="18" s="1"/>
  <c r="W4" i="15"/>
  <c r="J4" i="17"/>
  <c r="B7" i="20"/>
  <c r="B5" i="25" s="1"/>
  <c r="Y10" i="97" s="1"/>
  <c r="B7" i="18"/>
  <c r="O7" i="18" s="1"/>
  <c r="G57" i="22"/>
  <c r="G6" i="22"/>
  <c r="B59" i="22"/>
  <c r="B8" i="22"/>
  <c r="H57" i="22"/>
  <c r="H6" i="22"/>
  <c r="D33" i="25"/>
  <c r="Q6" i="22"/>
  <c r="E26" i="27" s="1"/>
  <c r="O27" i="32" s="1"/>
  <c r="D31" i="97" s="1"/>
  <c r="B23" i="26"/>
  <c r="Y28" i="97"/>
  <c r="E45" i="22"/>
  <c r="E32" i="22" s="1"/>
  <c r="E19" i="22" s="1"/>
  <c r="AA39" i="97"/>
  <c r="D34" i="26"/>
  <c r="D33" i="29" s="1"/>
  <c r="B6" i="15"/>
  <c r="V37" i="15"/>
  <c r="V37" i="18" s="1"/>
  <c r="V37" i="20" s="1"/>
  <c r="J15" i="27" s="1"/>
  <c r="T16" i="32" s="1"/>
  <c r="I20" i="97" s="1"/>
  <c r="I3" i="14"/>
  <c r="I36" i="14"/>
  <c r="D38" i="15"/>
  <c r="D38" i="17" s="1"/>
  <c r="D38" i="18" s="1"/>
  <c r="B39" i="15"/>
  <c r="B39" i="17" s="1"/>
  <c r="B39" i="20" s="1"/>
  <c r="R38" i="15"/>
  <c r="R38" i="18" s="1"/>
  <c r="E4" i="14"/>
  <c r="E37" i="14"/>
  <c r="X36" i="15"/>
  <c r="X36" i="18" s="1"/>
  <c r="K2" i="14"/>
  <c r="K35" i="14"/>
  <c r="I44" i="22"/>
  <c r="I31" i="22" s="1"/>
  <c r="I18" i="22" s="1"/>
  <c r="D5" i="15"/>
  <c r="H21" i="26"/>
  <c r="H20" i="29" s="1"/>
  <c r="AE26" i="97"/>
  <c r="C34" i="25"/>
  <c r="P7" i="22"/>
  <c r="D27" i="27" s="1"/>
  <c r="N28" i="32" s="1"/>
  <c r="C32" i="97" s="1"/>
  <c r="K31" i="25"/>
  <c r="X4" i="22"/>
  <c r="L24" i="27" s="1"/>
  <c r="V25" i="32" s="1"/>
  <c r="K29" i="97" s="1"/>
  <c r="K43" i="22"/>
  <c r="K30" i="22" s="1"/>
  <c r="K17" i="22" s="1"/>
  <c r="H37" i="15"/>
  <c r="H37" i="17" s="1"/>
  <c r="H37" i="20" s="1"/>
  <c r="Y40" i="97"/>
  <c r="B35" i="26"/>
  <c r="AE38" i="97"/>
  <c r="H33" i="26"/>
  <c r="H32" i="29" s="1"/>
  <c r="G37" i="15"/>
  <c r="G37" i="17" s="1"/>
  <c r="G37" i="18" s="1"/>
  <c r="AD26" i="97"/>
  <c r="G21" i="26"/>
  <c r="G20" i="29" s="1"/>
  <c r="AD38" i="97"/>
  <c r="G33" i="26"/>
  <c r="G32" i="29" s="1"/>
  <c r="C22" i="25"/>
  <c r="H4" i="15"/>
  <c r="J2" i="29"/>
  <c r="F45" i="22"/>
  <c r="F32" i="22" s="1"/>
  <c r="F19" i="22" s="1"/>
  <c r="F57" i="22" s="1"/>
  <c r="W37" i="15"/>
  <c r="W37" i="18" s="1"/>
  <c r="J3" i="14"/>
  <c r="J36" i="14"/>
  <c r="I32" i="25"/>
  <c r="V5" i="22"/>
  <c r="J25" i="27" s="1"/>
  <c r="T26" i="32" s="1"/>
  <c r="I30" i="97" s="1"/>
  <c r="J32" i="25"/>
  <c r="W5" i="22"/>
  <c r="K25" i="27" s="1"/>
  <c r="U26" i="32" s="1"/>
  <c r="J30" i="97" s="1"/>
  <c r="G4" i="15"/>
  <c r="S38" i="15"/>
  <c r="S38" i="18" s="1"/>
  <c r="F4" i="14"/>
  <c r="F37" i="14"/>
  <c r="J44" i="22"/>
  <c r="J31" i="22" s="1"/>
  <c r="J18" i="22" s="1"/>
  <c r="D22" i="26"/>
  <c r="D21" i="29" s="1"/>
  <c r="AA27" i="97"/>
  <c r="D7" i="22"/>
  <c r="P39" i="15"/>
  <c r="C5" i="14"/>
  <c r="C38" i="14"/>
  <c r="F33" i="25"/>
  <c r="S6" i="22"/>
  <c r="G26" i="27" s="1"/>
  <c r="Q27" i="32" s="1"/>
  <c r="F31" i="97" s="1"/>
  <c r="E33" i="25"/>
  <c r="R6" i="22"/>
  <c r="F26" i="27" s="1"/>
  <c r="P27" i="32" s="1"/>
  <c r="E31" i="97" s="1"/>
  <c r="G3" i="26" l="1"/>
  <c r="G2" i="29" s="1"/>
  <c r="B5" i="26"/>
  <c r="B4" i="29" s="1"/>
  <c r="S38" i="20"/>
  <c r="G16" i="27" s="1"/>
  <c r="Q17" i="32" s="1"/>
  <c r="F21" i="97" s="1"/>
  <c r="X36" i="20"/>
  <c r="L14" i="27" s="1"/>
  <c r="V15" i="32" s="1"/>
  <c r="K19" i="97" s="1"/>
  <c r="H3" i="26"/>
  <c r="H2" i="29" s="1"/>
  <c r="P39" i="18"/>
  <c r="P39" i="20" s="1"/>
  <c r="D17" i="27" s="1"/>
  <c r="N18" i="32" s="1"/>
  <c r="C22" i="97" s="1"/>
  <c r="W37" i="20"/>
  <c r="K15" i="27" s="1"/>
  <c r="U16" i="32" s="1"/>
  <c r="J20" i="97" s="1"/>
  <c r="U5" i="20"/>
  <c r="H37" i="18"/>
  <c r="B39" i="18"/>
  <c r="O7" i="20"/>
  <c r="T5" i="20"/>
  <c r="R38" i="20"/>
  <c r="F16" i="27" s="1"/>
  <c r="P17" i="32" s="1"/>
  <c r="E21" i="97" s="1"/>
  <c r="G37" i="20"/>
  <c r="G20" i="25" s="1"/>
  <c r="K3" i="20"/>
  <c r="K3" i="18"/>
  <c r="X3" i="18" s="1"/>
  <c r="O6" i="15"/>
  <c r="B6" i="17"/>
  <c r="Q6" i="20"/>
  <c r="D4" i="25"/>
  <c r="U4" i="15"/>
  <c r="H4" i="17"/>
  <c r="J4" i="20"/>
  <c r="J4" i="18"/>
  <c r="W4" i="18" s="1"/>
  <c r="E5" i="18"/>
  <c r="R5" i="18" s="1"/>
  <c r="E5" i="20"/>
  <c r="Q5" i="15"/>
  <c r="D5" i="17"/>
  <c r="D38" i="20"/>
  <c r="D21" i="25" s="1"/>
  <c r="F5" i="18"/>
  <c r="S5" i="18" s="1"/>
  <c r="F5" i="20"/>
  <c r="F3" i="25" s="1"/>
  <c r="AC8" i="97" s="1"/>
  <c r="I4" i="20"/>
  <c r="I4" i="18"/>
  <c r="V4" i="18" s="1"/>
  <c r="T4" i="15"/>
  <c r="G4" i="17"/>
  <c r="C6" i="20"/>
  <c r="C6" i="18"/>
  <c r="P6" i="18" s="1"/>
  <c r="C58" i="22"/>
  <c r="C33" i="25" s="1"/>
  <c r="C7" i="22"/>
  <c r="I56" i="22"/>
  <c r="I5" i="22"/>
  <c r="E57" i="22"/>
  <c r="E6" i="22"/>
  <c r="K55" i="22"/>
  <c r="K4" i="22"/>
  <c r="J56" i="22"/>
  <c r="J5" i="22"/>
  <c r="AB38" i="97"/>
  <c r="E33" i="26"/>
  <c r="E32" i="29" s="1"/>
  <c r="E21" i="26"/>
  <c r="E20" i="29" s="1"/>
  <c r="AB26" i="97"/>
  <c r="F21" i="26"/>
  <c r="F20" i="29" s="1"/>
  <c r="AC26" i="97"/>
  <c r="J3" i="15"/>
  <c r="T37" i="15"/>
  <c r="G3" i="14"/>
  <c r="G36" i="14"/>
  <c r="F6" i="22"/>
  <c r="B34" i="29"/>
  <c r="L35" i="26"/>
  <c r="AA38" i="97"/>
  <c r="D33" i="26"/>
  <c r="D32" i="29" s="1"/>
  <c r="F37" i="15"/>
  <c r="F37" i="17" s="1"/>
  <c r="F37" i="18" s="1"/>
  <c r="AC38" i="97"/>
  <c r="F33" i="26"/>
  <c r="F32" i="29" s="1"/>
  <c r="AG37" i="97"/>
  <c r="J32" i="26"/>
  <c r="J31" i="29" s="1"/>
  <c r="K35" i="15"/>
  <c r="K35" i="17" s="1"/>
  <c r="K35" i="18" s="1"/>
  <c r="B22" i="25"/>
  <c r="I36" i="15"/>
  <c r="I36" i="17" s="1"/>
  <c r="I36" i="20" s="1"/>
  <c r="I20" i="26"/>
  <c r="I19" i="29" s="1"/>
  <c r="AF25" i="97"/>
  <c r="F32" i="25"/>
  <c r="S5" i="22"/>
  <c r="G25" i="27" s="1"/>
  <c r="Q26" i="32" s="1"/>
  <c r="F30" i="97" s="1"/>
  <c r="U37" i="15"/>
  <c r="H3" i="14"/>
  <c r="H36" i="14"/>
  <c r="K2" i="15"/>
  <c r="B46" i="22"/>
  <c r="B33" i="22" s="1"/>
  <c r="B20" i="22" s="1"/>
  <c r="I3" i="15"/>
  <c r="H32" i="25"/>
  <c r="U5" i="22"/>
  <c r="I25" i="27" s="1"/>
  <c r="S26" i="32" s="1"/>
  <c r="H30" i="97" s="1"/>
  <c r="F4" i="15"/>
  <c r="AF37" i="97"/>
  <c r="I32" i="26"/>
  <c r="I31" i="29" s="1"/>
  <c r="O39" i="15"/>
  <c r="B5" i="14"/>
  <c r="B38" i="14"/>
  <c r="C38" i="15"/>
  <c r="C38" i="17" s="1"/>
  <c r="C38" i="20" s="1"/>
  <c r="H20" i="25"/>
  <c r="C5" i="15"/>
  <c r="J36" i="15"/>
  <c r="J36" i="17" s="1"/>
  <c r="J36" i="20" s="1"/>
  <c r="C22" i="26"/>
  <c r="C21" i="29" s="1"/>
  <c r="Z27" i="97"/>
  <c r="T37" i="18"/>
  <c r="G44" i="22"/>
  <c r="G31" i="22" s="1"/>
  <c r="G18" i="22" s="1"/>
  <c r="H44" i="22"/>
  <c r="H31" i="22" s="1"/>
  <c r="H18" i="22" s="1"/>
  <c r="AH36" i="97"/>
  <c r="K31" i="26"/>
  <c r="K30" i="29" s="1"/>
  <c r="E37" i="15"/>
  <c r="E37" i="17" s="1"/>
  <c r="E37" i="20" s="1"/>
  <c r="B22" i="29"/>
  <c r="L23" i="26"/>
  <c r="B34" i="25"/>
  <c r="O7" i="22"/>
  <c r="C27" i="27" s="1"/>
  <c r="M28" i="32" s="1"/>
  <c r="B32" i="97" s="1"/>
  <c r="E4" i="15"/>
  <c r="D45" i="22"/>
  <c r="D32" i="22" s="1"/>
  <c r="D19" i="22" s="1"/>
  <c r="J20" i="26"/>
  <c r="J19" i="29" s="1"/>
  <c r="AG25" i="97"/>
  <c r="Z39" i="97"/>
  <c r="C34" i="26"/>
  <c r="C33" i="29" s="1"/>
  <c r="Q38" i="15"/>
  <c r="Q38" i="18" s="1"/>
  <c r="D4" i="14"/>
  <c r="D37" i="14"/>
  <c r="AH24" i="97"/>
  <c r="K19" i="26"/>
  <c r="G32" i="25"/>
  <c r="T5" i="22"/>
  <c r="H25" i="27" s="1"/>
  <c r="R26" i="32" s="1"/>
  <c r="G30" i="97" s="1"/>
  <c r="U37" i="18" l="1"/>
  <c r="U37" i="20" s="1"/>
  <c r="I15" i="27" s="1"/>
  <c r="S16" i="32" s="1"/>
  <c r="H20" i="97" s="1"/>
  <c r="Q38" i="20"/>
  <c r="E16" i="27" s="1"/>
  <c r="O17" i="32" s="1"/>
  <c r="D21" i="97" s="1"/>
  <c r="L5" i="26"/>
  <c r="S5" i="20"/>
  <c r="T37" i="20"/>
  <c r="H15" i="27" s="1"/>
  <c r="R16" i="32" s="1"/>
  <c r="G20" i="97" s="1"/>
  <c r="O39" i="18"/>
  <c r="O39" i="20" s="1"/>
  <c r="C17" i="27" s="1"/>
  <c r="M18" i="32" s="1"/>
  <c r="B22" i="97" s="1"/>
  <c r="F3" i="26"/>
  <c r="F2" i="29" s="1"/>
  <c r="K35" i="20"/>
  <c r="K54" i="22" s="1"/>
  <c r="I36" i="18"/>
  <c r="F37" i="20"/>
  <c r="F20" i="25" s="1"/>
  <c r="E37" i="18"/>
  <c r="E44" i="22" s="1"/>
  <c r="E31" i="22" s="1"/>
  <c r="E18" i="22" s="1"/>
  <c r="J36" i="18"/>
  <c r="J43" i="22" s="1"/>
  <c r="J30" i="22" s="1"/>
  <c r="J17" i="22" s="1"/>
  <c r="C38" i="18"/>
  <c r="E3" i="25"/>
  <c r="R5" i="20"/>
  <c r="H4" i="20"/>
  <c r="H4" i="18"/>
  <c r="U4" i="18" s="1"/>
  <c r="B6" i="18"/>
  <c r="O6" i="18" s="1"/>
  <c r="B6" i="20"/>
  <c r="B4" i="25" s="1"/>
  <c r="Y9" i="97" s="1"/>
  <c r="S4" i="15"/>
  <c r="F4" i="17"/>
  <c r="V4" i="20"/>
  <c r="V3" i="15"/>
  <c r="I3" i="17"/>
  <c r="X2" i="15"/>
  <c r="K2" i="17"/>
  <c r="W3" i="15"/>
  <c r="J3" i="17"/>
  <c r="P6" i="20"/>
  <c r="C4" i="25"/>
  <c r="D5" i="18"/>
  <c r="Q5" i="18" s="1"/>
  <c r="D5" i="20"/>
  <c r="D3" i="25" s="1"/>
  <c r="AA8" i="97" s="1"/>
  <c r="AA9" i="97"/>
  <c r="D4" i="26"/>
  <c r="D3" i="29" s="1"/>
  <c r="P5" i="15"/>
  <c r="C5" i="17"/>
  <c r="R4" i="15"/>
  <c r="E4" i="17"/>
  <c r="G4" i="20"/>
  <c r="G4" i="18"/>
  <c r="T4" i="18" s="1"/>
  <c r="W4" i="20"/>
  <c r="X3" i="20"/>
  <c r="P6" i="22"/>
  <c r="D26" i="27" s="1"/>
  <c r="N27" i="32" s="1"/>
  <c r="C31" i="97" s="1"/>
  <c r="G56" i="22"/>
  <c r="G5" i="22"/>
  <c r="D57" i="22"/>
  <c r="D6" i="22"/>
  <c r="H56" i="22"/>
  <c r="H5" i="22"/>
  <c r="B58" i="22"/>
  <c r="B7" i="22"/>
  <c r="C21" i="25"/>
  <c r="AE37" i="97"/>
  <c r="H32" i="26"/>
  <c r="H31" i="29" s="1"/>
  <c r="V36" i="15"/>
  <c r="I2" i="14"/>
  <c r="I35" i="14"/>
  <c r="D4" i="15"/>
  <c r="C45" i="22"/>
  <c r="C32" i="22" s="1"/>
  <c r="C19" i="22" s="1"/>
  <c r="H36" i="15"/>
  <c r="H36" i="17" s="1"/>
  <c r="H36" i="20" s="1"/>
  <c r="I43" i="22"/>
  <c r="I30" i="22" s="1"/>
  <c r="I17" i="22" s="1"/>
  <c r="F44" i="22"/>
  <c r="F31" i="22" s="1"/>
  <c r="F18" i="22" s="1"/>
  <c r="J31" i="25"/>
  <c r="W4" i="22"/>
  <c r="K24" i="27" s="1"/>
  <c r="U25" i="32" s="1"/>
  <c r="J29" i="97" s="1"/>
  <c r="P38" i="15"/>
  <c r="C4" i="14"/>
  <c r="C37" i="14"/>
  <c r="H3" i="15"/>
  <c r="S37" i="15"/>
  <c r="S37" i="18" s="1"/>
  <c r="F3" i="14"/>
  <c r="F36" i="14"/>
  <c r="G36" i="15"/>
  <c r="G36" i="17" s="1"/>
  <c r="G36" i="20" s="1"/>
  <c r="D21" i="26"/>
  <c r="D20" i="29" s="1"/>
  <c r="AA26" i="97"/>
  <c r="B38" i="15"/>
  <c r="B38" i="17" s="1"/>
  <c r="B38" i="18" s="1"/>
  <c r="B22" i="26"/>
  <c r="Y27" i="97"/>
  <c r="G3" i="15"/>
  <c r="K30" i="25"/>
  <c r="X3" i="22"/>
  <c r="L23" i="27" s="1"/>
  <c r="V24" i="32" s="1"/>
  <c r="K28" i="97" s="1"/>
  <c r="AD37" i="97"/>
  <c r="G32" i="26"/>
  <c r="G31" i="29" s="1"/>
  <c r="E20" i="25"/>
  <c r="B5" i="15"/>
  <c r="X35" i="15"/>
  <c r="X35" i="18" s="1"/>
  <c r="K34" i="14"/>
  <c r="J19" i="25"/>
  <c r="E32" i="25"/>
  <c r="R5" i="22"/>
  <c r="F25" i="27" s="1"/>
  <c r="P26" i="32" s="1"/>
  <c r="E30" i="97" s="1"/>
  <c r="K18" i="29"/>
  <c r="R37" i="15"/>
  <c r="E3" i="14"/>
  <c r="E36" i="14"/>
  <c r="H20" i="26"/>
  <c r="H19" i="29" s="1"/>
  <c r="AE25" i="97"/>
  <c r="D37" i="15"/>
  <c r="D37" i="17" s="1"/>
  <c r="D37" i="18" s="1"/>
  <c r="Y39" i="97"/>
  <c r="B34" i="26"/>
  <c r="W36" i="15"/>
  <c r="J2" i="14"/>
  <c r="J35" i="14"/>
  <c r="G20" i="26"/>
  <c r="G19" i="29" s="1"/>
  <c r="AD25" i="97"/>
  <c r="AC37" i="97"/>
  <c r="F32" i="26"/>
  <c r="F31" i="29" s="1"/>
  <c r="I19" i="25"/>
  <c r="Z38" i="97"/>
  <c r="C33" i="26"/>
  <c r="C32" i="29" s="1"/>
  <c r="I31" i="25"/>
  <c r="V4" i="22"/>
  <c r="J24" i="27" s="1"/>
  <c r="T25" i="32" s="1"/>
  <c r="I29" i="97" s="1"/>
  <c r="P38" i="18" l="1"/>
  <c r="P38" i="20" s="1"/>
  <c r="D16" i="27" s="1"/>
  <c r="N17" i="32" s="1"/>
  <c r="C21" i="97" s="1"/>
  <c r="V36" i="18"/>
  <c r="V36" i="20" s="1"/>
  <c r="J14" i="27" s="1"/>
  <c r="T15" i="32" s="1"/>
  <c r="I19" i="97" s="1"/>
  <c r="X35" i="20"/>
  <c r="S37" i="20"/>
  <c r="G15" i="27" s="1"/>
  <c r="Q16" i="32" s="1"/>
  <c r="F20" i="97" s="1"/>
  <c r="R37" i="18"/>
  <c r="R37" i="20" s="1"/>
  <c r="F15" i="27" s="1"/>
  <c r="P16" i="32" s="1"/>
  <c r="E20" i="97" s="1"/>
  <c r="B4" i="26"/>
  <c r="B3" i="29" s="1"/>
  <c r="D3" i="26"/>
  <c r="D2" i="29" s="1"/>
  <c r="Q5" i="20"/>
  <c r="W36" i="18"/>
  <c r="W36" i="20" s="1"/>
  <c r="K14" i="27" s="1"/>
  <c r="U15" i="32" s="1"/>
  <c r="J19" i="97" s="1"/>
  <c r="B38" i="20"/>
  <c r="B21" i="25" s="1"/>
  <c r="D37" i="20"/>
  <c r="D20" i="25" s="1"/>
  <c r="O5" i="15"/>
  <c r="B5" i="17"/>
  <c r="G36" i="18"/>
  <c r="H36" i="18"/>
  <c r="H43" i="22" s="1"/>
  <c r="H30" i="22" s="1"/>
  <c r="H17" i="22" s="1"/>
  <c r="F4" i="18"/>
  <c r="S4" i="18" s="1"/>
  <c r="F4" i="20"/>
  <c r="U4" i="20"/>
  <c r="U3" i="15"/>
  <c r="H3" i="17"/>
  <c r="T3" i="15"/>
  <c r="G3" i="17"/>
  <c r="Q4" i="15"/>
  <c r="D4" i="17"/>
  <c r="T4" i="20"/>
  <c r="C5" i="18"/>
  <c r="P5" i="18" s="1"/>
  <c r="C5" i="20"/>
  <c r="C3" i="25" s="1"/>
  <c r="Z8" i="97" s="1"/>
  <c r="J3" i="20"/>
  <c r="J3" i="18"/>
  <c r="W3" i="18" s="1"/>
  <c r="I3" i="18"/>
  <c r="V3" i="18" s="1"/>
  <c r="I3" i="20"/>
  <c r="E4" i="20"/>
  <c r="E4" i="18"/>
  <c r="R4" i="18" s="1"/>
  <c r="Z9" i="97"/>
  <c r="C4" i="26"/>
  <c r="C3" i="29" s="1"/>
  <c r="K2" i="20"/>
  <c r="K2" i="18"/>
  <c r="X2" i="18" s="1"/>
  <c r="O6" i="20"/>
  <c r="E3" i="26"/>
  <c r="E2" i="29" s="1"/>
  <c r="AB8" i="97"/>
  <c r="F56" i="22"/>
  <c r="F31" i="25" s="1"/>
  <c r="F5" i="22"/>
  <c r="J55" i="22"/>
  <c r="J4" i="22"/>
  <c r="C57" i="22"/>
  <c r="C6" i="22"/>
  <c r="E56" i="22"/>
  <c r="E5" i="22"/>
  <c r="I55" i="22"/>
  <c r="I4" i="22"/>
  <c r="E36" i="15"/>
  <c r="E36" i="17" s="1"/>
  <c r="E36" i="20" s="1"/>
  <c r="K29" i="25"/>
  <c r="X2" i="22"/>
  <c r="L22" i="27" s="1"/>
  <c r="V23" i="32" s="1"/>
  <c r="K27" i="97" s="1"/>
  <c r="H19" i="25"/>
  <c r="B33" i="29"/>
  <c r="L34" i="26"/>
  <c r="G19" i="25"/>
  <c r="I35" i="15"/>
  <c r="I35" i="17" s="1"/>
  <c r="I35" i="18" s="1"/>
  <c r="B33" i="25"/>
  <c r="O6" i="22"/>
  <c r="C26" i="27" s="1"/>
  <c r="M27" i="32" s="1"/>
  <c r="B31" i="97" s="1"/>
  <c r="K34" i="15"/>
  <c r="K30" i="26"/>
  <c r="K29" i="29" s="1"/>
  <c r="AH35" i="97"/>
  <c r="U36" i="15"/>
  <c r="H2" i="14"/>
  <c r="H35" i="14"/>
  <c r="I2" i="15"/>
  <c r="B45" i="22"/>
  <c r="B32" i="22" s="1"/>
  <c r="B19" i="22" s="1"/>
  <c r="T36" i="15"/>
  <c r="G2" i="14"/>
  <c r="G35" i="14"/>
  <c r="AG36" i="97"/>
  <c r="J31" i="26"/>
  <c r="J30" i="29" s="1"/>
  <c r="H31" i="25"/>
  <c r="U4" i="22"/>
  <c r="I24" i="27" s="1"/>
  <c r="S25" i="32" s="1"/>
  <c r="H29" i="97" s="1"/>
  <c r="I19" i="26"/>
  <c r="AF24" i="97"/>
  <c r="J19" i="26"/>
  <c r="AG24" i="97"/>
  <c r="O38" i="15"/>
  <c r="O38" i="18" s="1"/>
  <c r="B4" i="14"/>
  <c r="B37" i="14"/>
  <c r="F36" i="15"/>
  <c r="F36" i="17" s="1"/>
  <c r="F36" i="18" s="1"/>
  <c r="Q37" i="15"/>
  <c r="Q37" i="18" s="1"/>
  <c r="D3" i="14"/>
  <c r="D36" i="14"/>
  <c r="AB25" i="97"/>
  <c r="E20" i="26"/>
  <c r="E19" i="29" s="1"/>
  <c r="F3" i="15"/>
  <c r="C37" i="15"/>
  <c r="C37" i="17" s="1"/>
  <c r="C37" i="18" s="1"/>
  <c r="D32" i="25"/>
  <c r="Q5" i="22"/>
  <c r="E25" i="27" s="1"/>
  <c r="O26" i="32" s="1"/>
  <c r="D30" i="97" s="1"/>
  <c r="E3" i="15"/>
  <c r="D44" i="22"/>
  <c r="D31" i="22" s="1"/>
  <c r="D18" i="22" s="1"/>
  <c r="AF36" i="97"/>
  <c r="I31" i="26"/>
  <c r="I30" i="29" s="1"/>
  <c r="J35" i="15"/>
  <c r="J35" i="17" s="1"/>
  <c r="J35" i="18" s="1"/>
  <c r="C4" i="15"/>
  <c r="F20" i="26"/>
  <c r="F19" i="29" s="1"/>
  <c r="AC25" i="97"/>
  <c r="J2" i="15"/>
  <c r="AB37" i="97"/>
  <c r="E32" i="26"/>
  <c r="E31" i="29" s="1"/>
  <c r="B21" i="29"/>
  <c r="L22" i="26"/>
  <c r="Z26" i="97"/>
  <c r="C21" i="26"/>
  <c r="C20" i="29" s="1"/>
  <c r="G31" i="25"/>
  <c r="T4" i="22"/>
  <c r="H24" i="27" s="1"/>
  <c r="R25" i="32" s="1"/>
  <c r="G29" i="97" s="1"/>
  <c r="C3" i="26" l="1"/>
  <c r="C2" i="29" s="1"/>
  <c r="O38" i="20"/>
  <c r="C16" i="27" s="1"/>
  <c r="M17" i="32" s="1"/>
  <c r="B21" i="97" s="1"/>
  <c r="L4" i="26"/>
  <c r="X2" i="20"/>
  <c r="J35" i="20"/>
  <c r="J54" i="22" s="1"/>
  <c r="V3" i="20"/>
  <c r="P5" i="20"/>
  <c r="T36" i="18"/>
  <c r="T36" i="20" s="1"/>
  <c r="H14" i="27" s="1"/>
  <c r="R15" i="32" s="1"/>
  <c r="G19" i="97" s="1"/>
  <c r="F36" i="20"/>
  <c r="F19" i="25" s="1"/>
  <c r="Q37" i="20"/>
  <c r="E15" i="27" s="1"/>
  <c r="O16" i="32" s="1"/>
  <c r="D20" i="97" s="1"/>
  <c r="U36" i="18"/>
  <c r="U36" i="20" s="1"/>
  <c r="I14" i="27" s="1"/>
  <c r="S15" i="32" s="1"/>
  <c r="H19" i="97" s="1"/>
  <c r="S3" i="15"/>
  <c r="F3" i="17"/>
  <c r="G43" i="22"/>
  <c r="G30" i="22" s="1"/>
  <c r="G17" i="22" s="1"/>
  <c r="G4" i="22" s="1"/>
  <c r="I35" i="20"/>
  <c r="I54" i="22" s="1"/>
  <c r="E36" i="18"/>
  <c r="E43" i="22" s="1"/>
  <c r="E30" i="22" s="1"/>
  <c r="E17" i="22" s="1"/>
  <c r="R4" i="20"/>
  <c r="W3" i="20"/>
  <c r="B5" i="18"/>
  <c r="O5" i="18" s="1"/>
  <c r="B5" i="20"/>
  <c r="B3" i="25" s="1"/>
  <c r="G3" i="20"/>
  <c r="G3" i="18"/>
  <c r="T3" i="18" s="1"/>
  <c r="W2" i="15"/>
  <c r="J2" i="17"/>
  <c r="C37" i="20"/>
  <c r="C20" i="25" s="1"/>
  <c r="D4" i="18"/>
  <c r="Q4" i="18" s="1"/>
  <c r="D4" i="20"/>
  <c r="H3" i="18"/>
  <c r="U3" i="18" s="1"/>
  <c r="H3" i="20"/>
  <c r="S4" i="20"/>
  <c r="X34" i="15"/>
  <c r="K34" i="17"/>
  <c r="P4" i="15"/>
  <c r="C4" i="17"/>
  <c r="R3" i="15"/>
  <c r="E3" i="17"/>
  <c r="V2" i="15"/>
  <c r="I2" i="17"/>
  <c r="S4" i="22"/>
  <c r="G24" i="27" s="1"/>
  <c r="Q25" i="32" s="1"/>
  <c r="F29" i="97" s="1"/>
  <c r="D56" i="22"/>
  <c r="D5" i="22"/>
  <c r="H55" i="22"/>
  <c r="H4" i="22"/>
  <c r="B57" i="22"/>
  <c r="B6" i="22"/>
  <c r="B4" i="15"/>
  <c r="H35" i="15"/>
  <c r="H35" i="17" s="1"/>
  <c r="H35" i="18" s="1"/>
  <c r="Y38" i="97"/>
  <c r="B33" i="26"/>
  <c r="H19" i="26"/>
  <c r="AE24" i="97"/>
  <c r="D20" i="26"/>
  <c r="D19" i="29" s="1"/>
  <c r="AA25" i="97"/>
  <c r="B37" i="15"/>
  <c r="B37" i="17" s="1"/>
  <c r="B37" i="18" s="1"/>
  <c r="I18" i="29"/>
  <c r="AE36" i="97"/>
  <c r="H31" i="26"/>
  <c r="H30" i="29" s="1"/>
  <c r="H2" i="15"/>
  <c r="B21" i="26"/>
  <c r="Y26" i="97"/>
  <c r="I30" i="25"/>
  <c r="V3" i="22"/>
  <c r="J23" i="27" s="1"/>
  <c r="T24" i="32" s="1"/>
  <c r="I28" i="97" s="1"/>
  <c r="V35" i="15"/>
  <c r="V35" i="18" s="1"/>
  <c r="I34" i="14"/>
  <c r="F31" i="26"/>
  <c r="F30" i="29" s="1"/>
  <c r="AC36" i="97"/>
  <c r="E31" i="25"/>
  <c r="R4" i="22"/>
  <c r="F24" i="27" s="1"/>
  <c r="P25" i="32" s="1"/>
  <c r="E29" i="97" s="1"/>
  <c r="AA37" i="97"/>
  <c r="D32" i="26"/>
  <c r="D31" i="29" s="1"/>
  <c r="AD24" i="97"/>
  <c r="G19" i="26"/>
  <c r="AH34" i="97"/>
  <c r="K29" i="26"/>
  <c r="W35" i="15"/>
  <c r="W35" i="18" s="1"/>
  <c r="J34" i="14"/>
  <c r="D36" i="15"/>
  <c r="D36" i="17" s="1"/>
  <c r="D36" i="18" s="1"/>
  <c r="F43" i="22"/>
  <c r="F30" i="22" s="1"/>
  <c r="F17" i="22" s="1"/>
  <c r="J18" i="29"/>
  <c r="G35" i="15"/>
  <c r="G35" i="17" s="1"/>
  <c r="G35" i="20" s="1"/>
  <c r="E19" i="25"/>
  <c r="C32" i="25"/>
  <c r="P5" i="22"/>
  <c r="D25" i="27" s="1"/>
  <c r="N26" i="32" s="1"/>
  <c r="C30" i="97" s="1"/>
  <c r="AD36" i="97"/>
  <c r="G31" i="26"/>
  <c r="G30" i="29" s="1"/>
  <c r="C44" i="22"/>
  <c r="C31" i="22" s="1"/>
  <c r="C18" i="22" s="1"/>
  <c r="C56" i="22" s="1"/>
  <c r="D3" i="15"/>
  <c r="S36" i="15"/>
  <c r="S36" i="18" s="1"/>
  <c r="F2" i="14"/>
  <c r="F35" i="14"/>
  <c r="G2" i="15"/>
  <c r="R36" i="15"/>
  <c r="E2" i="14"/>
  <c r="E35" i="14"/>
  <c r="P37" i="15"/>
  <c r="P37" i="18" s="1"/>
  <c r="C3" i="14"/>
  <c r="C36" i="14"/>
  <c r="J30" i="25"/>
  <c r="W3" i="22"/>
  <c r="K23" i="27" s="1"/>
  <c r="U24" i="32" s="1"/>
  <c r="J28" i="97" s="1"/>
  <c r="N9" i="25" l="1"/>
  <c r="G55" i="22"/>
  <c r="G30" i="25" s="1"/>
  <c r="B3" i="26"/>
  <c r="D43" i="26" s="1"/>
  <c r="S36" i="20"/>
  <c r="G14" i="27" s="1"/>
  <c r="Q15" i="32" s="1"/>
  <c r="F19" i="97" s="1"/>
  <c r="W35" i="20"/>
  <c r="P37" i="20"/>
  <c r="D15" i="27" s="1"/>
  <c r="N16" i="32" s="1"/>
  <c r="C20" i="97" s="1"/>
  <c r="B37" i="20"/>
  <c r="B20" i="25" s="1"/>
  <c r="R36" i="18"/>
  <c r="R36" i="20" s="1"/>
  <c r="F14" i="27" s="1"/>
  <c r="P15" i="32" s="1"/>
  <c r="E19" i="97" s="1"/>
  <c r="Y8" i="97"/>
  <c r="O5" i="20"/>
  <c r="O9" i="25"/>
  <c r="G35" i="18"/>
  <c r="D36" i="20"/>
  <c r="D19" i="25" s="1"/>
  <c r="H35" i="20"/>
  <c r="H54" i="22" s="1"/>
  <c r="U3" i="20"/>
  <c r="U2" i="15"/>
  <c r="H2" i="17"/>
  <c r="O4" i="15"/>
  <c r="B4" i="17"/>
  <c r="I2" i="20"/>
  <c r="I2" i="18"/>
  <c r="V2" i="18" s="1"/>
  <c r="C4" i="20"/>
  <c r="C4" i="18"/>
  <c r="P4" i="18" s="1"/>
  <c r="Q4" i="20"/>
  <c r="T3" i="20"/>
  <c r="Q3" i="15"/>
  <c r="D3" i="17"/>
  <c r="F3" i="18"/>
  <c r="S3" i="18" s="1"/>
  <c r="F3" i="20"/>
  <c r="T2" i="15"/>
  <c r="G2" i="17"/>
  <c r="V35" i="20"/>
  <c r="E3" i="20"/>
  <c r="E3" i="18"/>
  <c r="R3" i="18" s="1"/>
  <c r="K34" i="20"/>
  <c r="K34" i="18"/>
  <c r="X34" i="18" s="1"/>
  <c r="J2" i="20"/>
  <c r="J2" i="18"/>
  <c r="W2" i="18" s="1"/>
  <c r="E55" i="22"/>
  <c r="E4" i="22"/>
  <c r="F55" i="22"/>
  <c r="F4" i="22"/>
  <c r="C36" i="15"/>
  <c r="C36" i="17" s="1"/>
  <c r="C36" i="18" s="1"/>
  <c r="G54" i="22"/>
  <c r="B20" i="29"/>
  <c r="L21" i="26"/>
  <c r="B32" i="29"/>
  <c r="L33" i="26"/>
  <c r="Q36" i="15"/>
  <c r="Q36" i="18" s="1"/>
  <c r="D2" i="14"/>
  <c r="D35" i="14"/>
  <c r="G18" i="29"/>
  <c r="C3" i="15"/>
  <c r="J30" i="26"/>
  <c r="J29" i="29" s="1"/>
  <c r="AG35" i="97"/>
  <c r="F35" i="15"/>
  <c r="F35" i="17" s="1"/>
  <c r="F35" i="18" s="1"/>
  <c r="Z37" i="97"/>
  <c r="C32" i="26"/>
  <c r="C31" i="29" s="1"/>
  <c r="D43" i="22"/>
  <c r="D30" i="22" s="1"/>
  <c r="D17" i="22" s="1"/>
  <c r="AB36" i="97"/>
  <c r="E31" i="26"/>
  <c r="E30" i="29" s="1"/>
  <c r="B44" i="22"/>
  <c r="B31" i="22" s="1"/>
  <c r="B18" i="22" s="1"/>
  <c r="U35" i="15"/>
  <c r="U35" i="18" s="1"/>
  <c r="H34" i="14"/>
  <c r="C31" i="25"/>
  <c r="P4" i="22"/>
  <c r="D24" i="27" s="1"/>
  <c r="N25" i="32" s="1"/>
  <c r="C29" i="97" s="1"/>
  <c r="E35" i="15"/>
  <c r="E35" i="17" s="1"/>
  <c r="E35" i="20" s="1"/>
  <c r="F2" i="15"/>
  <c r="C5" i="22"/>
  <c r="I29" i="25"/>
  <c r="V2" i="22"/>
  <c r="J22" i="27" s="1"/>
  <c r="T23" i="32" s="1"/>
  <c r="I27" i="97" s="1"/>
  <c r="I30" i="26"/>
  <c r="I29" i="29" s="1"/>
  <c r="AF35" i="97"/>
  <c r="O37" i="15"/>
  <c r="O37" i="18" s="1"/>
  <c r="B3" i="14"/>
  <c r="B36" i="14"/>
  <c r="B32" i="25"/>
  <c r="O5" i="22"/>
  <c r="C25" i="27" s="1"/>
  <c r="M26" i="32" s="1"/>
  <c r="B30" i="97" s="1"/>
  <c r="E19" i="26"/>
  <c r="AB24" i="97"/>
  <c r="C20" i="26"/>
  <c r="C19" i="29" s="1"/>
  <c r="Z25" i="97"/>
  <c r="F19" i="26"/>
  <c r="AC24" i="97"/>
  <c r="E2" i="15"/>
  <c r="J29" i="25"/>
  <c r="W2" i="22"/>
  <c r="K22" i="27" s="1"/>
  <c r="U23" i="32" s="1"/>
  <c r="J27" i="97" s="1"/>
  <c r="J34" i="15"/>
  <c r="I34" i="15"/>
  <c r="H30" i="25"/>
  <c r="U3" i="22"/>
  <c r="I23" i="27" s="1"/>
  <c r="S24" i="32" s="1"/>
  <c r="H28" i="97" s="1"/>
  <c r="T35" i="15"/>
  <c r="G34" i="14"/>
  <c r="K28" i="29"/>
  <c r="K39" i="26"/>
  <c r="H18" i="29"/>
  <c r="D31" i="25"/>
  <c r="Q4" i="22"/>
  <c r="E24" i="27" s="1"/>
  <c r="O25" i="32" s="1"/>
  <c r="D29" i="97" s="1"/>
  <c r="P9" i="25" l="1"/>
  <c r="L3" i="26"/>
  <c r="B2" i="29"/>
  <c r="T3" i="22"/>
  <c r="H23" i="27" s="1"/>
  <c r="R24" i="32" s="1"/>
  <c r="G28" i="97" s="1"/>
  <c r="T35" i="18"/>
  <c r="T35" i="20" s="1"/>
  <c r="U35" i="20"/>
  <c r="O37" i="20"/>
  <c r="C15" i="27" s="1"/>
  <c r="M16" i="32" s="1"/>
  <c r="B20" i="97" s="1"/>
  <c r="P4" i="20"/>
  <c r="F35" i="20"/>
  <c r="F54" i="22" s="1"/>
  <c r="Q36" i="20"/>
  <c r="E14" i="27" s="1"/>
  <c r="O15" i="32" s="1"/>
  <c r="D19" i="97" s="1"/>
  <c r="E35" i="18"/>
  <c r="R3" i="20"/>
  <c r="V34" i="15"/>
  <c r="I34" i="17"/>
  <c r="C36" i="20"/>
  <c r="C19" i="25" s="1"/>
  <c r="G2" i="18"/>
  <c r="T2" i="18" s="1"/>
  <c r="G2" i="20"/>
  <c r="D3" i="20"/>
  <c r="D3" i="18"/>
  <c r="Q3" i="18" s="1"/>
  <c r="B4" i="20"/>
  <c r="B4" i="18"/>
  <c r="O4" i="18" s="1"/>
  <c r="R2" i="15"/>
  <c r="E2" i="17"/>
  <c r="S2" i="15"/>
  <c r="F2" i="17"/>
  <c r="W2" i="20"/>
  <c r="H2" i="20"/>
  <c r="H2" i="18"/>
  <c r="U2" i="18" s="1"/>
  <c r="W34" i="15"/>
  <c r="J34" i="17"/>
  <c r="P3" i="15"/>
  <c r="C3" i="17"/>
  <c r="X34" i="20"/>
  <c r="S3" i="20"/>
  <c r="V2" i="20"/>
  <c r="B56" i="22"/>
  <c r="B5" i="22"/>
  <c r="D55" i="22"/>
  <c r="D4" i="22"/>
  <c r="B20" i="26"/>
  <c r="Y25" i="97"/>
  <c r="K41" i="29"/>
  <c r="K39" i="29"/>
  <c r="K40" i="29" s="1"/>
  <c r="E18" i="29"/>
  <c r="G34" i="15"/>
  <c r="H29" i="25"/>
  <c r="U2" i="22"/>
  <c r="I22" i="27" s="1"/>
  <c r="S23" i="32" s="1"/>
  <c r="H27" i="97" s="1"/>
  <c r="Y37" i="97"/>
  <c r="B32" i="26"/>
  <c r="R35" i="15"/>
  <c r="E34" i="14"/>
  <c r="E54" i="22"/>
  <c r="P36" i="15"/>
  <c r="P36" i="18" s="1"/>
  <c r="C2" i="14"/>
  <c r="C35" i="14"/>
  <c r="D31" i="26"/>
  <c r="D30" i="29" s="1"/>
  <c r="AA36" i="97"/>
  <c r="F18" i="29"/>
  <c r="B36" i="15"/>
  <c r="B36" i="17" s="1"/>
  <c r="B36" i="18" s="1"/>
  <c r="I29" i="26"/>
  <c r="AF34" i="97"/>
  <c r="C43" i="22"/>
  <c r="C30" i="22" s="1"/>
  <c r="C17" i="22" s="1"/>
  <c r="J29" i="26"/>
  <c r="AG34" i="97"/>
  <c r="Z36" i="97"/>
  <c r="C31" i="26"/>
  <c r="C30" i="29" s="1"/>
  <c r="H34" i="15"/>
  <c r="S35" i="15"/>
  <c r="S35" i="18" s="1"/>
  <c r="F34" i="14"/>
  <c r="D2" i="15"/>
  <c r="G29" i="25"/>
  <c r="T2" i="22"/>
  <c r="H22" i="27" s="1"/>
  <c r="R23" i="32" s="1"/>
  <c r="G27" i="97" s="1"/>
  <c r="F30" i="25"/>
  <c r="S3" i="22"/>
  <c r="G23" i="27" s="1"/>
  <c r="Q24" i="32" s="1"/>
  <c r="F28" i="97" s="1"/>
  <c r="B3" i="15"/>
  <c r="D35" i="15"/>
  <c r="D35" i="17" s="1"/>
  <c r="D35" i="20" s="1"/>
  <c r="D19" i="26"/>
  <c r="AA24" i="97"/>
  <c r="H30" i="26"/>
  <c r="H29" i="29" s="1"/>
  <c r="AE35" i="97"/>
  <c r="G30" i="26"/>
  <c r="G29" i="29" s="1"/>
  <c r="AD35" i="97"/>
  <c r="E30" i="25"/>
  <c r="R3" i="22"/>
  <c r="F23" i="27" s="1"/>
  <c r="P24" i="32" s="1"/>
  <c r="E28" i="97" s="1"/>
  <c r="R35" i="18" l="1"/>
  <c r="R35" i="20" s="1"/>
  <c r="S35" i="20"/>
  <c r="P36" i="20"/>
  <c r="D14" i="27" s="1"/>
  <c r="N15" i="32" s="1"/>
  <c r="C19" i="97" s="1"/>
  <c r="D35" i="18"/>
  <c r="U2" i="20"/>
  <c r="T2" i="20"/>
  <c r="B36" i="20"/>
  <c r="B19" i="25" s="1"/>
  <c r="T34" i="15"/>
  <c r="G34" i="17"/>
  <c r="C3" i="18"/>
  <c r="P3" i="18" s="1"/>
  <c r="C3" i="20"/>
  <c r="Q2" i="15"/>
  <c r="D2" i="17"/>
  <c r="E2" i="20"/>
  <c r="E2" i="18"/>
  <c r="R2" i="18" s="1"/>
  <c r="Q3" i="20"/>
  <c r="U34" i="15"/>
  <c r="H34" i="17"/>
  <c r="J34" i="18"/>
  <c r="W34" i="18" s="1"/>
  <c r="J34" i="20"/>
  <c r="I34" i="20"/>
  <c r="I34" i="18"/>
  <c r="V34" i="18" s="1"/>
  <c r="O3" i="15"/>
  <c r="B3" i="17"/>
  <c r="F2" i="18"/>
  <c r="S2" i="18" s="1"/>
  <c r="F2" i="20"/>
  <c r="O4" i="20"/>
  <c r="C55" i="22"/>
  <c r="C4" i="22"/>
  <c r="AB35" i="97"/>
  <c r="E30" i="26"/>
  <c r="E29" i="29" s="1"/>
  <c r="J28" i="29"/>
  <c r="J39" i="26"/>
  <c r="C19" i="26"/>
  <c r="Z24" i="97"/>
  <c r="AE34" i="97"/>
  <c r="H29" i="26"/>
  <c r="F29" i="25"/>
  <c r="S2" i="22"/>
  <c r="G22" i="27" s="1"/>
  <c r="Q23" i="32" s="1"/>
  <c r="F27" i="97" s="1"/>
  <c r="E34" i="15"/>
  <c r="K42" i="29"/>
  <c r="K44" i="29"/>
  <c r="K43" i="29"/>
  <c r="D18" i="29"/>
  <c r="F30" i="26"/>
  <c r="F29" i="29" s="1"/>
  <c r="AC35" i="97"/>
  <c r="B43" i="22"/>
  <c r="B30" i="22" s="1"/>
  <c r="B17" i="22" s="1"/>
  <c r="C35" i="15"/>
  <c r="C35" i="17" s="1"/>
  <c r="C35" i="20" s="1"/>
  <c r="O36" i="15"/>
  <c r="O36" i="18" s="1"/>
  <c r="B2" i="14"/>
  <c r="B35" i="14"/>
  <c r="C2" i="15"/>
  <c r="B31" i="29"/>
  <c r="L32" i="26"/>
  <c r="B19" i="29"/>
  <c r="L20" i="26"/>
  <c r="F34" i="15"/>
  <c r="I28" i="29"/>
  <c r="I39" i="26"/>
  <c r="Q35" i="15"/>
  <c r="Q35" i="18" s="1"/>
  <c r="Q35" i="20" s="1"/>
  <c r="D34" i="14"/>
  <c r="AD34" i="97"/>
  <c r="G29" i="26"/>
  <c r="D30" i="25"/>
  <c r="Q3" i="22"/>
  <c r="E23" i="27" s="1"/>
  <c r="O24" i="32" s="1"/>
  <c r="D28" i="97" s="1"/>
  <c r="D54" i="22"/>
  <c r="E29" i="25"/>
  <c r="R2" i="22"/>
  <c r="F22" i="27" s="1"/>
  <c r="P23" i="32" s="1"/>
  <c r="E27" i="97" s="1"/>
  <c r="B31" i="25"/>
  <c r="O4" i="22"/>
  <c r="C24" i="27" s="1"/>
  <c r="M25" i="32" s="1"/>
  <c r="B29" i="97" s="1"/>
  <c r="V34" i="20" l="1"/>
  <c r="O36" i="20"/>
  <c r="C14" i="27" s="1"/>
  <c r="M15" i="32" s="1"/>
  <c r="B19" i="97" s="1"/>
  <c r="W34" i="20"/>
  <c r="P3" i="20"/>
  <c r="C35" i="18"/>
  <c r="P2" i="15"/>
  <c r="C2" i="17"/>
  <c r="R34" i="15"/>
  <c r="E34" i="17"/>
  <c r="S2" i="20"/>
  <c r="D2" i="20"/>
  <c r="D2" i="18"/>
  <c r="Q2" i="18" s="1"/>
  <c r="G34" i="20"/>
  <c r="G34" i="18"/>
  <c r="T34" i="18" s="1"/>
  <c r="B3" i="20"/>
  <c r="B3" i="18"/>
  <c r="O3" i="18" s="1"/>
  <c r="H34" i="18"/>
  <c r="U34" i="18" s="1"/>
  <c r="H34" i="20"/>
  <c r="S34" i="15"/>
  <c r="F34" i="17"/>
  <c r="R2" i="20"/>
  <c r="B55" i="22"/>
  <c r="B4" i="22"/>
  <c r="AA35" i="97"/>
  <c r="D30" i="26"/>
  <c r="D29" i="29" s="1"/>
  <c r="C30" i="25"/>
  <c r="P3" i="22"/>
  <c r="D23" i="27" s="1"/>
  <c r="N24" i="32" s="1"/>
  <c r="C28" i="97" s="1"/>
  <c r="B31" i="26"/>
  <c r="Y36" i="97"/>
  <c r="G28" i="29"/>
  <c r="G39" i="26"/>
  <c r="C54" i="22"/>
  <c r="C18" i="29"/>
  <c r="P35" i="15"/>
  <c r="C34" i="14"/>
  <c r="B35" i="15"/>
  <c r="B35" i="17" s="1"/>
  <c r="B35" i="18" s="1"/>
  <c r="E29" i="26"/>
  <c r="AB34" i="97"/>
  <c r="D34" i="15"/>
  <c r="B2" i="15"/>
  <c r="B19" i="26"/>
  <c r="N10" i="25"/>
  <c r="O10" i="25"/>
  <c r="Y24" i="97"/>
  <c r="J39" i="29"/>
  <c r="J40" i="29" s="1"/>
  <c r="J41" i="29"/>
  <c r="F29" i="26"/>
  <c r="AC34" i="97"/>
  <c r="D29" i="25"/>
  <c r="Q2" i="22"/>
  <c r="E22" i="27" s="1"/>
  <c r="O23" i="32" s="1"/>
  <c r="D27" i="97" s="1"/>
  <c r="I39" i="29"/>
  <c r="I40" i="29" s="1"/>
  <c r="I41" i="29"/>
  <c r="H28" i="29"/>
  <c r="H39" i="26"/>
  <c r="P35" i="18" l="1"/>
  <c r="P35" i="20" s="1"/>
  <c r="U34" i="20"/>
  <c r="B35" i="20"/>
  <c r="B54" i="22" s="1"/>
  <c r="F34" i="18"/>
  <c r="S34" i="18" s="1"/>
  <c r="F34" i="20"/>
  <c r="O3" i="20"/>
  <c r="Q2" i="20"/>
  <c r="O2" i="15"/>
  <c r="B2" i="17"/>
  <c r="E34" i="20"/>
  <c r="E34" i="18"/>
  <c r="R34" i="18" s="1"/>
  <c r="C2" i="18"/>
  <c r="P2" i="18" s="1"/>
  <c r="C2" i="20"/>
  <c r="Q34" i="15"/>
  <c r="D34" i="17"/>
  <c r="T34" i="20"/>
  <c r="O35" i="15"/>
  <c r="O35" i="18" s="1"/>
  <c r="B34" i="14"/>
  <c r="Z35" i="97"/>
  <c r="C30" i="26"/>
  <c r="C29" i="29" s="1"/>
  <c r="H41" i="29"/>
  <c r="H39" i="29"/>
  <c r="H40" i="29" s="1"/>
  <c r="C34" i="15"/>
  <c r="J44" i="29"/>
  <c r="J43" i="29"/>
  <c r="J42" i="29"/>
  <c r="I42" i="29"/>
  <c r="I43" i="29"/>
  <c r="I44" i="29"/>
  <c r="F28" i="29"/>
  <c r="F39" i="26"/>
  <c r="G41" i="29"/>
  <c r="G39" i="29"/>
  <c r="G40" i="29" s="1"/>
  <c r="P10" i="25"/>
  <c r="D29" i="26"/>
  <c r="AA34" i="97"/>
  <c r="D44" i="26"/>
  <c r="B18" i="29"/>
  <c r="L19" i="26"/>
  <c r="E28" i="29"/>
  <c r="E39" i="26"/>
  <c r="B30" i="29"/>
  <c r="L31" i="26"/>
  <c r="C29" i="25"/>
  <c r="P2" i="22"/>
  <c r="D22" i="27" s="1"/>
  <c r="N23" i="32" s="1"/>
  <c r="C27" i="97" s="1"/>
  <c r="B30" i="25"/>
  <c r="O3" i="22"/>
  <c r="C23" i="27" s="1"/>
  <c r="M24" i="32" s="1"/>
  <c r="B28" i="97" s="1"/>
  <c r="O35" i="20" l="1"/>
  <c r="B2" i="20"/>
  <c r="B2" i="18"/>
  <c r="O2" i="18" s="1"/>
  <c r="S34" i="20"/>
  <c r="P2" i="20"/>
  <c r="P34" i="15"/>
  <c r="C34" i="17"/>
  <c r="D34" i="20"/>
  <c r="D34" i="18"/>
  <c r="Q34" i="18" s="1"/>
  <c r="R34" i="20"/>
  <c r="C29" i="26"/>
  <c r="Z34" i="97"/>
  <c r="H44" i="29"/>
  <c r="H43" i="29"/>
  <c r="H42" i="29"/>
  <c r="G42" i="29"/>
  <c r="G43" i="29"/>
  <c r="G44" i="29"/>
  <c r="B29" i="25"/>
  <c r="N3" i="25" s="1"/>
  <c r="O2" i="22"/>
  <c r="C22" i="27" s="1"/>
  <c r="M23" i="32" s="1"/>
  <c r="B27" i="97" s="1"/>
  <c r="Y35" i="97"/>
  <c r="B30" i="26"/>
  <c r="E39" i="29"/>
  <c r="E40" i="29" s="1"/>
  <c r="E41" i="29"/>
  <c r="D28" i="29"/>
  <c r="D39" i="26"/>
  <c r="F41" i="29"/>
  <c r="F39" i="29"/>
  <c r="F40" i="29" s="1"/>
  <c r="B34" i="15"/>
  <c r="Q34" i="20" l="1"/>
  <c r="O2" i="20"/>
  <c r="C34" i="18"/>
  <c r="P34" i="18" s="1"/>
  <c r="C34" i="20"/>
  <c r="O34" i="15"/>
  <c r="B34" i="17"/>
  <c r="C28" i="29"/>
  <c r="C39" i="26"/>
  <c r="B29" i="29"/>
  <c r="L30" i="26"/>
  <c r="F44" i="29"/>
  <c r="F43" i="29"/>
  <c r="F42" i="29"/>
  <c r="E43" i="29"/>
  <c r="E44" i="29"/>
  <c r="E42" i="29"/>
  <c r="D41" i="29"/>
  <c r="D39" i="29"/>
  <c r="D40" i="29" s="1"/>
  <c r="O11" i="25"/>
  <c r="O12" i="25" s="1"/>
  <c r="N11" i="25"/>
  <c r="B29" i="26"/>
  <c r="Y34" i="97"/>
  <c r="P4" i="25"/>
  <c r="P5" i="25"/>
  <c r="O3" i="25"/>
  <c r="P3" i="25"/>
  <c r="O4" i="25"/>
  <c r="O5" i="25"/>
  <c r="N4" i="25"/>
  <c r="R14" i="29" s="1"/>
  <c r="B34" i="18" l="1"/>
  <c r="O34" i="18" s="1"/>
  <c r="B34" i="20"/>
  <c r="P34" i="20"/>
  <c r="N5" i="25"/>
  <c r="Q3" i="25" s="1"/>
  <c r="P14" i="29"/>
  <c r="D45" i="26"/>
  <c r="B28" i="29"/>
  <c r="L29" i="26"/>
  <c r="L39" i="26" s="1"/>
  <c r="L44" i="26"/>
  <c r="L43" i="26"/>
  <c r="G2" i="35" s="1"/>
  <c r="B39" i="26"/>
  <c r="C39" i="29"/>
  <c r="C40" i="29" s="1"/>
  <c r="C41" i="29"/>
  <c r="P11" i="25"/>
  <c r="P12" i="25" s="1"/>
  <c r="N12" i="25"/>
  <c r="D42" i="29"/>
  <c r="D44" i="29"/>
  <c r="D43" i="29"/>
  <c r="R13" i="29" l="1"/>
  <c r="I2" i="35"/>
  <c r="O34" i="20"/>
  <c r="B39" i="29"/>
  <c r="B40" i="29" s="1"/>
  <c r="B41" i="29"/>
  <c r="O5" i="29"/>
  <c r="O4" i="29"/>
  <c r="L45" i="26"/>
  <c r="P13" i="29"/>
  <c r="N13" i="29" s="1"/>
  <c r="J43" i="26"/>
  <c r="H46" i="26"/>
  <c r="B22" i="32" s="1"/>
  <c r="C22" i="32" s="1"/>
  <c r="Q4" i="25"/>
  <c r="Q5" i="25" s="1"/>
  <c r="C44" i="29"/>
  <c r="C42" i="29"/>
  <c r="C43" i="29"/>
  <c r="K2" i="35" l="1"/>
  <c r="H51" i="35"/>
  <c r="H36" i="35"/>
  <c r="H21" i="35"/>
  <c r="H5" i="35"/>
  <c r="P15" i="29"/>
  <c r="R15" i="29"/>
  <c r="Q4" i="29"/>
  <c r="R4" i="29" s="1"/>
  <c r="P4" i="29"/>
  <c r="O6" i="29"/>
  <c r="O7" i="29"/>
  <c r="Q5" i="29"/>
  <c r="R5" i="29" s="1"/>
  <c r="P5" i="29"/>
  <c r="B43" i="29"/>
  <c r="L43" i="29" s="1"/>
  <c r="B44" i="29"/>
  <c r="B42" i="29"/>
  <c r="B32" i="27"/>
  <c r="B33" i="27"/>
  <c r="H47" i="26"/>
  <c r="F21" i="32" l="1"/>
  <c r="E21" i="32"/>
  <c r="C21" i="32"/>
  <c r="B21" i="32"/>
  <c r="H21" i="32" s="1"/>
  <c r="Q6" i="29"/>
  <c r="R6" i="29" s="1"/>
  <c r="P6" i="29"/>
  <c r="L44" i="29"/>
  <c r="C47" i="29"/>
  <c r="C48" i="29" s="1"/>
  <c r="A38" i="97"/>
  <c r="L34" i="32"/>
  <c r="E2" i="35"/>
  <c r="D51" i="35" s="1"/>
  <c r="M3" i="97"/>
  <c r="R16" i="29"/>
  <c r="P7" i="29"/>
  <c r="A37" i="97"/>
  <c r="L33" i="32"/>
  <c r="C2" i="35"/>
  <c r="B51" i="35" s="1"/>
  <c r="E3" i="97"/>
  <c r="P16" i="29"/>
  <c r="S15" i="29"/>
  <c r="I21" i="32" l="1"/>
  <c r="F61" i="35"/>
  <c r="E61" i="35" s="1"/>
  <c r="D61" i="35" s="1"/>
  <c r="C61" i="35" s="1"/>
  <c r="F56" i="35"/>
  <c r="E56" i="35" s="1"/>
  <c r="D56" i="35" s="1"/>
  <c r="C56" i="35" s="1"/>
  <c r="F59" i="35"/>
  <c r="E59" i="35" s="1"/>
  <c r="D59" i="35" s="1"/>
  <c r="C59" i="35" s="1"/>
  <c r="F62" i="35"/>
  <c r="E62" i="35" s="1"/>
  <c r="D62" i="35" s="1"/>
  <c r="C62" i="35" s="1"/>
  <c r="F55" i="35"/>
  <c r="E55" i="35" s="1"/>
  <c r="D55" i="35" s="1"/>
  <c r="C55" i="35" s="1"/>
  <c r="F54" i="35"/>
  <c r="E54" i="35" s="1"/>
  <c r="D54" i="35" s="1"/>
  <c r="C54" i="35" s="1"/>
  <c r="F60" i="35"/>
  <c r="E60" i="35" s="1"/>
  <c r="D60" i="35" s="1"/>
  <c r="C60" i="35" s="1"/>
  <c r="F58" i="35"/>
  <c r="E58" i="35" s="1"/>
  <c r="D58" i="35" s="1"/>
  <c r="C58" i="35" s="1"/>
  <c r="F57" i="35"/>
  <c r="E57" i="35" s="1"/>
  <c r="D57" i="35" s="1"/>
  <c r="C57" i="35" s="1"/>
  <c r="F63" i="35"/>
  <c r="E63" i="35" s="1"/>
  <c r="D63" i="35" s="1"/>
  <c r="C63" i="35" s="1"/>
  <c r="B36" i="35"/>
  <c r="B21" i="35"/>
  <c r="B5" i="35"/>
  <c r="F51" i="35"/>
  <c r="J36" i="35"/>
  <c r="J21" i="35"/>
  <c r="J5" i="35"/>
  <c r="S16" i="29"/>
  <c r="D5" i="35"/>
  <c r="T8" i="35" s="1"/>
  <c r="D36" i="35"/>
  <c r="D21" i="35"/>
  <c r="B58" i="35" l="1"/>
  <c r="C2" i="116" s="1"/>
  <c r="B55" i="35"/>
  <c r="B62" i="35"/>
  <c r="C2" i="120" s="1"/>
  <c r="B60" i="35"/>
  <c r="C2" i="118" s="1"/>
  <c r="B59" i="35"/>
  <c r="C2" i="117" s="1"/>
  <c r="B63" i="35"/>
  <c r="C2" i="121" s="1"/>
  <c r="B56" i="35"/>
  <c r="S54" i="35"/>
  <c r="T54" i="35"/>
  <c r="B54" i="35"/>
  <c r="B57" i="35"/>
  <c r="C2" i="115" s="1"/>
  <c r="B61" i="35"/>
  <c r="C2" i="119" s="1"/>
  <c r="G58" i="35"/>
  <c r="G60" i="35"/>
  <c r="G59" i="35"/>
  <c r="G57" i="35"/>
  <c r="G61" i="35"/>
  <c r="G56" i="35"/>
  <c r="G54" i="35"/>
  <c r="G62" i="35"/>
  <c r="G63" i="35"/>
  <c r="G55" i="35"/>
  <c r="S55" i="35" s="1"/>
  <c r="F5" i="35"/>
  <c r="S8" i="35" s="1"/>
  <c r="F21" i="35"/>
  <c r="AB3" i="97"/>
  <c r="F36" i="35"/>
  <c r="E40" i="35"/>
  <c r="E39" i="35"/>
  <c r="C9" i="35"/>
  <c r="B8" i="35"/>
  <c r="C17" i="35"/>
  <c r="C11" i="35"/>
  <c r="C16" i="35"/>
  <c r="C10" i="35"/>
  <c r="C14" i="35"/>
  <c r="C13" i="35"/>
  <c r="C15" i="35"/>
  <c r="C12" i="35"/>
  <c r="D8" i="35"/>
  <c r="W8" i="35" s="1"/>
  <c r="D30" i="35"/>
  <c r="D29" i="35"/>
  <c r="D31" i="35"/>
  <c r="D33" i="35"/>
  <c r="D26" i="35"/>
  <c r="D32" i="35"/>
  <c r="D27" i="35"/>
  <c r="D28" i="35"/>
  <c r="D25" i="35"/>
  <c r="D24" i="35"/>
  <c r="E47" i="35"/>
  <c r="E44" i="35"/>
  <c r="E43" i="35"/>
  <c r="E42" i="35"/>
  <c r="E46" i="35"/>
  <c r="E45" i="35"/>
  <c r="E48" i="35"/>
  <c r="E41" i="35"/>
  <c r="B4" i="115" l="1"/>
  <c r="B4" i="120"/>
  <c r="B4" i="119"/>
  <c r="B4" i="121"/>
  <c r="B4" i="118"/>
  <c r="B4" i="117"/>
  <c r="B4" i="116"/>
  <c r="Q54" i="35"/>
  <c r="T55" i="35"/>
  <c r="H62" i="35"/>
  <c r="I62" i="35" s="1"/>
  <c r="J62" i="35" s="1"/>
  <c r="K62" i="35" s="1"/>
  <c r="L62" i="35" s="1"/>
  <c r="M62" i="35" s="1"/>
  <c r="N62" i="35" s="1"/>
  <c r="O62" i="35" s="1"/>
  <c r="W54" i="35"/>
  <c r="H59" i="35"/>
  <c r="R54" i="35"/>
  <c r="H55" i="35"/>
  <c r="H56" i="35"/>
  <c r="H60" i="35"/>
  <c r="H57" i="35"/>
  <c r="H63" i="35"/>
  <c r="I63" i="35" s="1"/>
  <c r="J63" i="35" s="1"/>
  <c r="K63" i="35" s="1"/>
  <c r="L63" i="35" s="1"/>
  <c r="M63" i="35" s="1"/>
  <c r="N63" i="35" s="1"/>
  <c r="O63" i="35" s="1"/>
  <c r="P63" i="35" s="1"/>
  <c r="H61" i="35"/>
  <c r="H58" i="35"/>
  <c r="I58" i="35" s="1"/>
  <c r="J58" i="35" s="1"/>
  <c r="K58" i="35" s="1"/>
  <c r="U8" i="35"/>
  <c r="V8" i="35" s="1"/>
  <c r="E28" i="35"/>
  <c r="C28" i="35"/>
  <c r="B13" i="35"/>
  <c r="D13" i="35"/>
  <c r="D39" i="35"/>
  <c r="C39" i="35" s="1"/>
  <c r="F39" i="35"/>
  <c r="C31" i="35"/>
  <c r="E31" i="35"/>
  <c r="B17" i="35"/>
  <c r="D17" i="35"/>
  <c r="F43" i="35"/>
  <c r="D43" i="35"/>
  <c r="C43" i="35" s="1"/>
  <c r="D44" i="35"/>
  <c r="C44" i="35" s="1"/>
  <c r="F44" i="35"/>
  <c r="D14" i="35"/>
  <c r="B14" i="35"/>
  <c r="F47" i="35"/>
  <c r="D47" i="35"/>
  <c r="C47" i="35" s="1"/>
  <c r="E27" i="35"/>
  <c r="C27" i="35"/>
  <c r="D10" i="35"/>
  <c r="B10" i="35"/>
  <c r="R8" i="35"/>
  <c r="N8" i="35"/>
  <c r="D40" i="35"/>
  <c r="C40" i="35" s="1"/>
  <c r="F40" i="35"/>
  <c r="D16" i="35"/>
  <c r="B16" i="35"/>
  <c r="D41" i="35"/>
  <c r="C41" i="35" s="1"/>
  <c r="F41" i="35"/>
  <c r="D46" i="35"/>
  <c r="C46" i="35" s="1"/>
  <c r="F46" i="35"/>
  <c r="C24" i="35"/>
  <c r="E24" i="35"/>
  <c r="C26" i="35"/>
  <c r="E26" i="35"/>
  <c r="E32" i="35"/>
  <c r="C32" i="35"/>
  <c r="D48" i="35"/>
  <c r="C48" i="35" s="1"/>
  <c r="F48" i="35"/>
  <c r="B15" i="35"/>
  <c r="D15" i="35"/>
  <c r="B9" i="35"/>
  <c r="D9" i="35"/>
  <c r="T9" i="35" s="1"/>
  <c r="B12" i="35"/>
  <c r="D12" i="35"/>
  <c r="D42" i="35"/>
  <c r="C42" i="35" s="1"/>
  <c r="F42" i="35"/>
  <c r="C29" i="35"/>
  <c r="E29" i="35"/>
  <c r="F45" i="35"/>
  <c r="D45" i="35"/>
  <c r="C45" i="35" s="1"/>
  <c r="C25" i="35"/>
  <c r="E25" i="35"/>
  <c r="C33" i="35"/>
  <c r="E33" i="35"/>
  <c r="C30" i="35"/>
  <c r="E30" i="35"/>
  <c r="B11" i="35"/>
  <c r="D11" i="35"/>
  <c r="Q62" i="35" l="1"/>
  <c r="E2" i="120"/>
  <c r="B7" i="116"/>
  <c r="B7" i="118"/>
  <c r="B7" i="119"/>
  <c r="B7" i="115"/>
  <c r="Q63" i="35"/>
  <c r="E2" i="121"/>
  <c r="Q58" i="35"/>
  <c r="E2" i="116"/>
  <c r="B7" i="121"/>
  <c r="B7" i="120"/>
  <c r="B7" i="117"/>
  <c r="S24" i="35"/>
  <c r="T24" i="35"/>
  <c r="S40" i="35"/>
  <c r="T40" i="35"/>
  <c r="I56" i="35"/>
  <c r="Q56" i="35" s="1"/>
  <c r="S56" i="35"/>
  <c r="S9" i="35"/>
  <c r="I61" i="35"/>
  <c r="J61" i="35" s="1"/>
  <c r="K61" i="35" s="1"/>
  <c r="L61" i="35" s="1"/>
  <c r="M61" i="35" s="1"/>
  <c r="N61" i="35" s="1"/>
  <c r="I59" i="35"/>
  <c r="J59" i="35" s="1"/>
  <c r="K59" i="35" s="1"/>
  <c r="L59" i="35" s="1"/>
  <c r="R59" i="35" s="1"/>
  <c r="T58" i="35"/>
  <c r="I2" i="116" s="1"/>
  <c r="H4" i="116" s="1"/>
  <c r="S58" i="35"/>
  <c r="G2" i="116" s="1"/>
  <c r="T63" i="35"/>
  <c r="I2" i="121" s="1"/>
  <c r="H4" i="121" s="1"/>
  <c r="T56" i="35"/>
  <c r="S25" i="35"/>
  <c r="T25" i="35"/>
  <c r="T39" i="35"/>
  <c r="S39" i="35"/>
  <c r="I57" i="35"/>
  <c r="S62" i="35"/>
  <c r="G2" i="120" s="1"/>
  <c r="T62" i="35"/>
  <c r="I2" i="120" s="1"/>
  <c r="H4" i="120" s="1"/>
  <c r="I60" i="35"/>
  <c r="J60" i="35" s="1"/>
  <c r="K60" i="35" s="1"/>
  <c r="L60" i="35" s="1"/>
  <c r="M60" i="35" s="1"/>
  <c r="S63" i="35"/>
  <c r="G2" i="121" s="1"/>
  <c r="W55" i="35"/>
  <c r="Q55" i="35"/>
  <c r="W62" i="35"/>
  <c r="R55" i="35"/>
  <c r="W63" i="35"/>
  <c r="R63" i="35"/>
  <c r="W58" i="35"/>
  <c r="R58" i="35"/>
  <c r="U55" i="35"/>
  <c r="U54" i="35"/>
  <c r="V54" i="35" s="1"/>
  <c r="R62" i="35"/>
  <c r="E9" i="35"/>
  <c r="E2" i="80" s="1"/>
  <c r="D4" i="80" s="1"/>
  <c r="I2" i="80"/>
  <c r="H4" i="80" s="1"/>
  <c r="G43" i="35"/>
  <c r="H43" i="35" s="1"/>
  <c r="I43" i="35" s="1"/>
  <c r="J43" i="35" s="1"/>
  <c r="F29" i="35"/>
  <c r="G29" i="35" s="1"/>
  <c r="H29" i="35" s="1"/>
  <c r="I29" i="35" s="1"/>
  <c r="J29" i="35" s="1"/>
  <c r="F33" i="35"/>
  <c r="G33" i="35" s="1"/>
  <c r="H33" i="35" s="1"/>
  <c r="I33" i="35" s="1"/>
  <c r="J33" i="35" s="1"/>
  <c r="K33" i="35" s="1"/>
  <c r="L33" i="35" s="1"/>
  <c r="M33" i="35" s="1"/>
  <c r="N33" i="35" s="1"/>
  <c r="B29" i="35"/>
  <c r="C2" i="80"/>
  <c r="B46" i="35"/>
  <c r="E17" i="35"/>
  <c r="E13" i="35"/>
  <c r="G47" i="35"/>
  <c r="H47" i="35" s="1"/>
  <c r="I47" i="35" s="1"/>
  <c r="J47" i="35" s="1"/>
  <c r="K47" i="35" s="1"/>
  <c r="L47" i="35" s="1"/>
  <c r="M47" i="35" s="1"/>
  <c r="N47" i="35" s="1"/>
  <c r="G42" i="35"/>
  <c r="H42" i="35" s="1"/>
  <c r="I42" i="35" s="1"/>
  <c r="E15" i="35"/>
  <c r="G41" i="35"/>
  <c r="H41" i="35" s="1"/>
  <c r="C2" i="92"/>
  <c r="C2" i="96"/>
  <c r="C2" i="91"/>
  <c r="G46" i="35"/>
  <c r="H46" i="35" s="1"/>
  <c r="I46" i="35" s="1"/>
  <c r="J46" i="35" s="1"/>
  <c r="K46" i="35" s="1"/>
  <c r="L46" i="35" s="1"/>
  <c r="M46" i="35" s="1"/>
  <c r="F25" i="35"/>
  <c r="W25" i="35" s="1"/>
  <c r="B41" i="35"/>
  <c r="C2" i="87"/>
  <c r="E14" i="35"/>
  <c r="F31" i="35"/>
  <c r="G31" i="35" s="1"/>
  <c r="H31" i="35" s="1"/>
  <c r="I31" i="35" s="1"/>
  <c r="J31" i="35" s="1"/>
  <c r="K31" i="35" s="1"/>
  <c r="L31" i="35" s="1"/>
  <c r="B28" i="35"/>
  <c r="C2" i="93"/>
  <c r="B25" i="35"/>
  <c r="F26" i="35"/>
  <c r="G26" i="35" s="1"/>
  <c r="C2" i="94"/>
  <c r="E10" i="35"/>
  <c r="S10" i="35" s="1"/>
  <c r="G44" i="35"/>
  <c r="H44" i="35" s="1"/>
  <c r="I44" i="35" s="1"/>
  <c r="J44" i="35" s="1"/>
  <c r="K44" i="35" s="1"/>
  <c r="B31" i="35"/>
  <c r="F28" i="35"/>
  <c r="G28" i="35" s="1"/>
  <c r="H28" i="35" s="1"/>
  <c r="I28" i="35" s="1"/>
  <c r="B42" i="35"/>
  <c r="E11" i="35"/>
  <c r="F11" i="35" s="1"/>
  <c r="G11" i="35" s="1"/>
  <c r="E2" i="88" s="1"/>
  <c r="D4" i="88" s="1"/>
  <c r="C2" i="88"/>
  <c r="E16" i="35"/>
  <c r="B27" i="35"/>
  <c r="B44" i="35"/>
  <c r="W39" i="35"/>
  <c r="B33" i="35"/>
  <c r="G48" i="35"/>
  <c r="H48" i="35" s="1"/>
  <c r="I48" i="35" s="1"/>
  <c r="J48" i="35" s="1"/>
  <c r="K48" i="35" s="1"/>
  <c r="L48" i="35" s="1"/>
  <c r="M48" i="35" s="1"/>
  <c r="N48" i="35" s="1"/>
  <c r="O48" i="35" s="1"/>
  <c r="B45" i="35"/>
  <c r="E12" i="35"/>
  <c r="F12" i="35" s="1"/>
  <c r="G12" i="35" s="1"/>
  <c r="H12" i="35" s="1"/>
  <c r="E2" i="90" s="1"/>
  <c r="D4" i="90" s="1"/>
  <c r="B48" i="35"/>
  <c r="B26" i="35"/>
  <c r="G45" i="35"/>
  <c r="H45" i="35" s="1"/>
  <c r="I45" i="35" s="1"/>
  <c r="J45" i="35" s="1"/>
  <c r="K45" i="35" s="1"/>
  <c r="L45" i="35" s="1"/>
  <c r="C2" i="90"/>
  <c r="B32" i="35"/>
  <c r="W24" i="35"/>
  <c r="G40" i="35"/>
  <c r="F27" i="35"/>
  <c r="G27" i="35" s="1"/>
  <c r="H27" i="35" s="1"/>
  <c r="B39" i="35"/>
  <c r="R39" i="35" s="1"/>
  <c r="B30" i="35"/>
  <c r="F30" i="35"/>
  <c r="G30" i="35" s="1"/>
  <c r="H30" i="35" s="1"/>
  <c r="I30" i="35" s="1"/>
  <c r="J30" i="35" s="1"/>
  <c r="K30" i="35" s="1"/>
  <c r="F32" i="35"/>
  <c r="G32" i="35" s="1"/>
  <c r="H32" i="35" s="1"/>
  <c r="I32" i="35" s="1"/>
  <c r="J32" i="35" s="1"/>
  <c r="K32" i="35" s="1"/>
  <c r="L32" i="35" s="1"/>
  <c r="M32" i="35" s="1"/>
  <c r="B24" i="35"/>
  <c r="R24" i="35" s="1"/>
  <c r="B40" i="35"/>
  <c r="B47" i="35"/>
  <c r="B43" i="35"/>
  <c r="T7" i="80" l="1"/>
  <c r="W56" i="35"/>
  <c r="W59" i="35"/>
  <c r="T59" i="35"/>
  <c r="I2" i="117" s="1"/>
  <c r="H4" i="117" s="1"/>
  <c r="S59" i="35"/>
  <c r="G2" i="117" s="1"/>
  <c r="Q60" i="35"/>
  <c r="E2" i="118"/>
  <c r="D4" i="116"/>
  <c r="T7" i="116" s="1"/>
  <c r="D1" i="116"/>
  <c r="F4" i="120"/>
  <c r="S7" i="120" s="1"/>
  <c r="K2" i="120"/>
  <c r="J4" i="120" s="1"/>
  <c r="F4" i="116"/>
  <c r="S7" i="116" s="1"/>
  <c r="K2" i="116"/>
  <c r="J4" i="116" s="1"/>
  <c r="Q59" i="35"/>
  <c r="E2" i="117"/>
  <c r="D4" i="121"/>
  <c r="T7" i="121" s="1"/>
  <c r="D1" i="121"/>
  <c r="D4" i="120"/>
  <c r="T7" i="120" s="1"/>
  <c r="D1" i="120"/>
  <c r="F4" i="121"/>
  <c r="S7" i="121" s="1"/>
  <c r="K2" i="121"/>
  <c r="J4" i="121" s="1"/>
  <c r="Q61" i="35"/>
  <c r="E2" i="119"/>
  <c r="W61" i="35"/>
  <c r="S48" i="35"/>
  <c r="G2" i="112" s="1"/>
  <c r="F4" i="112" s="1"/>
  <c r="R60" i="35"/>
  <c r="V55" i="35"/>
  <c r="S44" i="35"/>
  <c r="G2" i="108" s="1"/>
  <c r="F4" i="108" s="1"/>
  <c r="S46" i="35"/>
  <c r="T61" i="35"/>
  <c r="I2" i="119" s="1"/>
  <c r="H4" i="119" s="1"/>
  <c r="T33" i="35"/>
  <c r="I2" i="106" s="1"/>
  <c r="H4" i="106" s="1"/>
  <c r="J57" i="35"/>
  <c r="T57" i="35"/>
  <c r="I2" i="115" s="1"/>
  <c r="H4" i="115" s="1"/>
  <c r="F15" i="35"/>
  <c r="G15" i="35" s="1"/>
  <c r="H15" i="35" s="1"/>
  <c r="I15" i="35" s="1"/>
  <c r="J15" i="35" s="1"/>
  <c r="K15" i="35" s="1"/>
  <c r="E2" i="93" s="1"/>
  <c r="D4" i="93" s="1"/>
  <c r="T47" i="35"/>
  <c r="I2" i="111" s="1"/>
  <c r="H4" i="111" s="1"/>
  <c r="T44" i="35"/>
  <c r="I2" i="108" s="1"/>
  <c r="H4" i="108" s="1"/>
  <c r="S57" i="35"/>
  <c r="G2" i="115" s="1"/>
  <c r="T48" i="35"/>
  <c r="I2" i="112" s="1"/>
  <c r="H4" i="112" s="1"/>
  <c r="S61" i="35"/>
  <c r="G2" i="119" s="1"/>
  <c r="S30" i="35"/>
  <c r="S42" i="35"/>
  <c r="G2" i="99" s="1"/>
  <c r="F4" i="99" s="1"/>
  <c r="S33" i="35"/>
  <c r="G2" i="106" s="1"/>
  <c r="F4" i="106" s="1"/>
  <c r="S47" i="35"/>
  <c r="G2" i="111" s="1"/>
  <c r="F4" i="111" s="1"/>
  <c r="T43" i="35"/>
  <c r="I2" i="107" s="1"/>
  <c r="H4" i="107" s="1"/>
  <c r="T60" i="35"/>
  <c r="I2" i="118" s="1"/>
  <c r="H4" i="118" s="1"/>
  <c r="S43" i="35"/>
  <c r="T42" i="35"/>
  <c r="I2" i="99" s="1"/>
  <c r="H4" i="99" s="1"/>
  <c r="S26" i="35"/>
  <c r="T46" i="35"/>
  <c r="I2" i="110" s="1"/>
  <c r="H4" i="110" s="1"/>
  <c r="T32" i="35"/>
  <c r="I2" i="105" s="1"/>
  <c r="H4" i="105" s="1"/>
  <c r="T10" i="35"/>
  <c r="I2" i="87" s="1"/>
  <c r="H4" i="87" s="1"/>
  <c r="F17" i="35"/>
  <c r="G17" i="35" s="1"/>
  <c r="H17" i="35" s="1"/>
  <c r="I17" i="35" s="1"/>
  <c r="S60" i="35"/>
  <c r="G2" i="118" s="1"/>
  <c r="S27" i="35"/>
  <c r="S32" i="35"/>
  <c r="T27" i="35"/>
  <c r="I2" i="100" s="1"/>
  <c r="H4" i="100" s="1"/>
  <c r="T29" i="35"/>
  <c r="I2" i="102" s="1"/>
  <c r="H4" i="102" s="1"/>
  <c r="T11" i="35"/>
  <c r="I2" i="88" s="1"/>
  <c r="H4" i="88" s="1"/>
  <c r="T7" i="88" s="1"/>
  <c r="W60" i="35"/>
  <c r="R61" i="35"/>
  <c r="R56" i="35"/>
  <c r="S28" i="35"/>
  <c r="T45" i="35"/>
  <c r="S11" i="35"/>
  <c r="G2" i="88" s="1"/>
  <c r="F4" i="88" s="1"/>
  <c r="T41" i="35"/>
  <c r="S31" i="35"/>
  <c r="S29" i="35"/>
  <c r="G2" i="102" s="1"/>
  <c r="F4" i="102" s="1"/>
  <c r="T12" i="35"/>
  <c r="I2" i="90" s="1"/>
  <c r="H4" i="90" s="1"/>
  <c r="T7" i="90" s="1"/>
  <c r="T26" i="35"/>
  <c r="I2" i="89" s="1"/>
  <c r="H4" i="89" s="1"/>
  <c r="T28" i="35"/>
  <c r="I2" i="101" s="1"/>
  <c r="H4" i="101" s="1"/>
  <c r="S45" i="35"/>
  <c r="S12" i="35"/>
  <c r="G2" i="90" s="1"/>
  <c r="F4" i="90" s="1"/>
  <c r="S41" i="35"/>
  <c r="T31" i="35"/>
  <c r="I2" i="104" s="1"/>
  <c r="H4" i="104" s="1"/>
  <c r="T30" i="35"/>
  <c r="I2" i="103" s="1"/>
  <c r="H4" i="103" s="1"/>
  <c r="U62" i="35"/>
  <c r="V62" i="35" s="1"/>
  <c r="U56" i="35"/>
  <c r="U58" i="35"/>
  <c r="V58" i="35" s="1"/>
  <c r="U63" i="35"/>
  <c r="V63" i="35" s="1"/>
  <c r="N9" i="35"/>
  <c r="U40" i="35"/>
  <c r="R25" i="35"/>
  <c r="R41" i="35"/>
  <c r="W12" i="35"/>
  <c r="P40" i="35"/>
  <c r="U25" i="35"/>
  <c r="V25" i="35" s="1"/>
  <c r="W41" i="35"/>
  <c r="W29" i="35"/>
  <c r="R12" i="35"/>
  <c r="N12" i="35"/>
  <c r="W11" i="35"/>
  <c r="W46" i="35"/>
  <c r="W42" i="35"/>
  <c r="W44" i="35"/>
  <c r="N11" i="35"/>
  <c r="R9" i="35"/>
  <c r="R11" i="35"/>
  <c r="W9" i="35"/>
  <c r="P39" i="35"/>
  <c r="C2" i="107"/>
  <c r="R43" i="35"/>
  <c r="U24" i="35"/>
  <c r="V24" i="35" s="1"/>
  <c r="C2" i="103"/>
  <c r="R30" i="35"/>
  <c r="W40" i="35"/>
  <c r="W48" i="35"/>
  <c r="E2" i="108"/>
  <c r="D4" i="108" s="1"/>
  <c r="P44" i="35"/>
  <c r="C2" i="101"/>
  <c r="R28" i="35"/>
  <c r="E2" i="89"/>
  <c r="D4" i="89" s="1"/>
  <c r="T7" i="89" s="1"/>
  <c r="O26" i="35"/>
  <c r="E2" i="112"/>
  <c r="D4" i="112" s="1"/>
  <c r="T7" i="112" s="1"/>
  <c r="P48" i="35"/>
  <c r="C2" i="99"/>
  <c r="R42" i="35"/>
  <c r="W31" i="35"/>
  <c r="B4" i="91"/>
  <c r="P41" i="35"/>
  <c r="F13" i="35"/>
  <c r="E2" i="102"/>
  <c r="D4" i="102" s="1"/>
  <c r="T7" i="102" s="1"/>
  <c r="O29" i="35"/>
  <c r="W32" i="35"/>
  <c r="U39" i="35"/>
  <c r="V39" i="35" s="1"/>
  <c r="O24" i="35"/>
  <c r="W45" i="35"/>
  <c r="C2" i="112"/>
  <c r="R48" i="35"/>
  <c r="C2" i="108"/>
  <c r="R44" i="35"/>
  <c r="B4" i="88"/>
  <c r="D1" i="88"/>
  <c r="W28" i="35"/>
  <c r="F10" i="35"/>
  <c r="E2" i="104"/>
  <c r="D4" i="104" s="1"/>
  <c r="T7" i="104" s="1"/>
  <c r="O31" i="35"/>
  <c r="B4" i="80"/>
  <c r="D1" i="80"/>
  <c r="W43" i="35"/>
  <c r="C2" i="89"/>
  <c r="R26" i="35"/>
  <c r="E2" i="109"/>
  <c r="D4" i="109" s="1"/>
  <c r="P45" i="35"/>
  <c r="E2" i="101"/>
  <c r="D4" i="101" s="1"/>
  <c r="T7" i="101" s="1"/>
  <c r="O28" i="35"/>
  <c r="E2" i="107"/>
  <c r="D4" i="107" s="1"/>
  <c r="P43" i="35"/>
  <c r="E2" i="105"/>
  <c r="D4" i="105" s="1"/>
  <c r="T7" i="105" s="1"/>
  <c r="O32" i="35"/>
  <c r="W30" i="35"/>
  <c r="D7" i="90"/>
  <c r="W7" i="90" s="1"/>
  <c r="C2" i="106"/>
  <c r="R33" i="35"/>
  <c r="F14" i="35"/>
  <c r="O25" i="35"/>
  <c r="B4" i="96"/>
  <c r="G2" i="80"/>
  <c r="F4" i="80" s="1"/>
  <c r="U9" i="35"/>
  <c r="C2" i="109"/>
  <c r="R45" i="35"/>
  <c r="B4" i="90"/>
  <c r="D1" i="90"/>
  <c r="C2" i="111"/>
  <c r="R47" i="35"/>
  <c r="E2" i="103"/>
  <c r="D4" i="103" s="1"/>
  <c r="T7" i="103" s="1"/>
  <c r="O30" i="35"/>
  <c r="C2" i="100"/>
  <c r="R27" i="35"/>
  <c r="B4" i="94"/>
  <c r="B4" i="93"/>
  <c r="E2" i="99"/>
  <c r="P42" i="35"/>
  <c r="C2" i="102"/>
  <c r="R29" i="35"/>
  <c r="R40" i="35"/>
  <c r="W27" i="35"/>
  <c r="C2" i="105"/>
  <c r="R32" i="35"/>
  <c r="I2" i="109"/>
  <c r="H4" i="109" s="1"/>
  <c r="D7" i="88"/>
  <c r="W7" i="88" s="1"/>
  <c r="C2" i="104"/>
  <c r="R31" i="35"/>
  <c r="W26" i="35"/>
  <c r="E2" i="110"/>
  <c r="D4" i="110" s="1"/>
  <c r="T7" i="110" s="1"/>
  <c r="P46" i="35"/>
  <c r="W47" i="35"/>
  <c r="W33" i="35"/>
  <c r="D7" i="80"/>
  <c r="W7" i="80" s="1"/>
  <c r="E2" i="100"/>
  <c r="D4" i="100" s="1"/>
  <c r="O27" i="35"/>
  <c r="F16" i="35"/>
  <c r="G16" i="35" s="1"/>
  <c r="H16" i="35" s="1"/>
  <c r="I16" i="35" s="1"/>
  <c r="J16" i="35" s="1"/>
  <c r="K16" i="35" s="1"/>
  <c r="L16" i="35" s="1"/>
  <c r="B4" i="87"/>
  <c r="B4" i="92"/>
  <c r="E2" i="111"/>
  <c r="D4" i="111" s="1"/>
  <c r="T7" i="111" s="1"/>
  <c r="P47" i="35"/>
  <c r="C2" i="110"/>
  <c r="R46" i="35"/>
  <c r="E2" i="106"/>
  <c r="D4" i="106" s="1"/>
  <c r="T7" i="106" s="1"/>
  <c r="O33" i="35"/>
  <c r="S7" i="88" l="1"/>
  <c r="T7" i="108"/>
  <c r="T7" i="107"/>
  <c r="T7" i="100"/>
  <c r="S7" i="90"/>
  <c r="T7" i="109"/>
  <c r="S7" i="80"/>
  <c r="U7" i="80" s="1"/>
  <c r="D7" i="93"/>
  <c r="W7" i="93" s="1"/>
  <c r="K2" i="117"/>
  <c r="J4" i="117" s="1"/>
  <c r="U59" i="35"/>
  <c r="V59" i="35" s="1"/>
  <c r="V56" i="35"/>
  <c r="R15" i="35"/>
  <c r="F4" i="117"/>
  <c r="S7" i="117" s="1"/>
  <c r="F4" i="118"/>
  <c r="S7" i="118" s="1"/>
  <c r="K2" i="118"/>
  <c r="J4" i="118" s="1"/>
  <c r="D4" i="117"/>
  <c r="T7" i="117" s="1"/>
  <c r="D1" i="117"/>
  <c r="C12" i="121"/>
  <c r="C16" i="121"/>
  <c r="D7" i="121"/>
  <c r="C15" i="121"/>
  <c r="C11" i="121"/>
  <c r="C14" i="121"/>
  <c r="C10" i="121"/>
  <c r="C13" i="121"/>
  <c r="C9" i="121"/>
  <c r="C8" i="121"/>
  <c r="F4" i="115"/>
  <c r="S7" i="115" s="1"/>
  <c r="C10" i="120"/>
  <c r="C16" i="120"/>
  <c r="C13" i="120"/>
  <c r="C12" i="120"/>
  <c r="D7" i="120"/>
  <c r="C14" i="120"/>
  <c r="C15" i="120"/>
  <c r="C9" i="120"/>
  <c r="C11" i="120"/>
  <c r="C8" i="120"/>
  <c r="D4" i="118"/>
  <c r="T7" i="118" s="1"/>
  <c r="D1" i="118"/>
  <c r="F4" i="119"/>
  <c r="S7" i="119" s="1"/>
  <c r="K2" i="119"/>
  <c r="J4" i="119" s="1"/>
  <c r="D4" i="119"/>
  <c r="T7" i="119" s="1"/>
  <c r="D1" i="119"/>
  <c r="W57" i="35"/>
  <c r="E2" i="115"/>
  <c r="C9" i="116"/>
  <c r="C15" i="116"/>
  <c r="C16" i="116"/>
  <c r="D7" i="116"/>
  <c r="C14" i="116"/>
  <c r="C11" i="116"/>
  <c r="C12" i="116"/>
  <c r="C13" i="116"/>
  <c r="C10" i="116"/>
  <c r="C8" i="116"/>
  <c r="U60" i="35"/>
  <c r="V60" i="35" s="1"/>
  <c r="D1" i="93"/>
  <c r="W15" i="35"/>
  <c r="S15" i="35"/>
  <c r="G2" i="93" s="1"/>
  <c r="T16" i="35"/>
  <c r="I2" i="94" s="1"/>
  <c r="H4" i="94" s="1"/>
  <c r="U61" i="35"/>
  <c r="V61" i="35" s="1"/>
  <c r="C14" i="90"/>
  <c r="S16" i="35"/>
  <c r="G2" i="94" s="1"/>
  <c r="T15" i="35"/>
  <c r="I2" i="93" s="1"/>
  <c r="H4" i="93" s="1"/>
  <c r="T7" i="93" s="1"/>
  <c r="C16" i="88"/>
  <c r="U57" i="35"/>
  <c r="Q57" i="35"/>
  <c r="R57" i="35"/>
  <c r="C16" i="93"/>
  <c r="C10" i="80"/>
  <c r="N15" i="35"/>
  <c r="U43" i="35"/>
  <c r="V43" i="35" s="1"/>
  <c r="J17" i="35"/>
  <c r="G2" i="107"/>
  <c r="F4" i="107" s="1"/>
  <c r="C13" i="88"/>
  <c r="C10" i="88"/>
  <c r="U12" i="35"/>
  <c r="V12" i="35" s="1"/>
  <c r="C15" i="88"/>
  <c r="C12" i="88"/>
  <c r="C9" i="88"/>
  <c r="V40" i="35"/>
  <c r="C13" i="80"/>
  <c r="U47" i="35"/>
  <c r="V47" i="35" s="1"/>
  <c r="C16" i="80"/>
  <c r="C12" i="80"/>
  <c r="C15" i="80"/>
  <c r="C11" i="80"/>
  <c r="C9" i="80"/>
  <c r="C14" i="80"/>
  <c r="U42" i="35"/>
  <c r="V42" i="35" s="1"/>
  <c r="C11" i="88"/>
  <c r="C14" i="88"/>
  <c r="U11" i="35"/>
  <c r="V11" i="35" s="1"/>
  <c r="C13" i="90"/>
  <c r="U41" i="35"/>
  <c r="V41" i="35" s="1"/>
  <c r="C12" i="90"/>
  <c r="U33" i="35"/>
  <c r="V33" i="35" s="1"/>
  <c r="C9" i="93"/>
  <c r="V9" i="35"/>
  <c r="U48" i="35"/>
  <c r="V48" i="35" s="1"/>
  <c r="K2" i="99"/>
  <c r="J4" i="99" s="1"/>
  <c r="D4" i="99"/>
  <c r="T7" i="99" s="1"/>
  <c r="B4" i="109"/>
  <c r="D1" i="109"/>
  <c r="C10" i="93"/>
  <c r="C12" i="93"/>
  <c r="B4" i="89"/>
  <c r="D1" i="89"/>
  <c r="G13" i="35"/>
  <c r="H13" i="35" s="1"/>
  <c r="B4" i="103"/>
  <c r="D1" i="103"/>
  <c r="B7" i="92"/>
  <c r="D7" i="106"/>
  <c r="W7" i="106" s="1"/>
  <c r="G2" i="101"/>
  <c r="F4" i="101" s="1"/>
  <c r="U28" i="35"/>
  <c r="V28" i="35" s="1"/>
  <c r="B4" i="111"/>
  <c r="S7" i="111" s="1"/>
  <c r="K2" i="111"/>
  <c r="J4" i="111" s="1"/>
  <c r="D1" i="111"/>
  <c r="B4" i="106"/>
  <c r="S7" i="106" s="1"/>
  <c r="K2" i="106"/>
  <c r="J4" i="106" s="1"/>
  <c r="D1" i="106"/>
  <c r="K2" i="90"/>
  <c r="J4" i="90" s="1"/>
  <c r="G14" i="35"/>
  <c r="C9" i="90"/>
  <c r="C16" i="90"/>
  <c r="U29" i="35"/>
  <c r="V29" i="35" s="1"/>
  <c r="K2" i="80"/>
  <c r="J4" i="80" s="1"/>
  <c r="G2" i="87"/>
  <c r="U10" i="35"/>
  <c r="D7" i="112"/>
  <c r="W7" i="112" s="1"/>
  <c r="U44" i="35"/>
  <c r="V44" i="35" s="1"/>
  <c r="D7" i="110"/>
  <c r="W7" i="110" s="1"/>
  <c r="B7" i="87"/>
  <c r="G2" i="103"/>
  <c r="F4" i="103" s="1"/>
  <c r="U30" i="35"/>
  <c r="V30" i="35" s="1"/>
  <c r="B7" i="93"/>
  <c r="C8" i="93"/>
  <c r="G2" i="109"/>
  <c r="F4" i="109" s="1"/>
  <c r="U45" i="35"/>
  <c r="V45" i="35" s="1"/>
  <c r="C11" i="93"/>
  <c r="D7" i="101"/>
  <c r="W7" i="101" s="1"/>
  <c r="E2" i="87"/>
  <c r="N10" i="35"/>
  <c r="R10" i="35"/>
  <c r="B7" i="91"/>
  <c r="B4" i="107"/>
  <c r="S7" i="107" s="1"/>
  <c r="D1" i="107"/>
  <c r="D7" i="100"/>
  <c r="W7" i="100" s="1"/>
  <c r="B4" i="100"/>
  <c r="D1" i="100"/>
  <c r="B4" i="104"/>
  <c r="D1" i="104"/>
  <c r="G2" i="89"/>
  <c r="F4" i="89" s="1"/>
  <c r="U26" i="35"/>
  <c r="V26" i="35" s="1"/>
  <c r="C8" i="90"/>
  <c r="B7" i="90"/>
  <c r="C11" i="90"/>
  <c r="G2" i="105"/>
  <c r="F4" i="105" s="1"/>
  <c r="U32" i="35"/>
  <c r="V32" i="35" s="1"/>
  <c r="C13" i="93"/>
  <c r="B7" i="80"/>
  <c r="C8" i="80"/>
  <c r="D7" i="89"/>
  <c r="W7" i="89" s="1"/>
  <c r="B4" i="105"/>
  <c r="S7" i="105" s="1"/>
  <c r="D1" i="105"/>
  <c r="D7" i="104"/>
  <c r="W7" i="104" s="1"/>
  <c r="B4" i="108"/>
  <c r="S7" i="108" s="1"/>
  <c r="K2" i="108"/>
  <c r="J4" i="108" s="1"/>
  <c r="D1" i="108"/>
  <c r="B4" i="110"/>
  <c r="D1" i="110"/>
  <c r="B4" i="102"/>
  <c r="S7" i="102" s="1"/>
  <c r="K2" i="102"/>
  <c r="J4" i="102" s="1"/>
  <c r="D1" i="102"/>
  <c r="C15" i="90"/>
  <c r="B4" i="112"/>
  <c r="S7" i="112" s="1"/>
  <c r="K2" i="112"/>
  <c r="J4" i="112" s="1"/>
  <c r="D1" i="112"/>
  <c r="D7" i="102"/>
  <c r="W7" i="102" s="1"/>
  <c r="D7" i="111"/>
  <c r="W7" i="111" s="1"/>
  <c r="E2" i="94"/>
  <c r="R16" i="35"/>
  <c r="N16" i="35"/>
  <c r="G2" i="110"/>
  <c r="F4" i="110" s="1"/>
  <c r="U46" i="35"/>
  <c r="V46" i="35" s="1"/>
  <c r="B7" i="94"/>
  <c r="B7" i="96"/>
  <c r="C10" i="90"/>
  <c r="C14" i="93"/>
  <c r="D7" i="109"/>
  <c r="W7" i="109" s="1"/>
  <c r="K2" i="88"/>
  <c r="J4" i="88" s="1"/>
  <c r="B4" i="101"/>
  <c r="S7" i="101" s="1"/>
  <c r="D1" i="101"/>
  <c r="W16" i="35"/>
  <c r="D7" i="107"/>
  <c r="W7" i="107" s="1"/>
  <c r="D7" i="108"/>
  <c r="W7" i="108" s="1"/>
  <c r="G2" i="104"/>
  <c r="F4" i="104" s="1"/>
  <c r="U31" i="35"/>
  <c r="V31" i="35" s="1"/>
  <c r="D7" i="103"/>
  <c r="W7" i="103" s="1"/>
  <c r="G2" i="100"/>
  <c r="F4" i="100" s="1"/>
  <c r="U27" i="35"/>
  <c r="V27" i="35" s="1"/>
  <c r="D7" i="105"/>
  <c r="W7" i="105" s="1"/>
  <c r="C15" i="93"/>
  <c r="B7" i="88"/>
  <c r="C8" i="88"/>
  <c r="B4" i="99"/>
  <c r="S7" i="99" s="1"/>
  <c r="D1" i="99"/>
  <c r="W10" i="35"/>
  <c r="S7" i="104" l="1"/>
  <c r="U7" i="104" s="1"/>
  <c r="S7" i="89"/>
  <c r="S7" i="109"/>
  <c r="S7" i="110"/>
  <c r="S7" i="103"/>
  <c r="U7" i="103" s="1"/>
  <c r="S7" i="100"/>
  <c r="B16" i="88"/>
  <c r="N7" i="93"/>
  <c r="U7" i="116"/>
  <c r="U7" i="120"/>
  <c r="V57" i="35"/>
  <c r="U7" i="121"/>
  <c r="U7" i="88"/>
  <c r="D3" i="95" s="1"/>
  <c r="P8" i="97" s="1"/>
  <c r="U7" i="90"/>
  <c r="E3" i="95" s="1"/>
  <c r="Q8" i="97" s="1"/>
  <c r="U7" i="101"/>
  <c r="U7" i="108"/>
  <c r="U7" i="105"/>
  <c r="U7" i="111"/>
  <c r="U7" i="106"/>
  <c r="U7" i="89"/>
  <c r="U7" i="107"/>
  <c r="U7" i="112"/>
  <c r="U7" i="102"/>
  <c r="U7" i="100"/>
  <c r="B10" i="80"/>
  <c r="U7" i="110"/>
  <c r="D8" i="116"/>
  <c r="E8" i="116" s="1"/>
  <c r="W8" i="116" s="1"/>
  <c r="B8" i="116"/>
  <c r="D11" i="116"/>
  <c r="B11" i="116"/>
  <c r="B15" i="116"/>
  <c r="D15" i="116"/>
  <c r="D4" i="115"/>
  <c r="T7" i="115" s="1"/>
  <c r="D1" i="115"/>
  <c r="C13" i="118"/>
  <c r="D7" i="118"/>
  <c r="C11" i="118"/>
  <c r="C14" i="118"/>
  <c r="C12" i="118"/>
  <c r="C9" i="118"/>
  <c r="C10" i="118"/>
  <c r="C15" i="118"/>
  <c r="C16" i="118"/>
  <c r="C8" i="118"/>
  <c r="D9" i="120"/>
  <c r="B9" i="120"/>
  <c r="B12" i="120"/>
  <c r="D12" i="120"/>
  <c r="D8" i="121"/>
  <c r="S8" i="121" s="1"/>
  <c r="B8" i="121"/>
  <c r="B14" i="121"/>
  <c r="D14" i="121"/>
  <c r="B16" i="121"/>
  <c r="D16" i="121"/>
  <c r="K2" i="107"/>
  <c r="J4" i="107" s="1"/>
  <c r="B14" i="90"/>
  <c r="D10" i="116"/>
  <c r="E10" i="116" s="1"/>
  <c r="F10" i="116" s="1"/>
  <c r="G10" i="116" s="1"/>
  <c r="W10" i="116" s="1"/>
  <c r="B10" i="116"/>
  <c r="B14" i="116"/>
  <c r="D14" i="116"/>
  <c r="D9" i="116"/>
  <c r="B9" i="116"/>
  <c r="B15" i="120"/>
  <c r="D15" i="120"/>
  <c r="D13" i="120"/>
  <c r="B13" i="120"/>
  <c r="K2" i="115"/>
  <c r="J4" i="115" s="1"/>
  <c r="D9" i="121"/>
  <c r="B9" i="121"/>
  <c r="D11" i="121"/>
  <c r="B11" i="121"/>
  <c r="B12" i="121"/>
  <c r="D12" i="121"/>
  <c r="U7" i="109"/>
  <c r="B16" i="93"/>
  <c r="B13" i="116"/>
  <c r="D13" i="116"/>
  <c r="W7" i="116"/>
  <c r="N7" i="116"/>
  <c r="R7" i="116"/>
  <c r="C9" i="119"/>
  <c r="C14" i="119"/>
  <c r="D7" i="119"/>
  <c r="C13" i="119"/>
  <c r="C15" i="119"/>
  <c r="C16" i="119"/>
  <c r="C10" i="119"/>
  <c r="C12" i="119"/>
  <c r="C11" i="119"/>
  <c r="C8" i="119"/>
  <c r="D8" i="120"/>
  <c r="T8" i="120" s="1"/>
  <c r="B8" i="120"/>
  <c r="B14" i="120"/>
  <c r="D14" i="120"/>
  <c r="B16" i="120"/>
  <c r="D16" i="120"/>
  <c r="B13" i="121"/>
  <c r="D13" i="121"/>
  <c r="B15" i="121"/>
  <c r="D15" i="121"/>
  <c r="B12" i="116"/>
  <c r="D12" i="116"/>
  <c r="D16" i="116"/>
  <c r="B16" i="116"/>
  <c r="D11" i="120"/>
  <c r="B11" i="120"/>
  <c r="W7" i="120"/>
  <c r="V7" i="120" s="1"/>
  <c r="N7" i="120"/>
  <c r="R7" i="120"/>
  <c r="D10" i="120"/>
  <c r="B10" i="120"/>
  <c r="D10" i="121"/>
  <c r="B10" i="121"/>
  <c r="W7" i="121"/>
  <c r="R7" i="121"/>
  <c r="N7" i="121"/>
  <c r="D7" i="117"/>
  <c r="C13" i="117"/>
  <c r="C15" i="117"/>
  <c r="C9" i="117"/>
  <c r="C14" i="117"/>
  <c r="C11" i="117"/>
  <c r="C16" i="117"/>
  <c r="C10" i="117"/>
  <c r="C12" i="117"/>
  <c r="C8" i="117"/>
  <c r="C15" i="108"/>
  <c r="C16" i="101"/>
  <c r="C12" i="112"/>
  <c r="I13" i="35"/>
  <c r="E2" i="91" s="1"/>
  <c r="S13" i="35"/>
  <c r="G2" i="91" s="1"/>
  <c r="B13" i="80"/>
  <c r="D16" i="93"/>
  <c r="E16" i="93" s="1"/>
  <c r="F16" i="93" s="1"/>
  <c r="G16" i="93" s="1"/>
  <c r="H16" i="93" s="1"/>
  <c r="I16" i="93" s="1"/>
  <c r="J16" i="93" s="1"/>
  <c r="K16" i="93" s="1"/>
  <c r="L16" i="93" s="1"/>
  <c r="M16" i="93" s="1"/>
  <c r="C13" i="89"/>
  <c r="D10" i="80"/>
  <c r="B9" i="88"/>
  <c r="B12" i="90"/>
  <c r="U15" i="35"/>
  <c r="V15" i="35" s="1"/>
  <c r="C12" i="107"/>
  <c r="C10" i="104"/>
  <c r="D11" i="80"/>
  <c r="B12" i="88"/>
  <c r="C13" i="111"/>
  <c r="C14" i="102"/>
  <c r="B13" i="90"/>
  <c r="B15" i="80"/>
  <c r="B14" i="80"/>
  <c r="C15" i="105"/>
  <c r="B12" i="80"/>
  <c r="C12" i="110"/>
  <c r="C11" i="100"/>
  <c r="C11" i="106"/>
  <c r="C16" i="109"/>
  <c r="B9" i="93"/>
  <c r="B14" i="88"/>
  <c r="B16" i="80"/>
  <c r="B10" i="88"/>
  <c r="T13" i="35"/>
  <c r="I2" i="91" s="1"/>
  <c r="H4" i="91" s="1"/>
  <c r="C16" i="103"/>
  <c r="B13" i="88"/>
  <c r="K17" i="35"/>
  <c r="D15" i="88"/>
  <c r="D16" i="88"/>
  <c r="B15" i="88"/>
  <c r="D14" i="88"/>
  <c r="D13" i="88"/>
  <c r="D10" i="88"/>
  <c r="D12" i="88"/>
  <c r="B11" i="88"/>
  <c r="C16" i="89"/>
  <c r="C11" i="104"/>
  <c r="D13" i="80"/>
  <c r="C13" i="104"/>
  <c r="D11" i="88"/>
  <c r="C10" i="89"/>
  <c r="D16" i="80"/>
  <c r="D9" i="93"/>
  <c r="R7" i="93"/>
  <c r="S21" i="93" s="1"/>
  <c r="C10" i="111"/>
  <c r="C13" i="105"/>
  <c r="B11" i="80"/>
  <c r="C14" i="107"/>
  <c r="D12" i="80"/>
  <c r="C13" i="109"/>
  <c r="C14" i="109"/>
  <c r="C9" i="109"/>
  <c r="C10" i="109"/>
  <c r="C11" i="109"/>
  <c r="B9" i="80"/>
  <c r="C12" i="109"/>
  <c r="C15" i="109"/>
  <c r="D14" i="90"/>
  <c r="D15" i="80"/>
  <c r="D13" i="90"/>
  <c r="D14" i="80"/>
  <c r="C9" i="104"/>
  <c r="C9" i="103"/>
  <c r="C14" i="103"/>
  <c r="C13" i="103"/>
  <c r="C15" i="103"/>
  <c r="D12" i="90"/>
  <c r="C12" i="103"/>
  <c r="C10" i="103"/>
  <c r="C11" i="103"/>
  <c r="C9" i="108"/>
  <c r="C10" i="108"/>
  <c r="C16" i="107"/>
  <c r="C16" i="104"/>
  <c r="C9" i="107"/>
  <c r="C9" i="106"/>
  <c r="C12" i="108"/>
  <c r="C15" i="107"/>
  <c r="U16" i="35"/>
  <c r="V16" i="35" s="1"/>
  <c r="C10" i="106"/>
  <c r="C10" i="107"/>
  <c r="C13" i="108"/>
  <c r="C11" i="107"/>
  <c r="K2" i="101"/>
  <c r="J4" i="101" s="1"/>
  <c r="C15" i="104"/>
  <c r="C13" i="106"/>
  <c r="C11" i="108"/>
  <c r="C13" i="107"/>
  <c r="K2" i="105"/>
  <c r="J4" i="105" s="1"/>
  <c r="C14" i="106"/>
  <c r="C14" i="108"/>
  <c r="C16" i="108"/>
  <c r="C15" i="106"/>
  <c r="C10" i="102"/>
  <c r="C12" i="111"/>
  <c r="C12" i="102"/>
  <c r="C16" i="111"/>
  <c r="C16" i="102"/>
  <c r="C15" i="102"/>
  <c r="B3" i="113"/>
  <c r="B3" i="95"/>
  <c r="N8" i="97" s="1"/>
  <c r="V7" i="80"/>
  <c r="C12" i="100"/>
  <c r="K2" i="109"/>
  <c r="J4" i="109" s="1"/>
  <c r="C9" i="111"/>
  <c r="C16" i="100"/>
  <c r="C14" i="111"/>
  <c r="C9" i="100"/>
  <c r="C15" i="101"/>
  <c r="C11" i="112"/>
  <c r="C13" i="100"/>
  <c r="C15" i="111"/>
  <c r="C11" i="111"/>
  <c r="C10" i="100"/>
  <c r="C12" i="106"/>
  <c r="C15" i="100"/>
  <c r="D3" i="113"/>
  <c r="B7" i="99"/>
  <c r="C8" i="99"/>
  <c r="B7" i="112"/>
  <c r="C8" i="112"/>
  <c r="B7" i="108"/>
  <c r="C8" i="108"/>
  <c r="C11" i="89"/>
  <c r="C8" i="104"/>
  <c r="B7" i="104"/>
  <c r="C11" i="101"/>
  <c r="C12" i="101"/>
  <c r="C10" i="110"/>
  <c r="C15" i="112"/>
  <c r="B16" i="90"/>
  <c r="D16" i="90"/>
  <c r="K2" i="89"/>
  <c r="J4" i="89" s="1"/>
  <c r="B15" i="90"/>
  <c r="D15" i="90"/>
  <c r="C8" i="105"/>
  <c r="B7" i="105"/>
  <c r="C10" i="105"/>
  <c r="F4" i="93"/>
  <c r="S7" i="93" s="1"/>
  <c r="K2" i="93"/>
  <c r="J4" i="93" s="1"/>
  <c r="C13" i="102"/>
  <c r="F4" i="94"/>
  <c r="S7" i="94" s="1"/>
  <c r="K2" i="94"/>
  <c r="J4" i="94" s="1"/>
  <c r="C14" i="89"/>
  <c r="C9" i="89"/>
  <c r="C9" i="101"/>
  <c r="C11" i="110"/>
  <c r="C16" i="112"/>
  <c r="B7" i="111"/>
  <c r="C8" i="111"/>
  <c r="K2" i="103"/>
  <c r="J4" i="103" s="1"/>
  <c r="D13" i="93"/>
  <c r="B12" i="93"/>
  <c r="D12" i="93"/>
  <c r="C8" i="109"/>
  <c r="B7" i="109"/>
  <c r="C14" i="105"/>
  <c r="C12" i="89"/>
  <c r="C13" i="101"/>
  <c r="C13" i="110"/>
  <c r="C13" i="112"/>
  <c r="V10" i="35"/>
  <c r="H14" i="35"/>
  <c r="I14" i="35" s="1"/>
  <c r="D11" i="93"/>
  <c r="B10" i="93"/>
  <c r="D10" i="93"/>
  <c r="C14" i="99"/>
  <c r="C11" i="99"/>
  <c r="C9" i="99"/>
  <c r="C10" i="99"/>
  <c r="C12" i="99"/>
  <c r="C13" i="99"/>
  <c r="C15" i="99"/>
  <c r="D7" i="99"/>
  <c r="C16" i="99"/>
  <c r="B8" i="88"/>
  <c r="D8" i="88"/>
  <c r="T8" i="88" s="1"/>
  <c r="C12" i="105"/>
  <c r="D14" i="93"/>
  <c r="B14" i="93"/>
  <c r="K2" i="110"/>
  <c r="J4" i="110" s="1"/>
  <c r="C14" i="104"/>
  <c r="C15" i="89"/>
  <c r="B8" i="80"/>
  <c r="D8" i="80"/>
  <c r="T8" i="80" s="1"/>
  <c r="B11" i="90"/>
  <c r="D11" i="90"/>
  <c r="C10" i="112"/>
  <c r="F4" i="87"/>
  <c r="S7" i="87" s="1"/>
  <c r="K2" i="87"/>
  <c r="J4" i="87" s="1"/>
  <c r="D9" i="80"/>
  <c r="C8" i="103"/>
  <c r="B7" i="103"/>
  <c r="C8" i="102"/>
  <c r="B7" i="102"/>
  <c r="C8" i="110"/>
  <c r="B7" i="110"/>
  <c r="N7" i="80"/>
  <c r="R7" i="80"/>
  <c r="K2" i="100"/>
  <c r="J4" i="100" s="1"/>
  <c r="D4" i="87"/>
  <c r="T7" i="87" s="1"/>
  <c r="D1" i="87"/>
  <c r="D8" i="93"/>
  <c r="T8" i="93" s="1"/>
  <c r="B8" i="93"/>
  <c r="C14" i="110"/>
  <c r="C16" i="110"/>
  <c r="C14" i="112"/>
  <c r="B11" i="93"/>
  <c r="D9" i="90"/>
  <c r="B9" i="90"/>
  <c r="N7" i="88"/>
  <c r="R7" i="88"/>
  <c r="C11" i="105"/>
  <c r="C8" i="101"/>
  <c r="B7" i="101"/>
  <c r="D4" i="94"/>
  <c r="T7" i="94" s="1"/>
  <c r="D1" i="94"/>
  <c r="C9" i="102"/>
  <c r="B13" i="93"/>
  <c r="N7" i="90"/>
  <c r="R7" i="90"/>
  <c r="K2" i="104"/>
  <c r="J4" i="104" s="1"/>
  <c r="C10" i="101"/>
  <c r="C9" i="110"/>
  <c r="D9" i="88"/>
  <c r="C8" i="89"/>
  <c r="B7" i="89"/>
  <c r="C9" i="105"/>
  <c r="B15" i="93"/>
  <c r="D15" i="93"/>
  <c r="C16" i="105"/>
  <c r="D10" i="90"/>
  <c r="B10" i="90"/>
  <c r="C11" i="102"/>
  <c r="C12" i="104"/>
  <c r="B8" i="90"/>
  <c r="D8" i="90"/>
  <c r="T8" i="90" s="1"/>
  <c r="C8" i="100"/>
  <c r="B7" i="100"/>
  <c r="C14" i="100"/>
  <c r="B7" i="107"/>
  <c r="C8" i="107"/>
  <c r="C14" i="101"/>
  <c r="C15" i="110"/>
  <c r="C9" i="112"/>
  <c r="B7" i="106"/>
  <c r="C8" i="106"/>
  <c r="C16" i="106"/>
  <c r="B16" i="101" l="1"/>
  <c r="S16" i="93"/>
  <c r="T8" i="121"/>
  <c r="S8" i="80"/>
  <c r="B15" i="108"/>
  <c r="S8" i="120"/>
  <c r="T16" i="93"/>
  <c r="S8" i="88"/>
  <c r="S10" i="116"/>
  <c r="S8" i="116"/>
  <c r="B13" i="89"/>
  <c r="S8" i="93"/>
  <c r="T10" i="116"/>
  <c r="T8" i="116"/>
  <c r="S8" i="90"/>
  <c r="V7" i="116"/>
  <c r="V7" i="121"/>
  <c r="R16" i="93"/>
  <c r="S30" i="93" s="1"/>
  <c r="U7" i="118"/>
  <c r="V7" i="90"/>
  <c r="U7" i="119"/>
  <c r="E3" i="113"/>
  <c r="U7" i="117"/>
  <c r="V7" i="88"/>
  <c r="U7" i="99"/>
  <c r="U3" i="95" s="1"/>
  <c r="E14" i="80"/>
  <c r="E12" i="80"/>
  <c r="E10" i="88"/>
  <c r="E16" i="88"/>
  <c r="U7" i="93"/>
  <c r="E13" i="90"/>
  <c r="E11" i="88"/>
  <c r="E13" i="88"/>
  <c r="E15" i="88"/>
  <c r="B11" i="100"/>
  <c r="E12" i="90"/>
  <c r="E15" i="80"/>
  <c r="E9" i="93"/>
  <c r="E14" i="88"/>
  <c r="E14" i="90"/>
  <c r="E16" i="80"/>
  <c r="E13" i="80"/>
  <c r="E12" i="88"/>
  <c r="B14" i="102"/>
  <c r="B10" i="104"/>
  <c r="U8" i="120"/>
  <c r="U7" i="115"/>
  <c r="B11" i="106"/>
  <c r="B15" i="105"/>
  <c r="B10" i="117"/>
  <c r="D10" i="117"/>
  <c r="D9" i="117"/>
  <c r="B9" i="117"/>
  <c r="S21" i="120"/>
  <c r="E21" i="120"/>
  <c r="E33" i="120"/>
  <c r="E45" i="120"/>
  <c r="S45" i="120"/>
  <c r="S33" i="120"/>
  <c r="E11" i="120"/>
  <c r="E15" i="121"/>
  <c r="E13" i="121"/>
  <c r="B10" i="119"/>
  <c r="D10" i="119"/>
  <c r="W7" i="119"/>
  <c r="R7" i="119"/>
  <c r="N7" i="119"/>
  <c r="S33" i="116"/>
  <c r="S21" i="116"/>
  <c r="S45" i="116"/>
  <c r="E33" i="116"/>
  <c r="E45" i="116"/>
  <c r="E21" i="116"/>
  <c r="E12" i="121"/>
  <c r="E8" i="121"/>
  <c r="R8" i="121" s="1"/>
  <c r="E9" i="120"/>
  <c r="B16" i="118"/>
  <c r="D16" i="118"/>
  <c r="D12" i="118"/>
  <c r="B12" i="118"/>
  <c r="B13" i="118"/>
  <c r="D13" i="118"/>
  <c r="E15" i="116"/>
  <c r="N8" i="116"/>
  <c r="R8" i="116"/>
  <c r="B13" i="111"/>
  <c r="D16" i="117"/>
  <c r="B16" i="117"/>
  <c r="B15" i="117"/>
  <c r="D15" i="117"/>
  <c r="E10" i="121"/>
  <c r="E10" i="120"/>
  <c r="E16" i="120"/>
  <c r="E14" i="120"/>
  <c r="D8" i="119"/>
  <c r="E8" i="119" s="1"/>
  <c r="W8" i="119" s="1"/>
  <c r="B8" i="119"/>
  <c r="D16" i="119"/>
  <c r="B16" i="119"/>
  <c r="D14" i="119"/>
  <c r="B14" i="119"/>
  <c r="E11" i="121"/>
  <c r="E9" i="121"/>
  <c r="E15" i="120"/>
  <c r="E14" i="116"/>
  <c r="R10" i="116"/>
  <c r="N10" i="116"/>
  <c r="D15" i="118"/>
  <c r="B15" i="118"/>
  <c r="B14" i="118"/>
  <c r="D14" i="118"/>
  <c r="E11" i="116"/>
  <c r="B8" i="117"/>
  <c r="D8" i="117"/>
  <c r="S8" i="117" s="1"/>
  <c r="D11" i="117"/>
  <c r="B11" i="117"/>
  <c r="D13" i="117"/>
  <c r="B13" i="117"/>
  <c r="E45" i="121"/>
  <c r="S45" i="121"/>
  <c r="E33" i="121"/>
  <c r="S33" i="121"/>
  <c r="S21" i="121"/>
  <c r="E21" i="121"/>
  <c r="E12" i="116"/>
  <c r="E8" i="120"/>
  <c r="N8" i="120" s="1"/>
  <c r="B11" i="119"/>
  <c r="D11" i="119"/>
  <c r="D15" i="119"/>
  <c r="B15" i="119"/>
  <c r="D9" i="119"/>
  <c r="B9" i="119"/>
  <c r="E13" i="120"/>
  <c r="E9" i="116"/>
  <c r="D10" i="118"/>
  <c r="B10" i="118"/>
  <c r="D11" i="118"/>
  <c r="B11" i="118"/>
  <c r="B16" i="109"/>
  <c r="B12" i="117"/>
  <c r="D12" i="117"/>
  <c r="B14" i="117"/>
  <c r="D14" i="117"/>
  <c r="W7" i="117"/>
  <c r="N7" i="117"/>
  <c r="R7" i="117"/>
  <c r="E16" i="116"/>
  <c r="B12" i="119"/>
  <c r="D12" i="119"/>
  <c r="D13" i="119"/>
  <c r="B13" i="119"/>
  <c r="E13" i="116"/>
  <c r="E16" i="121"/>
  <c r="E14" i="121"/>
  <c r="E12" i="120"/>
  <c r="B8" i="118"/>
  <c r="D8" i="118"/>
  <c r="D9" i="118"/>
  <c r="B9" i="118"/>
  <c r="W7" i="118"/>
  <c r="N7" i="118"/>
  <c r="R7" i="118"/>
  <c r="D7" i="115"/>
  <c r="C15" i="115"/>
  <c r="C16" i="115"/>
  <c r="C14" i="115"/>
  <c r="C9" i="115"/>
  <c r="C13" i="115"/>
  <c r="C11" i="115"/>
  <c r="C10" i="115"/>
  <c r="C12" i="115"/>
  <c r="C8" i="115"/>
  <c r="R13" i="35"/>
  <c r="W13" i="35"/>
  <c r="N13" i="35"/>
  <c r="B12" i="102"/>
  <c r="B13" i="107"/>
  <c r="D11" i="106"/>
  <c r="B10" i="108"/>
  <c r="B14" i="103"/>
  <c r="B12" i="109"/>
  <c r="B14" i="107"/>
  <c r="B11" i="108"/>
  <c r="E10" i="80"/>
  <c r="B15" i="100"/>
  <c r="B11" i="112"/>
  <c r="B10" i="102"/>
  <c r="B13" i="106"/>
  <c r="B11" i="103"/>
  <c r="D10" i="104"/>
  <c r="B13" i="105"/>
  <c r="D13" i="100"/>
  <c r="B9" i="108"/>
  <c r="D13" i="89"/>
  <c r="B12" i="106"/>
  <c r="D16" i="101"/>
  <c r="B15" i="106"/>
  <c r="B10" i="103"/>
  <c r="B10" i="109"/>
  <c r="B10" i="111"/>
  <c r="D11" i="104"/>
  <c r="B12" i="107"/>
  <c r="B12" i="100"/>
  <c r="E11" i="80"/>
  <c r="D15" i="105"/>
  <c r="B16" i="108"/>
  <c r="B12" i="103"/>
  <c r="B9" i="109"/>
  <c r="B16" i="89"/>
  <c r="B16" i="103"/>
  <c r="B13" i="104"/>
  <c r="D11" i="100"/>
  <c r="D14" i="111"/>
  <c r="B15" i="102"/>
  <c r="D15" i="108"/>
  <c r="D12" i="107"/>
  <c r="B9" i="107"/>
  <c r="B14" i="109"/>
  <c r="J14" i="35"/>
  <c r="E2" i="92" s="1"/>
  <c r="T14" i="35"/>
  <c r="I2" i="92" s="1"/>
  <c r="H4" i="92" s="1"/>
  <c r="S14" i="35"/>
  <c r="B11" i="111"/>
  <c r="B16" i="102"/>
  <c r="B16" i="104"/>
  <c r="D16" i="103"/>
  <c r="D13" i="111"/>
  <c r="B12" i="112"/>
  <c r="D14" i="102"/>
  <c r="B12" i="110"/>
  <c r="B15" i="111"/>
  <c r="B16" i="111"/>
  <c r="B16" i="107"/>
  <c r="B15" i="109"/>
  <c r="B10" i="89"/>
  <c r="L17" i="35"/>
  <c r="J51" i="35"/>
  <c r="B15" i="101"/>
  <c r="B11" i="107"/>
  <c r="B14" i="108"/>
  <c r="B11" i="104"/>
  <c r="D16" i="89"/>
  <c r="B14" i="111"/>
  <c r="D9" i="107"/>
  <c r="D15" i="102"/>
  <c r="B10" i="100"/>
  <c r="B9" i="104"/>
  <c r="D13" i="108"/>
  <c r="D10" i="103"/>
  <c r="D10" i="89"/>
  <c r="D15" i="106"/>
  <c r="B9" i="103"/>
  <c r="D9" i="108"/>
  <c r="D12" i="100"/>
  <c r="B12" i="111"/>
  <c r="B13" i="100"/>
  <c r="D13" i="104"/>
  <c r="D14" i="109"/>
  <c r="B13" i="108"/>
  <c r="B14" i="106"/>
  <c r="D12" i="111"/>
  <c r="B15" i="103"/>
  <c r="D14" i="108"/>
  <c r="B13" i="109"/>
  <c r="D16" i="102"/>
  <c r="H15" i="95"/>
  <c r="S33" i="93"/>
  <c r="H39" i="113" s="1"/>
  <c r="E21" i="93"/>
  <c r="H27" i="95" s="1"/>
  <c r="E45" i="93"/>
  <c r="H51" i="95" s="1"/>
  <c r="E33" i="93"/>
  <c r="H39" i="95" s="1"/>
  <c r="S45" i="93"/>
  <c r="H51" i="113" s="1"/>
  <c r="H15" i="113"/>
  <c r="D11" i="109"/>
  <c r="D13" i="105"/>
  <c r="D9" i="104"/>
  <c r="B11" i="109"/>
  <c r="D10" i="108"/>
  <c r="D10" i="100"/>
  <c r="D14" i="107"/>
  <c r="D12" i="109"/>
  <c r="N16" i="93"/>
  <c r="D13" i="109"/>
  <c r="B10" i="106"/>
  <c r="D15" i="107"/>
  <c r="D15" i="103"/>
  <c r="D11" i="108"/>
  <c r="D10" i="106"/>
  <c r="D13" i="107"/>
  <c r="D10" i="109"/>
  <c r="D16" i="108"/>
  <c r="D10" i="107"/>
  <c r="B9" i="106"/>
  <c r="B9" i="100"/>
  <c r="D9" i="109"/>
  <c r="U13" i="35"/>
  <c r="D9" i="106"/>
  <c r="D16" i="109"/>
  <c r="B10" i="107"/>
  <c r="D11" i="107"/>
  <c r="D15" i="109"/>
  <c r="D9" i="111"/>
  <c r="D14" i="103"/>
  <c r="B13" i="103"/>
  <c r="D13" i="103"/>
  <c r="B9" i="111"/>
  <c r="D10" i="111"/>
  <c r="D16" i="104"/>
  <c r="D12" i="108"/>
  <c r="D11" i="112"/>
  <c r="B15" i="107"/>
  <c r="D11" i="103"/>
  <c r="D12" i="103"/>
  <c r="D11" i="111"/>
  <c r="D10" i="102"/>
  <c r="D15" i="100"/>
  <c r="B15" i="104"/>
  <c r="D16" i="107"/>
  <c r="B12" i="108"/>
  <c r="D14" i="106"/>
  <c r="D12" i="112"/>
  <c r="E12" i="112" s="1"/>
  <c r="D13" i="106"/>
  <c r="D12" i="106"/>
  <c r="D16" i="100"/>
  <c r="D15" i="111"/>
  <c r="D16" i="111"/>
  <c r="B16" i="100"/>
  <c r="V3" i="95"/>
  <c r="V3" i="113"/>
  <c r="V7" i="107"/>
  <c r="M3" i="95"/>
  <c r="M3" i="113"/>
  <c r="V7" i="100"/>
  <c r="L3" i="95"/>
  <c r="L3" i="113"/>
  <c r="V7" i="89"/>
  <c r="D15" i="95"/>
  <c r="S33" i="88"/>
  <c r="U33" i="88" s="1"/>
  <c r="D15" i="113"/>
  <c r="S21" i="88"/>
  <c r="U21" i="88" s="1"/>
  <c r="S45" i="88"/>
  <c r="U45" i="88" s="1"/>
  <c r="E21" i="88"/>
  <c r="G21" i="88" s="1"/>
  <c r="E45" i="88"/>
  <c r="G45" i="88" s="1"/>
  <c r="E33" i="88"/>
  <c r="G33" i="88" s="1"/>
  <c r="B8" i="110"/>
  <c r="D8" i="110"/>
  <c r="D14" i="104"/>
  <c r="B14" i="104"/>
  <c r="B12" i="105"/>
  <c r="D12" i="105"/>
  <c r="B12" i="99"/>
  <c r="D12" i="99"/>
  <c r="R7" i="109"/>
  <c r="S21" i="109" s="1"/>
  <c r="U21" i="109" s="1"/>
  <c r="N7" i="109"/>
  <c r="Q3" i="95"/>
  <c r="Q3" i="113"/>
  <c r="V7" i="104"/>
  <c r="D11" i="89"/>
  <c r="B11" i="89"/>
  <c r="B8" i="112"/>
  <c r="D8" i="112"/>
  <c r="S3" i="95"/>
  <c r="S3" i="113"/>
  <c r="V7" i="106"/>
  <c r="R7" i="100"/>
  <c r="S21" i="100" s="1"/>
  <c r="U21" i="100" s="1"/>
  <c r="N7" i="100"/>
  <c r="Y3" i="95"/>
  <c r="Y3" i="113"/>
  <c r="V7" i="110"/>
  <c r="E11" i="90"/>
  <c r="E11" i="93"/>
  <c r="AA3" i="95"/>
  <c r="AA3" i="113"/>
  <c r="V7" i="112"/>
  <c r="R7" i="106"/>
  <c r="S21" i="106" s="1"/>
  <c r="U21" i="106" s="1"/>
  <c r="N7" i="106"/>
  <c r="D15" i="101"/>
  <c r="B14" i="112"/>
  <c r="D14" i="112"/>
  <c r="E8" i="93"/>
  <c r="W8" i="93" s="1"/>
  <c r="E14" i="93"/>
  <c r="B9" i="99"/>
  <c r="D9" i="99"/>
  <c r="B13" i="112"/>
  <c r="D13" i="112"/>
  <c r="B8" i="109"/>
  <c r="D8" i="109"/>
  <c r="T8" i="109" s="1"/>
  <c r="D16" i="112"/>
  <c r="B16" i="112"/>
  <c r="B9" i="101"/>
  <c r="D9" i="101"/>
  <c r="R7" i="105"/>
  <c r="S21" i="105" s="1"/>
  <c r="U21" i="105" s="1"/>
  <c r="N7" i="105"/>
  <c r="D10" i="110"/>
  <c r="B10" i="110"/>
  <c r="B8" i="104"/>
  <c r="D8" i="104"/>
  <c r="R7" i="112"/>
  <c r="S21" i="112" s="1"/>
  <c r="U21" i="112" s="1"/>
  <c r="N7" i="112"/>
  <c r="D8" i="106"/>
  <c r="T8" i="106" s="1"/>
  <c r="B8" i="106"/>
  <c r="B10" i="101"/>
  <c r="D10" i="101"/>
  <c r="D10" i="99"/>
  <c r="B10" i="99"/>
  <c r="X3" i="95"/>
  <c r="X3" i="113"/>
  <c r="V7" i="109"/>
  <c r="R7" i="104"/>
  <c r="S21" i="104" s="1"/>
  <c r="U21" i="104" s="1"/>
  <c r="N7" i="104"/>
  <c r="D8" i="107"/>
  <c r="B8" i="107"/>
  <c r="B16" i="105"/>
  <c r="D16" i="105"/>
  <c r="E9" i="88"/>
  <c r="T9" i="88" s="1"/>
  <c r="R7" i="101"/>
  <c r="S21" i="101" s="1"/>
  <c r="U21" i="101" s="1"/>
  <c r="N7" i="101"/>
  <c r="B16" i="110"/>
  <c r="D16" i="110"/>
  <c r="N7" i="102"/>
  <c r="R7" i="102"/>
  <c r="S21" i="102" s="1"/>
  <c r="U21" i="102" s="1"/>
  <c r="B11" i="99"/>
  <c r="D11" i="99"/>
  <c r="B13" i="110"/>
  <c r="D13" i="110"/>
  <c r="B11" i="110"/>
  <c r="D11" i="110"/>
  <c r="D9" i="89"/>
  <c r="B9" i="89"/>
  <c r="B13" i="102"/>
  <c r="D13" i="102"/>
  <c r="D10" i="105"/>
  <c r="B10" i="105"/>
  <c r="D8" i="105"/>
  <c r="B8" i="105"/>
  <c r="B12" i="101"/>
  <c r="D12" i="101"/>
  <c r="R3" i="95"/>
  <c r="R3" i="113"/>
  <c r="V7" i="105"/>
  <c r="E14" i="102"/>
  <c r="F14" i="102" s="1"/>
  <c r="G14" i="102" s="1"/>
  <c r="H14" i="102" s="1"/>
  <c r="I14" i="102" s="1"/>
  <c r="J14" i="102" s="1"/>
  <c r="K14" i="102" s="1"/>
  <c r="D8" i="100"/>
  <c r="B8" i="100"/>
  <c r="D9" i="112"/>
  <c r="B9" i="112"/>
  <c r="E10" i="90"/>
  <c r="B9" i="105"/>
  <c r="D9" i="105"/>
  <c r="N3" i="95"/>
  <c r="N3" i="113"/>
  <c r="V7" i="101"/>
  <c r="D14" i="110"/>
  <c r="B14" i="110"/>
  <c r="C13" i="87"/>
  <c r="C11" i="87"/>
  <c r="C14" i="87"/>
  <c r="C9" i="87"/>
  <c r="C10" i="87"/>
  <c r="C16" i="87"/>
  <c r="D7" i="87"/>
  <c r="C12" i="87"/>
  <c r="C15" i="87"/>
  <c r="C8" i="87"/>
  <c r="D15" i="104"/>
  <c r="O3" i="95"/>
  <c r="O3" i="113"/>
  <c r="V7" i="102"/>
  <c r="E9" i="80"/>
  <c r="S9" i="80" s="1"/>
  <c r="E8" i="80"/>
  <c r="R8" i="80" s="1"/>
  <c r="H27" i="113"/>
  <c r="T24" i="97" s="1"/>
  <c r="D9" i="100"/>
  <c r="D16" i="99"/>
  <c r="B16" i="99"/>
  <c r="E12" i="93"/>
  <c r="B8" i="111"/>
  <c r="D8" i="111"/>
  <c r="B14" i="89"/>
  <c r="D14" i="89"/>
  <c r="D11" i="101"/>
  <c r="B11" i="101"/>
  <c r="D8" i="108"/>
  <c r="T8" i="108" s="1"/>
  <c r="B8" i="108"/>
  <c r="B8" i="99"/>
  <c r="D8" i="99"/>
  <c r="T8" i="99" s="1"/>
  <c r="D12" i="110"/>
  <c r="E15" i="93"/>
  <c r="B8" i="103"/>
  <c r="D8" i="103"/>
  <c r="E8" i="88"/>
  <c r="W8" i="88" s="1"/>
  <c r="B16" i="106"/>
  <c r="D16" i="106"/>
  <c r="D15" i="110"/>
  <c r="B15" i="110"/>
  <c r="R7" i="107"/>
  <c r="S21" i="107" s="1"/>
  <c r="U21" i="107" s="1"/>
  <c r="N7" i="107"/>
  <c r="E8" i="90"/>
  <c r="N8" i="90" s="1"/>
  <c r="D11" i="102"/>
  <c r="B11" i="102"/>
  <c r="D4" i="91"/>
  <c r="T7" i="91" s="1"/>
  <c r="D1" i="91"/>
  <c r="E15" i="95"/>
  <c r="S45" i="90"/>
  <c r="U45" i="90" s="1"/>
  <c r="E15" i="113"/>
  <c r="S21" i="90"/>
  <c r="U21" i="90" s="1"/>
  <c r="S33" i="90"/>
  <c r="U33" i="90" s="1"/>
  <c r="E21" i="90"/>
  <c r="G21" i="90" s="1"/>
  <c r="E33" i="90"/>
  <c r="G33" i="90" s="1"/>
  <c r="E45" i="90"/>
  <c r="G45" i="90" s="1"/>
  <c r="B9" i="102"/>
  <c r="D9" i="102"/>
  <c r="D8" i="101"/>
  <c r="B8" i="101"/>
  <c r="D11" i="105"/>
  <c r="B11" i="105"/>
  <c r="D8" i="102"/>
  <c r="B8" i="102"/>
  <c r="R7" i="99"/>
  <c r="S21" i="99" s="1"/>
  <c r="W7" i="99"/>
  <c r="B14" i="99"/>
  <c r="D14" i="99"/>
  <c r="Z3" i="95"/>
  <c r="Z3" i="113"/>
  <c r="V7" i="111"/>
  <c r="E15" i="90"/>
  <c r="W3" i="95"/>
  <c r="W3" i="113"/>
  <c r="V7" i="108"/>
  <c r="D14" i="101"/>
  <c r="B14" i="101"/>
  <c r="D15" i="112"/>
  <c r="B15" i="112"/>
  <c r="B14" i="100"/>
  <c r="D14" i="100"/>
  <c r="R7" i="89"/>
  <c r="S21" i="89" s="1"/>
  <c r="U21" i="89" s="1"/>
  <c r="N7" i="89"/>
  <c r="E9" i="90"/>
  <c r="D12" i="102"/>
  <c r="R7" i="103"/>
  <c r="S21" i="103" s="1"/>
  <c r="U21" i="103" s="1"/>
  <c r="N7" i="103"/>
  <c r="D15" i="99"/>
  <c r="B15" i="99"/>
  <c r="E13" i="93"/>
  <c r="R7" i="111"/>
  <c r="S21" i="111" s="1"/>
  <c r="U21" i="111" s="1"/>
  <c r="N7" i="111"/>
  <c r="R7" i="108"/>
  <c r="S21" i="108" s="1"/>
  <c r="U21" i="108" s="1"/>
  <c r="N7" i="108"/>
  <c r="N7" i="99"/>
  <c r="W16" i="93"/>
  <c r="D12" i="104"/>
  <c r="B12" i="104"/>
  <c r="C15" i="94"/>
  <c r="C14" i="94"/>
  <c r="D7" i="94"/>
  <c r="C9" i="94"/>
  <c r="C16" i="94"/>
  <c r="C11" i="94"/>
  <c r="C13" i="94"/>
  <c r="C10" i="94"/>
  <c r="C12" i="94"/>
  <c r="C8" i="94"/>
  <c r="D14" i="105"/>
  <c r="B14" i="105"/>
  <c r="K2" i="91"/>
  <c r="J4" i="91" s="1"/>
  <c r="F4" i="91"/>
  <c r="S7" i="91" s="1"/>
  <c r="D9" i="103"/>
  <c r="D8" i="89"/>
  <c r="B8" i="89"/>
  <c r="D9" i="110"/>
  <c r="B9" i="110"/>
  <c r="B15" i="95"/>
  <c r="B15" i="113"/>
  <c r="S45" i="80"/>
  <c r="U45" i="80" s="1"/>
  <c r="S21" i="80"/>
  <c r="U21" i="80" s="1"/>
  <c r="S33" i="80"/>
  <c r="U33" i="80" s="1"/>
  <c r="E33" i="80"/>
  <c r="G33" i="80" s="1"/>
  <c r="E45" i="80"/>
  <c r="G45" i="80" s="1"/>
  <c r="E21" i="80"/>
  <c r="G21" i="80" s="1"/>
  <c r="R7" i="110"/>
  <c r="S21" i="110" s="1"/>
  <c r="U21" i="110" s="1"/>
  <c r="N7" i="110"/>
  <c r="P3" i="95"/>
  <c r="P3" i="113"/>
  <c r="V7" i="103"/>
  <c r="B10" i="112"/>
  <c r="D10" i="112"/>
  <c r="B15" i="89"/>
  <c r="D15" i="89"/>
  <c r="D13" i="99"/>
  <c r="B13" i="99"/>
  <c r="E10" i="93"/>
  <c r="B13" i="101"/>
  <c r="D13" i="101"/>
  <c r="B12" i="89"/>
  <c r="D12" i="89"/>
  <c r="E16" i="90"/>
  <c r="T8" i="104" l="1"/>
  <c r="S8" i="104"/>
  <c r="T8" i="112"/>
  <c r="S8" i="112"/>
  <c r="T14" i="102"/>
  <c r="S14" i="102"/>
  <c r="F15" i="116"/>
  <c r="G15" i="116" s="1"/>
  <c r="H15" i="116" s="1"/>
  <c r="I15" i="116" s="1"/>
  <c r="J15" i="116" s="1"/>
  <c r="K15" i="116" s="1"/>
  <c r="S15" i="116"/>
  <c r="T15" i="116"/>
  <c r="F12" i="88"/>
  <c r="G12" i="88" s="1"/>
  <c r="H12" i="88" s="1"/>
  <c r="F14" i="88"/>
  <c r="F13" i="90"/>
  <c r="F12" i="80"/>
  <c r="G12" i="80" s="1"/>
  <c r="H12" i="80" s="1"/>
  <c r="I12" i="80" s="1"/>
  <c r="S8" i="108"/>
  <c r="S9" i="88"/>
  <c r="T8" i="119"/>
  <c r="S9" i="90"/>
  <c r="T9" i="90"/>
  <c r="T8" i="103"/>
  <c r="S8" i="103"/>
  <c r="T8" i="111"/>
  <c r="S8" i="111"/>
  <c r="E15" i="108"/>
  <c r="F15" i="108" s="1"/>
  <c r="T9" i="121"/>
  <c r="S9" i="121"/>
  <c r="E15" i="117"/>
  <c r="F15" i="117" s="1"/>
  <c r="G15" i="117" s="1"/>
  <c r="H15" i="117" s="1"/>
  <c r="I15" i="117" s="1"/>
  <c r="J15" i="117" s="1"/>
  <c r="K15" i="117" s="1"/>
  <c r="L15" i="117" s="1"/>
  <c r="W15" i="117" s="1"/>
  <c r="S15" i="117"/>
  <c r="T15" i="117"/>
  <c r="F12" i="121"/>
  <c r="G12" i="121" s="1"/>
  <c r="H12" i="121" s="1"/>
  <c r="I12" i="121" s="1"/>
  <c r="R12" i="121" s="1"/>
  <c r="F13" i="80"/>
  <c r="G13" i="80" s="1"/>
  <c r="H13" i="80" s="1"/>
  <c r="I13" i="80" s="1"/>
  <c r="J13" i="80" s="1"/>
  <c r="S9" i="93"/>
  <c r="T9" i="93"/>
  <c r="F15" i="88"/>
  <c r="F14" i="80"/>
  <c r="T8" i="102"/>
  <c r="S8" i="102"/>
  <c r="T8" i="101"/>
  <c r="S8" i="101"/>
  <c r="T8" i="107"/>
  <c r="S8" i="107"/>
  <c r="T9" i="116"/>
  <c r="S9" i="116"/>
  <c r="F16" i="80"/>
  <c r="F15" i="80"/>
  <c r="F16" i="88"/>
  <c r="S8" i="99"/>
  <c r="S8" i="109"/>
  <c r="S8" i="106"/>
  <c r="S12" i="80"/>
  <c r="T8" i="89"/>
  <c r="S8" i="89"/>
  <c r="T8" i="100"/>
  <c r="S8" i="100"/>
  <c r="S8" i="105"/>
  <c r="T8" i="105"/>
  <c r="S8" i="110"/>
  <c r="T8" i="110"/>
  <c r="E8" i="118"/>
  <c r="W8" i="118" s="1"/>
  <c r="S8" i="118"/>
  <c r="T8" i="118"/>
  <c r="F13" i="120"/>
  <c r="G13" i="120" s="1"/>
  <c r="H13" i="120" s="1"/>
  <c r="I13" i="120" s="1"/>
  <c r="S13" i="120"/>
  <c r="T13" i="120"/>
  <c r="F12" i="116"/>
  <c r="S9" i="120"/>
  <c r="T9" i="120"/>
  <c r="F14" i="90"/>
  <c r="F11" i="88"/>
  <c r="F10" i="88"/>
  <c r="S10" i="88"/>
  <c r="T10" i="88"/>
  <c r="T9" i="80"/>
  <c r="S8" i="119"/>
  <c r="T8" i="117"/>
  <c r="F9" i="93"/>
  <c r="N9" i="93" s="1"/>
  <c r="W12" i="80"/>
  <c r="V7" i="118"/>
  <c r="V7" i="117"/>
  <c r="N14" i="35"/>
  <c r="U8" i="90"/>
  <c r="E4" i="113" s="1"/>
  <c r="S54" i="93"/>
  <c r="S42" i="93"/>
  <c r="H48" i="113" s="1"/>
  <c r="H24" i="113"/>
  <c r="E30" i="93"/>
  <c r="H36" i="95" s="1"/>
  <c r="H24" i="95"/>
  <c r="E42" i="93"/>
  <c r="H48" i="95" s="1"/>
  <c r="E54" i="93"/>
  <c r="H60" i="95" s="1"/>
  <c r="U7" i="94"/>
  <c r="V7" i="119"/>
  <c r="W14" i="35"/>
  <c r="R14" i="35"/>
  <c r="U8" i="88"/>
  <c r="D4" i="113" s="1"/>
  <c r="N14" i="102"/>
  <c r="U8" i="93"/>
  <c r="V8" i="93" s="1"/>
  <c r="U8" i="80"/>
  <c r="B4" i="113" s="1"/>
  <c r="U7" i="87"/>
  <c r="C3" i="95" s="1"/>
  <c r="O8" i="97" s="1"/>
  <c r="E14" i="111"/>
  <c r="E11" i="104"/>
  <c r="F11" i="104" s="1"/>
  <c r="G11" i="104" s="1"/>
  <c r="H11" i="104" s="1"/>
  <c r="N11" i="104" s="1"/>
  <c r="U8" i="100"/>
  <c r="E9" i="107"/>
  <c r="F11" i="116"/>
  <c r="F12" i="90"/>
  <c r="U8" i="109"/>
  <c r="F13" i="88"/>
  <c r="E14" i="109"/>
  <c r="N12" i="121"/>
  <c r="F9" i="120"/>
  <c r="R9" i="120" s="1"/>
  <c r="S23" i="120" s="1"/>
  <c r="E16" i="109"/>
  <c r="E13" i="104"/>
  <c r="E9" i="108"/>
  <c r="J13" i="120"/>
  <c r="R13" i="120" s="1"/>
  <c r="E27" i="120" s="1"/>
  <c r="L15" i="116"/>
  <c r="W15" i="116" s="1"/>
  <c r="N8" i="121"/>
  <c r="R8" i="120"/>
  <c r="S46" i="120" s="1"/>
  <c r="U46" i="120" s="1"/>
  <c r="W8" i="120"/>
  <c r="V8" i="120" s="1"/>
  <c r="G15" i="80"/>
  <c r="F16" i="90"/>
  <c r="E12" i="104"/>
  <c r="F9" i="88"/>
  <c r="R9" i="88" s="1"/>
  <c r="E8" i="110"/>
  <c r="W8" i="110" s="1"/>
  <c r="E16" i="100"/>
  <c r="E14" i="106"/>
  <c r="E15" i="100"/>
  <c r="E11" i="103"/>
  <c r="E16" i="104"/>
  <c r="E11" i="107"/>
  <c r="E10" i="107"/>
  <c r="E10" i="106"/>
  <c r="E14" i="107"/>
  <c r="E9" i="104"/>
  <c r="E14" i="108"/>
  <c r="E15" i="106"/>
  <c r="E13" i="108"/>
  <c r="E12" i="107"/>
  <c r="E11" i="100"/>
  <c r="F11" i="80"/>
  <c r="E16" i="101"/>
  <c r="F10" i="80"/>
  <c r="D10" i="115"/>
  <c r="B10" i="115"/>
  <c r="D14" i="115"/>
  <c r="B14" i="115"/>
  <c r="F13" i="116"/>
  <c r="S45" i="117"/>
  <c r="E33" i="117"/>
  <c r="S33" i="117"/>
  <c r="E21" i="117"/>
  <c r="S21" i="117"/>
  <c r="E45" i="117"/>
  <c r="U8" i="116"/>
  <c r="E10" i="112"/>
  <c r="F10" i="93"/>
  <c r="F9" i="80"/>
  <c r="W9" i="80" s="1"/>
  <c r="E8" i="100"/>
  <c r="W8" i="100" s="1"/>
  <c r="E16" i="111"/>
  <c r="F16" i="111" s="1"/>
  <c r="G16" i="111" s="1"/>
  <c r="H16" i="111" s="1"/>
  <c r="I16" i="111" s="1"/>
  <c r="J16" i="111" s="1"/>
  <c r="K16" i="111" s="1"/>
  <c r="L16" i="111" s="1"/>
  <c r="M16" i="111" s="1"/>
  <c r="R16" i="111" s="1"/>
  <c r="S30" i="111" s="1"/>
  <c r="E12" i="106"/>
  <c r="E10" i="102"/>
  <c r="E10" i="111"/>
  <c r="E14" i="103"/>
  <c r="E9" i="109"/>
  <c r="E16" i="108"/>
  <c r="E11" i="108"/>
  <c r="E13" i="109"/>
  <c r="E10" i="100"/>
  <c r="E13" i="105"/>
  <c r="E12" i="100"/>
  <c r="E10" i="89"/>
  <c r="D11" i="115"/>
  <c r="B11" i="115"/>
  <c r="D16" i="115"/>
  <c r="B16" i="115"/>
  <c r="E45" i="118"/>
  <c r="S45" i="118"/>
  <c r="S33" i="118"/>
  <c r="E21" i="118"/>
  <c r="E33" i="118"/>
  <c r="S21" i="118"/>
  <c r="E9" i="118"/>
  <c r="R8" i="118"/>
  <c r="N8" i="118"/>
  <c r="F14" i="121"/>
  <c r="E12" i="119"/>
  <c r="F16" i="116"/>
  <c r="E10" i="118"/>
  <c r="S51" i="120"/>
  <c r="E11" i="117"/>
  <c r="U8" i="117"/>
  <c r="F11" i="93"/>
  <c r="E15" i="111"/>
  <c r="E13" i="106"/>
  <c r="E16" i="107"/>
  <c r="F16" i="107" s="1"/>
  <c r="G16" i="107" s="1"/>
  <c r="H16" i="107" s="1"/>
  <c r="I16" i="107" s="1"/>
  <c r="J16" i="107" s="1"/>
  <c r="K16" i="107" s="1"/>
  <c r="L16" i="107" s="1"/>
  <c r="M16" i="107" s="1"/>
  <c r="R16" i="107" s="1"/>
  <c r="S30" i="107" s="1"/>
  <c r="E11" i="111"/>
  <c r="F11" i="111" s="1"/>
  <c r="E11" i="112"/>
  <c r="F11" i="112" s="1"/>
  <c r="G11" i="112" s="1"/>
  <c r="H11" i="112" s="1"/>
  <c r="R11" i="112" s="1"/>
  <c r="S25" i="112" s="1"/>
  <c r="E9" i="111"/>
  <c r="F9" i="111" s="1"/>
  <c r="R9" i="111" s="1"/>
  <c r="S23" i="111" s="1"/>
  <c r="E10" i="109"/>
  <c r="F10" i="109" s="1"/>
  <c r="G10" i="109" s="1"/>
  <c r="R10" i="109" s="1"/>
  <c r="S24" i="109" s="1"/>
  <c r="E10" i="108"/>
  <c r="F10" i="108" s="1"/>
  <c r="G10" i="108" s="1"/>
  <c r="R10" i="108" s="1"/>
  <c r="S24" i="108" s="1"/>
  <c r="E11" i="109"/>
  <c r="F11" i="109" s="1"/>
  <c r="E16" i="102"/>
  <c r="F16" i="102" s="1"/>
  <c r="E12" i="111"/>
  <c r="E16" i="89"/>
  <c r="E13" i="111"/>
  <c r="E13" i="89"/>
  <c r="E10" i="104"/>
  <c r="E11" i="106"/>
  <c r="D8" i="115"/>
  <c r="B8" i="115"/>
  <c r="B13" i="115"/>
  <c r="D13" i="115"/>
  <c r="D15" i="115"/>
  <c r="B15" i="115"/>
  <c r="F12" i="120"/>
  <c r="E13" i="119"/>
  <c r="G33" i="121"/>
  <c r="F33" i="121"/>
  <c r="E13" i="117"/>
  <c r="G14" i="80"/>
  <c r="H14" i="80" s="1"/>
  <c r="I14" i="80" s="1"/>
  <c r="J14" i="80" s="1"/>
  <c r="K14" i="80" s="1"/>
  <c r="N14" i="80" s="1"/>
  <c r="E8" i="106"/>
  <c r="W8" i="106" s="1"/>
  <c r="F11" i="90"/>
  <c r="G11" i="90" s="1"/>
  <c r="H11" i="90" s="1"/>
  <c r="N11" i="90" s="1"/>
  <c r="E12" i="103"/>
  <c r="E12" i="108"/>
  <c r="E13" i="103"/>
  <c r="E15" i="109"/>
  <c r="E9" i="106"/>
  <c r="E13" i="107"/>
  <c r="E15" i="107"/>
  <c r="E12" i="109"/>
  <c r="E10" i="103"/>
  <c r="F10" i="103" s="1"/>
  <c r="G10" i="103" s="1"/>
  <c r="N10" i="103" s="1"/>
  <c r="E15" i="102"/>
  <c r="E16" i="103"/>
  <c r="F16" i="103" s="1"/>
  <c r="G16" i="103" s="1"/>
  <c r="H16" i="103" s="1"/>
  <c r="I16" i="103" s="1"/>
  <c r="J16" i="103" s="1"/>
  <c r="K16" i="103" s="1"/>
  <c r="L16" i="103" s="1"/>
  <c r="M16" i="103" s="1"/>
  <c r="E15" i="105"/>
  <c r="F15" i="105" s="1"/>
  <c r="G15" i="105" s="1"/>
  <c r="H15" i="105" s="1"/>
  <c r="I15" i="105" s="1"/>
  <c r="J15" i="105" s="1"/>
  <c r="K15" i="105" s="1"/>
  <c r="L15" i="105" s="1"/>
  <c r="N15" i="105" s="1"/>
  <c r="B12" i="115"/>
  <c r="D12" i="115"/>
  <c r="D9" i="115"/>
  <c r="B9" i="115"/>
  <c r="W7" i="115"/>
  <c r="V7" i="115" s="1"/>
  <c r="R7" i="115"/>
  <c r="N7" i="115"/>
  <c r="F16" i="121"/>
  <c r="G16" i="121" s="1"/>
  <c r="H16" i="121" s="1"/>
  <c r="I16" i="121" s="1"/>
  <c r="J16" i="121" s="1"/>
  <c r="K16" i="121" s="1"/>
  <c r="L16" i="121" s="1"/>
  <c r="E14" i="117"/>
  <c r="E12" i="117"/>
  <c r="E11" i="118"/>
  <c r="F9" i="116"/>
  <c r="E11" i="119"/>
  <c r="G21" i="121"/>
  <c r="F21" i="121"/>
  <c r="U45" i="121"/>
  <c r="T45" i="121"/>
  <c r="F11" i="121"/>
  <c r="N8" i="119"/>
  <c r="R8" i="119"/>
  <c r="F16" i="120"/>
  <c r="F10" i="120"/>
  <c r="T10" i="120" s="1"/>
  <c r="E22" i="116"/>
  <c r="E34" i="116"/>
  <c r="S46" i="116"/>
  <c r="S22" i="116"/>
  <c r="E46" i="116"/>
  <c r="S34" i="116"/>
  <c r="G21" i="116"/>
  <c r="F21" i="116"/>
  <c r="U21" i="116"/>
  <c r="T21" i="116"/>
  <c r="F15" i="121"/>
  <c r="F11" i="120"/>
  <c r="G33" i="120"/>
  <c r="F33" i="120"/>
  <c r="E10" i="117"/>
  <c r="S36" i="116"/>
  <c r="E48" i="116"/>
  <c r="S24" i="116"/>
  <c r="S48" i="116"/>
  <c r="E24" i="116"/>
  <c r="E36" i="116"/>
  <c r="E14" i="119"/>
  <c r="E16" i="119"/>
  <c r="N15" i="117"/>
  <c r="R15" i="117"/>
  <c r="E16" i="117"/>
  <c r="G45" i="116"/>
  <c r="F45" i="116"/>
  <c r="U33" i="116"/>
  <c r="T33" i="116"/>
  <c r="E10" i="119"/>
  <c r="U33" i="120"/>
  <c r="T33" i="120"/>
  <c r="G21" i="120"/>
  <c r="F21" i="120"/>
  <c r="E9" i="117"/>
  <c r="T9" i="117" s="1"/>
  <c r="E9" i="119"/>
  <c r="E15" i="119"/>
  <c r="U21" i="121"/>
  <c r="T21" i="121"/>
  <c r="G45" i="121"/>
  <c r="F45" i="121"/>
  <c r="E14" i="118"/>
  <c r="F15" i="120"/>
  <c r="F9" i="121"/>
  <c r="S38" i="121"/>
  <c r="E50" i="121"/>
  <c r="S50" i="121"/>
  <c r="E38" i="121"/>
  <c r="E26" i="121"/>
  <c r="S26" i="121"/>
  <c r="F14" i="120"/>
  <c r="E13" i="118"/>
  <c r="E16" i="118"/>
  <c r="W8" i="121"/>
  <c r="W12" i="121"/>
  <c r="G33" i="116"/>
  <c r="F33" i="116"/>
  <c r="F13" i="121"/>
  <c r="U45" i="120"/>
  <c r="T45" i="120"/>
  <c r="U21" i="120"/>
  <c r="T21" i="120"/>
  <c r="U33" i="121"/>
  <c r="T33" i="121"/>
  <c r="E8" i="117"/>
  <c r="N8" i="117" s="1"/>
  <c r="E15" i="118"/>
  <c r="U8" i="121"/>
  <c r="F14" i="116"/>
  <c r="F10" i="121"/>
  <c r="E12" i="118"/>
  <c r="S22" i="121"/>
  <c r="E46" i="121"/>
  <c r="S34" i="121"/>
  <c r="E22" i="121"/>
  <c r="S46" i="121"/>
  <c r="E34" i="121"/>
  <c r="U45" i="116"/>
  <c r="T45" i="116"/>
  <c r="S45" i="119"/>
  <c r="E33" i="119"/>
  <c r="E45" i="119"/>
  <c r="S33" i="119"/>
  <c r="E21" i="119"/>
  <c r="S21" i="119"/>
  <c r="G45" i="120"/>
  <c r="F45" i="120"/>
  <c r="V13" i="35"/>
  <c r="B11" i="87"/>
  <c r="B13" i="87"/>
  <c r="E13" i="100"/>
  <c r="F10" i="90"/>
  <c r="S10" i="90" s="1"/>
  <c r="T17" i="35"/>
  <c r="I2" i="96" s="1"/>
  <c r="H4" i="96" s="1"/>
  <c r="S17" i="35"/>
  <c r="G11" i="88"/>
  <c r="S11" i="88" s="1"/>
  <c r="G16" i="80"/>
  <c r="M17" i="35"/>
  <c r="W17" i="35" s="1"/>
  <c r="U3" i="113"/>
  <c r="V7" i="99"/>
  <c r="U21" i="99"/>
  <c r="G21" i="93"/>
  <c r="E15" i="103"/>
  <c r="F15" i="103" s="1"/>
  <c r="G15" i="103" s="1"/>
  <c r="H15" i="103" s="1"/>
  <c r="I15" i="103" s="1"/>
  <c r="J15" i="103" s="1"/>
  <c r="K15" i="103" s="1"/>
  <c r="L15" i="103" s="1"/>
  <c r="N15" i="103" s="1"/>
  <c r="R8" i="93"/>
  <c r="S22" i="93" s="1"/>
  <c r="W13" i="80"/>
  <c r="F12" i="112"/>
  <c r="N8" i="93"/>
  <c r="F33" i="93"/>
  <c r="U21" i="93"/>
  <c r="R8" i="90"/>
  <c r="E22" i="90" s="1"/>
  <c r="G33" i="93"/>
  <c r="H60" i="113"/>
  <c r="G45" i="93"/>
  <c r="U33" i="93"/>
  <c r="U45" i="93"/>
  <c r="E12" i="89"/>
  <c r="D9" i="94"/>
  <c r="B9" i="94"/>
  <c r="E15" i="99"/>
  <c r="E14" i="99"/>
  <c r="E8" i="101"/>
  <c r="R8" i="101" s="1"/>
  <c r="S22" i="101" s="1"/>
  <c r="F21" i="90"/>
  <c r="E27" i="95"/>
  <c r="E8" i="108"/>
  <c r="W8" i="108" s="1"/>
  <c r="E9" i="100"/>
  <c r="T21" i="93"/>
  <c r="D8" i="87"/>
  <c r="B8" i="87"/>
  <c r="D14" i="87"/>
  <c r="B14" i="87"/>
  <c r="E16" i="105"/>
  <c r="F16" i="105" s="1"/>
  <c r="G16" i="105" s="1"/>
  <c r="H16" i="105" s="1"/>
  <c r="I16" i="105" s="1"/>
  <c r="J16" i="105" s="1"/>
  <c r="K16" i="105" s="1"/>
  <c r="L16" i="105" s="1"/>
  <c r="M16" i="105" s="1"/>
  <c r="N16" i="105" s="1"/>
  <c r="M15" i="95"/>
  <c r="S33" i="100"/>
  <c r="M15" i="113"/>
  <c r="S45" i="100"/>
  <c r="U45" i="100" s="1"/>
  <c r="E45" i="100"/>
  <c r="G45" i="100" s="1"/>
  <c r="E21" i="100"/>
  <c r="G21" i="100" s="1"/>
  <c r="E33" i="100"/>
  <c r="F33" i="88"/>
  <c r="D39" i="95"/>
  <c r="B39" i="113"/>
  <c r="T33" i="80"/>
  <c r="B8" i="94"/>
  <c r="D8" i="94"/>
  <c r="E13" i="99"/>
  <c r="E15" i="89"/>
  <c r="B27" i="113"/>
  <c r="T21" i="80"/>
  <c r="E8" i="89"/>
  <c r="N8" i="89" s="1"/>
  <c r="W7" i="94"/>
  <c r="N7" i="94"/>
  <c r="R7" i="94"/>
  <c r="S21" i="94" s="1"/>
  <c r="F13" i="93"/>
  <c r="E15" i="112"/>
  <c r="G16" i="88"/>
  <c r="E39" i="113"/>
  <c r="T33" i="90"/>
  <c r="C16" i="91"/>
  <c r="C13" i="91"/>
  <c r="C12" i="91"/>
  <c r="D7" i="91"/>
  <c r="C15" i="91"/>
  <c r="C9" i="91"/>
  <c r="C11" i="91"/>
  <c r="C14" i="91"/>
  <c r="C10" i="91"/>
  <c r="C8" i="91"/>
  <c r="E11" i="102"/>
  <c r="E15" i="110"/>
  <c r="E9" i="105"/>
  <c r="W14" i="102"/>
  <c r="E12" i="101"/>
  <c r="E10" i="105"/>
  <c r="E11" i="110"/>
  <c r="T45" i="93"/>
  <c r="E16" i="110"/>
  <c r="Q15" i="95"/>
  <c r="S33" i="104"/>
  <c r="Q15" i="113"/>
  <c r="S45" i="104"/>
  <c r="U45" i="104" s="1"/>
  <c r="E45" i="104"/>
  <c r="G45" i="104" s="1"/>
  <c r="E33" i="104"/>
  <c r="E21" i="104"/>
  <c r="G21" i="104" s="1"/>
  <c r="E10" i="101"/>
  <c r="E9" i="101"/>
  <c r="F14" i="93"/>
  <c r="F45" i="88"/>
  <c r="D51" i="95"/>
  <c r="B51" i="113"/>
  <c r="T45" i="80"/>
  <c r="E9" i="103"/>
  <c r="B12" i="94"/>
  <c r="D12" i="94"/>
  <c r="D14" i="94"/>
  <c r="B14" i="94"/>
  <c r="W15" i="95"/>
  <c r="S45" i="108"/>
  <c r="U45" i="108" s="1"/>
  <c r="W15" i="113"/>
  <c r="S33" i="108"/>
  <c r="U33" i="108" s="1"/>
  <c r="E21" i="108"/>
  <c r="G21" i="108" s="1"/>
  <c r="E45" i="108"/>
  <c r="G45" i="108" s="1"/>
  <c r="E33" i="108"/>
  <c r="G33" i="108" s="1"/>
  <c r="T33" i="93"/>
  <c r="L15" i="95"/>
  <c r="L15" i="113"/>
  <c r="S45" i="89"/>
  <c r="U45" i="89" s="1"/>
  <c r="S33" i="89"/>
  <c r="E21" i="89"/>
  <c r="G21" i="89" s="1"/>
  <c r="E45" i="89"/>
  <c r="G45" i="89" s="1"/>
  <c r="E33" i="89"/>
  <c r="E14" i="100"/>
  <c r="T21" i="90"/>
  <c r="E27" i="113"/>
  <c r="E12" i="110"/>
  <c r="F12" i="93"/>
  <c r="W8" i="80"/>
  <c r="D15" i="87"/>
  <c r="B15" i="87"/>
  <c r="E11" i="99"/>
  <c r="AA15" i="95"/>
  <c r="AA15" i="113"/>
  <c r="S45" i="112"/>
  <c r="S33" i="112"/>
  <c r="U33" i="112" s="1"/>
  <c r="E33" i="112"/>
  <c r="G33" i="112" s="1"/>
  <c r="E21" i="112"/>
  <c r="G21" i="112" s="1"/>
  <c r="E45" i="112"/>
  <c r="E9" i="99"/>
  <c r="G15" i="88"/>
  <c r="F21" i="88"/>
  <c r="D27" i="95"/>
  <c r="D10" i="94"/>
  <c r="B10" i="94"/>
  <c r="B15" i="94"/>
  <c r="D15" i="94"/>
  <c r="F9" i="90"/>
  <c r="W9" i="90" s="1"/>
  <c r="E14" i="101"/>
  <c r="U15" i="95"/>
  <c r="S45" i="99"/>
  <c r="U45" i="99" s="1"/>
  <c r="U15" i="113"/>
  <c r="S33" i="99"/>
  <c r="E33" i="99"/>
  <c r="E21" i="99"/>
  <c r="G21" i="99" s="1"/>
  <c r="E45" i="99"/>
  <c r="G45" i="99" s="1"/>
  <c r="E16" i="106"/>
  <c r="B16" i="113"/>
  <c r="S22" i="80"/>
  <c r="S46" i="80"/>
  <c r="S34" i="80"/>
  <c r="E46" i="80"/>
  <c r="E22" i="80"/>
  <c r="E34" i="80"/>
  <c r="B16" i="95"/>
  <c r="D13" i="87"/>
  <c r="B12" i="87"/>
  <c r="D12" i="87"/>
  <c r="E9" i="112"/>
  <c r="E10" i="110"/>
  <c r="N13" i="80"/>
  <c r="R13" i="80"/>
  <c r="T45" i="88"/>
  <c r="D51" i="113"/>
  <c r="Y15" i="95"/>
  <c r="S45" i="110"/>
  <c r="U45" i="110" s="1"/>
  <c r="Y15" i="113"/>
  <c r="S33" i="110"/>
  <c r="U33" i="110" s="1"/>
  <c r="E21" i="110"/>
  <c r="G21" i="110" s="1"/>
  <c r="E33" i="110"/>
  <c r="G33" i="110" s="1"/>
  <c r="E45" i="110"/>
  <c r="G45" i="110" s="1"/>
  <c r="D13" i="94"/>
  <c r="B13" i="94"/>
  <c r="E12" i="102"/>
  <c r="E9" i="102"/>
  <c r="T45" i="90"/>
  <c r="E51" i="113"/>
  <c r="W8" i="90"/>
  <c r="F15" i="93"/>
  <c r="E11" i="101"/>
  <c r="W7" i="87"/>
  <c r="N7" i="87"/>
  <c r="R7" i="87"/>
  <c r="E13" i="102"/>
  <c r="S15" i="95"/>
  <c r="S33" i="106"/>
  <c r="S15" i="113"/>
  <c r="S45" i="106"/>
  <c r="U45" i="106" s="1"/>
  <c r="E33" i="106"/>
  <c r="E21" i="106"/>
  <c r="G21" i="106" s="1"/>
  <c r="E45" i="106"/>
  <c r="G45" i="106" s="1"/>
  <c r="X15" i="95"/>
  <c r="S33" i="109"/>
  <c r="U33" i="109" s="1"/>
  <c r="X15" i="113"/>
  <c r="S45" i="109"/>
  <c r="U45" i="109" s="1"/>
  <c r="E33" i="109"/>
  <c r="G33" i="109" s="1"/>
  <c r="E45" i="109"/>
  <c r="G45" i="109" s="1"/>
  <c r="E21" i="109"/>
  <c r="G21" i="109" s="1"/>
  <c r="D4" i="92"/>
  <c r="T7" i="92" s="1"/>
  <c r="D1" i="92"/>
  <c r="E14" i="104"/>
  <c r="T21" i="88"/>
  <c r="D27" i="113"/>
  <c r="G2" i="92"/>
  <c r="U14" i="35"/>
  <c r="B27" i="95"/>
  <c r="F21" i="80"/>
  <c r="E9" i="110"/>
  <c r="E14" i="105"/>
  <c r="B11" i="94"/>
  <c r="D11" i="94"/>
  <c r="G10" i="88"/>
  <c r="G14" i="88"/>
  <c r="E11" i="105"/>
  <c r="H36" i="113"/>
  <c r="E14" i="89"/>
  <c r="D16" i="87"/>
  <c r="B16" i="87"/>
  <c r="G13" i="90"/>
  <c r="E8" i="105"/>
  <c r="N8" i="105" s="1"/>
  <c r="O15" i="95"/>
  <c r="S33" i="102"/>
  <c r="O15" i="113"/>
  <c r="S45" i="102"/>
  <c r="U45" i="102" s="1"/>
  <c r="E45" i="102"/>
  <c r="G45" i="102" s="1"/>
  <c r="E33" i="102"/>
  <c r="E21" i="102"/>
  <c r="G21" i="102" s="1"/>
  <c r="E10" i="99"/>
  <c r="E16" i="112"/>
  <c r="E15" i="101"/>
  <c r="E11" i="89"/>
  <c r="E12" i="105"/>
  <c r="F12" i="105" s="1"/>
  <c r="G12" i="105" s="1"/>
  <c r="H12" i="105" s="1"/>
  <c r="I12" i="105" s="1"/>
  <c r="R12" i="105" s="1"/>
  <c r="S26" i="105" s="1"/>
  <c r="H3" i="95"/>
  <c r="T8" i="97" s="1"/>
  <c r="T44" i="97" s="1"/>
  <c r="H3" i="113"/>
  <c r="H63" i="113" s="1"/>
  <c r="T34" i="97" s="1"/>
  <c r="V7" i="93"/>
  <c r="F45" i="80"/>
  <c r="B51" i="95"/>
  <c r="B16" i="94"/>
  <c r="D16" i="94"/>
  <c r="P15" i="95"/>
  <c r="S45" i="103"/>
  <c r="U45" i="103" s="1"/>
  <c r="P15" i="113"/>
  <c r="S33" i="103"/>
  <c r="E21" i="103"/>
  <c r="G21" i="103" s="1"/>
  <c r="E45" i="103"/>
  <c r="G45" i="103" s="1"/>
  <c r="E33" i="103"/>
  <c r="N8" i="80"/>
  <c r="E8" i="102"/>
  <c r="N8" i="102" s="1"/>
  <c r="F45" i="90"/>
  <c r="E51" i="95"/>
  <c r="V15" i="95"/>
  <c r="S33" i="107"/>
  <c r="U33" i="107" s="1"/>
  <c r="V15" i="113"/>
  <c r="S45" i="107"/>
  <c r="U45" i="107" s="1"/>
  <c r="E33" i="107"/>
  <c r="G33" i="107" s="1"/>
  <c r="E21" i="107"/>
  <c r="G21" i="107" s="1"/>
  <c r="E45" i="107"/>
  <c r="G45" i="107" s="1"/>
  <c r="E8" i="99"/>
  <c r="N8" i="99" s="1"/>
  <c r="D11" i="87"/>
  <c r="D10" i="87"/>
  <c r="B10" i="87"/>
  <c r="E14" i="110"/>
  <c r="F45" i="93"/>
  <c r="E13" i="110"/>
  <c r="E8" i="104"/>
  <c r="R8" i="104" s="1"/>
  <c r="S22" i="104" s="1"/>
  <c r="N8" i="88"/>
  <c r="R14" i="102"/>
  <c r="S28" i="102" s="1"/>
  <c r="F21" i="93"/>
  <c r="T33" i="88"/>
  <c r="D39" i="113"/>
  <c r="E13" i="101"/>
  <c r="I12" i="88"/>
  <c r="F33" i="80"/>
  <c r="B39" i="95"/>
  <c r="Z15" i="95"/>
  <c r="S33" i="111"/>
  <c r="U33" i="111" s="1"/>
  <c r="Z15" i="113"/>
  <c r="S45" i="111"/>
  <c r="U45" i="111" s="1"/>
  <c r="E21" i="111"/>
  <c r="G21" i="111" s="1"/>
  <c r="E45" i="111"/>
  <c r="G45" i="111" s="1"/>
  <c r="E33" i="111"/>
  <c r="G33" i="111" s="1"/>
  <c r="F15" i="90"/>
  <c r="R9" i="93"/>
  <c r="S23" i="93" s="1"/>
  <c r="F33" i="90"/>
  <c r="E39" i="95"/>
  <c r="E8" i="103"/>
  <c r="W8" i="103" s="1"/>
  <c r="E8" i="111"/>
  <c r="R8" i="111" s="1"/>
  <c r="S22" i="111" s="1"/>
  <c r="E16" i="99"/>
  <c r="E15" i="104"/>
  <c r="B9" i="87"/>
  <c r="D9" i="87"/>
  <c r="E9" i="89"/>
  <c r="N15" i="95"/>
  <c r="S45" i="101"/>
  <c r="U45" i="101" s="1"/>
  <c r="N15" i="113"/>
  <c r="S33" i="101"/>
  <c r="E21" i="101"/>
  <c r="G21" i="101" s="1"/>
  <c r="E33" i="101"/>
  <c r="E45" i="101"/>
  <c r="G45" i="101" s="1"/>
  <c r="E8" i="107"/>
  <c r="R8" i="107" s="1"/>
  <c r="S22" i="107" s="1"/>
  <c r="R15" i="95"/>
  <c r="R15" i="113"/>
  <c r="S33" i="105"/>
  <c r="S45" i="105"/>
  <c r="U45" i="105" s="1"/>
  <c r="E33" i="105"/>
  <c r="E21" i="105"/>
  <c r="G21" i="105" s="1"/>
  <c r="E45" i="105"/>
  <c r="G45" i="105" s="1"/>
  <c r="E8" i="109"/>
  <c r="R8" i="109" s="1"/>
  <c r="S22" i="109" s="1"/>
  <c r="E13" i="112"/>
  <c r="R8" i="88"/>
  <c r="E14" i="112"/>
  <c r="E8" i="112"/>
  <c r="R8" i="112" s="1"/>
  <c r="S22" i="112" s="1"/>
  <c r="E12" i="99"/>
  <c r="U8" i="118" l="1"/>
  <c r="U8" i="107"/>
  <c r="T14" i="90"/>
  <c r="G14" i="90"/>
  <c r="H14" i="90" s="1"/>
  <c r="I14" i="90" s="1"/>
  <c r="J14" i="90" s="1"/>
  <c r="U9" i="120"/>
  <c r="T12" i="80"/>
  <c r="T11" i="88"/>
  <c r="F15" i="101"/>
  <c r="G15" i="101" s="1"/>
  <c r="H15" i="101" s="1"/>
  <c r="I15" i="101" s="1"/>
  <c r="J15" i="101" s="1"/>
  <c r="K15" i="101" s="1"/>
  <c r="L15" i="101" s="1"/>
  <c r="F12" i="102"/>
  <c r="G12" i="102" s="1"/>
  <c r="H12" i="102" s="1"/>
  <c r="I12" i="102" s="1"/>
  <c r="T9" i="112"/>
  <c r="S9" i="112"/>
  <c r="F16" i="106"/>
  <c r="G16" i="106" s="1"/>
  <c r="H16" i="106" s="1"/>
  <c r="I16" i="106" s="1"/>
  <c r="J16" i="106" s="1"/>
  <c r="K16" i="106" s="1"/>
  <c r="L16" i="106" s="1"/>
  <c r="M16" i="106" s="1"/>
  <c r="N16" i="106" s="1"/>
  <c r="S16" i="106"/>
  <c r="F14" i="101"/>
  <c r="G14" i="101" s="1"/>
  <c r="H14" i="101" s="1"/>
  <c r="I14" i="101" s="1"/>
  <c r="J14" i="101" s="1"/>
  <c r="K14" i="101" s="1"/>
  <c r="R14" i="101" s="1"/>
  <c r="S28" i="101" s="1"/>
  <c r="E8" i="94"/>
  <c r="W8" i="94" s="1"/>
  <c r="T8" i="94"/>
  <c r="S8" i="94"/>
  <c r="F12" i="89"/>
  <c r="G12" i="89" s="1"/>
  <c r="H12" i="89" s="1"/>
  <c r="I12" i="89" s="1"/>
  <c r="N12" i="89" s="1"/>
  <c r="H16" i="80"/>
  <c r="I16" i="80" s="1"/>
  <c r="J16" i="80" s="1"/>
  <c r="K16" i="80" s="1"/>
  <c r="L16" i="80" s="1"/>
  <c r="M16" i="80" s="1"/>
  <c r="N16" i="80" s="1"/>
  <c r="S16" i="80"/>
  <c r="T9" i="119"/>
  <c r="S9" i="119"/>
  <c r="F11" i="118"/>
  <c r="G11" i="118" s="1"/>
  <c r="H11" i="118" s="1"/>
  <c r="N11" i="118" s="1"/>
  <c r="T11" i="118"/>
  <c r="S11" i="118"/>
  <c r="F15" i="107"/>
  <c r="F13" i="89"/>
  <c r="G13" i="89" s="1"/>
  <c r="H13" i="89" s="1"/>
  <c r="I13" i="89" s="1"/>
  <c r="J13" i="89" s="1"/>
  <c r="S9" i="118"/>
  <c r="T9" i="118"/>
  <c r="F12" i="100"/>
  <c r="F11" i="108"/>
  <c r="G11" i="108" s="1"/>
  <c r="H11" i="108" s="1"/>
  <c r="N11" i="108" s="1"/>
  <c r="T11" i="108"/>
  <c r="S11" i="108"/>
  <c r="F10" i="111"/>
  <c r="T10" i="111"/>
  <c r="S10" i="111"/>
  <c r="G10" i="80"/>
  <c r="R10" i="80" s="1"/>
  <c r="E36" i="80" s="1"/>
  <c r="B42" i="95" s="1"/>
  <c r="S10" i="80"/>
  <c r="T10" i="80"/>
  <c r="T9" i="104"/>
  <c r="S9" i="104"/>
  <c r="F11" i="107"/>
  <c r="G11" i="107" s="1"/>
  <c r="H11" i="107" s="1"/>
  <c r="W11" i="107" s="1"/>
  <c r="S11" i="107"/>
  <c r="F14" i="106"/>
  <c r="G14" i="106" s="1"/>
  <c r="H14" i="106" s="1"/>
  <c r="I14" i="106" s="1"/>
  <c r="J14" i="106" s="1"/>
  <c r="K14" i="106" s="1"/>
  <c r="N14" i="106" s="1"/>
  <c r="F12" i="104"/>
  <c r="G12" i="104" s="1"/>
  <c r="H12" i="104" s="1"/>
  <c r="I12" i="104" s="1"/>
  <c r="W12" i="104" s="1"/>
  <c r="T12" i="104"/>
  <c r="S12" i="104"/>
  <c r="S14" i="90"/>
  <c r="S15" i="105"/>
  <c r="S10" i="103"/>
  <c r="S15" i="103"/>
  <c r="S9" i="111"/>
  <c r="S16" i="105"/>
  <c r="F15" i="104"/>
  <c r="G15" i="104" s="1"/>
  <c r="H15" i="104" s="1"/>
  <c r="I15" i="104" s="1"/>
  <c r="J15" i="104" s="1"/>
  <c r="K15" i="104" s="1"/>
  <c r="L15" i="104" s="1"/>
  <c r="N15" i="104" s="1"/>
  <c r="F9" i="99"/>
  <c r="R9" i="99" s="1"/>
  <c r="S23" i="99" s="1"/>
  <c r="S9" i="99"/>
  <c r="T9" i="99"/>
  <c r="F14" i="100"/>
  <c r="G14" i="100" s="1"/>
  <c r="H14" i="100" s="1"/>
  <c r="I14" i="100" s="1"/>
  <c r="J14" i="100" s="1"/>
  <c r="K14" i="100" s="1"/>
  <c r="N14" i="100" s="1"/>
  <c r="F9" i="103"/>
  <c r="S9" i="103"/>
  <c r="T9" i="103"/>
  <c r="T8" i="87"/>
  <c r="S8" i="87"/>
  <c r="F15" i="99"/>
  <c r="G15" i="99" s="1"/>
  <c r="H15" i="99" s="1"/>
  <c r="I15" i="99" s="1"/>
  <c r="J15" i="99" s="1"/>
  <c r="K15" i="99" s="1"/>
  <c r="L15" i="99" s="1"/>
  <c r="R15" i="99" s="1"/>
  <c r="S29" i="99" s="1"/>
  <c r="F13" i="100"/>
  <c r="F12" i="117"/>
  <c r="G12" i="117" s="1"/>
  <c r="H12" i="117" s="1"/>
  <c r="I12" i="117" s="1"/>
  <c r="R12" i="117" s="1"/>
  <c r="T12" i="117"/>
  <c r="T8" i="115"/>
  <c r="S8" i="115"/>
  <c r="F15" i="111"/>
  <c r="F13" i="105"/>
  <c r="G13" i="105" s="1"/>
  <c r="H13" i="105" s="1"/>
  <c r="I13" i="105" s="1"/>
  <c r="J13" i="105" s="1"/>
  <c r="R13" i="105" s="1"/>
  <c r="S27" i="105" s="1"/>
  <c r="S13" i="105"/>
  <c r="F16" i="108"/>
  <c r="G16" i="108" s="1"/>
  <c r="H16" i="108" s="1"/>
  <c r="I16" i="108" s="1"/>
  <c r="J16" i="108" s="1"/>
  <c r="K16" i="108" s="1"/>
  <c r="L16" i="108" s="1"/>
  <c r="M16" i="108" s="1"/>
  <c r="N16" i="108" s="1"/>
  <c r="F10" i="102"/>
  <c r="G10" i="102" s="1"/>
  <c r="N10" i="102" s="1"/>
  <c r="T10" i="102"/>
  <c r="F16" i="101"/>
  <c r="F13" i="108"/>
  <c r="G13" i="108" s="1"/>
  <c r="H13" i="108" s="1"/>
  <c r="I13" i="108" s="1"/>
  <c r="J13" i="108" s="1"/>
  <c r="N13" i="108" s="1"/>
  <c r="F14" i="107"/>
  <c r="F16" i="104"/>
  <c r="G16" i="104" s="1"/>
  <c r="H16" i="104" s="1"/>
  <c r="I16" i="104" s="1"/>
  <c r="J16" i="104" s="1"/>
  <c r="K16" i="104" s="1"/>
  <c r="L16" i="104" s="1"/>
  <c r="M16" i="104" s="1"/>
  <c r="N16" i="104" s="1"/>
  <c r="F16" i="100"/>
  <c r="G16" i="90"/>
  <c r="H16" i="90" s="1"/>
  <c r="I16" i="90" s="1"/>
  <c r="J16" i="90" s="1"/>
  <c r="K16" i="90" s="1"/>
  <c r="L16" i="90" s="1"/>
  <c r="T16" i="90"/>
  <c r="F14" i="109"/>
  <c r="S10" i="120"/>
  <c r="T16" i="121"/>
  <c r="T15" i="105"/>
  <c r="T10" i="103"/>
  <c r="T15" i="103"/>
  <c r="T9" i="111"/>
  <c r="T11" i="90"/>
  <c r="T16" i="105"/>
  <c r="S14" i="80"/>
  <c r="G15" i="90"/>
  <c r="H15" i="90" s="1"/>
  <c r="I15" i="90" s="1"/>
  <c r="J15" i="90" s="1"/>
  <c r="K15" i="90" s="1"/>
  <c r="T15" i="90"/>
  <c r="T9" i="89"/>
  <c r="S9" i="89"/>
  <c r="F16" i="99"/>
  <c r="G16" i="99" s="1"/>
  <c r="H16" i="99" s="1"/>
  <c r="I16" i="99" s="1"/>
  <c r="J16" i="99" s="1"/>
  <c r="K16" i="99" s="1"/>
  <c r="L16" i="99" s="1"/>
  <c r="M16" i="99" s="1"/>
  <c r="N16" i="99" s="1"/>
  <c r="T9" i="110"/>
  <c r="S9" i="110"/>
  <c r="F11" i="101"/>
  <c r="G11" i="101" s="1"/>
  <c r="H11" i="101" s="1"/>
  <c r="R11" i="101" s="1"/>
  <c r="S25" i="101" s="1"/>
  <c r="S11" i="101"/>
  <c r="G15" i="108"/>
  <c r="H15" i="108" s="1"/>
  <c r="I15" i="108" s="1"/>
  <c r="J15" i="108" s="1"/>
  <c r="K15" i="108" s="1"/>
  <c r="L15" i="108" s="1"/>
  <c r="R15" i="108" s="1"/>
  <c r="S29" i="108" s="1"/>
  <c r="F12" i="110"/>
  <c r="G12" i="110" s="1"/>
  <c r="H12" i="110" s="1"/>
  <c r="I12" i="110" s="1"/>
  <c r="S12" i="110"/>
  <c r="S9" i="105"/>
  <c r="T9" i="105"/>
  <c r="T10" i="121"/>
  <c r="S10" i="121"/>
  <c r="F16" i="119"/>
  <c r="G16" i="119" s="1"/>
  <c r="H16" i="119" s="1"/>
  <c r="I16" i="119" s="1"/>
  <c r="J16" i="119" s="1"/>
  <c r="K16" i="119" s="1"/>
  <c r="L16" i="119" s="1"/>
  <c r="M16" i="119" s="1"/>
  <c r="R16" i="119" s="1"/>
  <c r="G15" i="121"/>
  <c r="H15" i="121" s="1"/>
  <c r="I15" i="121" s="1"/>
  <c r="J15" i="121" s="1"/>
  <c r="K15" i="121" s="1"/>
  <c r="T15" i="121" s="1"/>
  <c r="F11" i="119"/>
  <c r="G11" i="119" s="1"/>
  <c r="H11" i="119" s="1"/>
  <c r="N11" i="119" s="1"/>
  <c r="F14" i="117"/>
  <c r="G14" i="117" s="1"/>
  <c r="H14" i="117" s="1"/>
  <c r="I14" i="117" s="1"/>
  <c r="J14" i="117" s="1"/>
  <c r="K14" i="117" s="1"/>
  <c r="R14" i="117" s="1"/>
  <c r="F9" i="106"/>
  <c r="N9" i="106" s="1"/>
  <c r="S9" i="106"/>
  <c r="T9" i="106"/>
  <c r="F12" i="103"/>
  <c r="G12" i="103" s="1"/>
  <c r="H12" i="103" s="1"/>
  <c r="I12" i="103" s="1"/>
  <c r="N12" i="103" s="1"/>
  <c r="S12" i="103"/>
  <c r="T12" i="103"/>
  <c r="F16" i="89"/>
  <c r="G16" i="89" s="1"/>
  <c r="H16" i="89" s="1"/>
  <c r="I16" i="89" s="1"/>
  <c r="J16" i="89" s="1"/>
  <c r="K16" i="89" s="1"/>
  <c r="L16" i="89" s="1"/>
  <c r="M16" i="89" s="1"/>
  <c r="R16" i="89" s="1"/>
  <c r="S30" i="89" s="1"/>
  <c r="G11" i="93"/>
  <c r="S11" i="93"/>
  <c r="F10" i="118"/>
  <c r="G10" i="118" s="1"/>
  <c r="N10" i="118" s="1"/>
  <c r="F9" i="109"/>
  <c r="T9" i="109"/>
  <c r="S9" i="109"/>
  <c r="G10" i="93"/>
  <c r="N10" i="93" s="1"/>
  <c r="S10" i="93"/>
  <c r="T10" i="93"/>
  <c r="G11" i="80"/>
  <c r="H11" i="80" s="1"/>
  <c r="R11" i="80" s="1"/>
  <c r="S37" i="80" s="1"/>
  <c r="B43" i="113" s="1"/>
  <c r="S11" i="80"/>
  <c r="F15" i="106"/>
  <c r="F10" i="106"/>
  <c r="T10" i="106" s="1"/>
  <c r="F11" i="103"/>
  <c r="G11" i="103" s="1"/>
  <c r="H11" i="103" s="1"/>
  <c r="R11" i="103" s="1"/>
  <c r="S25" i="103" s="1"/>
  <c r="T11" i="103"/>
  <c r="S11" i="103"/>
  <c r="H15" i="80"/>
  <c r="I15" i="80" s="1"/>
  <c r="J15" i="80" s="1"/>
  <c r="K15" i="80" s="1"/>
  <c r="L15" i="80" s="1"/>
  <c r="R15" i="80" s="1"/>
  <c r="T15" i="80"/>
  <c r="S9" i="108"/>
  <c r="T9" i="108"/>
  <c r="G11" i="116"/>
  <c r="S11" i="116"/>
  <c r="T11" i="116"/>
  <c r="F14" i="111"/>
  <c r="G14" i="111" s="1"/>
  <c r="H14" i="111" s="1"/>
  <c r="I14" i="111" s="1"/>
  <c r="J14" i="111" s="1"/>
  <c r="K14" i="111" s="1"/>
  <c r="R14" i="111" s="1"/>
  <c r="S28" i="111" s="1"/>
  <c r="S9" i="117"/>
  <c r="S16" i="121"/>
  <c r="S11" i="104"/>
  <c r="S16" i="103"/>
  <c r="S10" i="108"/>
  <c r="S10" i="109"/>
  <c r="S11" i="112"/>
  <c r="S16" i="107"/>
  <c r="S16" i="111"/>
  <c r="S12" i="105"/>
  <c r="S11" i="90"/>
  <c r="T10" i="90"/>
  <c r="T9" i="102"/>
  <c r="S9" i="102"/>
  <c r="F10" i="110"/>
  <c r="G10" i="110" s="1"/>
  <c r="R10" i="110" s="1"/>
  <c r="S24" i="110" s="1"/>
  <c r="T9" i="101"/>
  <c r="S9" i="101"/>
  <c r="F9" i="100"/>
  <c r="S9" i="100"/>
  <c r="T9" i="100"/>
  <c r="F16" i="117"/>
  <c r="G16" i="117" s="1"/>
  <c r="H16" i="117" s="1"/>
  <c r="I16" i="117" s="1"/>
  <c r="J16" i="117" s="1"/>
  <c r="K16" i="117" s="1"/>
  <c r="L16" i="117" s="1"/>
  <c r="M16" i="117" s="1"/>
  <c r="N16" i="117" s="1"/>
  <c r="F14" i="119"/>
  <c r="G14" i="119" s="1"/>
  <c r="H14" i="119" s="1"/>
  <c r="I14" i="119" s="1"/>
  <c r="J14" i="119" s="1"/>
  <c r="K14" i="119" s="1"/>
  <c r="R14" i="119" s="1"/>
  <c r="F12" i="109"/>
  <c r="G12" i="109" s="1"/>
  <c r="H12" i="109" s="1"/>
  <c r="I12" i="109" s="1"/>
  <c r="N12" i="109" s="1"/>
  <c r="S12" i="109"/>
  <c r="T12" i="109"/>
  <c r="F15" i="109"/>
  <c r="G15" i="109" s="1"/>
  <c r="H15" i="109" s="1"/>
  <c r="I15" i="109" s="1"/>
  <c r="J15" i="109" s="1"/>
  <c r="K15" i="109" s="1"/>
  <c r="L15" i="109" s="1"/>
  <c r="S15" i="109"/>
  <c r="G12" i="120"/>
  <c r="H12" i="120" s="1"/>
  <c r="T12" i="120" s="1"/>
  <c r="F10" i="104"/>
  <c r="G10" i="104" s="1"/>
  <c r="R10" i="104" s="1"/>
  <c r="S24" i="104" s="1"/>
  <c r="F12" i="111"/>
  <c r="F10" i="89"/>
  <c r="S10" i="89" s="1"/>
  <c r="F13" i="109"/>
  <c r="G13" i="109" s="1"/>
  <c r="H13" i="109" s="1"/>
  <c r="I13" i="109" s="1"/>
  <c r="J13" i="109" s="1"/>
  <c r="R13" i="109" s="1"/>
  <c r="S27" i="109" s="1"/>
  <c r="F14" i="103"/>
  <c r="F10" i="112"/>
  <c r="G10" i="112" s="1"/>
  <c r="W10" i="112" s="1"/>
  <c r="T10" i="112"/>
  <c r="F11" i="100"/>
  <c r="G11" i="100" s="1"/>
  <c r="H11" i="100" s="1"/>
  <c r="F14" i="108"/>
  <c r="G14" i="108" s="1"/>
  <c r="H14" i="108" s="1"/>
  <c r="I14" i="108" s="1"/>
  <c r="J14" i="108" s="1"/>
  <c r="K14" i="108" s="1"/>
  <c r="R14" i="108" s="1"/>
  <c r="S28" i="108" s="1"/>
  <c r="F10" i="107"/>
  <c r="T10" i="107"/>
  <c r="S10" i="107"/>
  <c r="F15" i="100"/>
  <c r="G15" i="100" s="1"/>
  <c r="H15" i="100" s="1"/>
  <c r="I15" i="100" s="1"/>
  <c r="J15" i="100" s="1"/>
  <c r="K15" i="100" s="1"/>
  <c r="L15" i="100" s="1"/>
  <c r="N15" i="100" s="1"/>
  <c r="S15" i="100"/>
  <c r="F13" i="104"/>
  <c r="G13" i="104" s="1"/>
  <c r="H13" i="104" s="1"/>
  <c r="I13" i="104" s="1"/>
  <c r="J13" i="104" s="1"/>
  <c r="N13" i="104" s="1"/>
  <c r="T9" i="107"/>
  <c r="S9" i="107"/>
  <c r="G12" i="116"/>
  <c r="T11" i="104"/>
  <c r="T16" i="103"/>
  <c r="T10" i="108"/>
  <c r="T10" i="109"/>
  <c r="T11" i="112"/>
  <c r="T16" i="107"/>
  <c r="T16" i="111"/>
  <c r="T12" i="105"/>
  <c r="S10" i="110"/>
  <c r="T14" i="80"/>
  <c r="T13" i="80"/>
  <c r="T12" i="121"/>
  <c r="S12" i="88"/>
  <c r="S13" i="80"/>
  <c r="S12" i="121"/>
  <c r="N12" i="80"/>
  <c r="R12" i="80"/>
  <c r="T12" i="88"/>
  <c r="U9" i="93"/>
  <c r="H5" i="113" s="1"/>
  <c r="W9" i="93"/>
  <c r="N14" i="97"/>
  <c r="B30" i="32"/>
  <c r="R8" i="100"/>
  <c r="S22" i="100" s="1"/>
  <c r="U22" i="100" s="1"/>
  <c r="N11" i="112"/>
  <c r="E4" i="95"/>
  <c r="W11" i="112"/>
  <c r="V8" i="90"/>
  <c r="W13" i="120"/>
  <c r="U34" i="80"/>
  <c r="V8" i="80"/>
  <c r="E39" i="120"/>
  <c r="B4" i="95"/>
  <c r="S39" i="120"/>
  <c r="S27" i="120"/>
  <c r="E51" i="120"/>
  <c r="N11" i="80"/>
  <c r="E23" i="120"/>
  <c r="G23" i="120" s="1"/>
  <c r="R8" i="110"/>
  <c r="S22" i="110" s="1"/>
  <c r="W16" i="89"/>
  <c r="E47" i="120"/>
  <c r="G47" i="120" s="1"/>
  <c r="E35" i="120"/>
  <c r="G35" i="120" s="1"/>
  <c r="W9" i="120"/>
  <c r="V9" i="120" s="1"/>
  <c r="N9" i="120"/>
  <c r="N8" i="100"/>
  <c r="W10" i="80"/>
  <c r="S35" i="120"/>
  <c r="T35" i="120" s="1"/>
  <c r="S47" i="120"/>
  <c r="T47" i="120" s="1"/>
  <c r="R10" i="93"/>
  <c r="S24" i="93" s="1"/>
  <c r="V14" i="35"/>
  <c r="N14" i="111"/>
  <c r="W14" i="111"/>
  <c r="AA19" i="113"/>
  <c r="N8" i="110"/>
  <c r="H4" i="113"/>
  <c r="S25" i="80"/>
  <c r="B31" i="113" s="1"/>
  <c r="U8" i="101"/>
  <c r="U22" i="101" s="1"/>
  <c r="U22" i="93"/>
  <c r="W13" i="105"/>
  <c r="S39" i="105"/>
  <c r="R10" i="102"/>
  <c r="S24" i="102" s="1"/>
  <c r="O30" i="113" s="1"/>
  <c r="R21" i="95"/>
  <c r="H4" i="95"/>
  <c r="W13" i="108"/>
  <c r="R13" i="108"/>
  <c r="S27" i="108" s="1"/>
  <c r="W33" i="113" s="1"/>
  <c r="U7" i="91"/>
  <c r="N8" i="106"/>
  <c r="F9" i="107"/>
  <c r="N9" i="107" s="1"/>
  <c r="S51" i="105"/>
  <c r="R57" i="113" s="1"/>
  <c r="E27" i="105"/>
  <c r="R45" i="95" s="1"/>
  <c r="W16" i="108"/>
  <c r="W10" i="102"/>
  <c r="R11" i="104"/>
  <c r="S25" i="104" s="1"/>
  <c r="Q31" i="113" s="1"/>
  <c r="N9" i="80"/>
  <c r="W11" i="104"/>
  <c r="R8" i="106"/>
  <c r="S22" i="106" s="1"/>
  <c r="E39" i="105"/>
  <c r="R21" i="113"/>
  <c r="R16" i="108"/>
  <c r="S30" i="108" s="1"/>
  <c r="W36" i="113" s="1"/>
  <c r="E37" i="112"/>
  <c r="AA43" i="95" s="1"/>
  <c r="F9" i="108"/>
  <c r="W9" i="108" s="1"/>
  <c r="E51" i="105"/>
  <c r="R57" i="95" s="1"/>
  <c r="W11" i="90"/>
  <c r="W14" i="80"/>
  <c r="W12" i="109"/>
  <c r="N13" i="105"/>
  <c r="F9" i="104"/>
  <c r="W9" i="104" s="1"/>
  <c r="W9" i="106"/>
  <c r="W9" i="111"/>
  <c r="R9" i="106"/>
  <c r="S23" i="106" s="1"/>
  <c r="S29" i="113" s="1"/>
  <c r="R10" i="103"/>
  <c r="S24" i="103" s="1"/>
  <c r="P30" i="113" s="1"/>
  <c r="S22" i="120"/>
  <c r="U22" i="120" s="1"/>
  <c r="W12" i="103"/>
  <c r="R12" i="103"/>
  <c r="S26" i="103" s="1"/>
  <c r="S48" i="80"/>
  <c r="B54" i="113" s="1"/>
  <c r="E46" i="120"/>
  <c r="G46" i="120" s="1"/>
  <c r="U9" i="107"/>
  <c r="F12" i="107"/>
  <c r="G12" i="107" s="1"/>
  <c r="H12" i="107" s="1"/>
  <c r="I12" i="107" s="1"/>
  <c r="R12" i="107" s="1"/>
  <c r="S26" i="107" s="1"/>
  <c r="K14" i="90"/>
  <c r="W14" i="90" s="1"/>
  <c r="F13" i="106"/>
  <c r="G13" i="106" s="1"/>
  <c r="H13" i="106" s="1"/>
  <c r="I13" i="106" s="1"/>
  <c r="J13" i="106" s="1"/>
  <c r="R13" i="106" s="1"/>
  <c r="S27" i="106" s="1"/>
  <c r="B18" i="95"/>
  <c r="U8" i="89"/>
  <c r="L4" i="113" s="1"/>
  <c r="R9" i="80"/>
  <c r="B17" i="113" s="1"/>
  <c r="L15" i="90"/>
  <c r="N15" i="90" s="1"/>
  <c r="F10" i="100"/>
  <c r="G10" i="100" s="1"/>
  <c r="N10" i="100" s="1"/>
  <c r="N9" i="88"/>
  <c r="F16" i="109"/>
  <c r="G16" i="109" s="1"/>
  <c r="H16" i="109" s="1"/>
  <c r="I16" i="109" s="1"/>
  <c r="J16" i="109" s="1"/>
  <c r="K16" i="109" s="1"/>
  <c r="L16" i="109" s="1"/>
  <c r="R14" i="80"/>
  <c r="B22" i="113" s="1"/>
  <c r="W13" i="109"/>
  <c r="W9" i="88"/>
  <c r="N16" i="89"/>
  <c r="H11" i="88"/>
  <c r="R11" i="88" s="1"/>
  <c r="D19" i="113" s="1"/>
  <c r="N10" i="80"/>
  <c r="E24" i="80"/>
  <c r="B30" i="95" s="1"/>
  <c r="G11" i="120"/>
  <c r="T11" i="120" s="1"/>
  <c r="G13" i="88"/>
  <c r="H13" i="88" s="1"/>
  <c r="I13" i="88" s="1"/>
  <c r="S13" i="88" s="1"/>
  <c r="L15" i="121"/>
  <c r="R15" i="121" s="1"/>
  <c r="N10" i="108"/>
  <c r="F9" i="117"/>
  <c r="R9" i="117" s="1"/>
  <c r="E47" i="117" s="1"/>
  <c r="U9" i="117"/>
  <c r="G16" i="120"/>
  <c r="H16" i="120" s="1"/>
  <c r="I16" i="120" s="1"/>
  <c r="J16" i="120" s="1"/>
  <c r="K16" i="120" s="1"/>
  <c r="L16" i="120" s="1"/>
  <c r="T16" i="120" s="1"/>
  <c r="G12" i="90"/>
  <c r="U8" i="87"/>
  <c r="F10" i="117"/>
  <c r="S10" i="117" s="1"/>
  <c r="G10" i="120"/>
  <c r="W10" i="120" s="1"/>
  <c r="F12" i="108"/>
  <c r="G12" i="108" s="1"/>
  <c r="H12" i="108" s="1"/>
  <c r="I12" i="108" s="1"/>
  <c r="F11" i="106"/>
  <c r="G11" i="106" s="1"/>
  <c r="F15" i="102"/>
  <c r="G15" i="102" s="1"/>
  <c r="H15" i="102" s="1"/>
  <c r="I15" i="102" s="1"/>
  <c r="J15" i="102" s="1"/>
  <c r="K15" i="102" s="1"/>
  <c r="L15" i="102" s="1"/>
  <c r="W10" i="103"/>
  <c r="S36" i="80"/>
  <c r="B42" i="113" s="1"/>
  <c r="G10" i="121"/>
  <c r="R10" i="121" s="1"/>
  <c r="U23" i="120"/>
  <c r="F10" i="119"/>
  <c r="T10" i="119" s="1"/>
  <c r="M16" i="121"/>
  <c r="N16" i="121" s="1"/>
  <c r="M16" i="90"/>
  <c r="N13" i="120"/>
  <c r="R15" i="116"/>
  <c r="N15" i="116"/>
  <c r="H11" i="116"/>
  <c r="E49" i="112"/>
  <c r="E48" i="104"/>
  <c r="Q54" i="95" s="1"/>
  <c r="N16" i="107"/>
  <c r="E25" i="112"/>
  <c r="AA31" i="95" s="1"/>
  <c r="AA19" i="95"/>
  <c r="R12" i="109"/>
  <c r="S26" i="109" s="1"/>
  <c r="R15" i="100"/>
  <c r="S29" i="100" s="1"/>
  <c r="M47" i="113" s="1"/>
  <c r="R11" i="90"/>
  <c r="E37" i="90" s="1"/>
  <c r="E43" i="95" s="1"/>
  <c r="N14" i="108"/>
  <c r="N15" i="80"/>
  <c r="S49" i="112"/>
  <c r="S37" i="112"/>
  <c r="AA43" i="113" s="1"/>
  <c r="N10" i="104"/>
  <c r="E34" i="120"/>
  <c r="G34" i="120" s="1"/>
  <c r="S34" i="120"/>
  <c r="U34" i="120" s="1"/>
  <c r="E22" i="120"/>
  <c r="G22" i="120" s="1"/>
  <c r="W15" i="80"/>
  <c r="S48" i="104"/>
  <c r="Q54" i="113" s="1"/>
  <c r="Q18" i="95"/>
  <c r="W15" i="100"/>
  <c r="N10" i="109"/>
  <c r="N13" i="109"/>
  <c r="N16" i="111"/>
  <c r="W10" i="104"/>
  <c r="E24" i="104"/>
  <c r="Q42" i="95" s="1"/>
  <c r="S36" i="104"/>
  <c r="U22" i="116"/>
  <c r="E36" i="104"/>
  <c r="Q18" i="113"/>
  <c r="W14" i="108"/>
  <c r="W16" i="107"/>
  <c r="W16" i="111"/>
  <c r="W10" i="109"/>
  <c r="U8" i="111"/>
  <c r="U22" i="111" s="1"/>
  <c r="U34" i="121"/>
  <c r="U8" i="102"/>
  <c r="U9" i="80"/>
  <c r="B5" i="113" s="1"/>
  <c r="U8" i="104"/>
  <c r="Q4" i="113" s="1"/>
  <c r="U46" i="121"/>
  <c r="U22" i="121"/>
  <c r="U8" i="105"/>
  <c r="R4" i="113" s="1"/>
  <c r="G22" i="121"/>
  <c r="U9" i="121"/>
  <c r="G34" i="121"/>
  <c r="G46" i="121"/>
  <c r="N14" i="119"/>
  <c r="S38" i="117"/>
  <c r="S26" i="117"/>
  <c r="E50" i="117"/>
  <c r="S50" i="117"/>
  <c r="E38" i="117"/>
  <c r="E26" i="117"/>
  <c r="E40" i="117"/>
  <c r="E28" i="117"/>
  <c r="S28" i="117"/>
  <c r="S52" i="117"/>
  <c r="E52" i="117"/>
  <c r="S40" i="117"/>
  <c r="U21" i="119"/>
  <c r="T21" i="119"/>
  <c r="N9" i="116"/>
  <c r="R9" i="116"/>
  <c r="U45" i="117"/>
  <c r="T45" i="117"/>
  <c r="F13" i="107"/>
  <c r="G13" i="107" s="1"/>
  <c r="H13" i="107" s="1"/>
  <c r="I13" i="107" s="1"/>
  <c r="J13" i="107" s="1"/>
  <c r="F13" i="111"/>
  <c r="E37" i="80"/>
  <c r="B43" i="95" s="1"/>
  <c r="E49" i="80"/>
  <c r="B55" i="95" s="1"/>
  <c r="G45" i="119"/>
  <c r="F45" i="119"/>
  <c r="F22" i="121"/>
  <c r="T22" i="121"/>
  <c r="T34" i="121"/>
  <c r="F34" i="121"/>
  <c r="F46" i="121"/>
  <c r="T46" i="121"/>
  <c r="G13" i="121"/>
  <c r="U8" i="119"/>
  <c r="G15" i="120"/>
  <c r="F14" i="118"/>
  <c r="W16" i="119"/>
  <c r="G46" i="116"/>
  <c r="G22" i="116"/>
  <c r="N16" i="119"/>
  <c r="W9" i="116"/>
  <c r="W11" i="118"/>
  <c r="W12" i="117"/>
  <c r="R11" i="118"/>
  <c r="G16" i="116"/>
  <c r="E46" i="118"/>
  <c r="G46" i="118" s="1"/>
  <c r="S22" i="118"/>
  <c r="U22" i="118" s="1"/>
  <c r="E34" i="118"/>
  <c r="G34" i="118" s="1"/>
  <c r="S46" i="118"/>
  <c r="U46" i="118" s="1"/>
  <c r="E22" i="118"/>
  <c r="G22" i="118" s="1"/>
  <c r="S34" i="118"/>
  <c r="U34" i="118" s="1"/>
  <c r="G33" i="118"/>
  <c r="F33" i="118"/>
  <c r="G45" i="118"/>
  <c r="F45" i="118"/>
  <c r="U8" i="99"/>
  <c r="U4" i="95" s="1"/>
  <c r="R8" i="117"/>
  <c r="N12" i="117"/>
  <c r="G45" i="117"/>
  <c r="F45" i="117"/>
  <c r="G33" i="117"/>
  <c r="F33" i="117"/>
  <c r="G13" i="116"/>
  <c r="U8" i="112"/>
  <c r="AA4" i="113" s="1"/>
  <c r="U8" i="108"/>
  <c r="S42" i="119"/>
  <c r="S30" i="119"/>
  <c r="S54" i="119"/>
  <c r="E30" i="119"/>
  <c r="E54" i="119"/>
  <c r="E42" i="119"/>
  <c r="F12" i="119"/>
  <c r="G12" i="119" s="1"/>
  <c r="H12" i="119" s="1"/>
  <c r="W15" i="105"/>
  <c r="R15" i="105"/>
  <c r="S29" i="105" s="1"/>
  <c r="R11" i="108"/>
  <c r="S25" i="108" s="1"/>
  <c r="W16" i="80"/>
  <c r="W10" i="108"/>
  <c r="R11" i="107"/>
  <c r="S25" i="107" s="1"/>
  <c r="V31" i="113" s="1"/>
  <c r="N9" i="111"/>
  <c r="B19" i="95"/>
  <c r="B19" i="113"/>
  <c r="G21" i="119"/>
  <c r="F21" i="119"/>
  <c r="U45" i="119"/>
  <c r="T45" i="119"/>
  <c r="F12" i="118"/>
  <c r="F15" i="118"/>
  <c r="W8" i="117"/>
  <c r="V8" i="117" s="1"/>
  <c r="V8" i="121"/>
  <c r="F16" i="118"/>
  <c r="R9" i="121"/>
  <c r="N9" i="121"/>
  <c r="W9" i="121"/>
  <c r="W14" i="119"/>
  <c r="U46" i="116"/>
  <c r="E22" i="119"/>
  <c r="S46" i="119"/>
  <c r="E34" i="119"/>
  <c r="S22" i="119"/>
  <c r="E46" i="119"/>
  <c r="S34" i="119"/>
  <c r="W14" i="117"/>
  <c r="E9" i="115"/>
  <c r="S9" i="115" s="1"/>
  <c r="U8" i="106"/>
  <c r="V8" i="106" s="1"/>
  <c r="T23" i="120"/>
  <c r="E13" i="115"/>
  <c r="T46" i="120"/>
  <c r="G14" i="121"/>
  <c r="F9" i="118"/>
  <c r="U33" i="118"/>
  <c r="T33" i="118"/>
  <c r="E16" i="115"/>
  <c r="E11" i="115"/>
  <c r="U8" i="103"/>
  <c r="P4" i="113" s="1"/>
  <c r="U9" i="88"/>
  <c r="U10" i="88" s="1"/>
  <c r="N14" i="117"/>
  <c r="G21" i="117"/>
  <c r="F21" i="117"/>
  <c r="E14" i="115"/>
  <c r="E10" i="115"/>
  <c r="U8" i="110"/>
  <c r="Y4" i="113" s="1"/>
  <c r="U9" i="90"/>
  <c r="G33" i="119"/>
  <c r="F33" i="119"/>
  <c r="F13" i="118"/>
  <c r="F15" i="119"/>
  <c r="E29" i="117"/>
  <c r="E41" i="117"/>
  <c r="S41" i="117"/>
  <c r="S29" i="117"/>
  <c r="S53" i="117"/>
  <c r="E53" i="117"/>
  <c r="V8" i="118"/>
  <c r="E12" i="115"/>
  <c r="F12" i="115" s="1"/>
  <c r="G12" i="115" s="1"/>
  <c r="H12" i="115" s="1"/>
  <c r="I12" i="115" s="1"/>
  <c r="N12" i="115" s="1"/>
  <c r="F11" i="117"/>
  <c r="G11" i="117" s="1"/>
  <c r="G21" i="118"/>
  <c r="F21" i="118"/>
  <c r="V8" i="116"/>
  <c r="F22" i="116"/>
  <c r="F34" i="116"/>
  <c r="T22" i="116"/>
  <c r="T46" i="116"/>
  <c r="F46" i="116"/>
  <c r="T34" i="116"/>
  <c r="U21" i="117"/>
  <c r="T21" i="117"/>
  <c r="F13" i="103"/>
  <c r="F12" i="106"/>
  <c r="G12" i="106" s="1"/>
  <c r="H12" i="106" s="1"/>
  <c r="I12" i="106" s="1"/>
  <c r="W11" i="108"/>
  <c r="N11" i="107"/>
  <c r="E25" i="80"/>
  <c r="B31" i="95" s="1"/>
  <c r="S49" i="80"/>
  <c r="B55" i="113" s="1"/>
  <c r="W11" i="80"/>
  <c r="U33" i="119"/>
  <c r="T33" i="119"/>
  <c r="G14" i="116"/>
  <c r="H14" i="116" s="1"/>
  <c r="I14" i="116" s="1"/>
  <c r="J14" i="116" s="1"/>
  <c r="S14" i="116" s="1"/>
  <c r="G14" i="120"/>
  <c r="F9" i="119"/>
  <c r="S52" i="119"/>
  <c r="E28" i="119"/>
  <c r="S40" i="119"/>
  <c r="S28" i="119"/>
  <c r="E40" i="119"/>
  <c r="E52" i="119"/>
  <c r="U34" i="116"/>
  <c r="G34" i="116"/>
  <c r="G11" i="121"/>
  <c r="S11" i="121" s="1"/>
  <c r="U9" i="116"/>
  <c r="E45" i="115"/>
  <c r="S45" i="115"/>
  <c r="S21" i="115"/>
  <c r="S33" i="115"/>
  <c r="E33" i="115"/>
  <c r="E21" i="115"/>
  <c r="F13" i="117"/>
  <c r="F13" i="119"/>
  <c r="G13" i="119" s="1"/>
  <c r="H13" i="119" s="1"/>
  <c r="I13" i="119" s="1"/>
  <c r="E15" i="115"/>
  <c r="E8" i="115"/>
  <c r="N8" i="115" s="1"/>
  <c r="U21" i="118"/>
  <c r="T21" i="118"/>
  <c r="U45" i="118"/>
  <c r="T45" i="118"/>
  <c r="U33" i="117"/>
  <c r="T33" i="117"/>
  <c r="E48" i="80"/>
  <c r="B54" i="95" s="1"/>
  <c r="B18" i="113"/>
  <c r="S24" i="80"/>
  <c r="B30" i="113" s="1"/>
  <c r="L24" i="95"/>
  <c r="S42" i="89"/>
  <c r="E54" i="89"/>
  <c r="L60" i="95" s="1"/>
  <c r="E42" i="89"/>
  <c r="R16" i="80"/>
  <c r="E42" i="80" s="1"/>
  <c r="E30" i="89"/>
  <c r="L48" i="95" s="1"/>
  <c r="L24" i="113"/>
  <c r="G10" i="90"/>
  <c r="W10" i="90" s="1"/>
  <c r="S54" i="89"/>
  <c r="L60" i="113" s="1"/>
  <c r="F13" i="101"/>
  <c r="F10" i="105"/>
  <c r="T10" i="105" s="1"/>
  <c r="G12" i="112"/>
  <c r="H12" i="112" s="1"/>
  <c r="I12" i="112" s="1"/>
  <c r="W12" i="112" s="1"/>
  <c r="F13" i="99"/>
  <c r="G13" i="99" s="1"/>
  <c r="H13" i="99" s="1"/>
  <c r="I13" i="99" s="1"/>
  <c r="J13" i="99" s="1"/>
  <c r="N13" i="99" s="1"/>
  <c r="E40" i="108"/>
  <c r="W46" i="95" s="1"/>
  <c r="G2" i="96"/>
  <c r="U17" i="35"/>
  <c r="V17" i="35" s="1"/>
  <c r="E2" i="96"/>
  <c r="N17" i="35"/>
  <c r="R17" i="35"/>
  <c r="Z22" i="113"/>
  <c r="S52" i="111"/>
  <c r="Z58" i="113" s="1"/>
  <c r="S40" i="111"/>
  <c r="Z46" i="113" s="1"/>
  <c r="E40" i="111"/>
  <c r="Z46" i="95" s="1"/>
  <c r="Z22" i="95"/>
  <c r="E28" i="111"/>
  <c r="Z34" i="95" s="1"/>
  <c r="E52" i="111"/>
  <c r="Z58" i="95" s="1"/>
  <c r="S52" i="108"/>
  <c r="W58" i="113" s="1"/>
  <c r="W22" i="95"/>
  <c r="E52" i="108"/>
  <c r="W58" i="95" s="1"/>
  <c r="E28" i="108"/>
  <c r="W34" i="95" s="1"/>
  <c r="S40" i="108"/>
  <c r="W46" i="113" s="1"/>
  <c r="W22" i="113"/>
  <c r="X18" i="95"/>
  <c r="E24" i="109"/>
  <c r="X30" i="95" s="1"/>
  <c r="E48" i="109"/>
  <c r="X54" i="95" s="1"/>
  <c r="E36" i="109"/>
  <c r="X42" i="95" s="1"/>
  <c r="S36" i="109"/>
  <c r="X42" i="113" s="1"/>
  <c r="S48" i="109"/>
  <c r="X54" i="113" s="1"/>
  <c r="X18" i="113"/>
  <c r="R15" i="103"/>
  <c r="S29" i="103" s="1"/>
  <c r="W15" i="103"/>
  <c r="E25" i="103"/>
  <c r="P31" i="95" s="1"/>
  <c r="S37" i="103"/>
  <c r="E37" i="103"/>
  <c r="P19" i="113"/>
  <c r="E49" i="103"/>
  <c r="P55" i="95" s="1"/>
  <c r="P19" i="95"/>
  <c r="S49" i="103"/>
  <c r="P55" i="113" s="1"/>
  <c r="S42" i="107"/>
  <c r="V48" i="113" s="1"/>
  <c r="D4" i="95"/>
  <c r="V8" i="88"/>
  <c r="H5" i="95"/>
  <c r="V7" i="87"/>
  <c r="C3" i="113"/>
  <c r="W16" i="104"/>
  <c r="N8" i="104"/>
  <c r="E51" i="109"/>
  <c r="X57" i="95" s="1"/>
  <c r="E22" i="93"/>
  <c r="H28" i="95" s="1"/>
  <c r="E54" i="107"/>
  <c r="V60" i="95" s="1"/>
  <c r="S54" i="107"/>
  <c r="V60" i="113" s="1"/>
  <c r="E30" i="107"/>
  <c r="V36" i="95" s="1"/>
  <c r="V24" i="95"/>
  <c r="V24" i="113"/>
  <c r="E42" i="107"/>
  <c r="V48" i="95" s="1"/>
  <c r="W11" i="103"/>
  <c r="N11" i="103"/>
  <c r="N12" i="105"/>
  <c r="R8" i="108"/>
  <c r="S22" i="108" s="1"/>
  <c r="N8" i="108"/>
  <c r="N8" i="101"/>
  <c r="S46" i="93"/>
  <c r="T46" i="93" s="1"/>
  <c r="E46" i="93"/>
  <c r="G46" i="93" s="1"/>
  <c r="E34" i="93"/>
  <c r="H40" i="95" s="1"/>
  <c r="H16" i="95"/>
  <c r="S34" i="93"/>
  <c r="U34" i="93" s="1"/>
  <c r="H16" i="113"/>
  <c r="S39" i="109"/>
  <c r="X45" i="113" s="1"/>
  <c r="X21" i="113"/>
  <c r="E39" i="109"/>
  <c r="S51" i="109"/>
  <c r="E16" i="113"/>
  <c r="R10" i="112"/>
  <c r="S24" i="112" s="1"/>
  <c r="E46" i="90"/>
  <c r="F46" i="90" s="1"/>
  <c r="E34" i="90"/>
  <c r="E40" i="95" s="1"/>
  <c r="X21" i="95"/>
  <c r="E27" i="109"/>
  <c r="W13" i="89"/>
  <c r="R14" i="100"/>
  <c r="S28" i="100" s="1"/>
  <c r="V9" i="93"/>
  <c r="U23" i="93"/>
  <c r="N9" i="99"/>
  <c r="R16" i="105"/>
  <c r="S30" i="105" s="1"/>
  <c r="W12" i="105"/>
  <c r="U22" i="107"/>
  <c r="W16" i="99"/>
  <c r="W8" i="109"/>
  <c r="V8" i="109" s="1"/>
  <c r="W8" i="111"/>
  <c r="R12" i="104"/>
  <c r="S26" i="104" s="1"/>
  <c r="U21" i="94"/>
  <c r="E28" i="95"/>
  <c r="G22" i="90"/>
  <c r="F22" i="90"/>
  <c r="B28" i="95"/>
  <c r="G22" i="80"/>
  <c r="T33" i="103"/>
  <c r="U33" i="103"/>
  <c r="B40" i="95"/>
  <c r="G34" i="80"/>
  <c r="T33" i="104"/>
  <c r="U33" i="104"/>
  <c r="E16" i="95"/>
  <c r="T33" i="102"/>
  <c r="U33" i="102"/>
  <c r="T33" i="106"/>
  <c r="U33" i="106"/>
  <c r="B52" i="95"/>
  <c r="G46" i="80"/>
  <c r="T33" i="100"/>
  <c r="U33" i="100"/>
  <c r="S34" i="90"/>
  <c r="F33" i="89"/>
  <c r="G33" i="89"/>
  <c r="T45" i="112"/>
  <c r="U45" i="112"/>
  <c r="W12" i="110"/>
  <c r="S22" i="90"/>
  <c r="U22" i="90" s="1"/>
  <c r="B52" i="113"/>
  <c r="U46" i="80"/>
  <c r="T33" i="89"/>
  <c r="U33" i="89"/>
  <c r="F33" i="104"/>
  <c r="G33" i="104"/>
  <c r="F33" i="105"/>
  <c r="G33" i="105"/>
  <c r="R8" i="99"/>
  <c r="S22" i="99" s="1"/>
  <c r="W8" i="112"/>
  <c r="R16" i="99"/>
  <c r="S30" i="99" s="1"/>
  <c r="W8" i="102"/>
  <c r="F33" i="103"/>
  <c r="G33" i="103"/>
  <c r="B28" i="113"/>
  <c r="N25" i="97" s="1"/>
  <c r="U22" i="80"/>
  <c r="F33" i="99"/>
  <c r="G33" i="99"/>
  <c r="W8" i="89"/>
  <c r="F33" i="100"/>
  <c r="G33" i="100"/>
  <c r="W16" i="105"/>
  <c r="S46" i="90"/>
  <c r="T33" i="105"/>
  <c r="U33" i="105"/>
  <c r="F33" i="101"/>
  <c r="G33" i="101"/>
  <c r="U22" i="109"/>
  <c r="T33" i="101"/>
  <c r="U33" i="101"/>
  <c r="F33" i="102"/>
  <c r="G33" i="102"/>
  <c r="R8" i="102"/>
  <c r="S22" i="102" s="1"/>
  <c r="R16" i="106"/>
  <c r="S30" i="106" s="1"/>
  <c r="T33" i="99"/>
  <c r="U33" i="99"/>
  <c r="W9" i="99"/>
  <c r="F33" i="106"/>
  <c r="G33" i="106"/>
  <c r="F45" i="112"/>
  <c r="G45" i="112"/>
  <c r="E28" i="101"/>
  <c r="Q16" i="95"/>
  <c r="Q16" i="113"/>
  <c r="S34" i="104"/>
  <c r="E22" i="104"/>
  <c r="E34" i="104"/>
  <c r="E46" i="104"/>
  <c r="S46" i="104"/>
  <c r="F12" i="99"/>
  <c r="F13" i="112"/>
  <c r="G15" i="106"/>
  <c r="H15" i="106" s="1"/>
  <c r="I15" i="106" s="1"/>
  <c r="J15" i="106" s="1"/>
  <c r="K15" i="106" s="1"/>
  <c r="L15" i="106" s="1"/>
  <c r="W12" i="88"/>
  <c r="N12" i="88"/>
  <c r="R12" i="88"/>
  <c r="P51" i="95"/>
  <c r="F45" i="103"/>
  <c r="G15" i="107"/>
  <c r="F11" i="89"/>
  <c r="G11" i="89" s="1"/>
  <c r="H11" i="89" s="1"/>
  <c r="H13" i="90"/>
  <c r="R10" i="88"/>
  <c r="N10" i="88"/>
  <c r="F4" i="92"/>
  <c r="S7" i="92" s="1"/>
  <c r="K2" i="92"/>
  <c r="J4" i="92" s="1"/>
  <c r="T45" i="109"/>
  <c r="X51" i="113"/>
  <c r="R8" i="105"/>
  <c r="S22" i="105" s="1"/>
  <c r="N19" i="113"/>
  <c r="E49" i="101"/>
  <c r="N19" i="95"/>
  <c r="E37" i="101"/>
  <c r="S37" i="101"/>
  <c r="E25" i="101"/>
  <c r="S49" i="101"/>
  <c r="F9" i="102"/>
  <c r="W9" i="102" s="1"/>
  <c r="F33" i="110"/>
  <c r="Y39" i="95"/>
  <c r="N15" i="108"/>
  <c r="T21" i="99"/>
  <c r="U27" i="113"/>
  <c r="U63" i="113" s="1"/>
  <c r="U39" i="113"/>
  <c r="F33" i="112"/>
  <c r="AA39" i="95"/>
  <c r="F21" i="89"/>
  <c r="L39" i="95"/>
  <c r="F12" i="101"/>
  <c r="F11" i="102"/>
  <c r="B10" i="91"/>
  <c r="D10" i="91"/>
  <c r="B13" i="91"/>
  <c r="D13" i="91"/>
  <c r="N8" i="94"/>
  <c r="R8" i="94"/>
  <c r="S22" i="94" s="1"/>
  <c r="T45" i="100"/>
  <c r="M51" i="113"/>
  <c r="L36" i="113"/>
  <c r="L48" i="113"/>
  <c r="F14" i="99"/>
  <c r="W16" i="103"/>
  <c r="F14" i="112"/>
  <c r="G14" i="112" s="1"/>
  <c r="H14" i="112" s="1"/>
  <c r="I14" i="112" s="1"/>
  <c r="J14" i="112" s="1"/>
  <c r="K14" i="112" s="1"/>
  <c r="F21" i="101"/>
  <c r="N39" i="95"/>
  <c r="N27" i="95"/>
  <c r="M16" i="113"/>
  <c r="E22" i="100"/>
  <c r="G10" i="111"/>
  <c r="W10" i="111" s="1"/>
  <c r="T33" i="111"/>
  <c r="Z39" i="113"/>
  <c r="AA16" i="95"/>
  <c r="AA16" i="113"/>
  <c r="S34" i="112"/>
  <c r="E46" i="112"/>
  <c r="E34" i="112"/>
  <c r="E22" i="112"/>
  <c r="S46" i="112"/>
  <c r="X4" i="113"/>
  <c r="X4" i="95"/>
  <c r="T45" i="105"/>
  <c r="R51" i="113"/>
  <c r="R15" i="104"/>
  <c r="S29" i="104" s="1"/>
  <c r="Z16" i="95"/>
  <c r="Z16" i="113"/>
  <c r="S34" i="111"/>
  <c r="E22" i="111"/>
  <c r="E34" i="111"/>
  <c r="E46" i="111"/>
  <c r="S46" i="111"/>
  <c r="H17" i="113"/>
  <c r="S35" i="93"/>
  <c r="U35" i="93" s="1"/>
  <c r="E23" i="93"/>
  <c r="G23" i="93" s="1"/>
  <c r="E35" i="93"/>
  <c r="G35" i="93" s="1"/>
  <c r="E47" i="93"/>
  <c r="G47" i="93" s="1"/>
  <c r="H17" i="95"/>
  <c r="S47" i="93"/>
  <c r="U47" i="93" s="1"/>
  <c r="E41" i="99"/>
  <c r="S53" i="99"/>
  <c r="W8" i="104"/>
  <c r="N8" i="107"/>
  <c r="G12" i="111"/>
  <c r="W8" i="99"/>
  <c r="T33" i="107"/>
  <c r="V39" i="113"/>
  <c r="F21" i="103"/>
  <c r="P39" i="95"/>
  <c r="P27" i="95"/>
  <c r="F10" i="99"/>
  <c r="T10" i="99" s="1"/>
  <c r="F14" i="89"/>
  <c r="T21" i="109"/>
  <c r="X27" i="113"/>
  <c r="X63" i="113" s="1"/>
  <c r="G11" i="109"/>
  <c r="T11" i="109" s="1"/>
  <c r="D17" i="113"/>
  <c r="S35" i="88"/>
  <c r="S23" i="88"/>
  <c r="E47" i="88"/>
  <c r="D17" i="95"/>
  <c r="E23" i="88"/>
  <c r="E35" i="88"/>
  <c r="S47" i="88"/>
  <c r="W12" i="102"/>
  <c r="E13" i="94"/>
  <c r="F13" i="94" s="1"/>
  <c r="G13" i="94" s="1"/>
  <c r="H13" i="94" s="1"/>
  <c r="I13" i="94" s="1"/>
  <c r="J13" i="94" s="1"/>
  <c r="N13" i="94" s="1"/>
  <c r="F21" i="110"/>
  <c r="Y27" i="95"/>
  <c r="W10" i="110"/>
  <c r="W16" i="106"/>
  <c r="N9" i="90"/>
  <c r="R9" i="90"/>
  <c r="T33" i="112"/>
  <c r="AA39" i="113"/>
  <c r="E15" i="87"/>
  <c r="F15" i="87" s="1"/>
  <c r="G15" i="87" s="1"/>
  <c r="H15" i="87" s="1"/>
  <c r="I15" i="87" s="1"/>
  <c r="J15" i="87" s="1"/>
  <c r="K15" i="87" s="1"/>
  <c r="L15" i="87" s="1"/>
  <c r="R15" i="87" s="1"/>
  <c r="T45" i="108"/>
  <c r="W51" i="113"/>
  <c r="F9" i="101"/>
  <c r="Q51" i="95"/>
  <c r="F45" i="104"/>
  <c r="F34" i="80"/>
  <c r="G14" i="109"/>
  <c r="B8" i="91"/>
  <c r="D8" i="91"/>
  <c r="T8" i="91" s="1"/>
  <c r="D14" i="91"/>
  <c r="B14" i="91"/>
  <c r="D16" i="91"/>
  <c r="B16" i="91"/>
  <c r="F15" i="89"/>
  <c r="R8" i="89"/>
  <c r="S22" i="89" s="1"/>
  <c r="N8" i="112"/>
  <c r="T21" i="100"/>
  <c r="M27" i="113"/>
  <c r="M63" i="113" s="1"/>
  <c r="M39" i="113"/>
  <c r="T21" i="101"/>
  <c r="N27" i="113"/>
  <c r="N63" i="113" s="1"/>
  <c r="N39" i="113"/>
  <c r="F9" i="89"/>
  <c r="W9" i="89" s="1"/>
  <c r="F33" i="111"/>
  <c r="Z39" i="95"/>
  <c r="G13" i="100"/>
  <c r="F21" i="102"/>
  <c r="O39" i="95"/>
  <c r="O27" i="95"/>
  <c r="H14" i="88"/>
  <c r="I14" i="88" s="1"/>
  <c r="J14" i="88" s="1"/>
  <c r="S14" i="88" s="1"/>
  <c r="F14" i="105"/>
  <c r="G14" i="105" s="1"/>
  <c r="H14" i="105" s="1"/>
  <c r="I14" i="105" s="1"/>
  <c r="J14" i="105" s="1"/>
  <c r="K14" i="105" s="1"/>
  <c r="AA55" i="113"/>
  <c r="AA31" i="113"/>
  <c r="F14" i="104"/>
  <c r="G14" i="104" s="1"/>
  <c r="H14" i="104" s="1"/>
  <c r="I14" i="104" s="1"/>
  <c r="J14" i="104" s="1"/>
  <c r="K14" i="104" s="1"/>
  <c r="F45" i="106"/>
  <c r="S51" i="95"/>
  <c r="C15" i="95"/>
  <c r="C15" i="113"/>
  <c r="S21" i="87"/>
  <c r="U21" i="87" s="1"/>
  <c r="S45" i="87"/>
  <c r="U45" i="87" s="1"/>
  <c r="S33" i="87"/>
  <c r="U33" i="87" s="1"/>
  <c r="E33" i="87"/>
  <c r="G33" i="87" s="1"/>
  <c r="E21" i="87"/>
  <c r="G21" i="87" s="1"/>
  <c r="E45" i="87"/>
  <c r="G45" i="87" s="1"/>
  <c r="G15" i="93"/>
  <c r="H15" i="93" s="1"/>
  <c r="I15" i="93" s="1"/>
  <c r="J15" i="93" s="1"/>
  <c r="K15" i="93" s="1"/>
  <c r="T15" i="93" s="1"/>
  <c r="R12" i="102"/>
  <c r="S26" i="102" s="1"/>
  <c r="N12" i="102"/>
  <c r="T33" i="110"/>
  <c r="Y39" i="113"/>
  <c r="Y18" i="113"/>
  <c r="S36" i="110"/>
  <c r="Y18" i="95"/>
  <c r="E36" i="110"/>
  <c r="E24" i="110"/>
  <c r="E48" i="110"/>
  <c r="S48" i="110"/>
  <c r="T45" i="99"/>
  <c r="U51" i="113"/>
  <c r="T45" i="89"/>
  <c r="L51" i="113"/>
  <c r="R15" i="109"/>
  <c r="S29" i="109" s="1"/>
  <c r="N15" i="109"/>
  <c r="W18" i="113"/>
  <c r="S36" i="108"/>
  <c r="E24" i="108"/>
  <c r="E48" i="108"/>
  <c r="E36" i="108"/>
  <c r="W18" i="95"/>
  <c r="S48" i="108"/>
  <c r="T45" i="104"/>
  <c r="Q51" i="113"/>
  <c r="F11" i="110"/>
  <c r="F46" i="80"/>
  <c r="T22" i="93"/>
  <c r="H28" i="113"/>
  <c r="T25" i="97" s="1"/>
  <c r="B11" i="91"/>
  <c r="D11" i="91"/>
  <c r="R8" i="103"/>
  <c r="S22" i="103" s="1"/>
  <c r="X16" i="95"/>
  <c r="X16" i="113"/>
  <c r="S34" i="109"/>
  <c r="E34" i="109"/>
  <c r="E46" i="109"/>
  <c r="E22" i="109"/>
  <c r="G22" i="109" s="1"/>
  <c r="S46" i="109"/>
  <c r="T21" i="105"/>
  <c r="R27" i="113"/>
  <c r="R63" i="113" s="1"/>
  <c r="R39" i="113"/>
  <c r="W8" i="107"/>
  <c r="V8" i="107" s="1"/>
  <c r="E9" i="87"/>
  <c r="T9" i="87" s="1"/>
  <c r="F45" i="111"/>
  <c r="Z51" i="95"/>
  <c r="G11" i="111"/>
  <c r="T11" i="111" s="1"/>
  <c r="F14" i="110"/>
  <c r="F45" i="107"/>
  <c r="V51" i="95"/>
  <c r="G12" i="100"/>
  <c r="T21" i="103"/>
  <c r="P39" i="113"/>
  <c r="P27" i="113"/>
  <c r="P63" i="113" s="1"/>
  <c r="E16" i="94"/>
  <c r="X30" i="113"/>
  <c r="R11" i="100"/>
  <c r="S25" i="100" s="1"/>
  <c r="N11" i="100"/>
  <c r="T33" i="109"/>
  <c r="X39" i="113"/>
  <c r="F21" i="106"/>
  <c r="S39" i="95"/>
  <c r="S27" i="95"/>
  <c r="T21" i="110"/>
  <c r="Y27" i="113"/>
  <c r="Y63" i="113" s="1"/>
  <c r="E54" i="111"/>
  <c r="Z24" i="113"/>
  <c r="E30" i="111"/>
  <c r="Z24" i="95"/>
  <c r="E42" i="111"/>
  <c r="S54" i="111"/>
  <c r="S42" i="111"/>
  <c r="T34" i="80"/>
  <c r="B40" i="113"/>
  <c r="R9" i="109"/>
  <c r="S23" i="109" s="1"/>
  <c r="N9" i="109"/>
  <c r="T21" i="112"/>
  <c r="AA51" i="113"/>
  <c r="AA27" i="113"/>
  <c r="AA63" i="113" s="1"/>
  <c r="R12" i="110"/>
  <c r="S26" i="110" s="1"/>
  <c r="N12" i="110"/>
  <c r="T21" i="89"/>
  <c r="L27" i="113"/>
  <c r="L63" i="113" s="1"/>
  <c r="L39" i="113"/>
  <c r="F33" i="108"/>
  <c r="W39" i="95"/>
  <c r="W9" i="103"/>
  <c r="T21" i="104"/>
  <c r="Q27" i="113"/>
  <c r="Q63" i="113" s="1"/>
  <c r="Q39" i="113"/>
  <c r="F16" i="110"/>
  <c r="B9" i="91"/>
  <c r="D9" i="91"/>
  <c r="F15" i="112"/>
  <c r="G13" i="93"/>
  <c r="Z34" i="113"/>
  <c r="N8" i="109"/>
  <c r="N8" i="103"/>
  <c r="V36" i="113"/>
  <c r="V16" i="95"/>
  <c r="V16" i="113"/>
  <c r="S34" i="107"/>
  <c r="T34" i="107" s="1"/>
  <c r="E34" i="107"/>
  <c r="F34" i="107" s="1"/>
  <c r="E46" i="107"/>
  <c r="F46" i="107" s="1"/>
  <c r="E22" i="107"/>
  <c r="G22" i="107" s="1"/>
  <c r="S46" i="107"/>
  <c r="T46" i="107" s="1"/>
  <c r="T45" i="101"/>
  <c r="N51" i="113"/>
  <c r="F21" i="111"/>
  <c r="Z27" i="95"/>
  <c r="Z17" i="113"/>
  <c r="S35" i="111"/>
  <c r="E47" i="111"/>
  <c r="Z17" i="95"/>
  <c r="E23" i="111"/>
  <c r="E35" i="111"/>
  <c r="S47" i="111"/>
  <c r="O22" i="113"/>
  <c r="S40" i="102"/>
  <c r="O22" i="95"/>
  <c r="E28" i="102"/>
  <c r="E52" i="102"/>
  <c r="E40" i="102"/>
  <c r="S52" i="102"/>
  <c r="G16" i="102"/>
  <c r="H16" i="102" s="1"/>
  <c r="I16" i="102" s="1"/>
  <c r="J16" i="102" s="1"/>
  <c r="K16" i="102" s="1"/>
  <c r="L16" i="102" s="1"/>
  <c r="M16" i="102" s="1"/>
  <c r="F21" i="107"/>
  <c r="V27" i="95"/>
  <c r="F45" i="102"/>
  <c r="O51" i="95"/>
  <c r="E16" i="87"/>
  <c r="F16" i="87" s="1"/>
  <c r="G16" i="87" s="1"/>
  <c r="H16" i="87" s="1"/>
  <c r="I16" i="87" s="1"/>
  <c r="J16" i="87" s="1"/>
  <c r="K16" i="87" s="1"/>
  <c r="L16" i="87" s="1"/>
  <c r="M16" i="87" s="1"/>
  <c r="N16" i="87" s="1"/>
  <c r="N12" i="104"/>
  <c r="F9" i="110"/>
  <c r="D7" i="92"/>
  <c r="C14" i="92"/>
  <c r="C16" i="92"/>
  <c r="C12" i="92"/>
  <c r="C10" i="92"/>
  <c r="C13" i="92"/>
  <c r="C9" i="92"/>
  <c r="C11" i="92"/>
  <c r="C15" i="92"/>
  <c r="C8" i="92"/>
  <c r="G10" i="107"/>
  <c r="U17" i="113"/>
  <c r="S35" i="99"/>
  <c r="E35" i="99"/>
  <c r="E23" i="99"/>
  <c r="U17" i="95"/>
  <c r="E47" i="99"/>
  <c r="S47" i="99"/>
  <c r="E12" i="87"/>
  <c r="F45" i="99"/>
  <c r="U51" i="95"/>
  <c r="W14" i="101"/>
  <c r="E15" i="94"/>
  <c r="G16" i="100"/>
  <c r="Q24" i="97"/>
  <c r="Q44" i="97" s="1"/>
  <c r="E63" i="113"/>
  <c r="Q34" i="97" s="1"/>
  <c r="W14" i="100"/>
  <c r="F45" i="108"/>
  <c r="W51" i="95"/>
  <c r="E14" i="94"/>
  <c r="N9" i="103"/>
  <c r="R9" i="103"/>
  <c r="S23" i="103" s="1"/>
  <c r="G14" i="107"/>
  <c r="F9" i="105"/>
  <c r="T22" i="80"/>
  <c r="I15" i="95"/>
  <c r="I15" i="113"/>
  <c r="S33" i="94"/>
  <c r="U33" i="94" s="1"/>
  <c r="S45" i="94"/>
  <c r="U45" i="94" s="1"/>
  <c r="E33" i="94"/>
  <c r="G33" i="94" s="1"/>
  <c r="E45" i="94"/>
  <c r="G45" i="94" s="1"/>
  <c r="E21" i="94"/>
  <c r="G21" i="94" s="1"/>
  <c r="W9" i="100"/>
  <c r="W8" i="101"/>
  <c r="E9" i="94"/>
  <c r="S9" i="94" s="1"/>
  <c r="F33" i="107"/>
  <c r="V39" i="95"/>
  <c r="T45" i="103"/>
  <c r="P51" i="113"/>
  <c r="P31" i="113"/>
  <c r="P43" i="113"/>
  <c r="F16" i="112"/>
  <c r="T45" i="102"/>
  <c r="O51" i="113"/>
  <c r="G10" i="106"/>
  <c r="X27" i="95"/>
  <c r="F21" i="109"/>
  <c r="S51" i="113"/>
  <c r="T45" i="106"/>
  <c r="T45" i="110"/>
  <c r="Y51" i="113"/>
  <c r="G14" i="103"/>
  <c r="F21" i="99"/>
  <c r="U39" i="95"/>
  <c r="U27" i="95"/>
  <c r="N10" i="110"/>
  <c r="F11" i="99"/>
  <c r="G12" i="93"/>
  <c r="F21" i="108"/>
  <c r="W27" i="95"/>
  <c r="E12" i="94"/>
  <c r="F22" i="80"/>
  <c r="D15" i="91"/>
  <c r="B15" i="91"/>
  <c r="E14" i="87"/>
  <c r="N9" i="100"/>
  <c r="R9" i="100"/>
  <c r="S23" i="100" s="1"/>
  <c r="N13" i="89"/>
  <c r="R13" i="89"/>
  <c r="S27" i="89" s="1"/>
  <c r="N16" i="95"/>
  <c r="N16" i="113"/>
  <c r="S34" i="101"/>
  <c r="E46" i="101"/>
  <c r="E34" i="101"/>
  <c r="E22" i="101"/>
  <c r="S46" i="101"/>
  <c r="W9" i="109"/>
  <c r="Q42" i="113"/>
  <c r="Q30" i="113"/>
  <c r="W11" i="100"/>
  <c r="T45" i="111"/>
  <c r="Z51" i="113"/>
  <c r="E10" i="87"/>
  <c r="D16" i="113"/>
  <c r="S34" i="88"/>
  <c r="U34" i="88" s="1"/>
  <c r="S22" i="88"/>
  <c r="U22" i="88" s="1"/>
  <c r="E46" i="88"/>
  <c r="G46" i="88" s="1"/>
  <c r="E34" i="88"/>
  <c r="G34" i="88" s="1"/>
  <c r="D16" i="95"/>
  <c r="D30" i="32" s="1"/>
  <c r="E22" i="88"/>
  <c r="G22" i="88" s="1"/>
  <c r="S46" i="88"/>
  <c r="U46" i="88" s="1"/>
  <c r="F45" i="105"/>
  <c r="R51" i="95"/>
  <c r="F45" i="101"/>
  <c r="N51" i="95"/>
  <c r="T21" i="111"/>
  <c r="Z27" i="113"/>
  <c r="Z63" i="113" s="1"/>
  <c r="N10" i="112"/>
  <c r="G15" i="111"/>
  <c r="E11" i="87"/>
  <c r="T45" i="107"/>
  <c r="V51" i="113"/>
  <c r="W15" i="101"/>
  <c r="I3" i="95"/>
  <c r="U8" i="97" s="1"/>
  <c r="I3" i="113"/>
  <c r="V7" i="94"/>
  <c r="T21" i="102"/>
  <c r="O39" i="113"/>
  <c r="O27" i="113"/>
  <c r="O63" i="113" s="1"/>
  <c r="W8" i="105"/>
  <c r="F11" i="105"/>
  <c r="E11" i="94"/>
  <c r="P24" i="97"/>
  <c r="P44" i="97" s="1"/>
  <c r="D63" i="113"/>
  <c r="P34" i="97" s="1"/>
  <c r="F45" i="109"/>
  <c r="X51" i="95"/>
  <c r="T21" i="106"/>
  <c r="S27" i="113"/>
  <c r="S63" i="113" s="1"/>
  <c r="S39" i="113"/>
  <c r="F13" i="102"/>
  <c r="E13" i="87"/>
  <c r="H15" i="88"/>
  <c r="T33" i="108"/>
  <c r="W39" i="113"/>
  <c r="G14" i="93"/>
  <c r="F10" i="101"/>
  <c r="T10" i="101" s="1"/>
  <c r="F15" i="110"/>
  <c r="W7" i="91"/>
  <c r="R7" i="91"/>
  <c r="N7" i="91"/>
  <c r="N24" i="97"/>
  <c r="N44" i="97" s="1"/>
  <c r="B63" i="113"/>
  <c r="N34" i="97" s="1"/>
  <c r="F21" i="100"/>
  <c r="M39" i="95"/>
  <c r="M27" i="95"/>
  <c r="N8" i="111"/>
  <c r="R33" i="113"/>
  <c r="R45" i="113"/>
  <c r="W15" i="109"/>
  <c r="V4" i="113"/>
  <c r="V4" i="95"/>
  <c r="F21" i="105"/>
  <c r="R39" i="95"/>
  <c r="R27" i="95"/>
  <c r="R20" i="113"/>
  <c r="E38" i="105"/>
  <c r="S38" i="105"/>
  <c r="R20" i="95"/>
  <c r="E50" i="105"/>
  <c r="E26" i="105"/>
  <c r="S50" i="105"/>
  <c r="F13" i="110"/>
  <c r="T21" i="107"/>
  <c r="V27" i="113"/>
  <c r="V63" i="113" s="1"/>
  <c r="B23" i="113"/>
  <c r="E29" i="80"/>
  <c r="S41" i="80"/>
  <c r="E53" i="80"/>
  <c r="B23" i="95"/>
  <c r="S53" i="80"/>
  <c r="E41" i="80"/>
  <c r="S29" i="80"/>
  <c r="W34" i="113"/>
  <c r="N15" i="101"/>
  <c r="R15" i="101"/>
  <c r="S29" i="101" s="1"/>
  <c r="W10" i="88"/>
  <c r="X39" i="95"/>
  <c r="F33" i="109"/>
  <c r="W11" i="101"/>
  <c r="G16" i="101"/>
  <c r="F45" i="110"/>
  <c r="Y51" i="95"/>
  <c r="B21" i="113"/>
  <c r="S51" i="80"/>
  <c r="S39" i="80"/>
  <c r="E27" i="80"/>
  <c r="E51" i="80"/>
  <c r="B21" i="95"/>
  <c r="E39" i="80"/>
  <c r="S27" i="80"/>
  <c r="N16" i="103"/>
  <c r="R16" i="103"/>
  <c r="S30" i="103" s="1"/>
  <c r="F9" i="112"/>
  <c r="X33" i="113"/>
  <c r="N11" i="101"/>
  <c r="E10" i="94"/>
  <c r="F21" i="112"/>
  <c r="AA51" i="95"/>
  <c r="AA27" i="95"/>
  <c r="F45" i="89"/>
  <c r="L51" i="95"/>
  <c r="T21" i="108"/>
  <c r="W27" i="113"/>
  <c r="W63" i="113" s="1"/>
  <c r="Q39" i="95"/>
  <c r="Q27" i="95"/>
  <c r="F21" i="104"/>
  <c r="T46" i="80"/>
  <c r="B12" i="91"/>
  <c r="D12" i="91"/>
  <c r="H16" i="88"/>
  <c r="F45" i="100"/>
  <c r="M51" i="95"/>
  <c r="E8" i="87"/>
  <c r="R8" i="87" s="1"/>
  <c r="U8" i="115" l="1"/>
  <c r="W15" i="108"/>
  <c r="E53" i="99"/>
  <c r="U23" i="113"/>
  <c r="S52" i="101"/>
  <c r="N58" i="113" s="1"/>
  <c r="E52" i="101"/>
  <c r="W15" i="104"/>
  <c r="N15" i="99"/>
  <c r="W14" i="106"/>
  <c r="W10" i="118"/>
  <c r="W13" i="104"/>
  <c r="R16" i="104"/>
  <c r="S30" i="104" s="1"/>
  <c r="G10" i="89"/>
  <c r="W10" i="89" s="1"/>
  <c r="E29" i="99"/>
  <c r="N14" i="101"/>
  <c r="E40" i="101"/>
  <c r="N22" i="95"/>
  <c r="R12" i="89"/>
  <c r="S26" i="89" s="1"/>
  <c r="W12" i="89"/>
  <c r="R10" i="118"/>
  <c r="S36" i="118" s="1"/>
  <c r="R16" i="117"/>
  <c r="E30" i="117" s="1"/>
  <c r="W11" i="119"/>
  <c r="R13" i="104"/>
  <c r="S27" i="104" s="1"/>
  <c r="Q45" i="113" s="1"/>
  <c r="W10" i="93"/>
  <c r="S14" i="119"/>
  <c r="T10" i="110"/>
  <c r="T14" i="111"/>
  <c r="S16" i="119"/>
  <c r="T15" i="108"/>
  <c r="T13" i="108"/>
  <c r="S15" i="104"/>
  <c r="S14" i="106"/>
  <c r="S12" i="89"/>
  <c r="W15" i="99"/>
  <c r="S41" i="99"/>
  <c r="U23" i="95"/>
  <c r="S40" i="101"/>
  <c r="N22" i="113"/>
  <c r="R14" i="106"/>
  <c r="S28" i="106" s="1"/>
  <c r="S46" i="113" s="1"/>
  <c r="W16" i="117"/>
  <c r="I12" i="120"/>
  <c r="N12" i="120" s="1"/>
  <c r="R11" i="119"/>
  <c r="S25" i="119" s="1"/>
  <c r="S12" i="120"/>
  <c r="S15" i="106"/>
  <c r="T11" i="119"/>
  <c r="S15" i="108"/>
  <c r="S16" i="104"/>
  <c r="T15" i="104"/>
  <c r="T14" i="106"/>
  <c r="T12" i="89"/>
  <c r="E50" i="80"/>
  <c r="B56" i="95" s="1"/>
  <c r="B20" i="113"/>
  <c r="B20" i="95"/>
  <c r="E38" i="80"/>
  <c r="B44" i="95" s="1"/>
  <c r="S38" i="80"/>
  <c r="B44" i="113" s="1"/>
  <c r="E26" i="80"/>
  <c r="B32" i="95" s="1"/>
  <c r="S26" i="80"/>
  <c r="B32" i="113" s="1"/>
  <c r="S50" i="80"/>
  <c r="B56" i="113" s="1"/>
  <c r="S13" i="104"/>
  <c r="S14" i="108"/>
  <c r="T11" i="100"/>
  <c r="S13" i="109"/>
  <c r="T10" i="89"/>
  <c r="S10" i="104"/>
  <c r="T14" i="119"/>
  <c r="T16" i="117"/>
  <c r="T9" i="94"/>
  <c r="S15" i="87"/>
  <c r="S14" i="112"/>
  <c r="S16" i="102"/>
  <c r="S10" i="106"/>
  <c r="T15" i="106"/>
  <c r="T12" i="106"/>
  <c r="S10" i="118"/>
  <c r="S16" i="89"/>
  <c r="T11" i="106"/>
  <c r="S13" i="119"/>
  <c r="T14" i="117"/>
  <c r="S15" i="121"/>
  <c r="T16" i="119"/>
  <c r="T12" i="110"/>
  <c r="S13" i="94"/>
  <c r="T16" i="99"/>
  <c r="S15" i="90"/>
  <c r="S16" i="90"/>
  <c r="S13" i="108"/>
  <c r="S10" i="102"/>
  <c r="T16" i="108"/>
  <c r="S12" i="108"/>
  <c r="S15" i="102"/>
  <c r="S12" i="117"/>
  <c r="T11" i="121"/>
  <c r="T15" i="99"/>
  <c r="T14" i="100"/>
  <c r="T14" i="105"/>
  <c r="S16" i="109"/>
  <c r="T11" i="107"/>
  <c r="S13" i="89"/>
  <c r="T9" i="115"/>
  <c r="S10" i="101"/>
  <c r="T14" i="101"/>
  <c r="S12" i="102"/>
  <c r="S15" i="101"/>
  <c r="T14" i="116"/>
  <c r="T15" i="87"/>
  <c r="T16" i="102"/>
  <c r="H12" i="116"/>
  <c r="T14" i="108"/>
  <c r="T13" i="109"/>
  <c r="S9" i="87"/>
  <c r="S12" i="106"/>
  <c r="S10" i="100"/>
  <c r="T16" i="89"/>
  <c r="S16" i="120"/>
  <c r="T13" i="94"/>
  <c r="T12" i="108"/>
  <c r="T15" i="102"/>
  <c r="S11" i="120"/>
  <c r="S14" i="104"/>
  <c r="T14" i="88"/>
  <c r="S13" i="106"/>
  <c r="S11" i="109"/>
  <c r="S12" i="119"/>
  <c r="T16" i="109"/>
  <c r="S12" i="107"/>
  <c r="S11" i="117"/>
  <c r="T15" i="101"/>
  <c r="T11" i="89"/>
  <c r="T12" i="112"/>
  <c r="T13" i="88"/>
  <c r="S12" i="112"/>
  <c r="S13" i="99"/>
  <c r="S10" i="105"/>
  <c r="S15" i="93"/>
  <c r="S11" i="89"/>
  <c r="T10" i="100"/>
  <c r="T10" i="117"/>
  <c r="U10" i="117" s="1"/>
  <c r="S10" i="99"/>
  <c r="T13" i="107"/>
  <c r="T12" i="115"/>
  <c r="S8" i="91"/>
  <c r="U8" i="91" s="1"/>
  <c r="T14" i="104"/>
  <c r="T16" i="87"/>
  <c r="S11" i="111"/>
  <c r="T12" i="107"/>
  <c r="T11" i="117"/>
  <c r="T12" i="119"/>
  <c r="T13" i="104"/>
  <c r="T15" i="100"/>
  <c r="S11" i="100"/>
  <c r="S10" i="112"/>
  <c r="T10" i="104"/>
  <c r="T15" i="109"/>
  <c r="S16" i="117"/>
  <c r="T13" i="99"/>
  <c r="T14" i="112"/>
  <c r="S14" i="111"/>
  <c r="S15" i="80"/>
  <c r="T11" i="80"/>
  <c r="T10" i="118"/>
  <c r="H11" i="93"/>
  <c r="T11" i="93"/>
  <c r="S11" i="106"/>
  <c r="T13" i="119"/>
  <c r="S14" i="117"/>
  <c r="S11" i="119"/>
  <c r="T11" i="101"/>
  <c r="S16" i="99"/>
  <c r="S10" i="119"/>
  <c r="T16" i="104"/>
  <c r="S16" i="108"/>
  <c r="T13" i="105"/>
  <c r="S13" i="107"/>
  <c r="S12" i="115"/>
  <c r="S15" i="99"/>
  <c r="S14" i="100"/>
  <c r="S14" i="105"/>
  <c r="S16" i="87"/>
  <c r="T13" i="89"/>
  <c r="T16" i="80"/>
  <c r="S14" i="101"/>
  <c r="T16" i="106"/>
  <c r="T12" i="102"/>
  <c r="T13" i="106"/>
  <c r="E34" i="100"/>
  <c r="G34" i="100" s="1"/>
  <c r="M16" i="95"/>
  <c r="E46" i="100"/>
  <c r="S46" i="100"/>
  <c r="T46" i="100" s="1"/>
  <c r="S34" i="100"/>
  <c r="T34" i="100" s="1"/>
  <c r="T10" i="97"/>
  <c r="H26" i="32"/>
  <c r="T15" i="97"/>
  <c r="H31" i="32"/>
  <c r="T14" i="97"/>
  <c r="H30" i="32"/>
  <c r="T19" i="97"/>
  <c r="H35" i="32"/>
  <c r="T9" i="97"/>
  <c r="H25" i="32"/>
  <c r="P15" i="97"/>
  <c r="D31" i="32"/>
  <c r="N9" i="97"/>
  <c r="B25" i="32"/>
  <c r="Q19" i="97"/>
  <c r="E35" i="32"/>
  <c r="P9" i="97"/>
  <c r="D25" i="32"/>
  <c r="N16" i="97"/>
  <c r="B32" i="32"/>
  <c r="Q14" i="97"/>
  <c r="E30" i="32"/>
  <c r="N19" i="97"/>
  <c r="B35" i="32"/>
  <c r="N21" i="97"/>
  <c r="B37" i="32"/>
  <c r="Q9" i="97"/>
  <c r="Q39" i="97" s="1"/>
  <c r="E25" i="32"/>
  <c r="E46" i="110"/>
  <c r="Y52" i="95" s="1"/>
  <c r="S54" i="108"/>
  <c r="W60" i="113" s="1"/>
  <c r="E28" i="80"/>
  <c r="S16" i="95"/>
  <c r="N12" i="107"/>
  <c r="E25" i="88"/>
  <c r="D31" i="95" s="1"/>
  <c r="S35" i="117"/>
  <c r="U35" i="117" s="1"/>
  <c r="U47" i="120"/>
  <c r="X20" i="95"/>
  <c r="Q43" i="113"/>
  <c r="R9" i="104"/>
  <c r="S23" i="104" s="1"/>
  <c r="P20" i="113"/>
  <c r="H18" i="95"/>
  <c r="U22" i="103"/>
  <c r="H18" i="113"/>
  <c r="S50" i="109"/>
  <c r="X56" i="113" s="1"/>
  <c r="X20" i="113"/>
  <c r="Q19" i="113"/>
  <c r="E38" i="109"/>
  <c r="X44" i="95" s="1"/>
  <c r="E27" i="104"/>
  <c r="Q45" i="95" s="1"/>
  <c r="S36" i="103"/>
  <c r="E48" i="103"/>
  <c r="P54" i="95" s="1"/>
  <c r="P42" i="113"/>
  <c r="E50" i="109"/>
  <c r="X56" i="95" s="1"/>
  <c r="E37" i="104"/>
  <c r="F23" i="120"/>
  <c r="E36" i="93"/>
  <c r="H42" i="95" s="1"/>
  <c r="N9" i="104"/>
  <c r="E50" i="103"/>
  <c r="P56" i="95" s="1"/>
  <c r="Q33" i="113"/>
  <c r="E24" i="93"/>
  <c r="H30" i="95" s="1"/>
  <c r="S36" i="93"/>
  <c r="H42" i="113" s="1"/>
  <c r="S38" i="103"/>
  <c r="Q21" i="95"/>
  <c r="S37" i="104"/>
  <c r="E36" i="103"/>
  <c r="P18" i="113"/>
  <c r="E51" i="104"/>
  <c r="Q57" i="95" s="1"/>
  <c r="S49" i="104"/>
  <c r="Q55" i="113" s="1"/>
  <c r="F47" i="120"/>
  <c r="P18" i="95"/>
  <c r="R9" i="108"/>
  <c r="S23" i="108" s="1"/>
  <c r="N9" i="108"/>
  <c r="E48" i="93"/>
  <c r="H54" i="95" s="1"/>
  <c r="S48" i="93"/>
  <c r="H54" i="113" s="1"/>
  <c r="P20" i="95"/>
  <c r="Q21" i="113"/>
  <c r="S51" i="104"/>
  <c r="Q57" i="113" s="1"/>
  <c r="Q19" i="95"/>
  <c r="E25" i="104"/>
  <c r="Q31" i="95" s="1"/>
  <c r="S48" i="103"/>
  <c r="P54" i="113" s="1"/>
  <c r="E34" i="110"/>
  <c r="F34" i="110" s="1"/>
  <c r="Y16" i="95"/>
  <c r="S46" i="110"/>
  <c r="U46" i="110" s="1"/>
  <c r="S34" i="110"/>
  <c r="U34" i="110" s="1"/>
  <c r="E22" i="110"/>
  <c r="F22" i="110" s="1"/>
  <c r="Y16" i="113"/>
  <c r="E47" i="80"/>
  <c r="G47" i="80" s="1"/>
  <c r="W13" i="106"/>
  <c r="V8" i="112"/>
  <c r="O42" i="113"/>
  <c r="E36" i="102"/>
  <c r="N13" i="106"/>
  <c r="W24" i="95"/>
  <c r="F35" i="120"/>
  <c r="R16" i="121"/>
  <c r="E30" i="121" s="1"/>
  <c r="U35" i="120"/>
  <c r="S28" i="80"/>
  <c r="B34" i="113" s="1"/>
  <c r="E34" i="106"/>
  <c r="F34" i="106" s="1"/>
  <c r="E26" i="109"/>
  <c r="X32" i="95" s="1"/>
  <c r="S38" i="109"/>
  <c r="X44" i="113" s="1"/>
  <c r="S49" i="88"/>
  <c r="D55" i="113" s="1"/>
  <c r="E48" i="102"/>
  <c r="O54" i="95" s="1"/>
  <c r="E25" i="107"/>
  <c r="V31" i="95" s="1"/>
  <c r="S39" i="104"/>
  <c r="E39" i="104"/>
  <c r="E54" i="108"/>
  <c r="W60" i="95" s="1"/>
  <c r="E49" i="104"/>
  <c r="Q55" i="95" s="1"/>
  <c r="R10" i="120"/>
  <c r="E48" i="120" s="1"/>
  <c r="N15" i="121"/>
  <c r="F46" i="120"/>
  <c r="E24" i="103"/>
  <c r="P42" i="95" s="1"/>
  <c r="U9" i="101"/>
  <c r="N5" i="95" s="1"/>
  <c r="S23" i="80"/>
  <c r="U23" i="80" s="1"/>
  <c r="U22" i="105"/>
  <c r="V8" i="105"/>
  <c r="O18" i="113"/>
  <c r="O18" i="95"/>
  <c r="S48" i="102"/>
  <c r="O54" i="113" s="1"/>
  <c r="E24" i="102"/>
  <c r="O42" i="95" s="1"/>
  <c r="E52" i="106"/>
  <c r="S58" i="95" s="1"/>
  <c r="S22" i="113"/>
  <c r="S49" i="119"/>
  <c r="S36" i="102"/>
  <c r="S25" i="90"/>
  <c r="S48" i="118"/>
  <c r="E49" i="119"/>
  <c r="S42" i="117"/>
  <c r="R4" i="95"/>
  <c r="E35" i="80"/>
  <c r="G35" i="80" s="1"/>
  <c r="S47" i="80"/>
  <c r="T47" i="80" s="1"/>
  <c r="V8" i="104"/>
  <c r="R9" i="107"/>
  <c r="S23" i="107" s="1"/>
  <c r="U23" i="107" s="1"/>
  <c r="S35" i="106"/>
  <c r="E36" i="118"/>
  <c r="U10" i="93"/>
  <c r="H6" i="95" s="1"/>
  <c r="B17" i="95"/>
  <c r="S35" i="80"/>
  <c r="T35" i="80" s="1"/>
  <c r="Q4" i="95"/>
  <c r="W21" i="113"/>
  <c r="E23" i="80"/>
  <c r="F23" i="80" s="1"/>
  <c r="G22" i="104"/>
  <c r="E35" i="106"/>
  <c r="E27" i="108"/>
  <c r="W33" i="95" s="1"/>
  <c r="S47" i="106"/>
  <c r="S53" i="113" s="1"/>
  <c r="S39" i="108"/>
  <c r="W45" i="113" s="1"/>
  <c r="S51" i="108"/>
  <c r="W57" i="113" s="1"/>
  <c r="N10" i="120"/>
  <c r="U9" i="89"/>
  <c r="U10" i="89" s="1"/>
  <c r="L6" i="113" s="1"/>
  <c r="W9" i="107"/>
  <c r="V9" i="107" s="1"/>
  <c r="S41" i="113"/>
  <c r="E23" i="106"/>
  <c r="S29" i="95" s="1"/>
  <c r="W21" i="95"/>
  <c r="F46" i="118"/>
  <c r="U9" i="109"/>
  <c r="X5" i="113" s="1"/>
  <c r="E47" i="106"/>
  <c r="S53" i="95" s="1"/>
  <c r="S17" i="113"/>
  <c r="S17" i="95"/>
  <c r="E39" i="108"/>
  <c r="W45" i="95" s="1"/>
  <c r="E51" i="108"/>
  <c r="W57" i="95" s="1"/>
  <c r="U10" i="120"/>
  <c r="V10" i="120" s="1"/>
  <c r="E40" i="80"/>
  <c r="B46" i="95" s="1"/>
  <c r="E49" i="88"/>
  <c r="D55" i="95" s="1"/>
  <c r="S37" i="88"/>
  <c r="W10" i="121"/>
  <c r="E37" i="119"/>
  <c r="R33" i="95"/>
  <c r="R14" i="90"/>
  <c r="S28" i="90" s="1"/>
  <c r="R15" i="90"/>
  <c r="E53" i="90" s="1"/>
  <c r="S52" i="80"/>
  <c r="B58" i="113" s="1"/>
  <c r="B22" i="95"/>
  <c r="S46" i="106"/>
  <c r="U46" i="106" s="1"/>
  <c r="S34" i="106"/>
  <c r="T34" i="106" s="1"/>
  <c r="W12" i="107"/>
  <c r="N10" i="90"/>
  <c r="E38" i="103"/>
  <c r="D19" i="95"/>
  <c r="S25" i="88"/>
  <c r="D31" i="113" s="1"/>
  <c r="E25" i="90"/>
  <c r="E31" i="95" s="1"/>
  <c r="E29" i="100"/>
  <c r="M47" i="95" s="1"/>
  <c r="S42" i="108"/>
  <c r="W48" i="113" s="1"/>
  <c r="E30" i="108"/>
  <c r="W36" i="95" s="1"/>
  <c r="W11" i="88"/>
  <c r="T22" i="120"/>
  <c r="S37" i="119"/>
  <c r="N10" i="121"/>
  <c r="AA55" i="95"/>
  <c r="E52" i="80"/>
  <c r="B58" i="95" s="1"/>
  <c r="E46" i="106"/>
  <c r="F46" i="106" s="1"/>
  <c r="W19" i="95"/>
  <c r="E37" i="107"/>
  <c r="V43" i="95" s="1"/>
  <c r="S40" i="80"/>
  <c r="B46" i="113" s="1"/>
  <c r="E22" i="106"/>
  <c r="F22" i="106" s="1"/>
  <c r="S16" i="113"/>
  <c r="R10" i="90"/>
  <c r="S36" i="90" s="1"/>
  <c r="S50" i="103"/>
  <c r="P56" i="113" s="1"/>
  <c r="E26" i="103"/>
  <c r="P44" i="95" s="1"/>
  <c r="M35" i="113"/>
  <c r="E37" i="88"/>
  <c r="W24" i="113"/>
  <c r="E42" i="108"/>
  <c r="W48" i="95" s="1"/>
  <c r="M23" i="95"/>
  <c r="E25" i="119"/>
  <c r="U9" i="108"/>
  <c r="W5" i="95" s="1"/>
  <c r="N11" i="88"/>
  <c r="W10" i="100"/>
  <c r="S23" i="117"/>
  <c r="T23" i="117" s="1"/>
  <c r="E35" i="117"/>
  <c r="F35" i="117" s="1"/>
  <c r="R10" i="100"/>
  <c r="S24" i="100" s="1"/>
  <c r="Q30" i="95"/>
  <c r="N9" i="117"/>
  <c r="W9" i="117"/>
  <c r="V9" i="117" s="1"/>
  <c r="S47" i="117"/>
  <c r="T47" i="117" s="1"/>
  <c r="E23" i="117"/>
  <c r="G23" i="117" s="1"/>
  <c r="N14" i="90"/>
  <c r="M16" i="109"/>
  <c r="N16" i="109" s="1"/>
  <c r="G13" i="101"/>
  <c r="H13" i="101" s="1"/>
  <c r="I13" i="101" s="1"/>
  <c r="T13" i="101" s="1"/>
  <c r="J13" i="119"/>
  <c r="W13" i="119" s="1"/>
  <c r="G13" i="111"/>
  <c r="H13" i="111" s="1"/>
  <c r="I13" i="111" s="1"/>
  <c r="T13" i="111" s="1"/>
  <c r="S41" i="116"/>
  <c r="S29" i="116"/>
  <c r="E29" i="116"/>
  <c r="S53" i="116"/>
  <c r="E53" i="116"/>
  <c r="E41" i="116"/>
  <c r="W15" i="90"/>
  <c r="D5" i="113"/>
  <c r="S49" i="90"/>
  <c r="E55" i="113" s="1"/>
  <c r="S37" i="90"/>
  <c r="E43" i="113" s="1"/>
  <c r="E24" i="118"/>
  <c r="S24" i="118"/>
  <c r="W15" i="121"/>
  <c r="R16" i="90"/>
  <c r="N16" i="90"/>
  <c r="W16" i="90"/>
  <c r="G10" i="117"/>
  <c r="J13" i="88"/>
  <c r="H11" i="120"/>
  <c r="G13" i="118"/>
  <c r="H13" i="118" s="1"/>
  <c r="I13" i="118" s="1"/>
  <c r="T13" i="118" s="1"/>
  <c r="H13" i="100"/>
  <c r="I13" i="100" s="1"/>
  <c r="S13" i="100" s="1"/>
  <c r="V8" i="102"/>
  <c r="E19" i="95"/>
  <c r="E49" i="90"/>
  <c r="E55" i="95" s="1"/>
  <c r="E48" i="118"/>
  <c r="K14" i="116"/>
  <c r="N14" i="116" s="1"/>
  <c r="G13" i="103"/>
  <c r="H13" i="103" s="1"/>
  <c r="I13" i="103" s="1"/>
  <c r="T13" i="103" s="1"/>
  <c r="H11" i="117"/>
  <c r="R11" i="117" s="1"/>
  <c r="I12" i="119"/>
  <c r="R12" i="119" s="1"/>
  <c r="F34" i="120"/>
  <c r="N11" i="116"/>
  <c r="W11" i="116"/>
  <c r="R11" i="116"/>
  <c r="G10" i="119"/>
  <c r="H12" i="90"/>
  <c r="H14" i="103"/>
  <c r="I14" i="103" s="1"/>
  <c r="J14" i="103" s="1"/>
  <c r="T14" i="103" s="1"/>
  <c r="Q43" i="95"/>
  <c r="U7" i="92"/>
  <c r="E19" i="113"/>
  <c r="G15" i="119"/>
  <c r="H15" i="119" s="1"/>
  <c r="I15" i="119" s="1"/>
  <c r="J15" i="119" s="1"/>
  <c r="K15" i="119" s="1"/>
  <c r="S15" i="119" s="1"/>
  <c r="W16" i="121"/>
  <c r="M16" i="120"/>
  <c r="U9" i="87"/>
  <c r="S41" i="100"/>
  <c r="T46" i="118"/>
  <c r="M23" i="113"/>
  <c r="E41" i="100"/>
  <c r="U8" i="94"/>
  <c r="T34" i="120"/>
  <c r="S53" i="100"/>
  <c r="M59" i="113" s="1"/>
  <c r="E53" i="100"/>
  <c r="M59" i="95" s="1"/>
  <c r="U9" i="99"/>
  <c r="U23" i="99" s="1"/>
  <c r="F22" i="118"/>
  <c r="F22" i="120"/>
  <c r="U9" i="105"/>
  <c r="S49" i="108"/>
  <c r="W55" i="113" s="1"/>
  <c r="E25" i="108"/>
  <c r="W31" i="95" s="1"/>
  <c r="V19" i="113"/>
  <c r="E49" i="107"/>
  <c r="V19" i="95"/>
  <c r="U10" i="90"/>
  <c r="U11" i="90" s="1"/>
  <c r="U10" i="107"/>
  <c r="V6" i="113" s="1"/>
  <c r="E49" i="108"/>
  <c r="W55" i="95" s="1"/>
  <c r="S37" i="108"/>
  <c r="W43" i="113" s="1"/>
  <c r="P30" i="95"/>
  <c r="G34" i="112"/>
  <c r="S49" i="107"/>
  <c r="V55" i="113" s="1"/>
  <c r="U22" i="119"/>
  <c r="E37" i="108"/>
  <c r="W43" i="95" s="1"/>
  <c r="W19" i="113"/>
  <c r="AA4" i="95"/>
  <c r="S37" i="107"/>
  <c r="V43" i="113" s="1"/>
  <c r="F34" i="118"/>
  <c r="U9" i="102"/>
  <c r="U10" i="102" s="1"/>
  <c r="T24" i="102" s="1"/>
  <c r="V9" i="90"/>
  <c r="S41" i="105"/>
  <c r="S34" i="113"/>
  <c r="U22" i="102"/>
  <c r="O4" i="113"/>
  <c r="V5" i="113"/>
  <c r="S52" i="106"/>
  <c r="S58" i="113" s="1"/>
  <c r="E28" i="106"/>
  <c r="S40" i="106"/>
  <c r="E5" i="113"/>
  <c r="R23" i="95"/>
  <c r="O4" i="95"/>
  <c r="P4" i="95"/>
  <c r="V8" i="103"/>
  <c r="S22" i="95"/>
  <c r="U9" i="100"/>
  <c r="T22" i="118"/>
  <c r="E5" i="95"/>
  <c r="E40" i="106"/>
  <c r="U9" i="111"/>
  <c r="G23" i="111" s="1"/>
  <c r="T34" i="118"/>
  <c r="V9" i="121"/>
  <c r="U10" i="121"/>
  <c r="U9" i="104"/>
  <c r="U10" i="104" s="1"/>
  <c r="E41" i="105"/>
  <c r="R23" i="113"/>
  <c r="U10" i="80"/>
  <c r="G48" i="80" s="1"/>
  <c r="G34" i="119"/>
  <c r="E53" i="105"/>
  <c r="R59" i="95" s="1"/>
  <c r="U34" i="112"/>
  <c r="U22" i="104"/>
  <c r="U22" i="112"/>
  <c r="U34" i="119"/>
  <c r="U46" i="119"/>
  <c r="S53" i="105"/>
  <c r="R59" i="113" s="1"/>
  <c r="E29" i="105"/>
  <c r="R47" i="95" s="1"/>
  <c r="G22" i="112"/>
  <c r="U9" i="112"/>
  <c r="G46" i="119"/>
  <c r="G22" i="119"/>
  <c r="U9" i="118"/>
  <c r="U10" i="118" s="1"/>
  <c r="U11" i="88"/>
  <c r="D6" i="113"/>
  <c r="D6" i="95"/>
  <c r="T35" i="117"/>
  <c r="F47" i="117"/>
  <c r="V10" i="88"/>
  <c r="G10" i="105"/>
  <c r="W8" i="115"/>
  <c r="V8" i="115" s="1"/>
  <c r="U33" i="115"/>
  <c r="T33" i="115"/>
  <c r="U9" i="119"/>
  <c r="F16" i="115"/>
  <c r="F9" i="115"/>
  <c r="W9" i="115" s="1"/>
  <c r="G16" i="118"/>
  <c r="H16" i="116"/>
  <c r="I16" i="116" s="1"/>
  <c r="J16" i="116" s="1"/>
  <c r="K16" i="116" s="1"/>
  <c r="L16" i="116" s="1"/>
  <c r="T16" i="116" s="1"/>
  <c r="E25" i="118"/>
  <c r="E49" i="118"/>
  <c r="S49" i="118"/>
  <c r="E37" i="118"/>
  <c r="S25" i="118"/>
  <c r="S37" i="118"/>
  <c r="H15" i="120"/>
  <c r="H14" i="107"/>
  <c r="I14" i="107" s="1"/>
  <c r="J14" i="107" s="1"/>
  <c r="S14" i="107" s="1"/>
  <c r="H15" i="107"/>
  <c r="I15" i="107" s="1"/>
  <c r="J15" i="107" s="1"/>
  <c r="K15" i="107" s="1"/>
  <c r="T15" i="107" s="1"/>
  <c r="H12" i="93"/>
  <c r="T12" i="93" s="1"/>
  <c r="G16" i="112"/>
  <c r="F12" i="87"/>
  <c r="G12" i="87" s="1"/>
  <c r="H12" i="87" s="1"/>
  <c r="F15" i="115"/>
  <c r="U21" i="115"/>
  <c r="T21" i="115"/>
  <c r="N9" i="119"/>
  <c r="R9" i="119"/>
  <c r="H14" i="120"/>
  <c r="I14" i="120" s="1"/>
  <c r="J14" i="120" s="1"/>
  <c r="S14" i="120" s="1"/>
  <c r="F10" i="115"/>
  <c r="S10" i="115" s="1"/>
  <c r="N9" i="118"/>
  <c r="R9" i="118"/>
  <c r="W9" i="118"/>
  <c r="F13" i="115"/>
  <c r="R12" i="115"/>
  <c r="U9" i="103"/>
  <c r="U10" i="103" s="1"/>
  <c r="P6" i="113" s="1"/>
  <c r="P66" i="113" s="1"/>
  <c r="E22" i="117"/>
  <c r="S46" i="117"/>
  <c r="E46" i="117"/>
  <c r="E34" i="117"/>
  <c r="S22" i="117"/>
  <c r="S34" i="117"/>
  <c r="U9" i="110"/>
  <c r="U10" i="110" s="1"/>
  <c r="G14" i="118"/>
  <c r="H13" i="121"/>
  <c r="I13" i="121" s="1"/>
  <c r="G13" i="117"/>
  <c r="G21" i="115"/>
  <c r="F21" i="115"/>
  <c r="U45" i="115"/>
  <c r="T45" i="115"/>
  <c r="H11" i="121"/>
  <c r="W12" i="115"/>
  <c r="F11" i="115"/>
  <c r="G11" i="115" s="1"/>
  <c r="T11" i="115" s="1"/>
  <c r="H13" i="116"/>
  <c r="U9" i="106"/>
  <c r="S5" i="113" s="1"/>
  <c r="S65" i="113" s="1"/>
  <c r="S36" i="121"/>
  <c r="S24" i="121"/>
  <c r="S48" i="121"/>
  <c r="E36" i="121"/>
  <c r="E24" i="121"/>
  <c r="E48" i="121"/>
  <c r="S23" i="116"/>
  <c r="U23" i="116" s="1"/>
  <c r="S47" i="116"/>
  <c r="U47" i="116" s="1"/>
  <c r="E23" i="116"/>
  <c r="G23" i="116" s="1"/>
  <c r="E47" i="116"/>
  <c r="G47" i="116" s="1"/>
  <c r="E35" i="116"/>
  <c r="G35" i="116" s="1"/>
  <c r="S35" i="116"/>
  <c r="U35" i="116" s="1"/>
  <c r="W9" i="119"/>
  <c r="G11" i="99"/>
  <c r="S11" i="99" s="1"/>
  <c r="F10" i="87"/>
  <c r="S10" i="87" s="1"/>
  <c r="G33" i="115"/>
  <c r="F33" i="115"/>
  <c r="G45" i="115"/>
  <c r="F45" i="115"/>
  <c r="V9" i="116"/>
  <c r="U10" i="116"/>
  <c r="F14" i="115"/>
  <c r="H14" i="121"/>
  <c r="I14" i="121" s="1"/>
  <c r="J14" i="121" s="1"/>
  <c r="T14" i="121" s="1"/>
  <c r="R8" i="115"/>
  <c r="S35" i="121"/>
  <c r="E47" i="121"/>
  <c r="S23" i="121"/>
  <c r="E35" i="121"/>
  <c r="S47" i="121"/>
  <c r="E23" i="121"/>
  <c r="G15" i="118"/>
  <c r="H15" i="118" s="1"/>
  <c r="I15" i="118" s="1"/>
  <c r="J15" i="118" s="1"/>
  <c r="K15" i="118" s="1"/>
  <c r="T15" i="118" s="1"/>
  <c r="G12" i="118"/>
  <c r="H12" i="118" s="1"/>
  <c r="S12" i="118" s="1"/>
  <c r="V8" i="119"/>
  <c r="T34" i="119"/>
  <c r="F22" i="119"/>
  <c r="F34" i="119"/>
  <c r="T46" i="119"/>
  <c r="T22" i="119"/>
  <c r="F46" i="119"/>
  <c r="S41" i="121"/>
  <c r="E29" i="121"/>
  <c r="S53" i="121"/>
  <c r="S29" i="121"/>
  <c r="E53" i="121"/>
  <c r="E41" i="121"/>
  <c r="G47" i="117"/>
  <c r="S42" i="80"/>
  <c r="S54" i="80"/>
  <c r="B60" i="113" s="1"/>
  <c r="R13" i="99"/>
  <c r="S27" i="99" s="1"/>
  <c r="B24" i="95"/>
  <c r="E54" i="80"/>
  <c r="B60" i="95" s="1"/>
  <c r="E30" i="80"/>
  <c r="B36" i="95" s="1"/>
  <c r="B24" i="113"/>
  <c r="S30" i="80"/>
  <c r="B36" i="113" s="1"/>
  <c r="R12" i="112"/>
  <c r="S26" i="112" s="1"/>
  <c r="AA56" i="113" s="1"/>
  <c r="N12" i="112"/>
  <c r="W13" i="99"/>
  <c r="I13" i="90"/>
  <c r="L15" i="93"/>
  <c r="N15" i="93" s="1"/>
  <c r="G12" i="101"/>
  <c r="H12" i="101" s="1"/>
  <c r="S12" i="101" s="1"/>
  <c r="F13" i="87"/>
  <c r="G13" i="87" s="1"/>
  <c r="H13" i="87" s="1"/>
  <c r="I13" i="87" s="1"/>
  <c r="S13" i="87" s="1"/>
  <c r="F16" i="94"/>
  <c r="G16" i="94" s="1"/>
  <c r="H16" i="94" s="1"/>
  <c r="I16" i="94" s="1"/>
  <c r="J16" i="94" s="1"/>
  <c r="K16" i="94" s="1"/>
  <c r="L16" i="94" s="1"/>
  <c r="F9" i="87"/>
  <c r="N9" i="87" s="1"/>
  <c r="H16" i="100"/>
  <c r="D4" i="96"/>
  <c r="T7" i="96" s="1"/>
  <c r="D1" i="96"/>
  <c r="F4" i="96"/>
  <c r="S7" i="96" s="1"/>
  <c r="K2" i="96"/>
  <c r="J4" i="96" s="1"/>
  <c r="P23" i="113"/>
  <c r="V7" i="91"/>
  <c r="S41" i="103"/>
  <c r="S53" i="103"/>
  <c r="P59" i="113" s="1"/>
  <c r="E41" i="103"/>
  <c r="P23" i="95"/>
  <c r="E53" i="103"/>
  <c r="P59" i="95" s="1"/>
  <c r="E29" i="103"/>
  <c r="P47" i="95" s="1"/>
  <c r="U22" i="89"/>
  <c r="E36" i="112"/>
  <c r="B5" i="95"/>
  <c r="H40" i="113"/>
  <c r="P43" i="95"/>
  <c r="F34" i="90"/>
  <c r="V9" i="80"/>
  <c r="U22" i="110"/>
  <c r="T34" i="93"/>
  <c r="G46" i="110"/>
  <c r="V8" i="89"/>
  <c r="L4" i="95"/>
  <c r="L63" i="95" s="1"/>
  <c r="E31" i="113"/>
  <c r="F22" i="93"/>
  <c r="G22" i="93"/>
  <c r="G34" i="93"/>
  <c r="U22" i="108"/>
  <c r="E34" i="108"/>
  <c r="W40" i="95" s="1"/>
  <c r="E22" i="108"/>
  <c r="W28" i="95" s="1"/>
  <c r="S46" i="108"/>
  <c r="U46" i="108" s="1"/>
  <c r="G34" i="90"/>
  <c r="E46" i="108"/>
  <c r="W52" i="95" s="1"/>
  <c r="S34" i="108"/>
  <c r="U34" i="108" s="1"/>
  <c r="H52" i="95"/>
  <c r="F46" i="93"/>
  <c r="W16" i="113"/>
  <c r="W16" i="95"/>
  <c r="V8" i="99"/>
  <c r="S42" i="105"/>
  <c r="S4" i="95"/>
  <c r="S54" i="105"/>
  <c r="R60" i="113" s="1"/>
  <c r="S4" i="113"/>
  <c r="U22" i="106"/>
  <c r="E42" i="105"/>
  <c r="E54" i="105"/>
  <c r="R60" i="95" s="1"/>
  <c r="R24" i="95"/>
  <c r="E30" i="105"/>
  <c r="G46" i="90"/>
  <c r="R24" i="113"/>
  <c r="E52" i="95"/>
  <c r="H52" i="113"/>
  <c r="V8" i="110"/>
  <c r="Y4" i="95"/>
  <c r="X45" i="95"/>
  <c r="E28" i="113"/>
  <c r="Q25" i="97" s="1"/>
  <c r="S42" i="106"/>
  <c r="M22" i="95"/>
  <c r="T22" i="90"/>
  <c r="W14" i="112"/>
  <c r="F34" i="93"/>
  <c r="AA18" i="95"/>
  <c r="U46" i="93"/>
  <c r="E48" i="112"/>
  <c r="S36" i="112"/>
  <c r="AA18" i="113"/>
  <c r="U4" i="113"/>
  <c r="X57" i="113"/>
  <c r="S48" i="112"/>
  <c r="H63" i="95"/>
  <c r="B64" i="113"/>
  <c r="N35" i="97" s="1"/>
  <c r="E24" i="112"/>
  <c r="F22" i="104"/>
  <c r="E40" i="100"/>
  <c r="Q20" i="113"/>
  <c r="S54" i="106"/>
  <c r="S60" i="113" s="1"/>
  <c r="M22" i="113"/>
  <c r="E42" i="106"/>
  <c r="E30" i="106"/>
  <c r="S36" i="95" s="1"/>
  <c r="S52" i="100"/>
  <c r="M58" i="113" s="1"/>
  <c r="S24" i="95"/>
  <c r="S40" i="100"/>
  <c r="S24" i="113"/>
  <c r="E52" i="100"/>
  <c r="M58" i="95" s="1"/>
  <c r="E42" i="99"/>
  <c r="E28" i="100"/>
  <c r="M46" i="95" s="1"/>
  <c r="E54" i="106"/>
  <c r="S60" i="95" s="1"/>
  <c r="U23" i="88"/>
  <c r="U16" i="95"/>
  <c r="D5" i="95"/>
  <c r="S38" i="89"/>
  <c r="V9" i="88"/>
  <c r="X33" i="95"/>
  <c r="E30" i="99"/>
  <c r="S54" i="99"/>
  <c r="U60" i="113" s="1"/>
  <c r="E54" i="99"/>
  <c r="U60" i="95" s="1"/>
  <c r="B63" i="95"/>
  <c r="U24" i="95"/>
  <c r="Q20" i="95"/>
  <c r="E26" i="104"/>
  <c r="E50" i="104"/>
  <c r="Q56" i="95" s="1"/>
  <c r="E38" i="104"/>
  <c r="S50" i="104"/>
  <c r="Q56" i="113" s="1"/>
  <c r="S38" i="104"/>
  <c r="N45" i="97"/>
  <c r="V5" i="95"/>
  <c r="T45" i="97"/>
  <c r="S46" i="102"/>
  <c r="U46" i="102" s="1"/>
  <c r="W15" i="106"/>
  <c r="E46" i="102"/>
  <c r="G46" i="102" s="1"/>
  <c r="O16" i="113"/>
  <c r="E63" i="95"/>
  <c r="E40" i="32" s="1"/>
  <c r="U16" i="113"/>
  <c r="S46" i="99"/>
  <c r="U46" i="99" s="1"/>
  <c r="E22" i="99"/>
  <c r="G22" i="99" s="1"/>
  <c r="E34" i="99"/>
  <c r="F34" i="99" s="1"/>
  <c r="E46" i="99"/>
  <c r="G46" i="99" s="1"/>
  <c r="W13" i="107"/>
  <c r="S34" i="99"/>
  <c r="T34" i="99" s="1"/>
  <c r="W12" i="108"/>
  <c r="W13" i="94"/>
  <c r="U34" i="100"/>
  <c r="U53" i="113"/>
  <c r="Q52" i="113"/>
  <c r="U46" i="104"/>
  <c r="B57" i="95"/>
  <c r="B33" i="95"/>
  <c r="T34" i="101"/>
  <c r="U34" i="101"/>
  <c r="E50" i="89"/>
  <c r="B34" i="95"/>
  <c r="W16" i="102"/>
  <c r="V52" i="95"/>
  <c r="G46" i="107"/>
  <c r="Y54" i="113"/>
  <c r="S42" i="99"/>
  <c r="W15" i="87"/>
  <c r="D41" i="113"/>
  <c r="U35" i="88"/>
  <c r="Z52" i="113"/>
  <c r="U46" i="111"/>
  <c r="G22" i="100"/>
  <c r="S34" i="102"/>
  <c r="N58" i="95"/>
  <c r="B45" i="113"/>
  <c r="B57" i="113"/>
  <c r="W11" i="89"/>
  <c r="B47" i="113"/>
  <c r="L20" i="113"/>
  <c r="U53" i="95"/>
  <c r="Z53" i="113"/>
  <c r="V40" i="113"/>
  <c r="U34" i="107"/>
  <c r="Z60" i="113"/>
  <c r="X52" i="113"/>
  <c r="U46" i="109"/>
  <c r="D53" i="113"/>
  <c r="U47" i="88"/>
  <c r="Z40" i="95"/>
  <c r="G34" i="111"/>
  <c r="M52" i="95"/>
  <c r="G46" i="100"/>
  <c r="N55" i="95"/>
  <c r="O16" i="95"/>
  <c r="T46" i="104"/>
  <c r="Q52" i="95"/>
  <c r="G46" i="104"/>
  <c r="E40" i="113"/>
  <c r="U34" i="90"/>
  <c r="T34" i="90"/>
  <c r="F46" i="112"/>
  <c r="G46" i="112"/>
  <c r="O58" i="113"/>
  <c r="Z48" i="95"/>
  <c r="Y42" i="95"/>
  <c r="D41" i="95"/>
  <c r="G35" i="88"/>
  <c r="U59" i="113"/>
  <c r="G22" i="111"/>
  <c r="F34" i="104"/>
  <c r="G34" i="104"/>
  <c r="Y54" i="95"/>
  <c r="N52" i="113"/>
  <c r="U46" i="101"/>
  <c r="S50" i="89"/>
  <c r="X52" i="95"/>
  <c r="G46" i="109"/>
  <c r="D29" i="95"/>
  <c r="G23" i="88"/>
  <c r="U59" i="95"/>
  <c r="Z40" i="113"/>
  <c r="U34" i="111"/>
  <c r="Z48" i="113"/>
  <c r="B35" i="95"/>
  <c r="Z41" i="95"/>
  <c r="W8" i="87"/>
  <c r="V8" i="87" s="1"/>
  <c r="R56" i="113"/>
  <c r="B45" i="95"/>
  <c r="G22" i="101"/>
  <c r="E38" i="89"/>
  <c r="O58" i="95"/>
  <c r="X40" i="95"/>
  <c r="G34" i="109"/>
  <c r="Y42" i="113"/>
  <c r="U24" i="113"/>
  <c r="N55" i="113"/>
  <c r="E22" i="102"/>
  <c r="G22" i="102" s="1"/>
  <c r="T34" i="104"/>
  <c r="U34" i="104"/>
  <c r="E52" i="113"/>
  <c r="U46" i="90"/>
  <c r="T46" i="90"/>
  <c r="U22" i="99"/>
  <c r="B59" i="95"/>
  <c r="V40" i="95"/>
  <c r="G34" i="107"/>
  <c r="B47" i="95"/>
  <c r="R56" i="95"/>
  <c r="G34" i="101"/>
  <c r="E26" i="89"/>
  <c r="Z53" i="95"/>
  <c r="V52" i="113"/>
  <c r="U46" i="107"/>
  <c r="X40" i="113"/>
  <c r="U34" i="109"/>
  <c r="D53" i="95"/>
  <c r="G47" i="88"/>
  <c r="T46" i="112"/>
  <c r="U46" i="112"/>
  <c r="E34" i="102"/>
  <c r="Z52" i="95"/>
  <c r="G46" i="111"/>
  <c r="B59" i="113"/>
  <c r="B48" i="95"/>
  <c r="N52" i="95"/>
  <c r="G46" i="101"/>
  <c r="L20" i="95"/>
  <c r="Z41" i="113"/>
  <c r="Z60" i="95"/>
  <c r="C4" i="113"/>
  <c r="C4" i="95"/>
  <c r="C25" i="32" s="1"/>
  <c r="C23" i="113"/>
  <c r="E53" i="87"/>
  <c r="C23" i="95"/>
  <c r="E29" i="87"/>
  <c r="E41" i="87"/>
  <c r="S29" i="87"/>
  <c r="S41" i="87"/>
  <c r="S53" i="87"/>
  <c r="R9" i="112"/>
  <c r="S23" i="112" s="1"/>
  <c r="N9" i="112"/>
  <c r="W9" i="112"/>
  <c r="R44" i="113"/>
  <c r="R32" i="113"/>
  <c r="E33" i="91"/>
  <c r="G33" i="91" s="1"/>
  <c r="F15" i="95"/>
  <c r="S33" i="91"/>
  <c r="U33" i="91" s="1"/>
  <c r="F15" i="113"/>
  <c r="S21" i="91"/>
  <c r="U21" i="91" s="1"/>
  <c r="S45" i="91"/>
  <c r="U45" i="91" s="1"/>
  <c r="E45" i="91"/>
  <c r="G45" i="91" s="1"/>
  <c r="E21" i="91"/>
  <c r="G21" i="91" s="1"/>
  <c r="P14" i="97"/>
  <c r="AA54" i="113"/>
  <c r="AA30" i="113"/>
  <c r="F14" i="87"/>
  <c r="N10" i="106"/>
  <c r="R10" i="106"/>
  <c r="S24" i="106" s="1"/>
  <c r="F33" i="94"/>
  <c r="I39" i="95"/>
  <c r="F14" i="94"/>
  <c r="G14" i="94" s="1"/>
  <c r="H14" i="94" s="1"/>
  <c r="I14" i="94" s="1"/>
  <c r="J14" i="94" s="1"/>
  <c r="U29" i="95"/>
  <c r="U41" i="95"/>
  <c r="R10" i="107"/>
  <c r="S24" i="107" s="1"/>
  <c r="N10" i="107"/>
  <c r="D12" i="92"/>
  <c r="B12" i="92"/>
  <c r="N9" i="110"/>
  <c r="R9" i="110"/>
  <c r="S23" i="110" s="1"/>
  <c r="Z29" i="95"/>
  <c r="Y20" i="113"/>
  <c r="S38" i="110"/>
  <c r="E38" i="110"/>
  <c r="E50" i="110"/>
  <c r="E26" i="110"/>
  <c r="S50" i="110"/>
  <c r="Y20" i="95"/>
  <c r="M19" i="113"/>
  <c r="M19" i="95"/>
  <c r="E37" i="100"/>
  <c r="S37" i="100"/>
  <c r="E25" i="100"/>
  <c r="E49" i="100"/>
  <c r="S49" i="100"/>
  <c r="F22" i="109"/>
  <c r="X28" i="95"/>
  <c r="X63" i="95" s="1"/>
  <c r="W42" i="113"/>
  <c r="C27" i="95"/>
  <c r="F21" i="87"/>
  <c r="E14" i="91"/>
  <c r="N9" i="101"/>
  <c r="R9" i="101"/>
  <c r="S23" i="101" s="1"/>
  <c r="W9" i="101"/>
  <c r="N15" i="87"/>
  <c r="R13" i="94"/>
  <c r="S27" i="94" s="1"/>
  <c r="R16" i="95"/>
  <c r="R16" i="113"/>
  <c r="S34" i="105"/>
  <c r="E34" i="105"/>
  <c r="E22" i="105"/>
  <c r="G22" i="105" s="1"/>
  <c r="E46" i="105"/>
  <c r="G46" i="105" s="1"/>
  <c r="S46" i="105"/>
  <c r="U46" i="105" s="1"/>
  <c r="W9" i="110"/>
  <c r="N46" i="113"/>
  <c r="N34" i="113"/>
  <c r="W4" i="113"/>
  <c r="W4" i="95"/>
  <c r="V8" i="108"/>
  <c r="I16" i="88"/>
  <c r="J16" i="88" s="1"/>
  <c r="K16" i="88" s="1"/>
  <c r="L16" i="88" s="1"/>
  <c r="T16" i="88" s="1"/>
  <c r="C16" i="113"/>
  <c r="S34" i="87"/>
  <c r="S22" i="87"/>
  <c r="U22" i="87" s="1"/>
  <c r="E34" i="87"/>
  <c r="C16" i="95"/>
  <c r="E46" i="87"/>
  <c r="E22" i="87"/>
  <c r="S46" i="87"/>
  <c r="E12" i="91"/>
  <c r="F12" i="91" s="1"/>
  <c r="G12" i="91" s="1"/>
  <c r="H12" i="91" s="1"/>
  <c r="I12" i="91" s="1"/>
  <c r="N12" i="91" s="1"/>
  <c r="P24" i="113"/>
  <c r="E30" i="103"/>
  <c r="P24" i="95"/>
  <c r="S42" i="103"/>
  <c r="S54" i="103"/>
  <c r="E54" i="103"/>
  <c r="E42" i="103"/>
  <c r="B35" i="113"/>
  <c r="G13" i="110"/>
  <c r="Z4" i="113"/>
  <c r="T34" i="111"/>
  <c r="Z4" i="95"/>
  <c r="F34" i="111"/>
  <c r="F46" i="111"/>
  <c r="T46" i="111"/>
  <c r="G10" i="101"/>
  <c r="W10" i="101" s="1"/>
  <c r="D40" i="95"/>
  <c r="F34" i="88"/>
  <c r="F12" i="94"/>
  <c r="T45" i="94"/>
  <c r="I51" i="113"/>
  <c r="T22" i="106"/>
  <c r="S28" i="113"/>
  <c r="S40" i="113"/>
  <c r="D8" i="92"/>
  <c r="S8" i="92" s="1"/>
  <c r="B8" i="92"/>
  <c r="B16" i="92"/>
  <c r="D16" i="92"/>
  <c r="T22" i="107"/>
  <c r="V28" i="113"/>
  <c r="V64" i="113" s="1"/>
  <c r="G15" i="112"/>
  <c r="H11" i="111"/>
  <c r="T22" i="108"/>
  <c r="W28" i="113"/>
  <c r="E11" i="91"/>
  <c r="W30" i="113"/>
  <c r="C39" i="95"/>
  <c r="F33" i="87"/>
  <c r="E8" i="91"/>
  <c r="W8" i="91" s="1"/>
  <c r="H11" i="109"/>
  <c r="G14" i="89"/>
  <c r="H53" i="95"/>
  <c r="F47" i="93"/>
  <c r="E13" i="91"/>
  <c r="T35" i="88"/>
  <c r="N43" i="95"/>
  <c r="N31" i="95"/>
  <c r="N46" i="95"/>
  <c r="N34" i="95"/>
  <c r="H15" i="111"/>
  <c r="D52" i="95"/>
  <c r="F46" i="88"/>
  <c r="L21" i="113"/>
  <c r="L21" i="95"/>
  <c r="E27" i="89"/>
  <c r="S39" i="89"/>
  <c r="E39" i="89"/>
  <c r="E51" i="89"/>
  <c r="S51" i="89"/>
  <c r="F9" i="94"/>
  <c r="W9" i="94" s="1"/>
  <c r="T33" i="94"/>
  <c r="I39" i="113"/>
  <c r="W12" i="106"/>
  <c r="O46" i="95"/>
  <c r="O34" i="95"/>
  <c r="E9" i="91"/>
  <c r="T9" i="91" s="1"/>
  <c r="S36" i="113"/>
  <c r="S48" i="113"/>
  <c r="R16" i="87"/>
  <c r="H12" i="100"/>
  <c r="T12" i="100" s="1"/>
  <c r="T33" i="87"/>
  <c r="C39" i="113"/>
  <c r="P32" i="113"/>
  <c r="P44" i="113"/>
  <c r="U36" i="113"/>
  <c r="U48" i="113"/>
  <c r="L16" i="95"/>
  <c r="L16" i="113"/>
  <c r="S34" i="89"/>
  <c r="E34" i="89"/>
  <c r="E46" i="89"/>
  <c r="G46" i="89" s="1"/>
  <c r="E22" i="89"/>
  <c r="G22" i="89" s="1"/>
  <c r="S46" i="89"/>
  <c r="U46" i="89" s="1"/>
  <c r="M4" i="113"/>
  <c r="V8" i="100"/>
  <c r="M4" i="95"/>
  <c r="F22" i="100"/>
  <c r="F46" i="100"/>
  <c r="H12" i="111"/>
  <c r="S12" i="111" s="1"/>
  <c r="U47" i="95"/>
  <c r="U35" i="95"/>
  <c r="H41" i="95"/>
  <c r="F35" i="93"/>
  <c r="F22" i="111"/>
  <c r="Z28" i="95"/>
  <c r="T22" i="100"/>
  <c r="M28" i="113"/>
  <c r="M40" i="113"/>
  <c r="S21" i="113"/>
  <c r="S39" i="106"/>
  <c r="E51" i="106"/>
  <c r="E39" i="106"/>
  <c r="S51" i="106"/>
  <c r="S21" i="95"/>
  <c r="E27" i="106"/>
  <c r="D20" i="113"/>
  <c r="S38" i="88"/>
  <c r="S26" i="88"/>
  <c r="E26" i="88"/>
  <c r="E38" i="88"/>
  <c r="E50" i="88"/>
  <c r="D20" i="95"/>
  <c r="S50" i="88"/>
  <c r="R44" i="95"/>
  <c r="R32" i="95"/>
  <c r="I15" i="88"/>
  <c r="F11" i="94"/>
  <c r="T22" i="88"/>
  <c r="D28" i="113"/>
  <c r="N40" i="95"/>
  <c r="N28" i="95"/>
  <c r="Q24" i="113"/>
  <c r="S54" i="104"/>
  <c r="S42" i="104"/>
  <c r="Q24" i="95"/>
  <c r="E54" i="104"/>
  <c r="E42" i="104"/>
  <c r="E30" i="104"/>
  <c r="L44" i="113"/>
  <c r="L32" i="113"/>
  <c r="T21" i="94"/>
  <c r="I27" i="113"/>
  <c r="U24" i="97" s="1"/>
  <c r="U44" i="97" s="1"/>
  <c r="R9" i="105"/>
  <c r="S23" i="105" s="1"/>
  <c r="N9" i="105"/>
  <c r="R12" i="106"/>
  <c r="S26" i="106" s="1"/>
  <c r="N12" i="106"/>
  <c r="U29" i="113"/>
  <c r="U41" i="113"/>
  <c r="D15" i="92"/>
  <c r="B15" i="92"/>
  <c r="D14" i="92"/>
  <c r="B14" i="92"/>
  <c r="R16" i="102"/>
  <c r="S30" i="102" s="1"/>
  <c r="N16" i="102"/>
  <c r="Z29" i="113"/>
  <c r="X17" i="113"/>
  <c r="S35" i="109"/>
  <c r="E35" i="109"/>
  <c r="E23" i="109"/>
  <c r="X17" i="95"/>
  <c r="E47" i="109"/>
  <c r="S47" i="109"/>
  <c r="Z36" i="95"/>
  <c r="T22" i="109"/>
  <c r="X28" i="113"/>
  <c r="X64" i="113" s="1"/>
  <c r="P16" i="95"/>
  <c r="P16" i="113"/>
  <c r="S34" i="103"/>
  <c r="E46" i="103"/>
  <c r="G46" i="103" s="1"/>
  <c r="E34" i="103"/>
  <c r="E22" i="103"/>
  <c r="G22" i="103" s="1"/>
  <c r="S46" i="103"/>
  <c r="U46" i="103" s="1"/>
  <c r="W54" i="113"/>
  <c r="O20" i="113"/>
  <c r="S38" i="102"/>
  <c r="O20" i="95"/>
  <c r="E50" i="102"/>
  <c r="E26" i="102"/>
  <c r="E38" i="102"/>
  <c r="S50" i="102"/>
  <c r="T45" i="87"/>
  <c r="C51" i="113"/>
  <c r="N14" i="105"/>
  <c r="R14" i="105"/>
  <c r="S28" i="105" s="1"/>
  <c r="E17" i="113"/>
  <c r="S23" i="90"/>
  <c r="U23" i="90" s="1"/>
  <c r="S35" i="90"/>
  <c r="U35" i="90" s="1"/>
  <c r="E47" i="90"/>
  <c r="G47" i="90" s="1"/>
  <c r="E23" i="90"/>
  <c r="G23" i="90" s="1"/>
  <c r="E35" i="90"/>
  <c r="G35" i="90" s="1"/>
  <c r="E17" i="95"/>
  <c r="S47" i="90"/>
  <c r="U47" i="90" s="1"/>
  <c r="G10" i="99"/>
  <c r="W10" i="99" s="1"/>
  <c r="H29" i="95"/>
  <c r="H36" i="32" s="1"/>
  <c r="F23" i="93"/>
  <c r="T22" i="111"/>
  <c r="Z28" i="113"/>
  <c r="T46" i="109"/>
  <c r="AA52" i="95"/>
  <c r="AA28" i="95"/>
  <c r="F22" i="112"/>
  <c r="N14" i="112"/>
  <c r="R14" i="112"/>
  <c r="S28" i="112" s="1"/>
  <c r="E10" i="91"/>
  <c r="T47" i="88"/>
  <c r="W23" i="113"/>
  <c r="W23" i="95"/>
  <c r="E29" i="108"/>
  <c r="E41" i="108"/>
  <c r="E53" i="108"/>
  <c r="S41" i="108"/>
  <c r="S53" i="108"/>
  <c r="T22" i="110"/>
  <c r="Y28" i="113"/>
  <c r="Y64" i="113" s="1"/>
  <c r="N23" i="113"/>
  <c r="N23" i="95"/>
  <c r="E53" i="101"/>
  <c r="E29" i="101"/>
  <c r="E41" i="101"/>
  <c r="S41" i="101"/>
  <c r="S53" i="101"/>
  <c r="R36" i="113"/>
  <c r="R48" i="113"/>
  <c r="B33" i="113"/>
  <c r="R13" i="107"/>
  <c r="S27" i="107" s="1"/>
  <c r="N13" i="107"/>
  <c r="G15" i="110"/>
  <c r="H14" i="93"/>
  <c r="D40" i="113"/>
  <c r="T34" i="88"/>
  <c r="M17" i="113"/>
  <c r="S35" i="100"/>
  <c r="E35" i="100"/>
  <c r="E23" i="100"/>
  <c r="M17" i="95"/>
  <c r="E47" i="100"/>
  <c r="S47" i="100"/>
  <c r="Q32" i="113"/>
  <c r="Q44" i="113"/>
  <c r="P17" i="113"/>
  <c r="S35" i="103"/>
  <c r="E23" i="103"/>
  <c r="E47" i="103"/>
  <c r="P17" i="95"/>
  <c r="E35" i="103"/>
  <c r="S47" i="103"/>
  <c r="D11" i="92"/>
  <c r="B11" i="92"/>
  <c r="W7" i="92"/>
  <c r="N7" i="92"/>
  <c r="R7" i="92"/>
  <c r="S21" i="92" s="1"/>
  <c r="W16" i="87"/>
  <c r="T21" i="87"/>
  <c r="C27" i="113"/>
  <c r="G15" i="89"/>
  <c r="R35" i="113"/>
  <c r="R47" i="113"/>
  <c r="T23" i="93"/>
  <c r="H29" i="113"/>
  <c r="F34" i="109"/>
  <c r="AA40" i="95"/>
  <c r="F34" i="112"/>
  <c r="N10" i="111"/>
  <c r="R10" i="111"/>
  <c r="S24" i="111" s="1"/>
  <c r="P35" i="113"/>
  <c r="P47" i="113"/>
  <c r="F23" i="88"/>
  <c r="X32" i="113"/>
  <c r="T22" i="102"/>
  <c r="O40" i="113"/>
  <c r="O28" i="113"/>
  <c r="F15" i="94"/>
  <c r="G15" i="94" s="1"/>
  <c r="H15" i="94" s="1"/>
  <c r="I15" i="94" s="1"/>
  <c r="J15" i="94" s="1"/>
  <c r="K15" i="94" s="1"/>
  <c r="B9" i="92"/>
  <c r="D9" i="92"/>
  <c r="R10" i="89"/>
  <c r="S24" i="89" s="1"/>
  <c r="W42" i="95"/>
  <c r="X23" i="113"/>
  <c r="X23" i="95"/>
  <c r="S41" i="109"/>
  <c r="S53" i="109"/>
  <c r="E41" i="109"/>
  <c r="E53" i="109"/>
  <c r="E29" i="109"/>
  <c r="Y30" i="113"/>
  <c r="V20" i="113"/>
  <c r="E26" i="107"/>
  <c r="V20" i="95"/>
  <c r="S38" i="107"/>
  <c r="E50" i="107"/>
  <c r="E38" i="107"/>
  <c r="S50" i="107"/>
  <c r="N14" i="104"/>
  <c r="R14" i="104"/>
  <c r="S28" i="104" s="1"/>
  <c r="R9" i="89"/>
  <c r="S23" i="89" s="1"/>
  <c r="N9" i="89"/>
  <c r="H14" i="109"/>
  <c r="I14" i="109" s="1"/>
  <c r="J14" i="109" s="1"/>
  <c r="T14" i="109" s="1"/>
  <c r="T23" i="88"/>
  <c r="D29" i="113"/>
  <c r="P26" i="97" s="1"/>
  <c r="U35" i="113"/>
  <c r="U47" i="113"/>
  <c r="H41" i="113"/>
  <c r="T35" i="93"/>
  <c r="F46" i="109"/>
  <c r="F47" i="88"/>
  <c r="G13" i="112"/>
  <c r="G11" i="105"/>
  <c r="T11" i="105" s="1"/>
  <c r="F11" i="87"/>
  <c r="D52" i="113"/>
  <c r="T46" i="88"/>
  <c r="T22" i="101"/>
  <c r="N28" i="113"/>
  <c r="N40" i="113"/>
  <c r="E15" i="91"/>
  <c r="F15" i="91" s="1"/>
  <c r="G15" i="91" s="1"/>
  <c r="H15" i="91" s="1"/>
  <c r="I15" i="91" s="1"/>
  <c r="J15" i="91" s="1"/>
  <c r="K15" i="91" s="1"/>
  <c r="L15" i="91" s="1"/>
  <c r="N15" i="91" s="1"/>
  <c r="T22" i="99"/>
  <c r="U28" i="113"/>
  <c r="U40" i="113"/>
  <c r="F21" i="94"/>
  <c r="I27" i="95"/>
  <c r="B13" i="92"/>
  <c r="D13" i="92"/>
  <c r="O34" i="113"/>
  <c r="O46" i="113"/>
  <c r="F22" i="107"/>
  <c r="V28" i="95"/>
  <c r="V63" i="95" s="1"/>
  <c r="Z36" i="113"/>
  <c r="G14" i="110"/>
  <c r="W54" i="95"/>
  <c r="Q17" i="113"/>
  <c r="K14" i="88"/>
  <c r="E16" i="91"/>
  <c r="F16" i="91" s="1"/>
  <c r="G16" i="91" s="1"/>
  <c r="H16" i="91" s="1"/>
  <c r="I16" i="91" s="1"/>
  <c r="J16" i="91" s="1"/>
  <c r="K16" i="91" s="1"/>
  <c r="L16" i="91" s="1"/>
  <c r="M16" i="91" s="1"/>
  <c r="R16" i="91" s="1"/>
  <c r="W14" i="105"/>
  <c r="T22" i="112"/>
  <c r="AA28" i="113"/>
  <c r="AA64" i="113" s="1"/>
  <c r="AA52" i="113"/>
  <c r="H64" i="113"/>
  <c r="T35" i="97" s="1"/>
  <c r="G11" i="102"/>
  <c r="S11" i="102" s="1"/>
  <c r="F35" i="88"/>
  <c r="N31" i="113"/>
  <c r="N43" i="113"/>
  <c r="N11" i="89"/>
  <c r="R11" i="89"/>
  <c r="S25" i="89" s="1"/>
  <c r="N15" i="106"/>
  <c r="R15" i="106"/>
  <c r="S29" i="106" s="1"/>
  <c r="F46" i="104"/>
  <c r="Q28" i="95"/>
  <c r="Q40" i="95"/>
  <c r="W9" i="105"/>
  <c r="W14" i="104"/>
  <c r="M46" i="113"/>
  <c r="M34" i="113"/>
  <c r="N15" i="102"/>
  <c r="R15" i="102"/>
  <c r="S29" i="102" s="1"/>
  <c r="W15" i="102"/>
  <c r="H11" i="106"/>
  <c r="R12" i="108"/>
  <c r="S26" i="108" s="1"/>
  <c r="N12" i="108"/>
  <c r="F10" i="94"/>
  <c r="T10" i="94" s="1"/>
  <c r="H16" i="101"/>
  <c r="N8" i="87"/>
  <c r="G13" i="102"/>
  <c r="D28" i="95"/>
  <c r="D35" i="32" s="1"/>
  <c r="F22" i="88"/>
  <c r="W10" i="106"/>
  <c r="F45" i="94"/>
  <c r="I51" i="95"/>
  <c r="F3" i="95"/>
  <c r="R8" i="97" s="1"/>
  <c r="F3" i="113"/>
  <c r="W10" i="107"/>
  <c r="D10" i="92"/>
  <c r="B10" i="92"/>
  <c r="H30" i="113"/>
  <c r="N4" i="113"/>
  <c r="F34" i="101"/>
  <c r="V8" i="101"/>
  <c r="F46" i="101"/>
  <c r="N4" i="95"/>
  <c r="F22" i="101"/>
  <c r="T46" i="101"/>
  <c r="H13" i="93"/>
  <c r="G16" i="110"/>
  <c r="W31" i="113"/>
  <c r="G11" i="110"/>
  <c r="S11" i="110" s="1"/>
  <c r="W30" i="95"/>
  <c r="Y30" i="95"/>
  <c r="C51" i="95"/>
  <c r="F45" i="87"/>
  <c r="H53" i="113"/>
  <c r="T47" i="93"/>
  <c r="Q23" i="113"/>
  <c r="E29" i="104"/>
  <c r="Q23" i="95"/>
  <c r="S53" i="104"/>
  <c r="E53" i="104"/>
  <c r="S41" i="104"/>
  <c r="E41" i="104"/>
  <c r="T34" i="109"/>
  <c r="AA40" i="113"/>
  <c r="T34" i="112"/>
  <c r="M40" i="95"/>
  <c r="M28" i="95"/>
  <c r="G14" i="99"/>
  <c r="I16" i="113"/>
  <c r="S34" i="94"/>
  <c r="E46" i="94"/>
  <c r="I16" i="95"/>
  <c r="E22" i="94"/>
  <c r="E34" i="94"/>
  <c r="S46" i="94"/>
  <c r="R9" i="102"/>
  <c r="S23" i="102" s="1"/>
  <c r="N9" i="102"/>
  <c r="D18" i="113"/>
  <c r="S36" i="88"/>
  <c r="U36" i="88" s="1"/>
  <c r="S24" i="88"/>
  <c r="U24" i="88" s="1"/>
  <c r="E48" i="88"/>
  <c r="G48" i="88" s="1"/>
  <c r="D18" i="95"/>
  <c r="E24" i="88"/>
  <c r="G24" i="88" s="1"/>
  <c r="E36" i="88"/>
  <c r="G36" i="88" s="1"/>
  <c r="S48" i="88"/>
  <c r="U48" i="88" s="1"/>
  <c r="V8" i="111"/>
  <c r="G12" i="99"/>
  <c r="T22" i="104"/>
  <c r="Q28" i="113"/>
  <c r="Q64" i="113" s="1"/>
  <c r="Q40" i="113"/>
  <c r="N10" i="89" l="1"/>
  <c r="F34" i="100"/>
  <c r="Y28" i="95"/>
  <c r="E54" i="117"/>
  <c r="R12" i="120"/>
  <c r="E50" i="120" s="1"/>
  <c r="E42" i="117"/>
  <c r="U11" i="120"/>
  <c r="S30" i="117"/>
  <c r="S54" i="117"/>
  <c r="W12" i="120"/>
  <c r="T11" i="92"/>
  <c r="T13" i="90"/>
  <c r="S13" i="90"/>
  <c r="T13" i="121"/>
  <c r="S13" i="121"/>
  <c r="S11" i="105"/>
  <c r="S16" i="91"/>
  <c r="S14" i="103"/>
  <c r="I12" i="116"/>
  <c r="S12" i="116"/>
  <c r="T8" i="92"/>
  <c r="T12" i="101"/>
  <c r="S13" i="101"/>
  <c r="T11" i="110"/>
  <c r="T15" i="91"/>
  <c r="S12" i="100"/>
  <c r="T14" i="94"/>
  <c r="T15" i="94"/>
  <c r="T12" i="90"/>
  <c r="S12" i="90"/>
  <c r="N11" i="93"/>
  <c r="W11" i="93"/>
  <c r="R11" i="93"/>
  <c r="S13" i="103"/>
  <c r="T12" i="118"/>
  <c r="S14" i="94"/>
  <c r="S10" i="94"/>
  <c r="T14" i="107"/>
  <c r="S9" i="91"/>
  <c r="T10" i="87"/>
  <c r="S15" i="91"/>
  <c r="T16" i="94"/>
  <c r="S15" i="107"/>
  <c r="T11" i="102"/>
  <c r="T12" i="91"/>
  <c r="S16" i="88"/>
  <c r="S16" i="94"/>
  <c r="S14" i="121"/>
  <c r="S13" i="111"/>
  <c r="T15" i="119"/>
  <c r="S14" i="109"/>
  <c r="W12" i="116"/>
  <c r="T13" i="87"/>
  <c r="T12" i="87"/>
  <c r="S16" i="116"/>
  <c r="T12" i="111"/>
  <c r="S12" i="93"/>
  <c r="T10" i="115"/>
  <c r="S12" i="91"/>
  <c r="T12" i="116"/>
  <c r="S11" i="115"/>
  <c r="T11" i="99"/>
  <c r="S15" i="118"/>
  <c r="S15" i="94"/>
  <c r="S13" i="118"/>
  <c r="T16" i="91"/>
  <c r="T14" i="120"/>
  <c r="S12" i="87"/>
  <c r="T13" i="100"/>
  <c r="T39" i="97"/>
  <c r="N39" i="97"/>
  <c r="U46" i="100"/>
  <c r="W17" i="113"/>
  <c r="M52" i="113"/>
  <c r="Q45" i="97"/>
  <c r="T11" i="97"/>
  <c r="H27" i="32"/>
  <c r="T21" i="97"/>
  <c r="H37" i="32"/>
  <c r="T29" i="97"/>
  <c r="H40" i="32"/>
  <c r="T16" i="97"/>
  <c r="H32" i="32"/>
  <c r="U14" i="97"/>
  <c r="I30" i="32"/>
  <c r="E35" i="104"/>
  <c r="P10" i="97"/>
  <c r="D26" i="32"/>
  <c r="N10" i="97"/>
  <c r="B26" i="32"/>
  <c r="Q15" i="97"/>
  <c r="E31" i="32"/>
  <c r="P20" i="97"/>
  <c r="D36" i="32"/>
  <c r="N29" i="97"/>
  <c r="B40" i="32"/>
  <c r="Q10" i="97"/>
  <c r="E26" i="32"/>
  <c r="N15" i="97"/>
  <c r="B31" i="32"/>
  <c r="P16" i="97"/>
  <c r="D32" i="32"/>
  <c r="O14" i="97"/>
  <c r="C30" i="32"/>
  <c r="Q29" i="97"/>
  <c r="P11" i="97"/>
  <c r="D27" i="32"/>
  <c r="F46" i="110"/>
  <c r="U49" i="88"/>
  <c r="E47" i="104"/>
  <c r="G47" i="104" s="1"/>
  <c r="B29" i="113"/>
  <c r="N26" i="97" s="1"/>
  <c r="S47" i="104"/>
  <c r="Q53" i="113" s="1"/>
  <c r="Q17" i="95"/>
  <c r="S28" i="95"/>
  <c r="T23" i="80"/>
  <c r="O30" i="95"/>
  <c r="E23" i="104"/>
  <c r="F23" i="104" s="1"/>
  <c r="S35" i="104"/>
  <c r="T35" i="104" s="1"/>
  <c r="N5" i="113"/>
  <c r="E41" i="90"/>
  <c r="E47" i="95" s="1"/>
  <c r="B41" i="95"/>
  <c r="G22" i="110"/>
  <c r="G24" i="121"/>
  <c r="U36" i="121"/>
  <c r="E36" i="90"/>
  <c r="G36" i="90" s="1"/>
  <c r="G23" i="109"/>
  <c r="S30" i="121"/>
  <c r="G37" i="88"/>
  <c r="T36" i="93"/>
  <c r="S40" i="90"/>
  <c r="E46" i="113" s="1"/>
  <c r="G36" i="93"/>
  <c r="G34" i="106"/>
  <c r="E40" i="90"/>
  <c r="E46" i="95" s="1"/>
  <c r="E23" i="107"/>
  <c r="G23" i="107" s="1"/>
  <c r="F47" i="80"/>
  <c r="U23" i="103"/>
  <c r="S52" i="113"/>
  <c r="S35" i="107"/>
  <c r="U35" i="107" s="1"/>
  <c r="G34" i="110"/>
  <c r="R13" i="119"/>
  <c r="E27" i="119" s="1"/>
  <c r="U24" i="93"/>
  <c r="T25" i="90"/>
  <c r="S24" i="120"/>
  <c r="T24" i="120" s="1"/>
  <c r="F49" i="88"/>
  <c r="T46" i="110"/>
  <c r="E35" i="108"/>
  <c r="G35" i="108" s="1"/>
  <c r="E22" i="95"/>
  <c r="E22" i="113"/>
  <c r="Y40" i="113"/>
  <c r="T49" i="88"/>
  <c r="E47" i="107"/>
  <c r="G47" i="107" s="1"/>
  <c r="Y40" i="95"/>
  <c r="B53" i="95"/>
  <c r="Q33" i="95"/>
  <c r="G35" i="117"/>
  <c r="F25" i="88"/>
  <c r="S52" i="90"/>
  <c r="E58" i="113" s="1"/>
  <c r="E52" i="90"/>
  <c r="E58" i="95" s="1"/>
  <c r="T46" i="106"/>
  <c r="S47" i="107"/>
  <c r="U47" i="107" s="1"/>
  <c r="E35" i="107"/>
  <c r="G35" i="107" s="1"/>
  <c r="V10" i="121"/>
  <c r="E28" i="90"/>
  <c r="E34" i="95" s="1"/>
  <c r="T34" i="110"/>
  <c r="V17" i="95"/>
  <c r="V17" i="113"/>
  <c r="W16" i="109"/>
  <c r="T36" i="103"/>
  <c r="U48" i="103"/>
  <c r="Y52" i="113"/>
  <c r="E23" i="108"/>
  <c r="W29" i="95" s="1"/>
  <c r="W64" i="95" s="1"/>
  <c r="Q63" i="95"/>
  <c r="S47" i="108"/>
  <c r="T47" i="108" s="1"/>
  <c r="E47" i="108"/>
  <c r="F47" i="108" s="1"/>
  <c r="W17" i="95"/>
  <c r="S35" i="108"/>
  <c r="U35" i="108" s="1"/>
  <c r="S50" i="120"/>
  <c r="U11" i="107"/>
  <c r="T49" i="107" s="1"/>
  <c r="F37" i="88"/>
  <c r="F48" i="102"/>
  <c r="S41" i="90"/>
  <c r="E47" i="113" s="1"/>
  <c r="S24" i="90"/>
  <c r="U24" i="90" s="1"/>
  <c r="G35" i="109"/>
  <c r="U23" i="109"/>
  <c r="S41" i="95"/>
  <c r="F35" i="80"/>
  <c r="S42" i="121"/>
  <c r="W14" i="116"/>
  <c r="E29" i="90"/>
  <c r="E35" i="95" s="1"/>
  <c r="U47" i="109"/>
  <c r="V9" i="109"/>
  <c r="U34" i="106"/>
  <c r="D43" i="95"/>
  <c r="S29" i="90"/>
  <c r="E35" i="113" s="1"/>
  <c r="E23" i="113"/>
  <c r="E24" i="90"/>
  <c r="E30" i="95" s="1"/>
  <c r="E37" i="32" s="1"/>
  <c r="E18" i="113"/>
  <c r="G47" i="109"/>
  <c r="U35" i="109"/>
  <c r="R16" i="109"/>
  <c r="S30" i="109" s="1"/>
  <c r="G23" i="80"/>
  <c r="U35" i="80"/>
  <c r="E42" i="121"/>
  <c r="S54" i="121"/>
  <c r="S48" i="90"/>
  <c r="U48" i="90" s="1"/>
  <c r="E23" i="95"/>
  <c r="E18" i="95"/>
  <c r="B29" i="95"/>
  <c r="X5" i="95"/>
  <c r="B41" i="113"/>
  <c r="M35" i="95"/>
  <c r="U10" i="109"/>
  <c r="T36" i="109" s="1"/>
  <c r="E54" i="121"/>
  <c r="F24" i="103"/>
  <c r="W11" i="117"/>
  <c r="V9" i="101"/>
  <c r="U47" i="80"/>
  <c r="G37" i="107"/>
  <c r="E36" i="120"/>
  <c r="G36" i="120" s="1"/>
  <c r="U23" i="101"/>
  <c r="B53" i="113"/>
  <c r="E24" i="120"/>
  <c r="G24" i="120" s="1"/>
  <c r="S36" i="120"/>
  <c r="U36" i="120" s="1"/>
  <c r="W5" i="113"/>
  <c r="U10" i="101"/>
  <c r="U11" i="101" s="1"/>
  <c r="U25" i="101" s="1"/>
  <c r="U10" i="108"/>
  <c r="U48" i="108" s="1"/>
  <c r="S48" i="120"/>
  <c r="U48" i="120" s="1"/>
  <c r="V9" i="108"/>
  <c r="U23" i="108"/>
  <c r="V6" i="95"/>
  <c r="F36" i="102"/>
  <c r="S51" i="99"/>
  <c r="U57" i="113" s="1"/>
  <c r="T23" i="111"/>
  <c r="U24" i="102"/>
  <c r="O6" i="113"/>
  <c r="O66" i="113" s="1"/>
  <c r="G23" i="106"/>
  <c r="F35" i="106"/>
  <c r="Q5" i="113"/>
  <c r="V9" i="111"/>
  <c r="V9" i="112"/>
  <c r="U48" i="102"/>
  <c r="O6" i="95"/>
  <c r="O65" i="95" s="1"/>
  <c r="G48" i="102"/>
  <c r="F48" i="80"/>
  <c r="U11" i="80"/>
  <c r="B7" i="113" s="1"/>
  <c r="B67" i="113" s="1"/>
  <c r="U37" i="88"/>
  <c r="T48" i="93"/>
  <c r="F48" i="93"/>
  <c r="G48" i="93"/>
  <c r="H6" i="113"/>
  <c r="H66" i="113" s="1"/>
  <c r="U11" i="93"/>
  <c r="T24" i="93"/>
  <c r="F24" i="93"/>
  <c r="U36" i="93"/>
  <c r="V10" i="93"/>
  <c r="N12" i="119"/>
  <c r="F36" i="93"/>
  <c r="U48" i="93"/>
  <c r="G24" i="93"/>
  <c r="D43" i="113"/>
  <c r="N13" i="119"/>
  <c r="R14" i="116"/>
  <c r="S52" i="116" s="1"/>
  <c r="U25" i="88"/>
  <c r="U47" i="117"/>
  <c r="V11" i="88"/>
  <c r="E36" i="100"/>
  <c r="G22" i="106"/>
  <c r="S40" i="95"/>
  <c r="S48" i="100"/>
  <c r="M54" i="113" s="1"/>
  <c r="V10" i="89"/>
  <c r="F25" i="90"/>
  <c r="U23" i="117"/>
  <c r="E48" i="100"/>
  <c r="M54" i="95" s="1"/>
  <c r="P32" i="95"/>
  <c r="G49" i="88"/>
  <c r="F23" i="106"/>
  <c r="N11" i="117"/>
  <c r="U48" i="121"/>
  <c r="S26" i="120"/>
  <c r="S53" i="90"/>
  <c r="E59" i="113" s="1"/>
  <c r="E48" i="90"/>
  <c r="G48" i="90" s="1"/>
  <c r="E27" i="99"/>
  <c r="U45" i="95" s="1"/>
  <c r="M18" i="95"/>
  <c r="M18" i="113"/>
  <c r="T37" i="88"/>
  <c r="S52" i="95"/>
  <c r="G25" i="88"/>
  <c r="L6" i="95"/>
  <c r="L65" i="95" s="1"/>
  <c r="G46" i="106"/>
  <c r="D7" i="95"/>
  <c r="D66" i="95" s="1"/>
  <c r="G48" i="121"/>
  <c r="U24" i="121"/>
  <c r="W12" i="119"/>
  <c r="E24" i="100"/>
  <c r="M42" i="95" s="1"/>
  <c r="S36" i="100"/>
  <c r="U9" i="94"/>
  <c r="U8" i="92"/>
  <c r="U9" i="91"/>
  <c r="F23" i="117"/>
  <c r="U10" i="99"/>
  <c r="U6" i="113" s="1"/>
  <c r="R35" i="95"/>
  <c r="I12" i="90"/>
  <c r="W12" i="90" s="1"/>
  <c r="S25" i="116"/>
  <c r="S49" i="116"/>
  <c r="E37" i="116"/>
  <c r="E49" i="116"/>
  <c r="E25" i="116"/>
  <c r="S37" i="116"/>
  <c r="R13" i="88"/>
  <c r="N13" i="88"/>
  <c r="W13" i="88"/>
  <c r="J13" i="111"/>
  <c r="W13" i="111" s="1"/>
  <c r="H11" i="99"/>
  <c r="W11" i="99" s="1"/>
  <c r="K14" i="109"/>
  <c r="W14" i="109" s="1"/>
  <c r="E51" i="99"/>
  <c r="U57" i="95" s="1"/>
  <c r="F10" i="91"/>
  <c r="T10" i="91" s="1"/>
  <c r="K14" i="94"/>
  <c r="R14" i="94" s="1"/>
  <c r="S28" i="94" s="1"/>
  <c r="G14" i="87"/>
  <c r="H14" i="87" s="1"/>
  <c r="I14" i="87" s="1"/>
  <c r="J14" i="87" s="1"/>
  <c r="T14" i="87" s="1"/>
  <c r="U37" i="90"/>
  <c r="L15" i="118"/>
  <c r="W15" i="118" s="1"/>
  <c r="R11" i="120"/>
  <c r="N11" i="120"/>
  <c r="E24" i="95"/>
  <c r="S42" i="90"/>
  <c r="E48" i="113" s="1"/>
  <c r="E54" i="90"/>
  <c r="E60" i="95" s="1"/>
  <c r="E42" i="90"/>
  <c r="E48" i="95" s="1"/>
  <c r="E24" i="113"/>
  <c r="E30" i="90"/>
  <c r="E36" i="95" s="1"/>
  <c r="S30" i="90"/>
  <c r="E36" i="113" s="1"/>
  <c r="S54" i="90"/>
  <c r="E60" i="113" s="1"/>
  <c r="J13" i="101"/>
  <c r="H16" i="112"/>
  <c r="S39" i="99"/>
  <c r="AA63" i="95"/>
  <c r="I12" i="100"/>
  <c r="W12" i="100" s="1"/>
  <c r="U22" i="94"/>
  <c r="M16" i="94"/>
  <c r="W16" i="94" s="1"/>
  <c r="K14" i="121"/>
  <c r="R14" i="121" s="1"/>
  <c r="T35" i="116"/>
  <c r="H11" i="115"/>
  <c r="N11" i="115" s="1"/>
  <c r="L15" i="107"/>
  <c r="W15" i="107" s="1"/>
  <c r="L15" i="119"/>
  <c r="N10" i="119"/>
  <c r="W10" i="119"/>
  <c r="R10" i="119"/>
  <c r="J13" i="118"/>
  <c r="R10" i="117"/>
  <c r="N10" i="117"/>
  <c r="W10" i="117"/>
  <c r="V10" i="117" s="1"/>
  <c r="I12" i="118"/>
  <c r="W12" i="118" s="1"/>
  <c r="J13" i="121"/>
  <c r="N13" i="121" s="1"/>
  <c r="E39" i="99"/>
  <c r="F14" i="91"/>
  <c r="G14" i="91" s="1"/>
  <c r="H14" i="91" s="1"/>
  <c r="I14" i="91" s="1"/>
  <c r="J14" i="91" s="1"/>
  <c r="V9" i="106"/>
  <c r="J13" i="87"/>
  <c r="R13" i="87" s="1"/>
  <c r="E27" i="87" s="1"/>
  <c r="G10" i="87"/>
  <c r="U10" i="87"/>
  <c r="C6" i="113" s="1"/>
  <c r="K14" i="120"/>
  <c r="N14" i="120" s="1"/>
  <c r="I12" i="87"/>
  <c r="N12" i="87" s="1"/>
  <c r="K14" i="107"/>
  <c r="N14" i="107" s="1"/>
  <c r="N16" i="120"/>
  <c r="W16" i="120"/>
  <c r="R16" i="120"/>
  <c r="K14" i="103"/>
  <c r="J13" i="103"/>
  <c r="J13" i="100"/>
  <c r="W11" i="120"/>
  <c r="V11" i="120" s="1"/>
  <c r="U11" i="102"/>
  <c r="U12" i="102" s="1"/>
  <c r="U11" i="110"/>
  <c r="U12" i="110" s="1"/>
  <c r="U48" i="80"/>
  <c r="W9" i="87"/>
  <c r="V9" i="87" s="1"/>
  <c r="U36" i="90"/>
  <c r="T35" i="111"/>
  <c r="G47" i="111"/>
  <c r="T49" i="90"/>
  <c r="V11" i="90"/>
  <c r="F24" i="80"/>
  <c r="F47" i="111"/>
  <c r="Z5" i="113"/>
  <c r="Z65" i="113" s="1"/>
  <c r="F23" i="111"/>
  <c r="G35" i="111"/>
  <c r="E7" i="95"/>
  <c r="E66" i="95" s="1"/>
  <c r="E6" i="95"/>
  <c r="U36" i="80"/>
  <c r="T24" i="80"/>
  <c r="W15" i="93"/>
  <c r="F35" i="111"/>
  <c r="F36" i="80"/>
  <c r="V10" i="90"/>
  <c r="U11" i="121"/>
  <c r="U12" i="121" s="1"/>
  <c r="F47" i="116"/>
  <c r="F23" i="116"/>
  <c r="G48" i="120"/>
  <c r="F48" i="120"/>
  <c r="M5" i="113"/>
  <c r="U10" i="100"/>
  <c r="T24" i="100" s="1"/>
  <c r="U10" i="112"/>
  <c r="G36" i="112" s="1"/>
  <c r="AA5" i="113"/>
  <c r="AA5" i="95"/>
  <c r="G24" i="102"/>
  <c r="V10" i="102"/>
  <c r="T48" i="102"/>
  <c r="T36" i="102"/>
  <c r="G36" i="102"/>
  <c r="F24" i="102"/>
  <c r="U36" i="102"/>
  <c r="G15" i="115"/>
  <c r="H15" i="115" s="1"/>
  <c r="I15" i="115" s="1"/>
  <c r="J15" i="115" s="1"/>
  <c r="K15" i="115" s="1"/>
  <c r="T15" i="115" s="1"/>
  <c r="V55" i="95"/>
  <c r="U25" i="90"/>
  <c r="F49" i="90"/>
  <c r="F37" i="90"/>
  <c r="G25" i="90"/>
  <c r="E7" i="113"/>
  <c r="E67" i="113" s="1"/>
  <c r="U49" i="90"/>
  <c r="G49" i="90"/>
  <c r="T37" i="90"/>
  <c r="U23" i="106"/>
  <c r="U35" i="106"/>
  <c r="T35" i="106"/>
  <c r="F47" i="106"/>
  <c r="U47" i="106"/>
  <c r="G35" i="106"/>
  <c r="T47" i="106"/>
  <c r="T23" i="106"/>
  <c r="S5" i="95"/>
  <c r="S64" i="95" s="1"/>
  <c r="G47" i="106"/>
  <c r="T48" i="103"/>
  <c r="V10" i="103"/>
  <c r="P6" i="95"/>
  <c r="P65" i="95" s="1"/>
  <c r="U24" i="103"/>
  <c r="F48" i="103"/>
  <c r="T24" i="103"/>
  <c r="G36" i="103"/>
  <c r="F36" i="103"/>
  <c r="U36" i="103"/>
  <c r="G48" i="103"/>
  <c r="U48" i="118"/>
  <c r="U36" i="118"/>
  <c r="G36" i="118"/>
  <c r="G24" i="118"/>
  <c r="U24" i="118"/>
  <c r="V10" i="107"/>
  <c r="U24" i="89"/>
  <c r="U23" i="112"/>
  <c r="U23" i="104"/>
  <c r="G24" i="80"/>
  <c r="U24" i="80"/>
  <c r="V9" i="118"/>
  <c r="R15" i="93"/>
  <c r="S29" i="93" s="1"/>
  <c r="U21" i="95"/>
  <c r="U21" i="113"/>
  <c r="O64" i="113"/>
  <c r="T25" i="88"/>
  <c r="T47" i="111"/>
  <c r="Z5" i="95"/>
  <c r="Z64" i="95" s="1"/>
  <c r="U24" i="107"/>
  <c r="U35" i="111"/>
  <c r="U47" i="111"/>
  <c r="R9" i="87"/>
  <c r="E23" i="87" s="1"/>
  <c r="C29" i="95" s="1"/>
  <c r="E26" i="112"/>
  <c r="AA32" i="95" s="1"/>
  <c r="E6" i="113"/>
  <c r="B6" i="95"/>
  <c r="V9" i="104"/>
  <c r="B6" i="113"/>
  <c r="B66" i="113" s="1"/>
  <c r="G36" i="121"/>
  <c r="S34" i="95"/>
  <c r="S46" i="95"/>
  <c r="U10" i="111"/>
  <c r="V10" i="111" s="1"/>
  <c r="U23" i="111"/>
  <c r="T47" i="116"/>
  <c r="F35" i="116"/>
  <c r="Q6" i="113"/>
  <c r="Q66" i="113" s="1"/>
  <c r="T48" i="104"/>
  <c r="U36" i="104"/>
  <c r="Q6" i="95"/>
  <c r="Q65" i="95" s="1"/>
  <c r="T24" i="104"/>
  <c r="G36" i="104"/>
  <c r="T36" i="104"/>
  <c r="G48" i="104"/>
  <c r="U11" i="104"/>
  <c r="U48" i="104"/>
  <c r="V10" i="104"/>
  <c r="F24" i="104"/>
  <c r="F48" i="104"/>
  <c r="U24" i="104"/>
  <c r="G24" i="104"/>
  <c r="F36" i="104"/>
  <c r="Q5" i="95"/>
  <c r="G36" i="80"/>
  <c r="T48" i="80"/>
  <c r="V10" i="80"/>
  <c r="T36" i="80"/>
  <c r="U24" i="110"/>
  <c r="U47" i="121"/>
  <c r="T47" i="121"/>
  <c r="U35" i="121"/>
  <c r="T35" i="121"/>
  <c r="U11" i="103"/>
  <c r="G49" i="103" s="1"/>
  <c r="G24" i="103"/>
  <c r="N11" i="121"/>
  <c r="R11" i="121"/>
  <c r="G34" i="117"/>
  <c r="F34" i="117"/>
  <c r="G13" i="115"/>
  <c r="H13" i="115" s="1"/>
  <c r="I13" i="115" s="1"/>
  <c r="T13" i="115" s="1"/>
  <c r="G10" i="115"/>
  <c r="W10" i="115" s="1"/>
  <c r="U12" i="120"/>
  <c r="F24" i="121"/>
  <c r="T48" i="121"/>
  <c r="H16" i="118"/>
  <c r="G16" i="115"/>
  <c r="N10" i="105"/>
  <c r="R10" i="105"/>
  <c r="W10" i="105"/>
  <c r="G37" i="90"/>
  <c r="G35" i="121"/>
  <c r="F35" i="121"/>
  <c r="E46" i="115"/>
  <c r="S46" i="115"/>
  <c r="E34" i="115"/>
  <c r="S22" i="115"/>
  <c r="E22" i="115"/>
  <c r="S34" i="115"/>
  <c r="G14" i="115"/>
  <c r="G46" i="117"/>
  <c r="F46" i="117"/>
  <c r="E50" i="115"/>
  <c r="S38" i="115"/>
  <c r="S26" i="115"/>
  <c r="S50" i="115"/>
  <c r="E38" i="115"/>
  <c r="E26" i="115"/>
  <c r="I15" i="120"/>
  <c r="F48" i="121"/>
  <c r="V9" i="119"/>
  <c r="U10" i="119"/>
  <c r="U11" i="89"/>
  <c r="U12" i="89" s="1"/>
  <c r="T50" i="89" s="1"/>
  <c r="U23" i="121"/>
  <c r="T23" i="121"/>
  <c r="S25" i="117"/>
  <c r="E37" i="117"/>
  <c r="E25" i="117"/>
  <c r="S49" i="117"/>
  <c r="E49" i="117"/>
  <c r="S37" i="117"/>
  <c r="U11" i="116"/>
  <c r="V10" i="116"/>
  <c r="F36" i="116"/>
  <c r="F48" i="116"/>
  <c r="F24" i="116"/>
  <c r="T24" i="116"/>
  <c r="T48" i="116"/>
  <c r="T36" i="116"/>
  <c r="G36" i="116"/>
  <c r="U48" i="116"/>
  <c r="G24" i="116"/>
  <c r="G48" i="116"/>
  <c r="U36" i="116"/>
  <c r="U24" i="116"/>
  <c r="T23" i="116"/>
  <c r="H13" i="117"/>
  <c r="U34" i="117"/>
  <c r="T34" i="117"/>
  <c r="U46" i="117"/>
  <c r="T46" i="117"/>
  <c r="S35" i="118"/>
  <c r="S23" i="118"/>
  <c r="E35" i="118"/>
  <c r="E47" i="118"/>
  <c r="E23" i="118"/>
  <c r="S47" i="118"/>
  <c r="S35" i="119"/>
  <c r="U35" i="119" s="1"/>
  <c r="E47" i="119"/>
  <c r="G47" i="119" s="1"/>
  <c r="S23" i="119"/>
  <c r="U23" i="119" s="1"/>
  <c r="E35" i="119"/>
  <c r="G35" i="119" s="1"/>
  <c r="S47" i="119"/>
  <c r="U47" i="119" s="1"/>
  <c r="E23" i="119"/>
  <c r="G23" i="119" s="1"/>
  <c r="I12" i="93"/>
  <c r="M16" i="116"/>
  <c r="F36" i="121"/>
  <c r="U9" i="115"/>
  <c r="U11" i="118"/>
  <c r="G25" i="118" s="1"/>
  <c r="V10" i="118"/>
  <c r="T36" i="118"/>
  <c r="F48" i="118"/>
  <c r="T48" i="118"/>
  <c r="F36" i="118"/>
  <c r="T24" i="118"/>
  <c r="F24" i="118"/>
  <c r="G48" i="118"/>
  <c r="U11" i="117"/>
  <c r="U12" i="88"/>
  <c r="U26" i="88" s="1"/>
  <c r="D7" i="113"/>
  <c r="D67" i="113" s="1"/>
  <c r="G23" i="121"/>
  <c r="F23" i="121"/>
  <c r="G47" i="121"/>
  <c r="F47" i="121"/>
  <c r="I13" i="116"/>
  <c r="W11" i="121"/>
  <c r="H14" i="118"/>
  <c r="U22" i="117"/>
  <c r="T22" i="117"/>
  <c r="G22" i="117"/>
  <c r="F22" i="117"/>
  <c r="S26" i="119"/>
  <c r="S38" i="119"/>
  <c r="E26" i="119"/>
  <c r="S50" i="119"/>
  <c r="E38" i="119"/>
  <c r="E50" i="119"/>
  <c r="T24" i="121"/>
  <c r="T36" i="121"/>
  <c r="N9" i="115"/>
  <c r="R9" i="115"/>
  <c r="U10" i="105"/>
  <c r="U10" i="106"/>
  <c r="U24" i="106" s="1"/>
  <c r="B48" i="113"/>
  <c r="AA20" i="113"/>
  <c r="S38" i="112"/>
  <c r="AA44" i="113" s="1"/>
  <c r="S50" i="112"/>
  <c r="AA20" i="95"/>
  <c r="AA32" i="113"/>
  <c r="J13" i="90"/>
  <c r="R13" i="90" s="1"/>
  <c r="E50" i="112"/>
  <c r="E38" i="112"/>
  <c r="AA44" i="95" s="1"/>
  <c r="M16" i="88"/>
  <c r="N16" i="88" s="1"/>
  <c r="I12" i="111"/>
  <c r="W12" i="111" s="1"/>
  <c r="I16" i="100"/>
  <c r="I12" i="101"/>
  <c r="I15" i="111"/>
  <c r="J15" i="111" s="1"/>
  <c r="K15" i="111" s="1"/>
  <c r="T15" i="111" s="1"/>
  <c r="D7" i="96"/>
  <c r="C9" i="96"/>
  <c r="C13" i="96"/>
  <c r="C14" i="96"/>
  <c r="C12" i="96"/>
  <c r="C16" i="96"/>
  <c r="C11" i="96"/>
  <c r="C15" i="96"/>
  <c r="C10" i="96"/>
  <c r="C8" i="96"/>
  <c r="AA42" i="95"/>
  <c r="P5" i="113"/>
  <c r="G23" i="103"/>
  <c r="G35" i="103"/>
  <c r="P5" i="95"/>
  <c r="V9" i="103"/>
  <c r="F47" i="103"/>
  <c r="P35" i="95"/>
  <c r="W40" i="113"/>
  <c r="G22" i="94"/>
  <c r="U52" i="113"/>
  <c r="Y63" i="95"/>
  <c r="T34" i="108"/>
  <c r="I4" i="95"/>
  <c r="W52" i="113"/>
  <c r="U64" i="113"/>
  <c r="Q32" i="95"/>
  <c r="R48" i="95"/>
  <c r="T46" i="108"/>
  <c r="E64" i="113"/>
  <c r="Q35" i="97" s="1"/>
  <c r="O52" i="113"/>
  <c r="G34" i="108"/>
  <c r="F34" i="108"/>
  <c r="U46" i="94"/>
  <c r="G46" i="94"/>
  <c r="F46" i="108"/>
  <c r="G46" i="108"/>
  <c r="V8" i="94"/>
  <c r="G34" i="94"/>
  <c r="U34" i="94"/>
  <c r="I4" i="113"/>
  <c r="T46" i="99"/>
  <c r="AA54" i="95"/>
  <c r="AA30" i="95"/>
  <c r="AA42" i="113"/>
  <c r="F23" i="99"/>
  <c r="F25" i="101"/>
  <c r="R36" i="95"/>
  <c r="G47" i="99"/>
  <c r="F22" i="108"/>
  <c r="G35" i="99"/>
  <c r="S63" i="95"/>
  <c r="U47" i="99"/>
  <c r="U5" i="95"/>
  <c r="U64" i="95" s="1"/>
  <c r="G22" i="108"/>
  <c r="T47" i="99"/>
  <c r="U5" i="113"/>
  <c r="U65" i="113" s="1"/>
  <c r="T23" i="99"/>
  <c r="U35" i="99"/>
  <c r="V9" i="99"/>
  <c r="F35" i="99"/>
  <c r="G23" i="99"/>
  <c r="F47" i="99"/>
  <c r="T35" i="99"/>
  <c r="S64" i="113"/>
  <c r="M34" i="95"/>
  <c r="U36" i="95"/>
  <c r="U40" i="95"/>
  <c r="U48" i="95"/>
  <c r="S48" i="95"/>
  <c r="N8" i="91"/>
  <c r="T46" i="102"/>
  <c r="Q44" i="95"/>
  <c r="U47" i="100"/>
  <c r="G47" i="100"/>
  <c r="G23" i="100"/>
  <c r="G34" i="99"/>
  <c r="D64" i="95"/>
  <c r="D41" i="32" s="1"/>
  <c r="N63" i="95"/>
  <c r="U34" i="99"/>
  <c r="F24" i="110"/>
  <c r="R12" i="91"/>
  <c r="S26" i="91" s="1"/>
  <c r="F46" i="99"/>
  <c r="U23" i="100"/>
  <c r="U52" i="95"/>
  <c r="I63" i="113"/>
  <c r="U34" i="97" s="1"/>
  <c r="F46" i="102"/>
  <c r="U23" i="89"/>
  <c r="O52" i="95"/>
  <c r="V9" i="100"/>
  <c r="T41" i="97"/>
  <c r="U28" i="95"/>
  <c r="U63" i="95" s="1"/>
  <c r="F22" i="99"/>
  <c r="F23" i="103"/>
  <c r="T24" i="110"/>
  <c r="V10" i="110"/>
  <c r="F35" i="103"/>
  <c r="M5" i="95"/>
  <c r="H65" i="95"/>
  <c r="N64" i="113"/>
  <c r="R8" i="91"/>
  <c r="S22" i="91" s="1"/>
  <c r="W12" i="91"/>
  <c r="O40" i="95"/>
  <c r="U23" i="102"/>
  <c r="V44" i="113"/>
  <c r="V44" i="95"/>
  <c r="T35" i="103"/>
  <c r="U35" i="103"/>
  <c r="F35" i="104"/>
  <c r="G35" i="104"/>
  <c r="V56" i="95"/>
  <c r="X59" i="95"/>
  <c r="T35" i="100"/>
  <c r="U35" i="100"/>
  <c r="T34" i="103"/>
  <c r="U34" i="103"/>
  <c r="Y44" i="113"/>
  <c r="U23" i="110"/>
  <c r="C59" i="113"/>
  <c r="S57" i="113"/>
  <c r="E59" i="95"/>
  <c r="X59" i="113"/>
  <c r="P53" i="113"/>
  <c r="U47" i="103"/>
  <c r="L57" i="113"/>
  <c r="F34" i="102"/>
  <c r="G34" i="102"/>
  <c r="U48" i="110"/>
  <c r="L56" i="95"/>
  <c r="X47" i="113"/>
  <c r="W59" i="113"/>
  <c r="O56" i="113"/>
  <c r="S57" i="95"/>
  <c r="L57" i="95"/>
  <c r="C52" i="113"/>
  <c r="U46" i="87"/>
  <c r="C47" i="95"/>
  <c r="L56" i="113"/>
  <c r="C40" i="113"/>
  <c r="U34" i="87"/>
  <c r="C47" i="113"/>
  <c r="W47" i="113"/>
  <c r="C28" i="95"/>
  <c r="G22" i="87"/>
  <c r="F34" i="105"/>
  <c r="G34" i="105"/>
  <c r="Y56" i="113"/>
  <c r="C35" i="95"/>
  <c r="G24" i="110"/>
  <c r="X47" i="95"/>
  <c r="U21" i="92"/>
  <c r="P53" i="95"/>
  <c r="G47" i="103"/>
  <c r="W59" i="95"/>
  <c r="F22" i="102"/>
  <c r="P60" i="95"/>
  <c r="C52" i="95"/>
  <c r="G46" i="87"/>
  <c r="W63" i="95"/>
  <c r="T34" i="105"/>
  <c r="U34" i="105"/>
  <c r="M55" i="113"/>
  <c r="Y32" i="95"/>
  <c r="G36" i="110"/>
  <c r="W16" i="91"/>
  <c r="V56" i="113"/>
  <c r="W47" i="95"/>
  <c r="O56" i="95"/>
  <c r="F34" i="103"/>
  <c r="G34" i="103"/>
  <c r="U23" i="105"/>
  <c r="Q60" i="95"/>
  <c r="F34" i="89"/>
  <c r="G34" i="89"/>
  <c r="L45" i="95"/>
  <c r="O28" i="95"/>
  <c r="O63" i="95" s="1"/>
  <c r="P60" i="113"/>
  <c r="M55" i="95"/>
  <c r="Y56" i="95"/>
  <c r="C59" i="95"/>
  <c r="T34" i="102"/>
  <c r="U34" i="102"/>
  <c r="Q60" i="113"/>
  <c r="X35" i="95"/>
  <c r="F35" i="100"/>
  <c r="G35" i="100"/>
  <c r="W35" i="95"/>
  <c r="T34" i="89"/>
  <c r="U34" i="89"/>
  <c r="C40" i="95"/>
  <c r="G34" i="87"/>
  <c r="L44" i="95"/>
  <c r="U36" i="110"/>
  <c r="G48" i="110"/>
  <c r="T24" i="88"/>
  <c r="D30" i="113"/>
  <c r="D66" i="113" s="1"/>
  <c r="H14" i="99"/>
  <c r="I14" i="99" s="1"/>
  <c r="J14" i="99" s="1"/>
  <c r="T14" i="99" s="1"/>
  <c r="D42" i="113"/>
  <c r="T36" i="88"/>
  <c r="I28" i="95"/>
  <c r="I35" i="32" s="1"/>
  <c r="F22" i="94"/>
  <c r="Q35" i="113"/>
  <c r="Q47" i="113"/>
  <c r="H11" i="110"/>
  <c r="Y5" i="113"/>
  <c r="Y5" i="95"/>
  <c r="V9" i="110"/>
  <c r="L19" i="113"/>
  <c r="S37" i="89"/>
  <c r="E49" i="89"/>
  <c r="E37" i="89"/>
  <c r="E25" i="89"/>
  <c r="L19" i="95"/>
  <c r="S49" i="89"/>
  <c r="F24" i="113"/>
  <c r="F24" i="95"/>
  <c r="E30" i="91"/>
  <c r="E54" i="91"/>
  <c r="E42" i="91"/>
  <c r="S54" i="91"/>
  <c r="S42" i="91"/>
  <c r="S30" i="91"/>
  <c r="T47" i="104"/>
  <c r="Q22" i="113"/>
  <c r="S40" i="104"/>
  <c r="E28" i="104"/>
  <c r="Q22" i="95"/>
  <c r="E52" i="104"/>
  <c r="S52" i="104"/>
  <c r="E40" i="104"/>
  <c r="F24" i="90"/>
  <c r="Z18" i="113"/>
  <c r="S36" i="111"/>
  <c r="Z18" i="95"/>
  <c r="E24" i="111"/>
  <c r="E36" i="111"/>
  <c r="E48" i="111"/>
  <c r="S48" i="111"/>
  <c r="M53" i="113"/>
  <c r="T47" i="100"/>
  <c r="I14" i="93"/>
  <c r="N59" i="113"/>
  <c r="W35" i="113"/>
  <c r="T22" i="103"/>
  <c r="P40" i="113"/>
  <c r="P28" i="113"/>
  <c r="P64" i="113" s="1"/>
  <c r="T23" i="109"/>
  <c r="X29" i="113"/>
  <c r="X65" i="113" s="1"/>
  <c r="D56" i="95"/>
  <c r="Y6" i="113"/>
  <c r="Y66" i="113" s="1"/>
  <c r="T36" i="110"/>
  <c r="Y6" i="95"/>
  <c r="Y65" i="95" s="1"/>
  <c r="F48" i="110"/>
  <c r="F36" i="110"/>
  <c r="T48" i="110"/>
  <c r="H13" i="110"/>
  <c r="P48" i="113"/>
  <c r="P36" i="113"/>
  <c r="E54" i="109"/>
  <c r="R52" i="113"/>
  <c r="T46" i="105"/>
  <c r="I21" i="113"/>
  <c r="S39" i="94"/>
  <c r="E27" i="94"/>
  <c r="I21" i="95"/>
  <c r="E51" i="94"/>
  <c r="E39" i="94"/>
  <c r="S51" i="94"/>
  <c r="T21" i="91"/>
  <c r="F27" i="113"/>
  <c r="R24" i="97" s="1"/>
  <c r="R44" i="97" s="1"/>
  <c r="AA17" i="113"/>
  <c r="S35" i="112"/>
  <c r="U35" i="112" s="1"/>
  <c r="AA17" i="95"/>
  <c r="E23" i="112"/>
  <c r="G23" i="112" s="1"/>
  <c r="E47" i="112"/>
  <c r="E35" i="112"/>
  <c r="G35" i="112" s="1"/>
  <c r="S47" i="112"/>
  <c r="O9" i="97"/>
  <c r="H13" i="102"/>
  <c r="I16" i="101"/>
  <c r="J16" i="101" s="1"/>
  <c r="K16" i="101" s="1"/>
  <c r="L16" i="101" s="1"/>
  <c r="S16" i="101" s="1"/>
  <c r="W20" i="113"/>
  <c r="E26" i="108"/>
  <c r="W20" i="95"/>
  <c r="S38" i="108"/>
  <c r="E38" i="108"/>
  <c r="E50" i="108"/>
  <c r="S50" i="108"/>
  <c r="W15" i="91"/>
  <c r="H11" i="105"/>
  <c r="H13" i="112"/>
  <c r="I13" i="112" s="1"/>
  <c r="T13" i="112" s="1"/>
  <c r="V32" i="95"/>
  <c r="P29" i="95"/>
  <c r="P41" i="95"/>
  <c r="M53" i="95"/>
  <c r="F47" i="100"/>
  <c r="AA22" i="113"/>
  <c r="AA22" i="95"/>
  <c r="S40" i="112"/>
  <c r="E40" i="112"/>
  <c r="E28" i="112"/>
  <c r="S52" i="112"/>
  <c r="E52" i="112"/>
  <c r="E41" i="95"/>
  <c r="F35" i="90"/>
  <c r="E14" i="92"/>
  <c r="S20" i="113"/>
  <c r="E38" i="106"/>
  <c r="E26" i="106"/>
  <c r="S38" i="106"/>
  <c r="S20" i="95"/>
  <c r="E50" i="106"/>
  <c r="S50" i="106"/>
  <c r="Q36" i="113"/>
  <c r="Q48" i="113"/>
  <c r="D44" i="95"/>
  <c r="L52" i="113"/>
  <c r="T46" i="89"/>
  <c r="F9" i="91"/>
  <c r="L5" i="113"/>
  <c r="L5" i="95"/>
  <c r="L64" i="95" s="1"/>
  <c r="R52" i="95"/>
  <c r="F46" i="105"/>
  <c r="N17" i="113"/>
  <c r="S35" i="101"/>
  <c r="E23" i="101"/>
  <c r="G23" i="101" s="1"/>
  <c r="E35" i="101"/>
  <c r="E47" i="101"/>
  <c r="G47" i="101" s="1"/>
  <c r="N17" i="95"/>
  <c r="S47" i="101"/>
  <c r="U47" i="101" s="1"/>
  <c r="E35" i="110"/>
  <c r="Y17" i="113"/>
  <c r="S35" i="110"/>
  <c r="E47" i="110"/>
  <c r="Y17" i="95"/>
  <c r="E23" i="110"/>
  <c r="G23" i="110" s="1"/>
  <c r="S47" i="110"/>
  <c r="F46" i="87"/>
  <c r="E10" i="92"/>
  <c r="H11" i="102"/>
  <c r="E34" i="113"/>
  <c r="N16" i="91"/>
  <c r="L18" i="113"/>
  <c r="S36" i="89"/>
  <c r="L18" i="95"/>
  <c r="E48" i="89"/>
  <c r="G48" i="89" s="1"/>
  <c r="E24" i="89"/>
  <c r="G24" i="89" s="1"/>
  <c r="E36" i="89"/>
  <c r="S48" i="89"/>
  <c r="U48" i="89" s="1"/>
  <c r="G3" i="95"/>
  <c r="S8" i="97" s="1"/>
  <c r="G3" i="113"/>
  <c r="V7" i="92"/>
  <c r="T23" i="103"/>
  <c r="P41" i="113"/>
  <c r="P29" i="113"/>
  <c r="E29" i="95"/>
  <c r="E36" i="32" s="1"/>
  <c r="F23" i="90"/>
  <c r="X53" i="113"/>
  <c r="T47" i="109"/>
  <c r="Q36" i="95"/>
  <c r="Q48" i="95"/>
  <c r="G11" i="94"/>
  <c r="S11" i="94" s="1"/>
  <c r="D32" i="95"/>
  <c r="S45" i="113"/>
  <c r="S33" i="113"/>
  <c r="M63" i="95"/>
  <c r="L40" i="95"/>
  <c r="F22" i="89"/>
  <c r="R11" i="111"/>
  <c r="S25" i="111" s="1"/>
  <c r="N11" i="111"/>
  <c r="W11" i="111"/>
  <c r="W64" i="113"/>
  <c r="R40" i="95"/>
  <c r="R28" i="95"/>
  <c r="R63" i="95" s="1"/>
  <c r="F22" i="105"/>
  <c r="Y32" i="113"/>
  <c r="T33" i="91"/>
  <c r="F39" i="113"/>
  <c r="D54" i="113"/>
  <c r="T48" i="88"/>
  <c r="D42" i="95"/>
  <c r="F36" i="88"/>
  <c r="O17" i="113"/>
  <c r="S35" i="102"/>
  <c r="E23" i="102"/>
  <c r="G23" i="102" s="1"/>
  <c r="E47" i="102"/>
  <c r="F47" i="102" s="1"/>
  <c r="O17" i="95"/>
  <c r="E35" i="102"/>
  <c r="S47" i="102"/>
  <c r="T22" i="94"/>
  <c r="I28" i="113"/>
  <c r="Q59" i="95"/>
  <c r="H16" i="110"/>
  <c r="O23" i="113"/>
  <c r="O23" i="95"/>
  <c r="E29" i="102"/>
  <c r="S41" i="102"/>
  <c r="S53" i="102"/>
  <c r="E53" i="102"/>
  <c r="E41" i="102"/>
  <c r="E9" i="92"/>
  <c r="F9" i="92" s="1"/>
  <c r="R9" i="92" s="1"/>
  <c r="S23" i="92" s="1"/>
  <c r="R15" i="91"/>
  <c r="E11" i="92"/>
  <c r="F11" i="92" s="1"/>
  <c r="G11" i="92" s="1"/>
  <c r="M41" i="95"/>
  <c r="M29" i="95"/>
  <c r="F23" i="100"/>
  <c r="H15" i="110"/>
  <c r="N47" i="113"/>
  <c r="N35" i="113"/>
  <c r="T20" i="97"/>
  <c r="T40" i="97" s="1"/>
  <c r="H64" i="95"/>
  <c r="E53" i="95"/>
  <c r="F47" i="90"/>
  <c r="O44" i="95"/>
  <c r="O32" i="95"/>
  <c r="X53" i="95"/>
  <c r="F47" i="109"/>
  <c r="E15" i="92"/>
  <c r="F15" i="92" s="1"/>
  <c r="G15" i="92" s="1"/>
  <c r="H15" i="92" s="1"/>
  <c r="I15" i="92" s="1"/>
  <c r="J15" i="92" s="1"/>
  <c r="K15" i="92" s="1"/>
  <c r="R17" i="113"/>
  <c r="S35" i="105"/>
  <c r="R17" i="95"/>
  <c r="E23" i="105"/>
  <c r="G23" i="105" s="1"/>
  <c r="E47" i="105"/>
  <c r="F47" i="105" s="1"/>
  <c r="E35" i="105"/>
  <c r="S47" i="105"/>
  <c r="D32" i="113"/>
  <c r="S33" i="95"/>
  <c r="S45" i="95"/>
  <c r="L52" i="95"/>
  <c r="F46" i="89"/>
  <c r="E30" i="87"/>
  <c r="C24" i="113"/>
  <c r="C24" i="95"/>
  <c r="E54" i="87"/>
  <c r="E42" i="87"/>
  <c r="S30" i="87"/>
  <c r="S54" i="87"/>
  <c r="S42" i="87"/>
  <c r="F11" i="91"/>
  <c r="E16" i="92"/>
  <c r="R5" i="113"/>
  <c r="V9" i="105"/>
  <c r="R5" i="95"/>
  <c r="G12" i="94"/>
  <c r="T23" i="108"/>
  <c r="W29" i="113"/>
  <c r="S18" i="113"/>
  <c r="S36" i="106"/>
  <c r="S18" i="95"/>
  <c r="E36" i="106"/>
  <c r="E24" i="106"/>
  <c r="E48" i="106"/>
  <c r="S48" i="106"/>
  <c r="T34" i="87"/>
  <c r="D30" i="95"/>
  <c r="D37" i="32" s="1"/>
  <c r="F24" i="88"/>
  <c r="I40" i="113"/>
  <c r="T34" i="94"/>
  <c r="Q59" i="113"/>
  <c r="P19" i="97"/>
  <c r="D63" i="95"/>
  <c r="D40" i="32" s="1"/>
  <c r="R14" i="88"/>
  <c r="N14" i="88"/>
  <c r="H14" i="110"/>
  <c r="I14" i="110" s="1"/>
  <c r="J14" i="110" s="1"/>
  <c r="S14" i="110" s="1"/>
  <c r="T47" i="103"/>
  <c r="N47" i="95"/>
  <c r="N35" i="95"/>
  <c r="E41" i="113"/>
  <c r="T35" i="90"/>
  <c r="R22" i="113"/>
  <c r="R22" i="95"/>
  <c r="E28" i="105"/>
  <c r="E52" i="105"/>
  <c r="E40" i="105"/>
  <c r="S40" i="105"/>
  <c r="S52" i="105"/>
  <c r="O32" i="113"/>
  <c r="O44" i="113"/>
  <c r="P52" i="113"/>
  <c r="T46" i="103"/>
  <c r="J15" i="88"/>
  <c r="K15" i="88" s="1"/>
  <c r="D44" i="113"/>
  <c r="M64" i="113"/>
  <c r="H14" i="89"/>
  <c r="Z63" i="95"/>
  <c r="P48" i="95"/>
  <c r="P36" i="95"/>
  <c r="T22" i="87"/>
  <c r="C28" i="113"/>
  <c r="O25" i="97" s="1"/>
  <c r="T22" i="105"/>
  <c r="R28" i="113"/>
  <c r="R64" i="113" s="1"/>
  <c r="R40" i="113"/>
  <c r="M43" i="95"/>
  <c r="M31" i="95"/>
  <c r="E12" i="92"/>
  <c r="F33" i="91"/>
  <c r="F39" i="95"/>
  <c r="C35" i="113"/>
  <c r="G10" i="94"/>
  <c r="W10" i="94" s="1"/>
  <c r="O5" i="113"/>
  <c r="V9" i="102"/>
  <c r="O5" i="95"/>
  <c r="T23" i="104"/>
  <c r="Q41" i="113"/>
  <c r="Q29" i="113"/>
  <c r="L17" i="113"/>
  <c r="S35" i="89"/>
  <c r="E23" i="89"/>
  <c r="L17" i="95"/>
  <c r="E47" i="89"/>
  <c r="E35" i="89"/>
  <c r="S47" i="89"/>
  <c r="X35" i="113"/>
  <c r="E42" i="113"/>
  <c r="T36" i="90"/>
  <c r="N59" i="95"/>
  <c r="T23" i="90"/>
  <c r="E29" i="113"/>
  <c r="P40" i="95"/>
  <c r="P28" i="95"/>
  <c r="P63" i="95" s="1"/>
  <c r="F22" i="103"/>
  <c r="X29" i="95"/>
  <c r="F23" i="109"/>
  <c r="P25" i="97"/>
  <c r="P45" i="97" s="1"/>
  <c r="D64" i="113"/>
  <c r="P35" i="97" s="1"/>
  <c r="D65" i="113"/>
  <c r="P36" i="97" s="1"/>
  <c r="T22" i="89"/>
  <c r="L28" i="113"/>
  <c r="L64" i="113" s="1"/>
  <c r="L40" i="113"/>
  <c r="M30" i="113"/>
  <c r="M42" i="113"/>
  <c r="W14" i="88"/>
  <c r="F13" i="91"/>
  <c r="G13" i="91" s="1"/>
  <c r="H13" i="91" s="1"/>
  <c r="I13" i="91" s="1"/>
  <c r="T13" i="91" s="1"/>
  <c r="M31" i="113"/>
  <c r="M43" i="113"/>
  <c r="F21" i="91"/>
  <c r="F27" i="95"/>
  <c r="T46" i="87"/>
  <c r="I13" i="93"/>
  <c r="D54" i="95"/>
  <c r="F48" i="88"/>
  <c r="I52" i="113"/>
  <c r="T46" i="94"/>
  <c r="Q35" i="95"/>
  <c r="Q47" i="95"/>
  <c r="N11" i="106"/>
  <c r="R11" i="106"/>
  <c r="S25" i="106" s="1"/>
  <c r="W11" i="106"/>
  <c r="S23" i="113"/>
  <c r="E29" i="106"/>
  <c r="S23" i="95"/>
  <c r="S41" i="106"/>
  <c r="E41" i="106"/>
  <c r="S53" i="106"/>
  <c r="E53" i="106"/>
  <c r="G11" i="87"/>
  <c r="T11" i="87" s="1"/>
  <c r="L15" i="94"/>
  <c r="T26" i="97"/>
  <c r="T46" i="97" s="1"/>
  <c r="H65" i="113"/>
  <c r="T36" i="97" s="1"/>
  <c r="H15" i="89"/>
  <c r="T23" i="100"/>
  <c r="M29" i="113"/>
  <c r="M65" i="113" s="1"/>
  <c r="M41" i="113"/>
  <c r="V21" i="113"/>
  <c r="E27" i="107"/>
  <c r="E51" i="107"/>
  <c r="S39" i="107"/>
  <c r="V21" i="95"/>
  <c r="E39" i="107"/>
  <c r="S51" i="107"/>
  <c r="R10" i="99"/>
  <c r="S24" i="99" s="1"/>
  <c r="N10" i="99"/>
  <c r="X41" i="95"/>
  <c r="F35" i="109"/>
  <c r="O24" i="113"/>
  <c r="S42" i="102"/>
  <c r="S54" i="102"/>
  <c r="E42" i="102"/>
  <c r="E54" i="102"/>
  <c r="E30" i="102"/>
  <c r="O24" i="95"/>
  <c r="D56" i="113"/>
  <c r="R9" i="94"/>
  <c r="S23" i="94" s="1"/>
  <c r="N9" i="94"/>
  <c r="R11" i="109"/>
  <c r="S25" i="109" s="1"/>
  <c r="N11" i="109"/>
  <c r="W11" i="109"/>
  <c r="E8" i="92"/>
  <c r="W8" i="92" s="1"/>
  <c r="Z64" i="113"/>
  <c r="V18" i="113"/>
  <c r="S36" i="107"/>
  <c r="U36" i="107" s="1"/>
  <c r="E48" i="107"/>
  <c r="G48" i="107" s="1"/>
  <c r="V18" i="95"/>
  <c r="E24" i="107"/>
  <c r="G24" i="107" s="1"/>
  <c r="E36" i="107"/>
  <c r="G36" i="107" s="1"/>
  <c r="S48" i="107"/>
  <c r="U48" i="107" s="1"/>
  <c r="F45" i="91"/>
  <c r="F51" i="95"/>
  <c r="F22" i="87"/>
  <c r="V9" i="89"/>
  <c r="I52" i="95"/>
  <c r="F46" i="94"/>
  <c r="H12" i="99"/>
  <c r="I40" i="95"/>
  <c r="F34" i="94"/>
  <c r="E13" i="92"/>
  <c r="F13" i="92" s="1"/>
  <c r="G13" i="92" s="1"/>
  <c r="H13" i="92" s="1"/>
  <c r="I13" i="92" s="1"/>
  <c r="J13" i="92" s="1"/>
  <c r="R13" i="92" s="1"/>
  <c r="S27" i="92" s="1"/>
  <c r="V32" i="113"/>
  <c r="U45" i="113"/>
  <c r="U33" i="113"/>
  <c r="O24" i="97"/>
  <c r="O44" i="97" s="1"/>
  <c r="C63" i="113"/>
  <c r="O34" i="97" s="1"/>
  <c r="G15" i="95"/>
  <c r="G15" i="113"/>
  <c r="S45" i="92"/>
  <c r="U45" i="92" s="1"/>
  <c r="S33" i="92"/>
  <c r="U33" i="92" s="1"/>
  <c r="E33" i="92"/>
  <c r="G33" i="92" s="1"/>
  <c r="E45" i="92"/>
  <c r="G45" i="92" s="1"/>
  <c r="E21" i="92"/>
  <c r="G21" i="92" s="1"/>
  <c r="E53" i="113"/>
  <c r="T47" i="90"/>
  <c r="P52" i="95"/>
  <c r="F46" i="103"/>
  <c r="X41" i="113"/>
  <c r="T35" i="109"/>
  <c r="L45" i="113"/>
  <c r="L33" i="113"/>
  <c r="T23" i="107"/>
  <c r="V29" i="113"/>
  <c r="V65" i="113" s="1"/>
  <c r="H15" i="112"/>
  <c r="N10" i="101"/>
  <c r="R10" i="101"/>
  <c r="S24" i="101" s="1"/>
  <c r="Y44" i="95"/>
  <c r="T45" i="91"/>
  <c r="F51" i="113"/>
  <c r="F34" i="87"/>
  <c r="S38" i="120" l="1"/>
  <c r="E26" i="120"/>
  <c r="F26" i="120" s="1"/>
  <c r="S13" i="115"/>
  <c r="S15" i="115"/>
  <c r="E38" i="120"/>
  <c r="S10" i="91"/>
  <c r="U10" i="91" s="1"/>
  <c r="F6" i="113" s="1"/>
  <c r="T14" i="91"/>
  <c r="T11" i="94"/>
  <c r="E42" i="95"/>
  <c r="S13" i="116"/>
  <c r="T13" i="116"/>
  <c r="S11" i="87"/>
  <c r="S11" i="92"/>
  <c r="S15" i="92"/>
  <c r="S14" i="99"/>
  <c r="T14" i="110"/>
  <c r="S15" i="88"/>
  <c r="T15" i="88"/>
  <c r="T9" i="92"/>
  <c r="S12" i="99"/>
  <c r="T12" i="99"/>
  <c r="T13" i="93"/>
  <c r="S13" i="93"/>
  <c r="S14" i="87"/>
  <c r="S25" i="93"/>
  <c r="H31" i="113" s="1"/>
  <c r="S37" i="93"/>
  <c r="H43" i="113" s="1"/>
  <c r="S49" i="93"/>
  <c r="H55" i="113" s="1"/>
  <c r="E25" i="93"/>
  <c r="H31" i="95" s="1"/>
  <c r="E49" i="93"/>
  <c r="H55" i="95" s="1"/>
  <c r="H19" i="113"/>
  <c r="H19" i="95"/>
  <c r="E37" i="93"/>
  <c r="H43" i="95" s="1"/>
  <c r="N12" i="116"/>
  <c r="R12" i="116"/>
  <c r="S9" i="92"/>
  <c r="T16" i="101"/>
  <c r="T13" i="92"/>
  <c r="S13" i="92"/>
  <c r="S13" i="91"/>
  <c r="S15" i="111"/>
  <c r="S13" i="112"/>
  <c r="S14" i="91"/>
  <c r="T15" i="92"/>
  <c r="X6" i="95"/>
  <c r="X65" i="95" s="1"/>
  <c r="P40" i="97"/>
  <c r="T31" i="97"/>
  <c r="H42" i="32"/>
  <c r="V53" i="95"/>
  <c r="B65" i="113"/>
  <c r="N36" i="97" s="1"/>
  <c r="P46" i="97"/>
  <c r="U9" i="97"/>
  <c r="I25" i="32"/>
  <c r="T30" i="97"/>
  <c r="H41" i="32"/>
  <c r="F49" i="80"/>
  <c r="N46" i="97"/>
  <c r="T35" i="108"/>
  <c r="U24" i="109"/>
  <c r="U47" i="104"/>
  <c r="X6" i="113"/>
  <c r="X66" i="113" s="1"/>
  <c r="G48" i="109"/>
  <c r="O20" i="97"/>
  <c r="C36" i="32"/>
  <c r="P29" i="97"/>
  <c r="N11" i="97"/>
  <c r="N41" i="97" s="1"/>
  <c r="B27" i="32"/>
  <c r="N20" i="97"/>
  <c r="N40" i="97" s="1"/>
  <c r="B36" i="32"/>
  <c r="O19" i="97"/>
  <c r="O39" i="97" s="1"/>
  <c r="C35" i="32"/>
  <c r="P30" i="97"/>
  <c r="Q16" i="97"/>
  <c r="E32" i="32"/>
  <c r="Q11" i="97"/>
  <c r="E27" i="32"/>
  <c r="F24" i="108"/>
  <c r="G23" i="108"/>
  <c r="W41" i="113"/>
  <c r="Q41" i="95"/>
  <c r="U11" i="109"/>
  <c r="U12" i="109" s="1"/>
  <c r="U13" i="109" s="1"/>
  <c r="F24" i="109"/>
  <c r="V10" i="109"/>
  <c r="E42" i="109"/>
  <c r="G24" i="109"/>
  <c r="U36" i="109"/>
  <c r="G23" i="104"/>
  <c r="Q29" i="95"/>
  <c r="F36" i="90"/>
  <c r="E30" i="109"/>
  <c r="X36" i="95" s="1"/>
  <c r="T36" i="120"/>
  <c r="F36" i="109"/>
  <c r="G24" i="90"/>
  <c r="F47" i="104"/>
  <c r="U35" i="104"/>
  <c r="Q53" i="95"/>
  <c r="T35" i="107"/>
  <c r="G24" i="111"/>
  <c r="F37" i="107"/>
  <c r="Z6" i="113"/>
  <c r="T25" i="101"/>
  <c r="V41" i="113"/>
  <c r="V29" i="95"/>
  <c r="V64" i="95" s="1"/>
  <c r="F35" i="107"/>
  <c r="F23" i="107"/>
  <c r="S35" i="87"/>
  <c r="C41" i="113" s="1"/>
  <c r="V41" i="95"/>
  <c r="F23" i="108"/>
  <c r="E51" i="119"/>
  <c r="S27" i="119"/>
  <c r="S51" i="119"/>
  <c r="E30" i="113"/>
  <c r="E66" i="113" s="1"/>
  <c r="G24" i="106"/>
  <c r="W53" i="95"/>
  <c r="T49" i="101"/>
  <c r="F49" i="107"/>
  <c r="T24" i="90"/>
  <c r="N6" i="95"/>
  <c r="N7" i="113"/>
  <c r="N67" i="113" s="1"/>
  <c r="F37" i="101"/>
  <c r="T37" i="101"/>
  <c r="G49" i="107"/>
  <c r="V11" i="107"/>
  <c r="V10" i="101"/>
  <c r="U49" i="101"/>
  <c r="V11" i="101"/>
  <c r="T37" i="107"/>
  <c r="U12" i="107"/>
  <c r="U26" i="107" s="1"/>
  <c r="U25" i="107"/>
  <c r="F25" i="107"/>
  <c r="U24" i="101"/>
  <c r="Q65" i="113"/>
  <c r="F47" i="107"/>
  <c r="T47" i="107"/>
  <c r="N6" i="113"/>
  <c r="G37" i="101"/>
  <c r="S39" i="119"/>
  <c r="V7" i="95"/>
  <c r="V66" i="95" s="1"/>
  <c r="U37" i="107"/>
  <c r="U12" i="101"/>
  <c r="N8" i="113" s="1"/>
  <c r="G47" i="108"/>
  <c r="U24" i="120"/>
  <c r="V53" i="113"/>
  <c r="G25" i="101"/>
  <c r="F49" i="101"/>
  <c r="U37" i="101"/>
  <c r="N7" i="95"/>
  <c r="N66" i="95" s="1"/>
  <c r="G49" i="101"/>
  <c r="E39" i="119"/>
  <c r="U49" i="107"/>
  <c r="G25" i="107"/>
  <c r="R11" i="115"/>
  <c r="E25" i="115" s="1"/>
  <c r="G37" i="80"/>
  <c r="S54" i="109"/>
  <c r="X60" i="113" s="1"/>
  <c r="X24" i="95"/>
  <c r="F50" i="88"/>
  <c r="F25" i="80"/>
  <c r="F36" i="120"/>
  <c r="F48" i="109"/>
  <c r="G36" i="109"/>
  <c r="F26" i="88"/>
  <c r="S42" i="109"/>
  <c r="X48" i="113" s="1"/>
  <c r="X24" i="113"/>
  <c r="F35" i="108"/>
  <c r="B64" i="95"/>
  <c r="F37" i="80"/>
  <c r="T48" i="109"/>
  <c r="T24" i="109"/>
  <c r="E41" i="93"/>
  <c r="H47" i="95" s="1"/>
  <c r="W41" i="95"/>
  <c r="N11" i="99"/>
  <c r="T49" i="80"/>
  <c r="B7" i="95"/>
  <c r="B66" i="95" s="1"/>
  <c r="U37" i="80"/>
  <c r="V11" i="80"/>
  <c r="H23" i="95"/>
  <c r="E39" i="87"/>
  <c r="C45" i="95" s="1"/>
  <c r="U25" i="80"/>
  <c r="T37" i="80"/>
  <c r="U49" i="80"/>
  <c r="U12" i="80"/>
  <c r="F26" i="80" s="1"/>
  <c r="K14" i="91"/>
  <c r="W14" i="91" s="1"/>
  <c r="E53" i="93"/>
  <c r="H59" i="95" s="1"/>
  <c r="M30" i="95"/>
  <c r="N14" i="121"/>
  <c r="G25" i="80"/>
  <c r="T25" i="80"/>
  <c r="G49" i="80"/>
  <c r="U48" i="111"/>
  <c r="Z6" i="95"/>
  <c r="T48" i="108"/>
  <c r="G48" i="111"/>
  <c r="U36" i="111"/>
  <c r="U24" i="111"/>
  <c r="E40" i="116"/>
  <c r="U36" i="108"/>
  <c r="W53" i="113"/>
  <c r="N14" i="94"/>
  <c r="G36" i="111"/>
  <c r="X64" i="95"/>
  <c r="W65" i="113"/>
  <c r="G36" i="108"/>
  <c r="E28" i="116"/>
  <c r="G25" i="93"/>
  <c r="G48" i="108"/>
  <c r="V10" i="108"/>
  <c r="T48" i="90"/>
  <c r="E52" i="116"/>
  <c r="S40" i="116"/>
  <c r="W6" i="95"/>
  <c r="W65" i="95" s="1"/>
  <c r="T25" i="93"/>
  <c r="G24" i="108"/>
  <c r="W6" i="113"/>
  <c r="W66" i="113" s="1"/>
  <c r="F48" i="108"/>
  <c r="U47" i="108"/>
  <c r="E54" i="113"/>
  <c r="S28" i="116"/>
  <c r="U11" i="108"/>
  <c r="W7" i="95" s="1"/>
  <c r="W66" i="95" s="1"/>
  <c r="U24" i="108"/>
  <c r="T24" i="108"/>
  <c r="F36" i="108"/>
  <c r="T36" i="108"/>
  <c r="T25" i="107"/>
  <c r="V7" i="113"/>
  <c r="V67" i="113" s="1"/>
  <c r="U48" i="109"/>
  <c r="E51" i="87"/>
  <c r="C57" i="95" s="1"/>
  <c r="W13" i="121"/>
  <c r="F24" i="120"/>
  <c r="S51" i="87"/>
  <c r="C57" i="113" s="1"/>
  <c r="C21" i="95"/>
  <c r="W13" i="87"/>
  <c r="N13" i="87"/>
  <c r="U11" i="105"/>
  <c r="U12" i="105" s="1"/>
  <c r="R8" i="113" s="1"/>
  <c r="R68" i="113" s="1"/>
  <c r="T48" i="120"/>
  <c r="R13" i="121"/>
  <c r="S39" i="121" s="1"/>
  <c r="W11" i="115"/>
  <c r="S39" i="87"/>
  <c r="C45" i="113" s="1"/>
  <c r="C21" i="113"/>
  <c r="U10" i="94"/>
  <c r="V10" i="94" s="1"/>
  <c r="G37" i="93"/>
  <c r="H7" i="113"/>
  <c r="H67" i="113" s="1"/>
  <c r="T50" i="88"/>
  <c r="V11" i="103"/>
  <c r="T37" i="103"/>
  <c r="H7" i="95"/>
  <c r="H66" i="95" s="1"/>
  <c r="U50" i="89"/>
  <c r="W14" i="121"/>
  <c r="F37" i="93"/>
  <c r="F49" i="93"/>
  <c r="G49" i="93"/>
  <c r="W14" i="107"/>
  <c r="F24" i="100"/>
  <c r="U33" i="95"/>
  <c r="G50" i="89"/>
  <c r="C17" i="95"/>
  <c r="T26" i="89"/>
  <c r="N14" i="109"/>
  <c r="S47" i="87"/>
  <c r="C53" i="113" s="1"/>
  <c r="L8" i="95"/>
  <c r="L67" i="95" s="1"/>
  <c r="S23" i="87"/>
  <c r="U23" i="87" s="1"/>
  <c r="F36" i="112"/>
  <c r="N15" i="118"/>
  <c r="T36" i="112"/>
  <c r="U24" i="99"/>
  <c r="I5" i="113"/>
  <c r="V12" i="89"/>
  <c r="AA56" i="95"/>
  <c r="U25" i="93"/>
  <c r="U49" i="93"/>
  <c r="V11" i="93"/>
  <c r="F25" i="93"/>
  <c r="U38" i="107"/>
  <c r="R15" i="118"/>
  <c r="E29" i="118" s="1"/>
  <c r="G10" i="91"/>
  <c r="R10" i="91" s="1"/>
  <c r="R12" i="87"/>
  <c r="S38" i="87" s="1"/>
  <c r="C44" i="113" s="1"/>
  <c r="U12" i="93"/>
  <c r="H8" i="113" s="1"/>
  <c r="N12" i="100"/>
  <c r="U26" i="120"/>
  <c r="R11" i="99"/>
  <c r="S25" i="99" s="1"/>
  <c r="R12" i="118"/>
  <c r="E50" i="118" s="1"/>
  <c r="W14" i="120"/>
  <c r="S53" i="93"/>
  <c r="H59" i="113" s="1"/>
  <c r="E29" i="93"/>
  <c r="H35" i="95" s="1"/>
  <c r="T38" i="88"/>
  <c r="R12" i="100"/>
  <c r="S26" i="100" s="1"/>
  <c r="F48" i="90"/>
  <c r="U48" i="100"/>
  <c r="E35" i="87"/>
  <c r="C41" i="95" s="1"/>
  <c r="N12" i="118"/>
  <c r="R14" i="120"/>
  <c r="S40" i="120" s="1"/>
  <c r="W12" i="87"/>
  <c r="S41" i="93"/>
  <c r="H47" i="113" s="1"/>
  <c r="H23" i="113"/>
  <c r="S27" i="87"/>
  <c r="C33" i="113" s="1"/>
  <c r="E54" i="95"/>
  <c r="E47" i="87"/>
  <c r="C53" i="95" s="1"/>
  <c r="C17" i="113"/>
  <c r="G48" i="112"/>
  <c r="U12" i="90"/>
  <c r="E8" i="95" s="1"/>
  <c r="U7" i="96"/>
  <c r="J3" i="95" s="1"/>
  <c r="V8" i="97" s="1"/>
  <c r="U11" i="99"/>
  <c r="V11" i="99" s="1"/>
  <c r="T48" i="100"/>
  <c r="V10" i="100"/>
  <c r="T26" i="88"/>
  <c r="R14" i="109"/>
  <c r="S28" i="109" s="1"/>
  <c r="W14" i="94"/>
  <c r="V11" i="121"/>
  <c r="R14" i="107"/>
  <c r="F48" i="100"/>
  <c r="M6" i="95"/>
  <c r="F38" i="88"/>
  <c r="U36" i="100"/>
  <c r="G24" i="100"/>
  <c r="G48" i="100"/>
  <c r="G36" i="100"/>
  <c r="U6" i="95"/>
  <c r="F36" i="100"/>
  <c r="M6" i="113"/>
  <c r="M66" i="113" s="1"/>
  <c r="T36" i="100"/>
  <c r="V10" i="99"/>
  <c r="J13" i="91"/>
  <c r="N13" i="91" s="1"/>
  <c r="N14" i="103"/>
  <c r="W14" i="103"/>
  <c r="R14" i="103"/>
  <c r="N15" i="107"/>
  <c r="R15" i="107"/>
  <c r="N16" i="94"/>
  <c r="R16" i="94"/>
  <c r="S25" i="120"/>
  <c r="S37" i="120"/>
  <c r="E49" i="120"/>
  <c r="E25" i="120"/>
  <c r="S49" i="120"/>
  <c r="E37" i="120"/>
  <c r="R13" i="111"/>
  <c r="N13" i="111"/>
  <c r="N13" i="103"/>
  <c r="R13" i="103"/>
  <c r="W13" i="103"/>
  <c r="N10" i="87"/>
  <c r="R10" i="87"/>
  <c r="W10" i="87"/>
  <c r="V10" i="87" s="1"/>
  <c r="N13" i="118"/>
  <c r="W13" i="118"/>
  <c r="R13" i="118"/>
  <c r="I16" i="112"/>
  <c r="J16" i="112" s="1"/>
  <c r="K16" i="112" s="1"/>
  <c r="L16" i="112" s="1"/>
  <c r="N12" i="90"/>
  <c r="R12" i="90"/>
  <c r="L15" i="115"/>
  <c r="S36" i="117"/>
  <c r="E36" i="117"/>
  <c r="S24" i="117"/>
  <c r="S48" i="117"/>
  <c r="E24" i="117"/>
  <c r="E48" i="117"/>
  <c r="E24" i="119"/>
  <c r="G24" i="119" s="1"/>
  <c r="S36" i="119"/>
  <c r="T36" i="119" s="1"/>
  <c r="E48" i="119"/>
  <c r="G48" i="119" s="1"/>
  <c r="S24" i="119"/>
  <c r="T24" i="119" s="1"/>
  <c r="E36" i="119"/>
  <c r="F36" i="119" s="1"/>
  <c r="S48" i="119"/>
  <c r="T48" i="119" s="1"/>
  <c r="R13" i="101"/>
  <c r="N13" i="101"/>
  <c r="W13" i="101"/>
  <c r="N13" i="100"/>
  <c r="W13" i="100"/>
  <c r="R13" i="100"/>
  <c r="E30" i="120"/>
  <c r="E54" i="120"/>
  <c r="S42" i="120"/>
  <c r="S54" i="120"/>
  <c r="E42" i="120"/>
  <c r="S30" i="120"/>
  <c r="R15" i="119"/>
  <c r="N15" i="119"/>
  <c r="W15" i="119"/>
  <c r="K14" i="87"/>
  <c r="D21" i="113"/>
  <c r="D21" i="95"/>
  <c r="S39" i="88"/>
  <c r="D45" i="113" s="1"/>
  <c r="E51" i="88"/>
  <c r="D57" i="95" s="1"/>
  <c r="E39" i="88"/>
  <c r="D45" i="95" s="1"/>
  <c r="S27" i="88"/>
  <c r="D33" i="113" s="1"/>
  <c r="E27" i="88"/>
  <c r="D33" i="95" s="1"/>
  <c r="S51" i="88"/>
  <c r="D57" i="113" s="1"/>
  <c r="G37" i="118"/>
  <c r="Q64" i="95"/>
  <c r="B65" i="95"/>
  <c r="U49" i="103"/>
  <c r="U48" i="112"/>
  <c r="F37" i="103"/>
  <c r="R6" i="113"/>
  <c r="P7" i="95"/>
  <c r="P66" i="95" s="1"/>
  <c r="U48" i="106"/>
  <c r="F49" i="103"/>
  <c r="G37" i="103"/>
  <c r="F25" i="103"/>
  <c r="U25" i="103"/>
  <c r="P7" i="113"/>
  <c r="P67" i="113" s="1"/>
  <c r="F24" i="112"/>
  <c r="U36" i="112"/>
  <c r="R6" i="95"/>
  <c r="G38" i="120"/>
  <c r="U50" i="120"/>
  <c r="AA6" i="113"/>
  <c r="AA66" i="113" s="1"/>
  <c r="G24" i="112"/>
  <c r="G48" i="106"/>
  <c r="T25" i="103"/>
  <c r="G25" i="103"/>
  <c r="U37" i="103"/>
  <c r="F48" i="112"/>
  <c r="G26" i="120"/>
  <c r="U38" i="120"/>
  <c r="T48" i="112"/>
  <c r="V10" i="105"/>
  <c r="G26" i="89"/>
  <c r="V11" i="89"/>
  <c r="T38" i="89"/>
  <c r="F50" i="89"/>
  <c r="F26" i="89"/>
  <c r="L8" i="113"/>
  <c r="L68" i="113" s="1"/>
  <c r="U11" i="111"/>
  <c r="U12" i="111" s="1"/>
  <c r="U13" i="111" s="1"/>
  <c r="U11" i="112"/>
  <c r="T24" i="112"/>
  <c r="AA6" i="95"/>
  <c r="AA65" i="95" s="1"/>
  <c r="U24" i="112"/>
  <c r="V10" i="112"/>
  <c r="G38" i="89"/>
  <c r="F38" i="89"/>
  <c r="U38" i="89"/>
  <c r="U11" i="100"/>
  <c r="U12" i="100" s="1"/>
  <c r="U24" i="100"/>
  <c r="U25" i="104"/>
  <c r="U12" i="104"/>
  <c r="Q7" i="113"/>
  <c r="Q67" i="113" s="1"/>
  <c r="U37" i="104"/>
  <c r="V11" i="104"/>
  <c r="G37" i="104"/>
  <c r="F37" i="104"/>
  <c r="G25" i="104"/>
  <c r="G49" i="104"/>
  <c r="Q7" i="95"/>
  <c r="Q66" i="95" s="1"/>
  <c r="T25" i="104"/>
  <c r="U49" i="104"/>
  <c r="T37" i="104"/>
  <c r="F25" i="104"/>
  <c r="T49" i="104"/>
  <c r="F49" i="104"/>
  <c r="G26" i="88"/>
  <c r="U50" i="88"/>
  <c r="U26" i="110"/>
  <c r="Y8" i="95"/>
  <c r="Y67" i="95" s="1"/>
  <c r="T26" i="110"/>
  <c r="V12" i="110"/>
  <c r="G26" i="110"/>
  <c r="G50" i="110"/>
  <c r="F26" i="110"/>
  <c r="T38" i="110"/>
  <c r="U38" i="110"/>
  <c r="U50" i="110"/>
  <c r="T50" i="110"/>
  <c r="F38" i="110"/>
  <c r="Y8" i="113"/>
  <c r="Y68" i="113" s="1"/>
  <c r="G38" i="110"/>
  <c r="F50" i="110"/>
  <c r="U26" i="102"/>
  <c r="V12" i="102"/>
  <c r="G38" i="102"/>
  <c r="G50" i="102"/>
  <c r="T26" i="102"/>
  <c r="T38" i="102"/>
  <c r="U50" i="102"/>
  <c r="F50" i="102"/>
  <c r="T50" i="102"/>
  <c r="O8" i="113"/>
  <c r="O68" i="113" s="1"/>
  <c r="U38" i="102"/>
  <c r="F26" i="102"/>
  <c r="O8" i="95"/>
  <c r="O67" i="95" s="1"/>
  <c r="F38" i="102"/>
  <c r="G26" i="102"/>
  <c r="T25" i="117"/>
  <c r="V11" i="117"/>
  <c r="F37" i="117"/>
  <c r="F25" i="117"/>
  <c r="T37" i="117"/>
  <c r="F49" i="117"/>
  <c r="T49" i="117"/>
  <c r="U12" i="117"/>
  <c r="U10" i="115"/>
  <c r="G35" i="118"/>
  <c r="F35" i="118"/>
  <c r="I13" i="117"/>
  <c r="U37" i="117"/>
  <c r="G37" i="117"/>
  <c r="T35" i="119"/>
  <c r="F47" i="119"/>
  <c r="G22" i="115"/>
  <c r="F22" i="115"/>
  <c r="G46" i="115"/>
  <c r="F46" i="115"/>
  <c r="G50" i="88"/>
  <c r="S24" i="105"/>
  <c r="E36" i="105"/>
  <c r="R18" i="113"/>
  <c r="R18" i="95"/>
  <c r="S36" i="105"/>
  <c r="E48" i="105"/>
  <c r="E24" i="105"/>
  <c r="S48" i="105"/>
  <c r="U13" i="120"/>
  <c r="V12" i="120"/>
  <c r="F50" i="120"/>
  <c r="T26" i="120"/>
  <c r="F38" i="120"/>
  <c r="T38" i="120"/>
  <c r="T50" i="120"/>
  <c r="E37" i="121"/>
  <c r="S49" i="121"/>
  <c r="E49" i="121"/>
  <c r="S37" i="121"/>
  <c r="S25" i="121"/>
  <c r="E25" i="121"/>
  <c r="H11" i="94"/>
  <c r="R11" i="94" s="1"/>
  <c r="S25" i="94" s="1"/>
  <c r="S23" i="115"/>
  <c r="U23" i="115" s="1"/>
  <c r="S35" i="115"/>
  <c r="U35" i="115" s="1"/>
  <c r="E47" i="115"/>
  <c r="G47" i="115" s="1"/>
  <c r="S47" i="115"/>
  <c r="U47" i="115" s="1"/>
  <c r="E23" i="115"/>
  <c r="G23" i="115" s="1"/>
  <c r="E35" i="115"/>
  <c r="G35" i="115" s="1"/>
  <c r="S25" i="115"/>
  <c r="U47" i="118"/>
  <c r="T47" i="118"/>
  <c r="U23" i="118"/>
  <c r="T23" i="118"/>
  <c r="G49" i="117"/>
  <c r="U25" i="117"/>
  <c r="U11" i="119"/>
  <c r="V10" i="119"/>
  <c r="F35" i="119"/>
  <c r="U22" i="115"/>
  <c r="T22" i="115"/>
  <c r="H16" i="115"/>
  <c r="I16" i="118"/>
  <c r="G50" i="120"/>
  <c r="J13" i="115"/>
  <c r="U11" i="106"/>
  <c r="U25" i="106" s="1"/>
  <c r="S6" i="95"/>
  <c r="S6" i="113"/>
  <c r="U12" i="118"/>
  <c r="V11" i="118"/>
  <c r="F49" i="118"/>
  <c r="F37" i="118"/>
  <c r="T37" i="118"/>
  <c r="F25" i="118"/>
  <c r="T49" i="118"/>
  <c r="T25" i="118"/>
  <c r="U25" i="118"/>
  <c r="G23" i="118"/>
  <c r="F23" i="118"/>
  <c r="U35" i="118"/>
  <c r="T35" i="118"/>
  <c r="U12" i="116"/>
  <c r="V11" i="116"/>
  <c r="T25" i="116"/>
  <c r="F25" i="116"/>
  <c r="F49" i="116"/>
  <c r="T37" i="116"/>
  <c r="F37" i="116"/>
  <c r="T49" i="116"/>
  <c r="U25" i="116"/>
  <c r="G37" i="116"/>
  <c r="U37" i="116"/>
  <c r="U49" i="116"/>
  <c r="G49" i="116"/>
  <c r="G25" i="116"/>
  <c r="U49" i="117"/>
  <c r="F23" i="119"/>
  <c r="U13" i="121"/>
  <c r="V12" i="121"/>
  <c r="F50" i="121"/>
  <c r="T50" i="121"/>
  <c r="T38" i="121"/>
  <c r="T26" i="121"/>
  <c r="F38" i="121"/>
  <c r="F26" i="121"/>
  <c r="G38" i="121"/>
  <c r="U26" i="121"/>
  <c r="G26" i="121"/>
  <c r="G50" i="121"/>
  <c r="U38" i="121"/>
  <c r="U50" i="121"/>
  <c r="G49" i="118"/>
  <c r="J15" i="120"/>
  <c r="H14" i="115"/>
  <c r="G34" i="115"/>
  <c r="F34" i="115"/>
  <c r="U49" i="118"/>
  <c r="S28" i="121"/>
  <c r="S40" i="121"/>
  <c r="S52" i="121"/>
  <c r="E28" i="121"/>
  <c r="E52" i="121"/>
  <c r="E40" i="121"/>
  <c r="V10" i="106"/>
  <c r="I14" i="118"/>
  <c r="J13" i="116"/>
  <c r="U13" i="88"/>
  <c r="D8" i="113"/>
  <c r="D68" i="113" s="1"/>
  <c r="D8" i="95"/>
  <c r="D67" i="95" s="1"/>
  <c r="V12" i="88"/>
  <c r="V9" i="115"/>
  <c r="R16" i="116"/>
  <c r="N16" i="116"/>
  <c r="W16" i="116"/>
  <c r="R12" i="93"/>
  <c r="N12" i="93"/>
  <c r="W12" i="93"/>
  <c r="G47" i="118"/>
  <c r="F47" i="118"/>
  <c r="G25" i="117"/>
  <c r="U13" i="89"/>
  <c r="U26" i="89"/>
  <c r="G38" i="88"/>
  <c r="T23" i="119"/>
  <c r="T47" i="119"/>
  <c r="U37" i="118"/>
  <c r="U34" i="115"/>
  <c r="T34" i="115"/>
  <c r="U46" i="115"/>
  <c r="T46" i="115"/>
  <c r="U38" i="88"/>
  <c r="R10" i="115"/>
  <c r="N10" i="115"/>
  <c r="U12" i="103"/>
  <c r="T49" i="103"/>
  <c r="W13" i="90"/>
  <c r="N13" i="90"/>
  <c r="N12" i="111"/>
  <c r="R12" i="111"/>
  <c r="S26" i="111" s="1"/>
  <c r="W16" i="88"/>
  <c r="R16" i="88"/>
  <c r="E30" i="88" s="1"/>
  <c r="R12" i="101"/>
  <c r="N12" i="101"/>
  <c r="W12" i="101"/>
  <c r="F10" i="92"/>
  <c r="S10" i="92" s="1"/>
  <c r="K14" i="99"/>
  <c r="N14" i="99" s="1"/>
  <c r="L15" i="111"/>
  <c r="J16" i="100"/>
  <c r="K16" i="100" s="1"/>
  <c r="L16" i="100" s="1"/>
  <c r="J13" i="93"/>
  <c r="R13" i="93" s="1"/>
  <c r="S27" i="93" s="1"/>
  <c r="I12" i="99"/>
  <c r="N12" i="99" s="1"/>
  <c r="D11" i="96"/>
  <c r="B11" i="96"/>
  <c r="B16" i="96"/>
  <c r="D12" i="96"/>
  <c r="B12" i="96"/>
  <c r="D14" i="96"/>
  <c r="E14" i="96" s="1"/>
  <c r="F14" i="96" s="1"/>
  <c r="G14" i="96" s="1"/>
  <c r="H14" i="96" s="1"/>
  <c r="I14" i="96" s="1"/>
  <c r="J14" i="96" s="1"/>
  <c r="K14" i="96" s="1"/>
  <c r="B14" i="96"/>
  <c r="B13" i="96"/>
  <c r="D13" i="96"/>
  <c r="B8" i="96"/>
  <c r="D8" i="96"/>
  <c r="S8" i="96" s="1"/>
  <c r="B9" i="96"/>
  <c r="D9" i="96"/>
  <c r="B10" i="96"/>
  <c r="D10" i="96"/>
  <c r="W7" i="96"/>
  <c r="R7" i="96"/>
  <c r="N7" i="96"/>
  <c r="D16" i="96"/>
  <c r="D15" i="96"/>
  <c r="B15" i="96"/>
  <c r="P65" i="113"/>
  <c r="P64" i="95"/>
  <c r="P39" i="97"/>
  <c r="E34" i="91"/>
  <c r="F34" i="91" s="1"/>
  <c r="S34" i="91"/>
  <c r="T34" i="91" s="1"/>
  <c r="M64" i="95"/>
  <c r="E22" i="91"/>
  <c r="F28" i="95" s="1"/>
  <c r="F16" i="113"/>
  <c r="S46" i="91"/>
  <c r="T46" i="91" s="1"/>
  <c r="F16" i="95"/>
  <c r="E46" i="91"/>
  <c r="F52" i="95" s="1"/>
  <c r="F23" i="87"/>
  <c r="C5" i="113"/>
  <c r="G23" i="87"/>
  <c r="C5" i="95"/>
  <c r="I5" i="95"/>
  <c r="S50" i="91"/>
  <c r="F56" i="113" s="1"/>
  <c r="V9" i="94"/>
  <c r="C6" i="95"/>
  <c r="E38" i="91"/>
  <c r="F44" i="95" s="1"/>
  <c r="U23" i="94"/>
  <c r="S38" i="91"/>
  <c r="F44" i="113" s="1"/>
  <c r="F20" i="95"/>
  <c r="E50" i="91"/>
  <c r="F56" i="95" s="1"/>
  <c r="E26" i="91"/>
  <c r="F32" i="95" s="1"/>
  <c r="F20" i="113"/>
  <c r="F4" i="95"/>
  <c r="F4" i="113"/>
  <c r="U22" i="91"/>
  <c r="F49" i="89"/>
  <c r="L7" i="113"/>
  <c r="V8" i="91"/>
  <c r="F5" i="113"/>
  <c r="L7" i="95"/>
  <c r="L66" i="95" s="1"/>
  <c r="C63" i="95"/>
  <c r="C40" i="32" s="1"/>
  <c r="U25" i="89"/>
  <c r="T49" i="89"/>
  <c r="F25" i="89"/>
  <c r="O45" i="97"/>
  <c r="N9" i="92"/>
  <c r="F23" i="102"/>
  <c r="F63" i="113"/>
  <c r="R34" i="97" s="1"/>
  <c r="C64" i="113"/>
  <c r="O35" i="97" s="1"/>
  <c r="F23" i="105"/>
  <c r="F35" i="101"/>
  <c r="G35" i="101"/>
  <c r="T35" i="89"/>
  <c r="U35" i="89"/>
  <c r="T36" i="106"/>
  <c r="U36" i="106"/>
  <c r="C48" i="113"/>
  <c r="W56" i="113"/>
  <c r="I45" i="95"/>
  <c r="T36" i="89"/>
  <c r="U36" i="89"/>
  <c r="F35" i="102"/>
  <c r="G35" i="102"/>
  <c r="Y53" i="95"/>
  <c r="G47" i="110"/>
  <c r="W44" i="95"/>
  <c r="L55" i="113"/>
  <c r="U49" i="89"/>
  <c r="V57" i="113"/>
  <c r="S59" i="95"/>
  <c r="S59" i="113"/>
  <c r="L53" i="113"/>
  <c r="U47" i="89"/>
  <c r="C48" i="95"/>
  <c r="Y41" i="113"/>
  <c r="U35" i="110"/>
  <c r="T35" i="101"/>
  <c r="U35" i="101"/>
  <c r="W44" i="113"/>
  <c r="I33" i="95"/>
  <c r="Q58" i="113"/>
  <c r="F48" i="113"/>
  <c r="O60" i="113"/>
  <c r="X60" i="95"/>
  <c r="R58" i="113"/>
  <c r="C60" i="95"/>
  <c r="R53" i="113"/>
  <c r="U47" i="105"/>
  <c r="O53" i="95"/>
  <c r="G47" i="102"/>
  <c r="S56" i="113"/>
  <c r="AA46" i="95"/>
  <c r="I45" i="113"/>
  <c r="Q58" i="95"/>
  <c r="F60" i="113"/>
  <c r="L43" i="95"/>
  <c r="G25" i="89"/>
  <c r="C60" i="113"/>
  <c r="T35" i="105"/>
  <c r="U35" i="105"/>
  <c r="O53" i="113"/>
  <c r="U47" i="102"/>
  <c r="V45" i="113"/>
  <c r="F35" i="89"/>
  <c r="G35" i="89"/>
  <c r="V57" i="95"/>
  <c r="L53" i="95"/>
  <c r="G47" i="89"/>
  <c r="F35" i="105"/>
  <c r="G35" i="105"/>
  <c r="O59" i="95"/>
  <c r="F36" i="89"/>
  <c r="G36" i="89"/>
  <c r="Y41" i="95"/>
  <c r="G35" i="110"/>
  <c r="S56" i="95"/>
  <c r="AA46" i="113"/>
  <c r="W32" i="95"/>
  <c r="T47" i="112"/>
  <c r="U47" i="112"/>
  <c r="X48" i="95"/>
  <c r="F48" i="95"/>
  <c r="F37" i="89"/>
  <c r="G37" i="89"/>
  <c r="I57" i="95"/>
  <c r="V33" i="95"/>
  <c r="T47" i="102"/>
  <c r="F36" i="106"/>
  <c r="G36" i="106"/>
  <c r="R53" i="95"/>
  <c r="G47" i="105"/>
  <c r="O59" i="113"/>
  <c r="T35" i="102"/>
  <c r="U35" i="102"/>
  <c r="F60" i="95"/>
  <c r="L55" i="95"/>
  <c r="G49" i="89"/>
  <c r="W56" i="95"/>
  <c r="O60" i="95"/>
  <c r="N8" i="92"/>
  <c r="L41" i="95"/>
  <c r="G23" i="89"/>
  <c r="R58" i="95"/>
  <c r="C36" i="95"/>
  <c r="C33" i="95"/>
  <c r="Y53" i="113"/>
  <c r="U47" i="110"/>
  <c r="F47" i="112"/>
  <c r="G47" i="112"/>
  <c r="I57" i="113"/>
  <c r="F36" i="95"/>
  <c r="T37" i="89"/>
  <c r="U37" i="89"/>
  <c r="Y7" i="113"/>
  <c r="Y7" i="95"/>
  <c r="V45" i="95"/>
  <c r="N15" i="94"/>
  <c r="R15" i="94"/>
  <c r="S29" i="94" s="1"/>
  <c r="I13" i="102"/>
  <c r="T23" i="89"/>
  <c r="L29" i="113"/>
  <c r="L65" i="113" s="1"/>
  <c r="L41" i="113"/>
  <c r="H35" i="113"/>
  <c r="L15" i="88"/>
  <c r="S54" i="95"/>
  <c r="F48" i="106"/>
  <c r="H11" i="92"/>
  <c r="N53" i="113"/>
  <c r="T47" i="101"/>
  <c r="W32" i="113"/>
  <c r="I13" i="110"/>
  <c r="J14" i="93"/>
  <c r="Z54" i="95"/>
  <c r="F48" i="111"/>
  <c r="Q21" i="97"/>
  <c r="E65" i="95"/>
  <c r="E42" i="32" s="1"/>
  <c r="T47" i="110"/>
  <c r="R11" i="110"/>
  <c r="S25" i="110" s="1"/>
  <c r="U25" i="110" s="1"/>
  <c r="N11" i="110"/>
  <c r="W11" i="110"/>
  <c r="V11" i="110" s="1"/>
  <c r="T45" i="92"/>
  <c r="G51" i="113"/>
  <c r="T24" i="107"/>
  <c r="V30" i="113"/>
  <c r="V66" i="113" s="1"/>
  <c r="T24" i="89"/>
  <c r="L30" i="113"/>
  <c r="L66" i="113" s="1"/>
  <c r="L42" i="113"/>
  <c r="I15" i="112"/>
  <c r="V54" i="113"/>
  <c r="T48" i="107"/>
  <c r="O48" i="113"/>
  <c r="O36" i="113"/>
  <c r="R10" i="94"/>
  <c r="S24" i="94" s="1"/>
  <c r="N10" i="94"/>
  <c r="S42" i="95"/>
  <c r="S30" i="95"/>
  <c r="F24" i="106"/>
  <c r="L15" i="92"/>
  <c r="W15" i="92" s="1"/>
  <c r="F23" i="113"/>
  <c r="S41" i="91"/>
  <c r="S53" i="91"/>
  <c r="E41" i="91"/>
  <c r="E53" i="91"/>
  <c r="E29" i="91"/>
  <c r="F23" i="95"/>
  <c r="S29" i="91"/>
  <c r="I16" i="110"/>
  <c r="J16" i="110" s="1"/>
  <c r="K16" i="110" s="1"/>
  <c r="L16" i="110" s="1"/>
  <c r="Z19" i="113"/>
  <c r="E49" i="111"/>
  <c r="E25" i="111"/>
  <c r="E37" i="111"/>
  <c r="Z19" i="95"/>
  <c r="S37" i="111"/>
  <c r="S49" i="111"/>
  <c r="W15" i="94"/>
  <c r="F23" i="110"/>
  <c r="Y29" i="95"/>
  <c r="Y64" i="95" s="1"/>
  <c r="T47" i="89"/>
  <c r="S44" i="95"/>
  <c r="S32" i="95"/>
  <c r="J13" i="112"/>
  <c r="W13" i="112" s="1"/>
  <c r="AA53" i="95"/>
  <c r="AA29" i="95"/>
  <c r="AA64" i="95" s="1"/>
  <c r="F23" i="112"/>
  <c r="F36" i="111"/>
  <c r="Z42" i="95"/>
  <c r="N13" i="92"/>
  <c r="Q20" i="97"/>
  <c r="E64" i="95"/>
  <c r="E41" i="32" s="1"/>
  <c r="R11" i="102"/>
  <c r="S25" i="102" s="1"/>
  <c r="U25" i="102" s="1"/>
  <c r="N11" i="102"/>
  <c r="Z54" i="113"/>
  <c r="T48" i="111"/>
  <c r="F21" i="92"/>
  <c r="G27" i="95"/>
  <c r="V42" i="95"/>
  <c r="F36" i="107"/>
  <c r="I15" i="89"/>
  <c r="Q26" i="97"/>
  <c r="Q46" i="97" s="1"/>
  <c r="E65" i="113"/>
  <c r="Q36" i="97" s="1"/>
  <c r="K14" i="110"/>
  <c r="W14" i="110" s="1"/>
  <c r="G11" i="91"/>
  <c r="S11" i="91" s="1"/>
  <c r="I15" i="110"/>
  <c r="O41" i="95"/>
  <c r="O29" i="95"/>
  <c r="O64" i="95" s="1"/>
  <c r="L54" i="113"/>
  <c r="T48" i="89"/>
  <c r="N53" i="95"/>
  <c r="F47" i="101"/>
  <c r="F23" i="89"/>
  <c r="N9" i="91"/>
  <c r="R9" i="91"/>
  <c r="T24" i="111"/>
  <c r="Z30" i="113"/>
  <c r="Q34" i="113"/>
  <c r="Q46" i="113"/>
  <c r="T25" i="89"/>
  <c r="L31" i="113"/>
  <c r="L43" i="113"/>
  <c r="F47" i="110"/>
  <c r="S19" i="113"/>
  <c r="S37" i="106"/>
  <c r="S19" i="95"/>
  <c r="E49" i="106"/>
  <c r="E37" i="106"/>
  <c r="E25" i="106"/>
  <c r="S49" i="106"/>
  <c r="F45" i="92"/>
  <c r="G51" i="95"/>
  <c r="V30" i="95"/>
  <c r="V65" i="95" s="1"/>
  <c r="F24" i="107"/>
  <c r="O48" i="95"/>
  <c r="O36" i="95"/>
  <c r="P21" i="97"/>
  <c r="D65" i="95"/>
  <c r="D42" i="32" s="1"/>
  <c r="R41" i="95"/>
  <c r="R29" i="95"/>
  <c r="R64" i="95" s="1"/>
  <c r="W9" i="92"/>
  <c r="F47" i="89"/>
  <c r="AA58" i="113"/>
  <c r="AA34" i="113"/>
  <c r="T23" i="112"/>
  <c r="AA29" i="113"/>
  <c r="AA65" i="113" s="1"/>
  <c r="AA53" i="113"/>
  <c r="F24" i="111"/>
  <c r="Z30" i="95"/>
  <c r="F35" i="110"/>
  <c r="G21" i="113"/>
  <c r="E51" i="92"/>
  <c r="G21" i="95"/>
  <c r="S39" i="92"/>
  <c r="E39" i="92"/>
  <c r="E27" i="92"/>
  <c r="S51" i="92"/>
  <c r="V33" i="113"/>
  <c r="S47" i="95"/>
  <c r="S35" i="95"/>
  <c r="F12" i="92"/>
  <c r="G12" i="92" s="1"/>
  <c r="H12" i="92" s="1"/>
  <c r="S12" i="92" s="1"/>
  <c r="R34" i="113"/>
  <c r="R46" i="113"/>
  <c r="D22" i="113"/>
  <c r="E28" i="88"/>
  <c r="D22" i="95"/>
  <c r="S40" i="88"/>
  <c r="E52" i="88"/>
  <c r="E40" i="88"/>
  <c r="S52" i="88"/>
  <c r="S28" i="88"/>
  <c r="T24" i="106"/>
  <c r="S30" i="113"/>
  <c r="S42" i="113"/>
  <c r="H12" i="94"/>
  <c r="E21" i="113"/>
  <c r="E21" i="95"/>
  <c r="E51" i="90"/>
  <c r="E27" i="90"/>
  <c r="S27" i="90"/>
  <c r="E39" i="90"/>
  <c r="S39" i="90"/>
  <c r="S51" i="90"/>
  <c r="G17" i="113"/>
  <c r="S35" i="92"/>
  <c r="E47" i="92"/>
  <c r="E23" i="92"/>
  <c r="E35" i="92"/>
  <c r="G17" i="95"/>
  <c r="S47" i="92"/>
  <c r="O47" i="95"/>
  <c r="O35" i="95"/>
  <c r="U25" i="97"/>
  <c r="U45" i="97" s="1"/>
  <c r="I64" i="113"/>
  <c r="U35" i="97" s="1"/>
  <c r="T23" i="102"/>
  <c r="O29" i="113"/>
  <c r="O65" i="113" s="1"/>
  <c r="O41" i="113"/>
  <c r="L42" i="95"/>
  <c r="F24" i="89"/>
  <c r="T23" i="110"/>
  <c r="Y29" i="113"/>
  <c r="Y65" i="113" s="1"/>
  <c r="N29" i="95"/>
  <c r="N64" i="95" s="1"/>
  <c r="N41" i="95"/>
  <c r="F23" i="101"/>
  <c r="AA41" i="113"/>
  <c r="T35" i="112"/>
  <c r="X36" i="113"/>
  <c r="F36" i="113"/>
  <c r="S54" i="113"/>
  <c r="T48" i="106"/>
  <c r="F33" i="92"/>
  <c r="G39" i="95"/>
  <c r="I17" i="113"/>
  <c r="S35" i="94"/>
  <c r="U35" i="94" s="1"/>
  <c r="I17" i="95"/>
  <c r="E47" i="94"/>
  <c r="G47" i="94" s="1"/>
  <c r="E35" i="94"/>
  <c r="G35" i="94" s="1"/>
  <c r="E23" i="94"/>
  <c r="G23" i="94" s="1"/>
  <c r="S47" i="94"/>
  <c r="U47" i="94" s="1"/>
  <c r="U18" i="113"/>
  <c r="S36" i="99"/>
  <c r="U18" i="95"/>
  <c r="E48" i="99"/>
  <c r="G48" i="99" s="1"/>
  <c r="E36" i="99"/>
  <c r="E24" i="99"/>
  <c r="G24" i="99" s="1"/>
  <c r="S48" i="99"/>
  <c r="U48" i="99" s="1"/>
  <c r="N18" i="113"/>
  <c r="S36" i="101"/>
  <c r="E24" i="101"/>
  <c r="G24" i="101" s="1"/>
  <c r="E36" i="101"/>
  <c r="E48" i="101"/>
  <c r="G48" i="101" s="1"/>
  <c r="N18" i="95"/>
  <c r="S48" i="101"/>
  <c r="U48" i="101" s="1"/>
  <c r="T33" i="92"/>
  <c r="G39" i="113"/>
  <c r="V54" i="95"/>
  <c r="F48" i="107"/>
  <c r="R46" i="95"/>
  <c r="R34" i="95"/>
  <c r="T47" i="105"/>
  <c r="F16" i="92"/>
  <c r="L54" i="95"/>
  <c r="F48" i="89"/>
  <c r="W11" i="102"/>
  <c r="V11" i="102" s="1"/>
  <c r="S44" i="113"/>
  <c r="S32" i="113"/>
  <c r="F14" i="92"/>
  <c r="R11" i="105"/>
  <c r="S25" i="105" s="1"/>
  <c r="N11" i="105"/>
  <c r="M16" i="101"/>
  <c r="T22" i="91"/>
  <c r="F28" i="113"/>
  <c r="R25" i="97" s="1"/>
  <c r="Z42" i="113"/>
  <c r="T36" i="111"/>
  <c r="T35" i="110"/>
  <c r="W9" i="91"/>
  <c r="O47" i="113"/>
  <c r="O35" i="113"/>
  <c r="I22" i="113"/>
  <c r="E52" i="94"/>
  <c r="E28" i="94"/>
  <c r="I22" i="95"/>
  <c r="E40" i="94"/>
  <c r="S40" i="94"/>
  <c r="S52" i="94"/>
  <c r="G4" i="113"/>
  <c r="V8" i="92"/>
  <c r="G4" i="95"/>
  <c r="G25" i="32" s="1"/>
  <c r="AA41" i="95"/>
  <c r="F35" i="112"/>
  <c r="I33" i="113"/>
  <c r="H11" i="87"/>
  <c r="T21" i="92"/>
  <c r="G27" i="113"/>
  <c r="S24" i="97" s="1"/>
  <c r="S44" i="97" s="1"/>
  <c r="W13" i="92"/>
  <c r="V42" i="113"/>
  <c r="T36" i="107"/>
  <c r="X19" i="113"/>
  <c r="S37" i="109"/>
  <c r="S49" i="109"/>
  <c r="E49" i="109"/>
  <c r="E25" i="109"/>
  <c r="E37" i="109"/>
  <c r="X19" i="95"/>
  <c r="S35" i="113"/>
  <c r="S47" i="113"/>
  <c r="R8" i="92"/>
  <c r="S22" i="92" s="1"/>
  <c r="U22" i="92" s="1"/>
  <c r="I14" i="89"/>
  <c r="C36" i="113"/>
  <c r="T23" i="105"/>
  <c r="R29" i="113"/>
  <c r="R65" i="113" s="1"/>
  <c r="R41" i="113"/>
  <c r="O7" i="113"/>
  <c r="O7" i="95"/>
  <c r="T23" i="101"/>
  <c r="N29" i="113"/>
  <c r="N65" i="113" s="1"/>
  <c r="N41" i="113"/>
  <c r="AA34" i="95"/>
  <c r="AA58" i="95"/>
  <c r="Q46" i="95"/>
  <c r="Q34" i="95"/>
  <c r="F32" i="113"/>
  <c r="U19" i="97"/>
  <c r="U39" i="97" s="1"/>
  <c r="I63" i="95"/>
  <c r="W11" i="105"/>
  <c r="T37" i="93" l="1"/>
  <c r="U37" i="93"/>
  <c r="S16" i="110"/>
  <c r="T16" i="110"/>
  <c r="T13" i="110"/>
  <c r="S13" i="110"/>
  <c r="S13" i="102"/>
  <c r="T13" i="102"/>
  <c r="S16" i="100"/>
  <c r="T16" i="100"/>
  <c r="T49" i="93"/>
  <c r="S38" i="116"/>
  <c r="T38" i="116" s="1"/>
  <c r="E50" i="116"/>
  <c r="E26" i="116"/>
  <c r="E38" i="116"/>
  <c r="F38" i="116" s="1"/>
  <c r="S26" i="116"/>
  <c r="U26" i="116" s="1"/>
  <c r="S50" i="116"/>
  <c r="T11" i="91"/>
  <c r="S14" i="93"/>
  <c r="T14" i="93"/>
  <c r="S13" i="117"/>
  <c r="T13" i="117"/>
  <c r="S14" i="96"/>
  <c r="S12" i="94"/>
  <c r="T12" i="94"/>
  <c r="G10" i="92"/>
  <c r="R10" i="92" s="1"/>
  <c r="S24" i="92" s="1"/>
  <c r="T10" i="92"/>
  <c r="S16" i="112"/>
  <c r="T16" i="112"/>
  <c r="T8" i="96"/>
  <c r="I14" i="115"/>
  <c r="J14" i="115" s="1"/>
  <c r="T14" i="115" s="1"/>
  <c r="T12" i="92"/>
  <c r="T14" i="96"/>
  <c r="G50" i="109"/>
  <c r="U15" i="97"/>
  <c r="I31" i="32"/>
  <c r="R13" i="91"/>
  <c r="F21" i="95" s="1"/>
  <c r="U29" i="97"/>
  <c r="I40" i="32"/>
  <c r="U10" i="97"/>
  <c r="I26" i="32"/>
  <c r="U47" i="87"/>
  <c r="S37" i="99"/>
  <c r="T37" i="99" s="1"/>
  <c r="X8" i="113"/>
  <c r="X68" i="113" s="1"/>
  <c r="V12" i="109"/>
  <c r="V11" i="109"/>
  <c r="G49" i="109"/>
  <c r="N10" i="91"/>
  <c r="F50" i="109"/>
  <c r="S15" i="97"/>
  <c r="G31" i="32"/>
  <c r="O11" i="97"/>
  <c r="C27" i="32"/>
  <c r="C64" i="95"/>
  <c r="C41" i="32" s="1"/>
  <c r="C26" i="32"/>
  <c r="R19" i="97"/>
  <c r="F35" i="32"/>
  <c r="Q30" i="97"/>
  <c r="R14" i="97"/>
  <c r="F30" i="32"/>
  <c r="Q31" i="97"/>
  <c r="N30" i="97"/>
  <c r="B41" i="32"/>
  <c r="P31" i="97"/>
  <c r="O29" i="97"/>
  <c r="R9" i="97"/>
  <c r="F25" i="32"/>
  <c r="N31" i="97"/>
  <c r="B42" i="32"/>
  <c r="O15" i="97"/>
  <c r="C31" i="32"/>
  <c r="U37" i="109"/>
  <c r="W13" i="91"/>
  <c r="G25" i="109"/>
  <c r="E40" i="120"/>
  <c r="S37" i="115"/>
  <c r="E37" i="115"/>
  <c r="U50" i="109"/>
  <c r="T38" i="109"/>
  <c r="U38" i="109"/>
  <c r="G26" i="109"/>
  <c r="W7" i="113"/>
  <c r="W67" i="113" s="1"/>
  <c r="U13" i="101"/>
  <c r="U14" i="101" s="1"/>
  <c r="F28" i="101" s="1"/>
  <c r="U25" i="109"/>
  <c r="X7" i="95"/>
  <c r="T38" i="107"/>
  <c r="U49" i="109"/>
  <c r="N8" i="95"/>
  <c r="U24" i="119"/>
  <c r="E49" i="115"/>
  <c r="T50" i="109"/>
  <c r="F38" i="109"/>
  <c r="F26" i="109"/>
  <c r="U26" i="109"/>
  <c r="G37" i="109"/>
  <c r="Z66" i="113"/>
  <c r="S49" i="115"/>
  <c r="G38" i="109"/>
  <c r="T26" i="109"/>
  <c r="X8" i="95"/>
  <c r="X67" i="95" s="1"/>
  <c r="V12" i="107"/>
  <c r="V8" i="95"/>
  <c r="V67" i="95" s="1"/>
  <c r="X7" i="113"/>
  <c r="T35" i="87"/>
  <c r="T23" i="87"/>
  <c r="S50" i="87"/>
  <c r="C56" i="113" s="1"/>
  <c r="U35" i="87"/>
  <c r="T49" i="108"/>
  <c r="U38" i="105"/>
  <c r="V8" i="113"/>
  <c r="V68" i="113" s="1"/>
  <c r="U13" i="107"/>
  <c r="F39" i="107" s="1"/>
  <c r="V12" i="101"/>
  <c r="G37" i="108"/>
  <c r="G26" i="105"/>
  <c r="F38" i="107"/>
  <c r="G26" i="107"/>
  <c r="T26" i="107"/>
  <c r="G50" i="107"/>
  <c r="U13" i="105"/>
  <c r="U27" i="105" s="1"/>
  <c r="V11" i="108"/>
  <c r="F26" i="107"/>
  <c r="T50" i="107"/>
  <c r="G38" i="107"/>
  <c r="F50" i="107"/>
  <c r="U50" i="107"/>
  <c r="U24" i="94"/>
  <c r="I6" i="95"/>
  <c r="F38" i="80"/>
  <c r="G26" i="80"/>
  <c r="S26" i="118"/>
  <c r="T26" i="118" s="1"/>
  <c r="S50" i="118"/>
  <c r="U50" i="118" s="1"/>
  <c r="R14" i="91"/>
  <c r="S40" i="91" s="1"/>
  <c r="E27" i="121"/>
  <c r="F27" i="121" s="1"/>
  <c r="E52" i="120"/>
  <c r="U11" i="94"/>
  <c r="U25" i="94" s="1"/>
  <c r="N14" i="91"/>
  <c r="I6" i="113"/>
  <c r="S52" i="120"/>
  <c r="S28" i="120"/>
  <c r="U26" i="80"/>
  <c r="U19" i="95"/>
  <c r="E28" i="120"/>
  <c r="E49" i="99"/>
  <c r="G49" i="99" s="1"/>
  <c r="U19" i="113"/>
  <c r="G50" i="80"/>
  <c r="T26" i="105"/>
  <c r="V13" i="101"/>
  <c r="M65" i="95"/>
  <c r="G35" i="87"/>
  <c r="E38" i="118"/>
  <c r="E26" i="118"/>
  <c r="F26" i="118" s="1"/>
  <c r="F35" i="87"/>
  <c r="S38" i="118"/>
  <c r="U38" i="118" s="1"/>
  <c r="V12" i="90"/>
  <c r="E53" i="118"/>
  <c r="U13" i="80"/>
  <c r="T27" i="80" s="1"/>
  <c r="T38" i="80"/>
  <c r="G38" i="80"/>
  <c r="B8" i="113"/>
  <c r="B68" i="113" s="1"/>
  <c r="S41" i="118"/>
  <c r="T26" i="80"/>
  <c r="V12" i="80"/>
  <c r="U38" i="80"/>
  <c r="F50" i="80"/>
  <c r="U50" i="80"/>
  <c r="T50" i="80"/>
  <c r="B8" i="95"/>
  <c r="B67" i="95" s="1"/>
  <c r="T47" i="87"/>
  <c r="G47" i="87"/>
  <c r="G25" i="108"/>
  <c r="G49" i="108"/>
  <c r="U37" i="108"/>
  <c r="U12" i="108"/>
  <c r="V12" i="108" s="1"/>
  <c r="F26" i="105"/>
  <c r="R8" i="95"/>
  <c r="R67" i="95" s="1"/>
  <c r="G38" i="105"/>
  <c r="Z65" i="95"/>
  <c r="V7" i="96"/>
  <c r="J3" i="113"/>
  <c r="F25" i="108"/>
  <c r="T25" i="108"/>
  <c r="F37" i="108"/>
  <c r="U25" i="108"/>
  <c r="V12" i="105"/>
  <c r="G28" i="101"/>
  <c r="T38" i="105"/>
  <c r="F50" i="105"/>
  <c r="M20" i="95"/>
  <c r="R7" i="95"/>
  <c r="U26" i="105"/>
  <c r="T37" i="108"/>
  <c r="U49" i="108"/>
  <c r="F49" i="108"/>
  <c r="F52" i="101"/>
  <c r="F38" i="105"/>
  <c r="G50" i="105"/>
  <c r="T28" i="101"/>
  <c r="U50" i="105"/>
  <c r="T50" i="105"/>
  <c r="W10" i="91"/>
  <c r="V10" i="91" s="1"/>
  <c r="V12" i="93"/>
  <c r="E41" i="118"/>
  <c r="S29" i="118"/>
  <c r="U48" i="119"/>
  <c r="H8" i="95"/>
  <c r="S40" i="109"/>
  <c r="X46" i="113" s="1"/>
  <c r="S53" i="118"/>
  <c r="U36" i="119"/>
  <c r="E38" i="87"/>
  <c r="C44" i="95" s="1"/>
  <c r="U39" i="121"/>
  <c r="C29" i="113"/>
  <c r="O26" i="97" s="1"/>
  <c r="F47" i="115"/>
  <c r="S27" i="121"/>
  <c r="T27" i="121" s="1"/>
  <c r="U7" i="113"/>
  <c r="E51" i="121"/>
  <c r="F51" i="121" s="1"/>
  <c r="E39" i="121"/>
  <c r="F39" i="121" s="1"/>
  <c r="S51" i="121"/>
  <c r="U51" i="121" s="1"/>
  <c r="V13" i="121"/>
  <c r="C20" i="113"/>
  <c r="U11" i="87"/>
  <c r="U12" i="87" s="1"/>
  <c r="T38" i="87" s="1"/>
  <c r="S30" i="88"/>
  <c r="D36" i="113" s="1"/>
  <c r="N10" i="95"/>
  <c r="N69" i="95" s="1"/>
  <c r="S66" i="113"/>
  <c r="F23" i="115"/>
  <c r="R14" i="99"/>
  <c r="S28" i="99" s="1"/>
  <c r="N10" i="113"/>
  <c r="N70" i="113" s="1"/>
  <c r="S50" i="100"/>
  <c r="M56" i="113" s="1"/>
  <c r="E38" i="100"/>
  <c r="F38" i="100" s="1"/>
  <c r="U25" i="99"/>
  <c r="U7" i="95"/>
  <c r="E50" i="100"/>
  <c r="M56" i="95" s="1"/>
  <c r="E26" i="100"/>
  <c r="F26" i="100" s="1"/>
  <c r="S65" i="95"/>
  <c r="S38" i="100"/>
  <c r="T38" i="100" s="1"/>
  <c r="M20" i="113"/>
  <c r="N11" i="94"/>
  <c r="F37" i="111"/>
  <c r="S52" i="109"/>
  <c r="X58" i="113" s="1"/>
  <c r="S26" i="87"/>
  <c r="C32" i="113" s="1"/>
  <c r="E26" i="87"/>
  <c r="C32" i="95" s="1"/>
  <c r="E50" i="87"/>
  <c r="C56" i="95" s="1"/>
  <c r="C20" i="95"/>
  <c r="U13" i="90"/>
  <c r="E9" i="95" s="1"/>
  <c r="E25" i="99"/>
  <c r="G25" i="99" s="1"/>
  <c r="S49" i="99"/>
  <c r="U49" i="99" s="1"/>
  <c r="E37" i="99"/>
  <c r="G37" i="99" s="1"/>
  <c r="G36" i="119"/>
  <c r="F24" i="119"/>
  <c r="E8" i="113"/>
  <c r="F47" i="87"/>
  <c r="E52" i="109"/>
  <c r="X58" i="95" s="1"/>
  <c r="X22" i="95"/>
  <c r="T47" i="115"/>
  <c r="F48" i="119"/>
  <c r="E28" i="109"/>
  <c r="X34" i="95" s="1"/>
  <c r="X22" i="113"/>
  <c r="E26" i="111"/>
  <c r="Z32" i="95" s="1"/>
  <c r="S28" i="107"/>
  <c r="V34" i="113" s="1"/>
  <c r="V22" i="95"/>
  <c r="E40" i="107"/>
  <c r="S52" i="107"/>
  <c r="V58" i="113" s="1"/>
  <c r="E52" i="107"/>
  <c r="V58" i="95" s="1"/>
  <c r="E28" i="107"/>
  <c r="V34" i="95" s="1"/>
  <c r="S40" i="107"/>
  <c r="V46" i="113" s="1"/>
  <c r="V22" i="113"/>
  <c r="W11" i="94"/>
  <c r="E40" i="109"/>
  <c r="X46" i="95" s="1"/>
  <c r="W14" i="99"/>
  <c r="U48" i="117"/>
  <c r="T48" i="117"/>
  <c r="G49" i="120"/>
  <c r="F49" i="120"/>
  <c r="S30" i="94"/>
  <c r="I36" i="113" s="1"/>
  <c r="E54" i="94"/>
  <c r="I60" i="95" s="1"/>
  <c r="I24" i="95"/>
  <c r="S54" i="94"/>
  <c r="I60" i="113" s="1"/>
  <c r="E42" i="94"/>
  <c r="I48" i="95" s="1"/>
  <c r="E30" i="94"/>
  <c r="I36" i="95" s="1"/>
  <c r="I24" i="113"/>
  <c r="S42" i="94"/>
  <c r="I48" i="113" s="1"/>
  <c r="S28" i="103"/>
  <c r="P22" i="95"/>
  <c r="E40" i="103"/>
  <c r="E28" i="103"/>
  <c r="E52" i="103"/>
  <c r="P58" i="95" s="1"/>
  <c r="S40" i="103"/>
  <c r="P22" i="113"/>
  <c r="S52" i="103"/>
  <c r="P58" i="113" s="1"/>
  <c r="U8" i="96"/>
  <c r="I12" i="92"/>
  <c r="N12" i="92" s="1"/>
  <c r="S27" i="101"/>
  <c r="N21" i="95"/>
  <c r="E51" i="101"/>
  <c r="E27" i="101"/>
  <c r="S39" i="101"/>
  <c r="N21" i="113"/>
  <c r="S51" i="101"/>
  <c r="E39" i="101"/>
  <c r="U24" i="117"/>
  <c r="T24" i="117"/>
  <c r="S51" i="118"/>
  <c r="E27" i="118"/>
  <c r="E39" i="118"/>
  <c r="S27" i="118"/>
  <c r="E51" i="118"/>
  <c r="S39" i="118"/>
  <c r="S27" i="111"/>
  <c r="Z33" i="113" s="1"/>
  <c r="E27" i="111"/>
  <c r="Z33" i="95" s="1"/>
  <c r="E39" i="111"/>
  <c r="Z45" i="95" s="1"/>
  <c r="Z21" i="95"/>
  <c r="S51" i="111"/>
  <c r="Z57" i="113" s="1"/>
  <c r="S39" i="111"/>
  <c r="Z45" i="113" s="1"/>
  <c r="E51" i="111"/>
  <c r="Z57" i="95" s="1"/>
  <c r="Z21" i="113"/>
  <c r="G37" i="120"/>
  <c r="F37" i="120"/>
  <c r="T37" i="120"/>
  <c r="U37" i="120"/>
  <c r="J13" i="117"/>
  <c r="N13" i="117" s="1"/>
  <c r="S41" i="119"/>
  <c r="E41" i="119"/>
  <c r="S53" i="119"/>
  <c r="E53" i="119"/>
  <c r="S29" i="119"/>
  <c r="E29" i="119"/>
  <c r="F48" i="117"/>
  <c r="G48" i="117"/>
  <c r="G36" i="117"/>
  <c r="F36" i="117"/>
  <c r="N15" i="115"/>
  <c r="W15" i="115"/>
  <c r="R15" i="115"/>
  <c r="T49" i="120"/>
  <c r="U49" i="120"/>
  <c r="T25" i="120"/>
  <c r="U25" i="120"/>
  <c r="S29" i="107"/>
  <c r="V35" i="113" s="1"/>
  <c r="E29" i="107"/>
  <c r="V35" i="95" s="1"/>
  <c r="S41" i="107"/>
  <c r="V47" i="113" s="1"/>
  <c r="V23" i="95"/>
  <c r="E41" i="107"/>
  <c r="V47" i="95" s="1"/>
  <c r="E53" i="107"/>
  <c r="V59" i="95" s="1"/>
  <c r="V23" i="113"/>
  <c r="S53" i="107"/>
  <c r="V59" i="113" s="1"/>
  <c r="W14" i="87"/>
  <c r="R14" i="87"/>
  <c r="N14" i="87"/>
  <c r="S27" i="100"/>
  <c r="E39" i="100"/>
  <c r="S51" i="100"/>
  <c r="M57" i="113" s="1"/>
  <c r="E51" i="100"/>
  <c r="M57" i="95" s="1"/>
  <c r="M21" i="113"/>
  <c r="E27" i="100"/>
  <c r="S39" i="100"/>
  <c r="M21" i="95"/>
  <c r="F24" i="117"/>
  <c r="G24" i="117"/>
  <c r="U36" i="117"/>
  <c r="T36" i="117"/>
  <c r="S38" i="90"/>
  <c r="E38" i="90"/>
  <c r="E20" i="113"/>
  <c r="E26" i="90"/>
  <c r="E20" i="95"/>
  <c r="S50" i="90"/>
  <c r="S26" i="90"/>
  <c r="E50" i="90"/>
  <c r="M16" i="112"/>
  <c r="S36" i="87"/>
  <c r="C18" i="95"/>
  <c r="E48" i="87"/>
  <c r="S48" i="87"/>
  <c r="C18" i="113"/>
  <c r="E36" i="87"/>
  <c r="S24" i="87"/>
  <c r="E24" i="87"/>
  <c r="S27" i="103"/>
  <c r="P21" i="113"/>
  <c r="E39" i="103"/>
  <c r="S39" i="103"/>
  <c r="E51" i="103"/>
  <c r="P57" i="95" s="1"/>
  <c r="P21" i="95"/>
  <c r="S51" i="103"/>
  <c r="P57" i="113" s="1"/>
  <c r="E27" i="103"/>
  <c r="F25" i="120"/>
  <c r="G25" i="120"/>
  <c r="T23" i="115"/>
  <c r="U14" i="111"/>
  <c r="T40" i="111" s="1"/>
  <c r="V11" i="111"/>
  <c r="F25" i="111"/>
  <c r="Z7" i="95"/>
  <c r="T37" i="111"/>
  <c r="F49" i="111"/>
  <c r="Z7" i="113"/>
  <c r="U25" i="111"/>
  <c r="U13" i="100"/>
  <c r="V12" i="100"/>
  <c r="N13" i="93"/>
  <c r="W13" i="93"/>
  <c r="G49" i="106"/>
  <c r="G50" i="108"/>
  <c r="G38" i="108"/>
  <c r="U50" i="108"/>
  <c r="W8" i="95"/>
  <c r="W67" i="95" s="1"/>
  <c r="M7" i="95"/>
  <c r="M66" i="95" s="1"/>
  <c r="G25" i="100"/>
  <c r="V11" i="100"/>
  <c r="U49" i="100"/>
  <c r="F37" i="100"/>
  <c r="T25" i="100"/>
  <c r="T49" i="100"/>
  <c r="G37" i="100"/>
  <c r="F25" i="100"/>
  <c r="F49" i="100"/>
  <c r="M7" i="113"/>
  <c r="M67" i="113" s="1"/>
  <c r="T37" i="100"/>
  <c r="G49" i="100"/>
  <c r="U25" i="100"/>
  <c r="U37" i="100"/>
  <c r="V13" i="111"/>
  <c r="Z9" i="113"/>
  <c r="Z9" i="95"/>
  <c r="T51" i="111"/>
  <c r="AA7" i="113"/>
  <c r="AA67" i="113" s="1"/>
  <c r="G49" i="112"/>
  <c r="U37" i="112"/>
  <c r="U49" i="112"/>
  <c r="V11" i="112"/>
  <c r="F49" i="112"/>
  <c r="U12" i="112"/>
  <c r="U13" i="112" s="1"/>
  <c r="T25" i="112"/>
  <c r="AA7" i="95"/>
  <c r="AA66" i="95" s="1"/>
  <c r="F25" i="112"/>
  <c r="T49" i="112"/>
  <c r="G37" i="112"/>
  <c r="U25" i="112"/>
  <c r="G25" i="112"/>
  <c r="F37" i="112"/>
  <c r="T37" i="112"/>
  <c r="T38" i="108"/>
  <c r="G26" i="108"/>
  <c r="F26" i="108"/>
  <c r="G27" i="121"/>
  <c r="U13" i="104"/>
  <c r="Q8" i="95"/>
  <c r="Q67" i="95" s="1"/>
  <c r="T26" i="104"/>
  <c r="Q8" i="113"/>
  <c r="Q68" i="113" s="1"/>
  <c r="U26" i="104"/>
  <c r="V12" i="104"/>
  <c r="G38" i="104"/>
  <c r="F50" i="104"/>
  <c r="U38" i="104"/>
  <c r="F38" i="104"/>
  <c r="T50" i="104"/>
  <c r="T38" i="104"/>
  <c r="F26" i="104"/>
  <c r="G26" i="104"/>
  <c r="G50" i="104"/>
  <c r="U50" i="104"/>
  <c r="F50" i="108"/>
  <c r="U49" i="106"/>
  <c r="F38" i="108"/>
  <c r="W12" i="99"/>
  <c r="U9" i="92"/>
  <c r="U23" i="92" s="1"/>
  <c r="T35" i="115"/>
  <c r="F35" i="115"/>
  <c r="G51" i="121"/>
  <c r="T50" i="108"/>
  <c r="G25" i="106"/>
  <c r="T26" i="108"/>
  <c r="W8" i="113"/>
  <c r="W68" i="113" s="1"/>
  <c r="U12" i="99"/>
  <c r="U13" i="99" s="1"/>
  <c r="V13" i="99" s="1"/>
  <c r="U13" i="93"/>
  <c r="H9" i="113" s="1"/>
  <c r="S48" i="115"/>
  <c r="U48" i="115" s="1"/>
  <c r="E24" i="115"/>
  <c r="G24" i="115" s="1"/>
  <c r="S36" i="115"/>
  <c r="U36" i="115" s="1"/>
  <c r="E36" i="115"/>
  <c r="G36" i="115" s="1"/>
  <c r="E48" i="115"/>
  <c r="G48" i="115" s="1"/>
  <c r="S24" i="115"/>
  <c r="U24" i="115" s="1"/>
  <c r="N13" i="116"/>
  <c r="R13" i="116"/>
  <c r="W13" i="116"/>
  <c r="U14" i="121"/>
  <c r="U52" i="121" s="1"/>
  <c r="T39" i="121"/>
  <c r="U13" i="118"/>
  <c r="V12" i="118"/>
  <c r="F50" i="118"/>
  <c r="T38" i="118"/>
  <c r="F38" i="118"/>
  <c r="U12" i="106"/>
  <c r="S7" i="95"/>
  <c r="S7" i="113"/>
  <c r="U25" i="121"/>
  <c r="T25" i="121"/>
  <c r="G37" i="121"/>
  <c r="F37" i="121"/>
  <c r="U14" i="120"/>
  <c r="U52" i="120" s="1"/>
  <c r="F51" i="120"/>
  <c r="F39" i="120"/>
  <c r="T27" i="120"/>
  <c r="F27" i="120"/>
  <c r="V13" i="120"/>
  <c r="T51" i="120"/>
  <c r="T39" i="120"/>
  <c r="U51" i="120"/>
  <c r="G51" i="120"/>
  <c r="G27" i="120"/>
  <c r="U39" i="120"/>
  <c r="U27" i="120"/>
  <c r="G39" i="120"/>
  <c r="R54" i="113"/>
  <c r="U48" i="105"/>
  <c r="T48" i="105"/>
  <c r="T50" i="117"/>
  <c r="F50" i="117"/>
  <c r="F38" i="117"/>
  <c r="F26" i="117"/>
  <c r="V12" i="117"/>
  <c r="T38" i="117"/>
  <c r="T26" i="117"/>
  <c r="G38" i="117"/>
  <c r="G50" i="117"/>
  <c r="G26" i="117"/>
  <c r="U38" i="117"/>
  <c r="U26" i="117"/>
  <c r="U50" i="117"/>
  <c r="U27" i="89"/>
  <c r="F39" i="89"/>
  <c r="L9" i="95"/>
  <c r="L68" i="95" s="1"/>
  <c r="F51" i="89"/>
  <c r="U39" i="89"/>
  <c r="T51" i="89"/>
  <c r="L9" i="113"/>
  <c r="L69" i="113" s="1"/>
  <c r="G51" i="89"/>
  <c r="G27" i="89"/>
  <c r="F27" i="89"/>
  <c r="V13" i="89"/>
  <c r="G39" i="89"/>
  <c r="U51" i="89"/>
  <c r="T39" i="89"/>
  <c r="T27" i="89"/>
  <c r="K15" i="120"/>
  <c r="J16" i="118"/>
  <c r="G38" i="118"/>
  <c r="V11" i="106"/>
  <c r="U37" i="121"/>
  <c r="T37" i="121"/>
  <c r="R42" i="95"/>
  <c r="F24" i="105"/>
  <c r="R30" i="95"/>
  <c r="R65" i="95" s="1"/>
  <c r="G24" i="105"/>
  <c r="U13" i="103"/>
  <c r="V12" i="103"/>
  <c r="G38" i="103"/>
  <c r="T50" i="103"/>
  <c r="T26" i="103"/>
  <c r="G50" i="103"/>
  <c r="T38" i="103"/>
  <c r="P8" i="113"/>
  <c r="P68" i="113" s="1"/>
  <c r="G26" i="103"/>
  <c r="P8" i="95"/>
  <c r="P67" i="95" s="1"/>
  <c r="U26" i="103"/>
  <c r="F38" i="103"/>
  <c r="F26" i="103"/>
  <c r="U38" i="103"/>
  <c r="U50" i="103"/>
  <c r="F50" i="103"/>
  <c r="U14" i="88"/>
  <c r="U40" i="88" s="1"/>
  <c r="T39" i="88"/>
  <c r="F51" i="88"/>
  <c r="V13" i="88"/>
  <c r="U27" i="88"/>
  <c r="D9" i="95"/>
  <c r="D68" i="95" s="1"/>
  <c r="G51" i="88"/>
  <c r="F39" i="88"/>
  <c r="G39" i="88"/>
  <c r="U39" i="88"/>
  <c r="F27" i="88"/>
  <c r="G27" i="88"/>
  <c r="U51" i="88"/>
  <c r="T27" i="88"/>
  <c r="T51" i="88"/>
  <c r="D9" i="113"/>
  <c r="D69" i="113" s="1"/>
  <c r="J14" i="118"/>
  <c r="R13" i="115"/>
  <c r="N13" i="115"/>
  <c r="W13" i="115"/>
  <c r="U14" i="109"/>
  <c r="X10" i="95" s="1"/>
  <c r="X9" i="95"/>
  <c r="X68" i="95" s="1"/>
  <c r="T51" i="109"/>
  <c r="U27" i="109"/>
  <c r="X9" i="113"/>
  <c r="X69" i="113" s="1"/>
  <c r="T27" i="109"/>
  <c r="G27" i="109"/>
  <c r="T39" i="109"/>
  <c r="G39" i="109"/>
  <c r="F39" i="109"/>
  <c r="F51" i="109"/>
  <c r="U39" i="109"/>
  <c r="V13" i="109"/>
  <c r="G51" i="109"/>
  <c r="U51" i="109"/>
  <c r="F27" i="109"/>
  <c r="U13" i="108"/>
  <c r="U26" i="108"/>
  <c r="G49" i="121"/>
  <c r="F49" i="121"/>
  <c r="F48" i="105"/>
  <c r="R54" i="95"/>
  <c r="G48" i="105"/>
  <c r="F36" i="105"/>
  <c r="G36" i="105"/>
  <c r="S26" i="93"/>
  <c r="S50" i="93"/>
  <c r="E50" i="93"/>
  <c r="H20" i="95"/>
  <c r="H20" i="113"/>
  <c r="E26" i="93"/>
  <c r="S38" i="93"/>
  <c r="E38" i="93"/>
  <c r="S42" i="116"/>
  <c r="E42" i="116"/>
  <c r="E30" i="116"/>
  <c r="S54" i="116"/>
  <c r="S30" i="116"/>
  <c r="E54" i="116"/>
  <c r="U13" i="116"/>
  <c r="V12" i="116"/>
  <c r="T26" i="116"/>
  <c r="F50" i="116"/>
  <c r="T50" i="116"/>
  <c r="F26" i="116"/>
  <c r="U50" i="116"/>
  <c r="U38" i="116"/>
  <c r="G50" i="116"/>
  <c r="G26" i="116"/>
  <c r="I16" i="115"/>
  <c r="J16" i="115" s="1"/>
  <c r="K16" i="115" s="1"/>
  <c r="L16" i="115" s="1"/>
  <c r="F37" i="119"/>
  <c r="F49" i="119"/>
  <c r="T37" i="119"/>
  <c r="T25" i="119"/>
  <c r="F25" i="119"/>
  <c r="T49" i="119"/>
  <c r="V11" i="119"/>
  <c r="U37" i="119"/>
  <c r="U49" i="119"/>
  <c r="G25" i="119"/>
  <c r="G49" i="119"/>
  <c r="U25" i="119"/>
  <c r="G37" i="119"/>
  <c r="U12" i="119"/>
  <c r="G50" i="118"/>
  <c r="G25" i="121"/>
  <c r="F25" i="121"/>
  <c r="U49" i="121"/>
  <c r="T49" i="121"/>
  <c r="U36" i="105"/>
  <c r="T36" i="105"/>
  <c r="U24" i="105"/>
  <c r="R42" i="113"/>
  <c r="R30" i="113"/>
  <c r="R66" i="113" s="1"/>
  <c r="T24" i="105"/>
  <c r="U11" i="115"/>
  <c r="V10" i="115"/>
  <c r="E38" i="111"/>
  <c r="G38" i="111" s="1"/>
  <c r="Z20" i="113"/>
  <c r="S50" i="111"/>
  <c r="Z56" i="113" s="1"/>
  <c r="S38" i="111"/>
  <c r="Z44" i="113" s="1"/>
  <c r="U26" i="111"/>
  <c r="Z20" i="95"/>
  <c r="E50" i="111"/>
  <c r="G50" i="111" s="1"/>
  <c r="D24" i="113"/>
  <c r="E42" i="88"/>
  <c r="D48" i="95" s="1"/>
  <c r="S42" i="88"/>
  <c r="D48" i="113" s="1"/>
  <c r="S54" i="88"/>
  <c r="D60" i="113" s="1"/>
  <c r="E54" i="88"/>
  <c r="D60" i="95" s="1"/>
  <c r="D24" i="95"/>
  <c r="R12" i="99"/>
  <c r="S26" i="99" s="1"/>
  <c r="N14" i="96"/>
  <c r="G18" i="113"/>
  <c r="J13" i="102"/>
  <c r="W13" i="102" s="1"/>
  <c r="R15" i="111"/>
  <c r="N15" i="111"/>
  <c r="W15" i="111"/>
  <c r="N10" i="92"/>
  <c r="S48" i="92"/>
  <c r="G54" i="113" s="1"/>
  <c r="E36" i="92"/>
  <c r="G42" i="95" s="1"/>
  <c r="W10" i="92"/>
  <c r="E24" i="92"/>
  <c r="G30" i="95" s="1"/>
  <c r="G18" i="95"/>
  <c r="E48" i="92"/>
  <c r="G54" i="95" s="1"/>
  <c r="S26" i="101"/>
  <c r="N20" i="113"/>
  <c r="N20" i="95"/>
  <c r="E26" i="101"/>
  <c r="E50" i="101"/>
  <c r="E38" i="101"/>
  <c r="S38" i="101"/>
  <c r="S50" i="101"/>
  <c r="I12" i="94"/>
  <c r="R12" i="94" s="1"/>
  <c r="S26" i="94" s="1"/>
  <c r="S36" i="92"/>
  <c r="G42" i="113" s="1"/>
  <c r="M16" i="100"/>
  <c r="W14" i="96"/>
  <c r="R14" i="96"/>
  <c r="S28" i="96" s="1"/>
  <c r="E15" i="96"/>
  <c r="E13" i="96"/>
  <c r="S21" i="96"/>
  <c r="E33" i="96"/>
  <c r="E45" i="96"/>
  <c r="E21" i="96"/>
  <c r="J15" i="113"/>
  <c r="J15" i="95"/>
  <c r="S33" i="96"/>
  <c r="S45" i="96"/>
  <c r="E9" i="96"/>
  <c r="T9" i="96" s="1"/>
  <c r="E16" i="96"/>
  <c r="E8" i="96"/>
  <c r="W8" i="96" s="1"/>
  <c r="E11" i="96"/>
  <c r="E10" i="96"/>
  <c r="E12" i="96"/>
  <c r="F12" i="96" s="1"/>
  <c r="G12" i="96" s="1"/>
  <c r="H12" i="96" s="1"/>
  <c r="P41" i="97"/>
  <c r="Q40" i="97"/>
  <c r="Q41" i="97"/>
  <c r="G34" i="91"/>
  <c r="F40" i="95"/>
  <c r="M8" i="113"/>
  <c r="U26" i="100"/>
  <c r="F40" i="113"/>
  <c r="U34" i="91"/>
  <c r="F46" i="91"/>
  <c r="F22" i="91"/>
  <c r="O10" i="97"/>
  <c r="G22" i="91"/>
  <c r="U46" i="91"/>
  <c r="G46" i="91"/>
  <c r="M8" i="95"/>
  <c r="F52" i="113"/>
  <c r="F6" i="95"/>
  <c r="F5" i="95"/>
  <c r="V9" i="91"/>
  <c r="L67" i="113"/>
  <c r="R45" i="97"/>
  <c r="F63" i="95"/>
  <c r="F40" i="32" s="1"/>
  <c r="T36" i="99"/>
  <c r="U36" i="99"/>
  <c r="D36" i="95"/>
  <c r="I46" i="95"/>
  <c r="T36" i="101"/>
  <c r="U36" i="101"/>
  <c r="G41" i="95"/>
  <c r="Z31" i="95"/>
  <c r="G25" i="111"/>
  <c r="F47" i="95"/>
  <c r="G57" i="113"/>
  <c r="G53" i="95"/>
  <c r="G33" i="95"/>
  <c r="F47" i="113"/>
  <c r="G29" i="95"/>
  <c r="I34" i="95"/>
  <c r="V11" i="105"/>
  <c r="I58" i="95"/>
  <c r="G41" i="113"/>
  <c r="G45" i="95"/>
  <c r="F37" i="106"/>
  <c r="G37" i="106"/>
  <c r="F36" i="99"/>
  <c r="G36" i="99"/>
  <c r="Z55" i="113"/>
  <c r="U49" i="111"/>
  <c r="F59" i="113"/>
  <c r="G45" i="113"/>
  <c r="U25" i="105"/>
  <c r="T49" i="111"/>
  <c r="G38" i="100"/>
  <c r="Z43" i="113"/>
  <c r="U37" i="111"/>
  <c r="R7" i="113"/>
  <c r="Z55" i="95"/>
  <c r="G49" i="111"/>
  <c r="I58" i="113"/>
  <c r="F36" i="101"/>
  <c r="G36" i="101"/>
  <c r="G53" i="113"/>
  <c r="G57" i="95"/>
  <c r="T37" i="106"/>
  <c r="U37" i="106"/>
  <c r="F35" i="95"/>
  <c r="I46" i="113"/>
  <c r="Z43" i="95"/>
  <c r="G37" i="111"/>
  <c r="F59" i="95"/>
  <c r="I41" i="113"/>
  <c r="T35" i="94"/>
  <c r="G33" i="113"/>
  <c r="S52" i="91"/>
  <c r="S55" i="113"/>
  <c r="T49" i="106"/>
  <c r="J15" i="110"/>
  <c r="K15" i="110" s="1"/>
  <c r="F64" i="113"/>
  <c r="R35" i="97" s="1"/>
  <c r="I23" i="113"/>
  <c r="I23" i="95"/>
  <c r="E53" i="94"/>
  <c r="E29" i="94"/>
  <c r="E41" i="94"/>
  <c r="S41" i="94"/>
  <c r="S53" i="94"/>
  <c r="R16" i="101"/>
  <c r="S30" i="101" s="1"/>
  <c r="N16" i="101"/>
  <c r="W16" i="101"/>
  <c r="M32" i="95"/>
  <c r="T24" i="101"/>
  <c r="N30" i="113"/>
  <c r="N66" i="113" s="1"/>
  <c r="N42" i="113"/>
  <c r="T24" i="99"/>
  <c r="U42" i="113"/>
  <c r="U30" i="113"/>
  <c r="U66" i="113" s="1"/>
  <c r="T23" i="94"/>
  <c r="I29" i="113"/>
  <c r="E57" i="113"/>
  <c r="D34" i="113"/>
  <c r="S43" i="95"/>
  <c r="S31" i="95"/>
  <c r="F25" i="106"/>
  <c r="H21" i="113"/>
  <c r="H21" i="95"/>
  <c r="E27" i="93"/>
  <c r="E51" i="93"/>
  <c r="S39" i="93"/>
  <c r="S51" i="93"/>
  <c r="E39" i="93"/>
  <c r="O19" i="113"/>
  <c r="S37" i="102"/>
  <c r="O19" i="95"/>
  <c r="E37" i="102"/>
  <c r="E49" i="102"/>
  <c r="G49" i="102" s="1"/>
  <c r="E25" i="102"/>
  <c r="G25" i="102" s="1"/>
  <c r="S49" i="102"/>
  <c r="U49" i="102" s="1"/>
  <c r="G30" i="113"/>
  <c r="G63" i="113"/>
  <c r="S34" i="97" s="1"/>
  <c r="X43" i="95"/>
  <c r="F37" i="109"/>
  <c r="E45" i="113"/>
  <c r="D58" i="113"/>
  <c r="I18" i="113"/>
  <c r="S36" i="94"/>
  <c r="U36" i="94" s="1"/>
  <c r="E48" i="94"/>
  <c r="G48" i="94" s="1"/>
  <c r="I18" i="95"/>
  <c r="E36" i="94"/>
  <c r="G36" i="94" s="1"/>
  <c r="E24" i="94"/>
  <c r="G24" i="94" s="1"/>
  <c r="S48" i="94"/>
  <c r="U48" i="94" s="1"/>
  <c r="J13" i="110"/>
  <c r="R11" i="92"/>
  <c r="S25" i="92" s="1"/>
  <c r="N11" i="92"/>
  <c r="W11" i="92"/>
  <c r="T25" i="99"/>
  <c r="U43" i="113"/>
  <c r="U31" i="113"/>
  <c r="J14" i="89"/>
  <c r="G16" i="113"/>
  <c r="S34" i="92"/>
  <c r="U34" i="92" s="1"/>
  <c r="E22" i="92"/>
  <c r="G22" i="92" s="1"/>
  <c r="E46" i="92"/>
  <c r="G46" i="92" s="1"/>
  <c r="G16" i="95"/>
  <c r="E34" i="92"/>
  <c r="G34" i="92" s="1"/>
  <c r="S46" i="92"/>
  <c r="U46" i="92" s="1"/>
  <c r="F25" i="109"/>
  <c r="X31" i="95"/>
  <c r="N54" i="113"/>
  <c r="T48" i="101"/>
  <c r="U54" i="113"/>
  <c r="T48" i="99"/>
  <c r="I53" i="113"/>
  <c r="T47" i="94"/>
  <c r="E45" i="95"/>
  <c r="D46" i="95"/>
  <c r="S55" i="95"/>
  <c r="F49" i="106"/>
  <c r="H11" i="91"/>
  <c r="N11" i="87"/>
  <c r="R11" i="87"/>
  <c r="U42" i="95"/>
  <c r="U30" i="95"/>
  <c r="U65" i="95" s="1"/>
  <c r="F24" i="99"/>
  <c r="I29" i="95"/>
  <c r="I36" i="32" s="1"/>
  <c r="F23" i="94"/>
  <c r="E33" i="113"/>
  <c r="D58" i="95"/>
  <c r="J15" i="89"/>
  <c r="K15" i="89" s="1"/>
  <c r="W11" i="87"/>
  <c r="X55" i="95"/>
  <c r="F49" i="109"/>
  <c r="X55" i="113"/>
  <c r="T49" i="109"/>
  <c r="S9" i="97"/>
  <c r="R19" i="113"/>
  <c r="R19" i="95"/>
  <c r="E49" i="105"/>
  <c r="G49" i="105" s="1"/>
  <c r="E37" i="105"/>
  <c r="E25" i="105"/>
  <c r="G25" i="105" s="1"/>
  <c r="S37" i="105"/>
  <c r="S49" i="105"/>
  <c r="U49" i="105" s="1"/>
  <c r="T26" i="100"/>
  <c r="M32" i="113"/>
  <c r="M44" i="113"/>
  <c r="N54" i="95"/>
  <c r="F48" i="101"/>
  <c r="I41" i="95"/>
  <c r="F35" i="94"/>
  <c r="E33" i="95"/>
  <c r="D46" i="113"/>
  <c r="Z8" i="113"/>
  <c r="Z8" i="95"/>
  <c r="V12" i="111"/>
  <c r="T25" i="106"/>
  <c r="S43" i="113"/>
  <c r="S31" i="113"/>
  <c r="R13" i="112"/>
  <c r="S27" i="112" s="1"/>
  <c r="N13" i="112"/>
  <c r="T25" i="111"/>
  <c r="Z31" i="113"/>
  <c r="M16" i="110"/>
  <c r="J15" i="112"/>
  <c r="K14" i="93"/>
  <c r="G16" i="92"/>
  <c r="E39" i="91"/>
  <c r="S51" i="91"/>
  <c r="U54" i="95"/>
  <c r="F48" i="99"/>
  <c r="I53" i="95"/>
  <c r="F47" i="94"/>
  <c r="E57" i="95"/>
  <c r="I19" i="113"/>
  <c r="E37" i="94"/>
  <c r="E25" i="94"/>
  <c r="S37" i="94"/>
  <c r="E49" i="94"/>
  <c r="I19" i="95"/>
  <c r="S49" i="94"/>
  <c r="F17" i="113"/>
  <c r="S35" i="91"/>
  <c r="U35" i="91" s="1"/>
  <c r="S23" i="91"/>
  <c r="U23" i="91" s="1"/>
  <c r="E35" i="91"/>
  <c r="G35" i="91" s="1"/>
  <c r="E23" i="91"/>
  <c r="G23" i="91" s="1"/>
  <c r="E47" i="91"/>
  <c r="G47" i="91" s="1"/>
  <c r="F17" i="95"/>
  <c r="S47" i="91"/>
  <c r="U47" i="91" s="1"/>
  <c r="R14" i="110"/>
  <c r="S28" i="110" s="1"/>
  <c r="N14" i="110"/>
  <c r="F35" i="113"/>
  <c r="X34" i="113"/>
  <c r="Y19" i="113"/>
  <c r="S37" i="110"/>
  <c r="U37" i="110" s="1"/>
  <c r="Y19" i="95"/>
  <c r="E25" i="110"/>
  <c r="G25" i="110" s="1"/>
  <c r="E37" i="110"/>
  <c r="G37" i="110" s="1"/>
  <c r="E49" i="110"/>
  <c r="G49" i="110" s="1"/>
  <c r="S49" i="110"/>
  <c r="U49" i="110" s="1"/>
  <c r="F18" i="113"/>
  <c r="S36" i="91"/>
  <c r="U36" i="91" s="1"/>
  <c r="S24" i="91"/>
  <c r="U24" i="91" s="1"/>
  <c r="E24" i="91"/>
  <c r="G24" i="91" s="1"/>
  <c r="E36" i="91"/>
  <c r="G36" i="91" s="1"/>
  <c r="F18" i="95"/>
  <c r="E48" i="91"/>
  <c r="G48" i="91" s="1"/>
  <c r="S48" i="91"/>
  <c r="U48" i="91" s="1"/>
  <c r="N15" i="88"/>
  <c r="R15" i="88"/>
  <c r="W15" i="88"/>
  <c r="T26" i="111"/>
  <c r="Z32" i="113"/>
  <c r="T25" i="109"/>
  <c r="X31" i="113"/>
  <c r="X67" i="113" s="1"/>
  <c r="X43" i="113"/>
  <c r="T37" i="109"/>
  <c r="I34" i="113"/>
  <c r="G14" i="92"/>
  <c r="N42" i="95"/>
  <c r="N30" i="95"/>
  <c r="N65" i="95" s="1"/>
  <c r="F24" i="101"/>
  <c r="G29" i="113"/>
  <c r="S26" i="97" s="1"/>
  <c r="D34" i="95"/>
  <c r="N15" i="92"/>
  <c r="R15" i="92"/>
  <c r="S29" i="92" s="1"/>
  <c r="U37" i="99" l="1"/>
  <c r="G38" i="116"/>
  <c r="G52" i="101"/>
  <c r="N9" i="95"/>
  <c r="T40" i="101"/>
  <c r="T52" i="101"/>
  <c r="T12" i="96"/>
  <c r="K14" i="115"/>
  <c r="R14" i="115" s="1"/>
  <c r="F40" i="101"/>
  <c r="U15" i="101"/>
  <c r="G40" i="101"/>
  <c r="G39" i="105"/>
  <c r="U52" i="101"/>
  <c r="N9" i="113"/>
  <c r="U67" i="113"/>
  <c r="S15" i="120"/>
  <c r="T15" i="120"/>
  <c r="S14" i="115"/>
  <c r="T14" i="89"/>
  <c r="S14" i="89"/>
  <c r="S15" i="110"/>
  <c r="T15" i="110"/>
  <c r="T16" i="115"/>
  <c r="S16" i="115"/>
  <c r="S15" i="89"/>
  <c r="T15" i="89"/>
  <c r="S14" i="118"/>
  <c r="T14" i="118"/>
  <c r="S12" i="96"/>
  <c r="S9" i="96"/>
  <c r="E28" i="91"/>
  <c r="F34" i="95" s="1"/>
  <c r="C7" i="113"/>
  <c r="U13" i="87"/>
  <c r="F27" i="87" s="1"/>
  <c r="U27" i="90"/>
  <c r="F27" i="90"/>
  <c r="U28" i="101"/>
  <c r="V14" i="101"/>
  <c r="R39" i="97"/>
  <c r="X66" i="95"/>
  <c r="S39" i="91"/>
  <c r="E27" i="91"/>
  <c r="F33" i="95" s="1"/>
  <c r="F21" i="113"/>
  <c r="E51" i="91"/>
  <c r="S27" i="91"/>
  <c r="F33" i="113" s="1"/>
  <c r="U16" i="97"/>
  <c r="I32" i="32"/>
  <c r="S40" i="99"/>
  <c r="E40" i="91"/>
  <c r="F46" i="95" s="1"/>
  <c r="F22" i="113"/>
  <c r="G26" i="118"/>
  <c r="S28" i="91"/>
  <c r="F22" i="95"/>
  <c r="E52" i="91"/>
  <c r="U11" i="97"/>
  <c r="I27" i="32"/>
  <c r="R16" i="97"/>
  <c r="F32" i="32"/>
  <c r="R11" i="97"/>
  <c r="F27" i="32"/>
  <c r="S16" i="97"/>
  <c r="G32" i="32"/>
  <c r="R29" i="97"/>
  <c r="S21" i="97"/>
  <c r="G37" i="32"/>
  <c r="R15" i="97"/>
  <c r="F31" i="32"/>
  <c r="S20" i="97"/>
  <c r="G36" i="32"/>
  <c r="S14" i="97"/>
  <c r="G30" i="32"/>
  <c r="R10" i="97"/>
  <c r="F26" i="32"/>
  <c r="O16" i="97"/>
  <c r="C32" i="32"/>
  <c r="O30" i="97"/>
  <c r="U40" i="101"/>
  <c r="E28" i="99"/>
  <c r="U46" i="95" s="1"/>
  <c r="F39" i="105"/>
  <c r="U26" i="118"/>
  <c r="T27" i="107"/>
  <c r="V13" i="107"/>
  <c r="U14" i="105"/>
  <c r="U28" i="105" s="1"/>
  <c r="V13" i="105"/>
  <c r="U38" i="108"/>
  <c r="U14" i="107"/>
  <c r="U15" i="107" s="1"/>
  <c r="V11" i="113" s="1"/>
  <c r="V71" i="113" s="1"/>
  <c r="T39" i="107"/>
  <c r="F51" i="107"/>
  <c r="R9" i="113"/>
  <c r="R69" i="113" s="1"/>
  <c r="F51" i="105"/>
  <c r="G51" i="105"/>
  <c r="U51" i="105"/>
  <c r="T51" i="80"/>
  <c r="U51" i="107"/>
  <c r="U27" i="107"/>
  <c r="V9" i="95"/>
  <c r="V68" i="95" s="1"/>
  <c r="T51" i="107"/>
  <c r="T51" i="105"/>
  <c r="T39" i="105"/>
  <c r="U39" i="105"/>
  <c r="F27" i="105"/>
  <c r="V9" i="113"/>
  <c r="V69" i="113" s="1"/>
  <c r="F27" i="107"/>
  <c r="U39" i="107"/>
  <c r="G27" i="105"/>
  <c r="R9" i="95"/>
  <c r="R68" i="95" s="1"/>
  <c r="T27" i="105"/>
  <c r="G27" i="107"/>
  <c r="G39" i="107"/>
  <c r="G51" i="107"/>
  <c r="B9" i="113"/>
  <c r="B69" i="113" s="1"/>
  <c r="F39" i="80"/>
  <c r="T28" i="109"/>
  <c r="G27" i="80"/>
  <c r="U28" i="121"/>
  <c r="T50" i="118"/>
  <c r="U38" i="100"/>
  <c r="G28" i="120"/>
  <c r="U40" i="120"/>
  <c r="F27" i="111"/>
  <c r="U55" i="113"/>
  <c r="F49" i="99"/>
  <c r="W13" i="117"/>
  <c r="U55" i="95"/>
  <c r="T27" i="111"/>
  <c r="T40" i="88"/>
  <c r="F24" i="115"/>
  <c r="T51" i="121"/>
  <c r="E52" i="99"/>
  <c r="U58" i="95" s="1"/>
  <c r="U22" i="113"/>
  <c r="M44" i="95"/>
  <c r="G51" i="80"/>
  <c r="U51" i="80"/>
  <c r="B9" i="95"/>
  <c r="B68" i="95" s="1"/>
  <c r="T39" i="80"/>
  <c r="U27" i="121"/>
  <c r="G26" i="100"/>
  <c r="V13" i="80"/>
  <c r="U27" i="80"/>
  <c r="F51" i="80"/>
  <c r="U39" i="80"/>
  <c r="E40" i="99"/>
  <c r="W12" i="92"/>
  <c r="S52" i="99"/>
  <c r="U58" i="113" s="1"/>
  <c r="U22" i="95"/>
  <c r="F26" i="87"/>
  <c r="U14" i="80"/>
  <c r="F52" i="80" s="1"/>
  <c r="F27" i="80"/>
  <c r="G39" i="80"/>
  <c r="U26" i="87"/>
  <c r="T39" i="90"/>
  <c r="G50" i="100"/>
  <c r="G39" i="121"/>
  <c r="T50" i="100"/>
  <c r="F50" i="100"/>
  <c r="U50" i="100"/>
  <c r="F52" i="111"/>
  <c r="S66" i="95"/>
  <c r="T52" i="111"/>
  <c r="T26" i="87"/>
  <c r="U28" i="111"/>
  <c r="U40" i="121"/>
  <c r="Z10" i="113"/>
  <c r="Z70" i="113" s="1"/>
  <c r="T39" i="111"/>
  <c r="F37" i="99"/>
  <c r="G38" i="87"/>
  <c r="T50" i="87"/>
  <c r="F38" i="87"/>
  <c r="C8" i="95"/>
  <c r="C67" i="95" s="1"/>
  <c r="G27" i="111"/>
  <c r="U39" i="111"/>
  <c r="F26" i="111"/>
  <c r="G26" i="111"/>
  <c r="C65" i="113"/>
  <c r="O36" i="97" s="1"/>
  <c r="V12" i="87"/>
  <c r="C8" i="113"/>
  <c r="C68" i="113" s="1"/>
  <c r="G26" i="87"/>
  <c r="U50" i="87"/>
  <c r="U38" i="87"/>
  <c r="R13" i="117"/>
  <c r="S51" i="117" s="1"/>
  <c r="U51" i="111"/>
  <c r="Z69" i="113"/>
  <c r="U27" i="111"/>
  <c r="G50" i="87"/>
  <c r="U13" i="117"/>
  <c r="U14" i="117" s="1"/>
  <c r="T49" i="99"/>
  <c r="U11" i="91"/>
  <c r="U12" i="91" s="1"/>
  <c r="F50" i="91" s="1"/>
  <c r="G52" i="120"/>
  <c r="G52" i="121"/>
  <c r="T28" i="111"/>
  <c r="G28" i="111"/>
  <c r="G52" i="111"/>
  <c r="U15" i="111"/>
  <c r="U16" i="111" s="1"/>
  <c r="Z12" i="113" s="1"/>
  <c r="Z72" i="113" s="1"/>
  <c r="U51" i="90"/>
  <c r="F25" i="99"/>
  <c r="Z56" i="95"/>
  <c r="G28" i="121"/>
  <c r="U52" i="111"/>
  <c r="Z10" i="95"/>
  <c r="Z69" i="95" s="1"/>
  <c r="F40" i="111"/>
  <c r="G40" i="111"/>
  <c r="U43" i="95"/>
  <c r="Z66" i="95"/>
  <c r="T24" i="115"/>
  <c r="G40" i="120"/>
  <c r="U40" i="111"/>
  <c r="F28" i="111"/>
  <c r="V14" i="111"/>
  <c r="F50" i="87"/>
  <c r="G39" i="90"/>
  <c r="F39" i="90"/>
  <c r="E9" i="113"/>
  <c r="E69" i="113" s="1"/>
  <c r="U28" i="88"/>
  <c r="U27" i="100"/>
  <c r="G28" i="107"/>
  <c r="U39" i="90"/>
  <c r="V13" i="90"/>
  <c r="R12" i="92"/>
  <c r="S26" i="92" s="1"/>
  <c r="T51" i="90"/>
  <c r="U31" i="95"/>
  <c r="U66" i="95" s="1"/>
  <c r="F51" i="90"/>
  <c r="E68" i="95"/>
  <c r="T27" i="90"/>
  <c r="E52" i="96"/>
  <c r="J58" i="95" s="1"/>
  <c r="U14" i="90"/>
  <c r="U15" i="90" s="1"/>
  <c r="Z68" i="95"/>
  <c r="F28" i="107"/>
  <c r="G27" i="90"/>
  <c r="G51" i="90"/>
  <c r="F52" i="88"/>
  <c r="F36" i="115"/>
  <c r="F39" i="111"/>
  <c r="G39" i="111"/>
  <c r="F51" i="111"/>
  <c r="F28" i="88"/>
  <c r="T50" i="111"/>
  <c r="F40" i="88"/>
  <c r="T28" i="88"/>
  <c r="U50" i="111"/>
  <c r="G51" i="111"/>
  <c r="V46" i="95"/>
  <c r="F50" i="111"/>
  <c r="T52" i="88"/>
  <c r="F36" i="87"/>
  <c r="C42" i="95"/>
  <c r="G36" i="87"/>
  <c r="R16" i="112"/>
  <c r="N16" i="112"/>
  <c r="W16" i="112"/>
  <c r="E44" i="113"/>
  <c r="T38" i="90"/>
  <c r="U38" i="90"/>
  <c r="M33" i="113"/>
  <c r="M45" i="113"/>
  <c r="U39" i="101"/>
  <c r="T39" i="101"/>
  <c r="N33" i="113"/>
  <c r="N69" i="113" s="1"/>
  <c r="N45" i="113"/>
  <c r="U27" i="101"/>
  <c r="T27" i="101"/>
  <c r="P34" i="95"/>
  <c r="P46" i="95"/>
  <c r="P33" i="113"/>
  <c r="P45" i="113"/>
  <c r="C42" i="113"/>
  <c r="T36" i="87"/>
  <c r="U36" i="87"/>
  <c r="E56" i="95"/>
  <c r="G50" i="90"/>
  <c r="F50" i="90"/>
  <c r="E32" i="95"/>
  <c r="E67" i="95" s="1"/>
  <c r="G26" i="90"/>
  <c r="F26" i="90"/>
  <c r="G39" i="101"/>
  <c r="F39" i="101"/>
  <c r="N33" i="95"/>
  <c r="N45" i="95"/>
  <c r="G27" i="101"/>
  <c r="F27" i="101"/>
  <c r="L15" i="120"/>
  <c r="N15" i="120" s="1"/>
  <c r="P45" i="95"/>
  <c r="P33" i="95"/>
  <c r="C30" i="95"/>
  <c r="C37" i="32" s="1"/>
  <c r="G24" i="87"/>
  <c r="F24" i="87"/>
  <c r="T48" i="87"/>
  <c r="C54" i="113"/>
  <c r="U48" i="87"/>
  <c r="E32" i="113"/>
  <c r="E68" i="113" s="1"/>
  <c r="U26" i="90"/>
  <c r="T26" i="90"/>
  <c r="E29" i="115"/>
  <c r="E53" i="115"/>
  <c r="S41" i="115"/>
  <c r="E41" i="115"/>
  <c r="S29" i="115"/>
  <c r="S53" i="115"/>
  <c r="N57" i="113"/>
  <c r="U51" i="101"/>
  <c r="T51" i="101"/>
  <c r="N57" i="95"/>
  <c r="G51" i="101"/>
  <c r="F51" i="101"/>
  <c r="U9" i="96"/>
  <c r="T24" i="87"/>
  <c r="C30" i="113"/>
  <c r="C66" i="113" s="1"/>
  <c r="U24" i="87"/>
  <c r="C54" i="95"/>
  <c r="F48" i="87"/>
  <c r="G48" i="87"/>
  <c r="E56" i="113"/>
  <c r="T50" i="90"/>
  <c r="U50" i="90"/>
  <c r="E44" i="95"/>
  <c r="F38" i="90"/>
  <c r="G38" i="90"/>
  <c r="M33" i="95"/>
  <c r="M45" i="95"/>
  <c r="C22" i="95"/>
  <c r="S52" i="87"/>
  <c r="C58" i="113" s="1"/>
  <c r="C22" i="113"/>
  <c r="E40" i="87"/>
  <c r="C46" i="95" s="1"/>
  <c r="E52" i="87"/>
  <c r="C58" i="95" s="1"/>
  <c r="S28" i="87"/>
  <c r="C34" i="113" s="1"/>
  <c r="E28" i="87"/>
  <c r="C34" i="95" s="1"/>
  <c r="S40" i="87"/>
  <c r="C46" i="113" s="1"/>
  <c r="P34" i="113"/>
  <c r="P46" i="113"/>
  <c r="Z44" i="95"/>
  <c r="F38" i="111"/>
  <c r="N13" i="102"/>
  <c r="T36" i="115"/>
  <c r="V13" i="100"/>
  <c r="G40" i="109"/>
  <c r="F28" i="109"/>
  <c r="U51" i="100"/>
  <c r="F51" i="100"/>
  <c r="T39" i="100"/>
  <c r="G51" i="100"/>
  <c r="U52" i="109"/>
  <c r="T40" i="109"/>
  <c r="T27" i="100"/>
  <c r="M9" i="113"/>
  <c r="U39" i="100"/>
  <c r="T48" i="115"/>
  <c r="G39" i="100"/>
  <c r="T51" i="100"/>
  <c r="U14" i="100"/>
  <c r="T28" i="100" s="1"/>
  <c r="F39" i="100"/>
  <c r="G40" i="121"/>
  <c r="U14" i="99"/>
  <c r="U15" i="99" s="1"/>
  <c r="U29" i="99" s="1"/>
  <c r="U14" i="112"/>
  <c r="G28" i="112" s="1"/>
  <c r="AA9" i="113"/>
  <c r="U20" i="95"/>
  <c r="F48" i="115"/>
  <c r="Z67" i="113"/>
  <c r="G27" i="99"/>
  <c r="G27" i="100"/>
  <c r="F27" i="100"/>
  <c r="M9" i="95"/>
  <c r="S67" i="113"/>
  <c r="T38" i="111"/>
  <c r="U40" i="109"/>
  <c r="G28" i="109"/>
  <c r="F52" i="109"/>
  <c r="X10" i="113"/>
  <c r="X70" i="113" s="1"/>
  <c r="V14" i="109"/>
  <c r="U9" i="95"/>
  <c r="U68" i="95" s="1"/>
  <c r="U38" i="111"/>
  <c r="G52" i="109"/>
  <c r="T52" i="109"/>
  <c r="U27" i="99"/>
  <c r="F40" i="109"/>
  <c r="V12" i="99"/>
  <c r="F51" i="99"/>
  <c r="T39" i="99"/>
  <c r="AA8" i="113"/>
  <c r="AA68" i="113" s="1"/>
  <c r="V12" i="112"/>
  <c r="F26" i="112"/>
  <c r="G50" i="112"/>
  <c r="G26" i="112"/>
  <c r="F50" i="112"/>
  <c r="T26" i="112"/>
  <c r="U38" i="112"/>
  <c r="F38" i="112"/>
  <c r="G38" i="112"/>
  <c r="U26" i="112"/>
  <c r="T38" i="112"/>
  <c r="U50" i="112"/>
  <c r="T50" i="112"/>
  <c r="AA8" i="95"/>
  <c r="AA67" i="95" s="1"/>
  <c r="F27" i="99"/>
  <c r="G51" i="99"/>
  <c r="U13" i="110"/>
  <c r="U14" i="110" s="1"/>
  <c r="Y10" i="95" s="1"/>
  <c r="T27" i="99"/>
  <c r="U9" i="113"/>
  <c r="U69" i="113" s="1"/>
  <c r="U12" i="94"/>
  <c r="U13" i="94" s="1"/>
  <c r="V13" i="94" s="1"/>
  <c r="U39" i="99"/>
  <c r="T27" i="104"/>
  <c r="G27" i="104"/>
  <c r="U51" i="104"/>
  <c r="V13" i="104"/>
  <c r="Q9" i="113"/>
  <c r="Q69" i="113" s="1"/>
  <c r="G39" i="104"/>
  <c r="F39" i="104"/>
  <c r="F51" i="104"/>
  <c r="F27" i="104"/>
  <c r="U39" i="104"/>
  <c r="T39" i="104"/>
  <c r="Q9" i="95"/>
  <c r="Q68" i="95" s="1"/>
  <c r="T51" i="104"/>
  <c r="G51" i="104"/>
  <c r="U14" i="104"/>
  <c r="U27" i="104"/>
  <c r="F39" i="99"/>
  <c r="R13" i="102"/>
  <c r="S27" i="102" s="1"/>
  <c r="U51" i="99"/>
  <c r="G39" i="99"/>
  <c r="T51" i="99"/>
  <c r="U14" i="93"/>
  <c r="U15" i="93" s="1"/>
  <c r="V15" i="93" s="1"/>
  <c r="U10" i="92"/>
  <c r="U11" i="92" s="1"/>
  <c r="U12" i="92" s="1"/>
  <c r="U13" i="92" s="1"/>
  <c r="T27" i="92" s="1"/>
  <c r="H32" i="95"/>
  <c r="H67" i="95" s="1"/>
  <c r="F26" i="93"/>
  <c r="G26" i="93"/>
  <c r="H56" i="113"/>
  <c r="U50" i="93"/>
  <c r="T50" i="93"/>
  <c r="U14" i="108"/>
  <c r="U27" i="108"/>
  <c r="T39" i="108"/>
  <c r="G51" i="108"/>
  <c r="F39" i="108"/>
  <c r="V13" i="108"/>
  <c r="T51" i="108"/>
  <c r="U39" i="108"/>
  <c r="U51" i="108"/>
  <c r="T27" i="108"/>
  <c r="W9" i="95"/>
  <c r="W68" i="95" s="1"/>
  <c r="G39" i="108"/>
  <c r="W9" i="113"/>
  <c r="W69" i="113" s="1"/>
  <c r="F51" i="108"/>
  <c r="G27" i="108"/>
  <c r="F27" i="108"/>
  <c r="U15" i="109"/>
  <c r="U28" i="109"/>
  <c r="U13" i="106"/>
  <c r="U26" i="106"/>
  <c r="V12" i="106"/>
  <c r="U50" i="106"/>
  <c r="T26" i="106"/>
  <c r="S8" i="95"/>
  <c r="S67" i="95" s="1"/>
  <c r="T50" i="106"/>
  <c r="F26" i="106"/>
  <c r="S8" i="113"/>
  <c r="S68" i="113" s="1"/>
  <c r="G26" i="106"/>
  <c r="F38" i="106"/>
  <c r="G50" i="106"/>
  <c r="T38" i="106"/>
  <c r="G38" i="106"/>
  <c r="F50" i="106"/>
  <c r="U38" i="106"/>
  <c r="T39" i="118"/>
  <c r="F27" i="118"/>
  <c r="V13" i="118"/>
  <c r="T27" i="118"/>
  <c r="T51" i="118"/>
  <c r="F51" i="118"/>
  <c r="F39" i="118"/>
  <c r="U51" i="118"/>
  <c r="G39" i="118"/>
  <c r="G51" i="118"/>
  <c r="G27" i="118"/>
  <c r="U39" i="118"/>
  <c r="U27" i="118"/>
  <c r="V13" i="116"/>
  <c r="F49" i="115"/>
  <c r="T49" i="115"/>
  <c r="V11" i="115"/>
  <c r="F37" i="115"/>
  <c r="T37" i="115"/>
  <c r="F25" i="115"/>
  <c r="T25" i="115"/>
  <c r="U12" i="115"/>
  <c r="U13" i="119"/>
  <c r="V12" i="119"/>
  <c r="T38" i="119"/>
  <c r="T26" i="119"/>
  <c r="T50" i="119"/>
  <c r="F38" i="119"/>
  <c r="F26" i="119"/>
  <c r="F50" i="119"/>
  <c r="G38" i="119"/>
  <c r="U50" i="119"/>
  <c r="G26" i="119"/>
  <c r="U26" i="119"/>
  <c r="G50" i="119"/>
  <c r="U38" i="119"/>
  <c r="U26" i="93"/>
  <c r="H32" i="113"/>
  <c r="H68" i="113" s="1"/>
  <c r="T26" i="93"/>
  <c r="K14" i="118"/>
  <c r="U15" i="88"/>
  <c r="V15" i="88" s="1"/>
  <c r="D10" i="95"/>
  <c r="D69" i="95" s="1"/>
  <c r="V14" i="88"/>
  <c r="D10" i="113"/>
  <c r="D70" i="113" s="1"/>
  <c r="G49" i="115"/>
  <c r="W14" i="115"/>
  <c r="V14" i="120"/>
  <c r="T40" i="120"/>
  <c r="T52" i="120"/>
  <c r="F28" i="120"/>
  <c r="T28" i="120"/>
  <c r="F52" i="120"/>
  <c r="F40" i="120"/>
  <c r="E27" i="116"/>
  <c r="G27" i="116" s="1"/>
  <c r="E39" i="116"/>
  <c r="G39" i="116" s="1"/>
  <c r="E51" i="116"/>
  <c r="G51" i="116" s="1"/>
  <c r="S39" i="116"/>
  <c r="U39" i="116" s="1"/>
  <c r="S51" i="116"/>
  <c r="U51" i="116" s="1"/>
  <c r="S27" i="116"/>
  <c r="U27" i="116" s="1"/>
  <c r="G37" i="115"/>
  <c r="U14" i="116"/>
  <c r="H44" i="95"/>
  <c r="G38" i="93"/>
  <c r="F38" i="93"/>
  <c r="G25" i="115"/>
  <c r="E51" i="115"/>
  <c r="S39" i="115"/>
  <c r="S51" i="115"/>
  <c r="E39" i="115"/>
  <c r="E27" i="115"/>
  <c r="S27" i="115"/>
  <c r="U14" i="103"/>
  <c r="V13" i="103"/>
  <c r="F51" i="103"/>
  <c r="T51" i="103"/>
  <c r="U51" i="103"/>
  <c r="G51" i="103"/>
  <c r="T27" i="103"/>
  <c r="P9" i="95"/>
  <c r="P9" i="113"/>
  <c r="F39" i="103"/>
  <c r="T39" i="103"/>
  <c r="U27" i="103"/>
  <c r="G39" i="103"/>
  <c r="G27" i="103"/>
  <c r="F27" i="103"/>
  <c r="U39" i="103"/>
  <c r="G52" i="88"/>
  <c r="V14" i="105"/>
  <c r="G28" i="88"/>
  <c r="U52" i="88"/>
  <c r="U37" i="115"/>
  <c r="M16" i="115"/>
  <c r="W16" i="115" s="1"/>
  <c r="T38" i="93"/>
  <c r="H44" i="113"/>
  <c r="U38" i="93"/>
  <c r="H56" i="95"/>
  <c r="G50" i="93"/>
  <c r="F50" i="93"/>
  <c r="U49" i="115"/>
  <c r="U13" i="102"/>
  <c r="U14" i="102" s="1"/>
  <c r="K16" i="118"/>
  <c r="G40" i="88"/>
  <c r="U25" i="115"/>
  <c r="U28" i="120"/>
  <c r="U15" i="121"/>
  <c r="T28" i="121"/>
  <c r="T40" i="121"/>
  <c r="F28" i="121"/>
  <c r="V14" i="121"/>
  <c r="T52" i="121"/>
  <c r="F40" i="121"/>
  <c r="F52" i="121"/>
  <c r="V13" i="87"/>
  <c r="G39" i="87"/>
  <c r="T39" i="87"/>
  <c r="U27" i="87"/>
  <c r="E50" i="99"/>
  <c r="F50" i="99" s="1"/>
  <c r="E26" i="99"/>
  <c r="G26" i="99" s="1"/>
  <c r="E38" i="99"/>
  <c r="F38" i="99" s="1"/>
  <c r="U20" i="113"/>
  <c r="S50" i="99"/>
  <c r="U50" i="99" s="1"/>
  <c r="S38" i="99"/>
  <c r="T38" i="99" s="1"/>
  <c r="E28" i="96"/>
  <c r="J34" i="95" s="1"/>
  <c r="N8" i="96"/>
  <c r="J22" i="95"/>
  <c r="S52" i="96"/>
  <c r="J58" i="113" s="1"/>
  <c r="S40" i="96"/>
  <c r="J46" i="113" s="1"/>
  <c r="J22" i="113"/>
  <c r="E40" i="96"/>
  <c r="W12" i="94"/>
  <c r="N12" i="94"/>
  <c r="N16" i="100"/>
  <c r="R16" i="100"/>
  <c r="W16" i="100"/>
  <c r="T26" i="101"/>
  <c r="N44" i="113"/>
  <c r="U26" i="101"/>
  <c r="N32" i="113"/>
  <c r="N68" i="113" s="1"/>
  <c r="T38" i="101"/>
  <c r="U38" i="101"/>
  <c r="N56" i="113"/>
  <c r="U50" i="101"/>
  <c r="T50" i="101"/>
  <c r="F38" i="101"/>
  <c r="G38" i="101"/>
  <c r="L15" i="89"/>
  <c r="W15" i="89" s="1"/>
  <c r="N56" i="95"/>
  <c r="G50" i="101"/>
  <c r="F50" i="101"/>
  <c r="S29" i="111"/>
  <c r="E53" i="111"/>
  <c r="E41" i="111"/>
  <c r="S41" i="111"/>
  <c r="S53" i="111"/>
  <c r="Z23" i="95"/>
  <c r="Z23" i="113"/>
  <c r="E29" i="111"/>
  <c r="F26" i="101"/>
  <c r="N32" i="95"/>
  <c r="N67" i="95" s="1"/>
  <c r="G26" i="101"/>
  <c r="N44" i="95"/>
  <c r="F10" i="96"/>
  <c r="T10" i="96" s="1"/>
  <c r="F16" i="96"/>
  <c r="G45" i="96"/>
  <c r="J51" i="95"/>
  <c r="F45" i="96"/>
  <c r="G33" i="96"/>
  <c r="J39" i="95"/>
  <c r="F33" i="96"/>
  <c r="F9" i="96"/>
  <c r="U21" i="96"/>
  <c r="J27" i="113"/>
  <c r="T21" i="96"/>
  <c r="F15" i="96"/>
  <c r="F11" i="96"/>
  <c r="U45" i="96"/>
  <c r="J51" i="113"/>
  <c r="T45" i="96"/>
  <c r="G21" i="96"/>
  <c r="J27" i="95"/>
  <c r="F21" i="96"/>
  <c r="I12" i="96"/>
  <c r="J4" i="113"/>
  <c r="V8" i="96"/>
  <c r="J4" i="95"/>
  <c r="J25" i="32" s="1"/>
  <c r="U33" i="96"/>
  <c r="J39" i="113"/>
  <c r="T33" i="96"/>
  <c r="R8" i="96"/>
  <c r="F13" i="96"/>
  <c r="O40" i="97"/>
  <c r="M67" i="95"/>
  <c r="M68" i="113"/>
  <c r="O46" i="97"/>
  <c r="F23" i="92"/>
  <c r="U8" i="95"/>
  <c r="U27" i="112"/>
  <c r="F47" i="92"/>
  <c r="V9" i="92"/>
  <c r="V13" i="112"/>
  <c r="T35" i="92"/>
  <c r="G5" i="113"/>
  <c r="G65" i="113" s="1"/>
  <c r="S36" i="97" s="1"/>
  <c r="T23" i="92"/>
  <c r="AA9" i="95"/>
  <c r="G5" i="95"/>
  <c r="U47" i="92"/>
  <c r="Z67" i="95"/>
  <c r="U8" i="113"/>
  <c r="G23" i="92"/>
  <c r="X69" i="95"/>
  <c r="U26" i="99"/>
  <c r="V11" i="87"/>
  <c r="U27" i="93"/>
  <c r="G47" i="92"/>
  <c r="V13" i="93"/>
  <c r="H9" i="95"/>
  <c r="T47" i="92"/>
  <c r="U35" i="92"/>
  <c r="F35" i="92"/>
  <c r="G35" i="92"/>
  <c r="C7" i="95"/>
  <c r="I31" i="95"/>
  <c r="G25" i="94"/>
  <c r="F45" i="113"/>
  <c r="I43" i="95"/>
  <c r="G37" i="94"/>
  <c r="F37" i="105"/>
  <c r="G37" i="105"/>
  <c r="F58" i="95"/>
  <c r="F57" i="113"/>
  <c r="H57" i="113"/>
  <c r="U51" i="93"/>
  <c r="I55" i="113"/>
  <c r="U49" i="94"/>
  <c r="F57" i="95"/>
  <c r="H45" i="113"/>
  <c r="U39" i="93"/>
  <c r="F58" i="113"/>
  <c r="F37" i="102"/>
  <c r="G37" i="102"/>
  <c r="H57" i="95"/>
  <c r="G51" i="93"/>
  <c r="F46" i="113"/>
  <c r="H45" i="95"/>
  <c r="G39" i="93"/>
  <c r="I55" i="95"/>
  <c r="G49" i="94"/>
  <c r="H33" i="95"/>
  <c r="G27" i="93"/>
  <c r="I43" i="113"/>
  <c r="U37" i="94"/>
  <c r="F45" i="95"/>
  <c r="T37" i="105"/>
  <c r="U37" i="105"/>
  <c r="T37" i="102"/>
  <c r="U37" i="102"/>
  <c r="Y55" i="95"/>
  <c r="F49" i="110"/>
  <c r="F29" i="95"/>
  <c r="F36" i="32" s="1"/>
  <c r="F23" i="91"/>
  <c r="R43" i="95"/>
  <c r="R31" i="95"/>
  <c r="R66" i="95" s="1"/>
  <c r="F25" i="105"/>
  <c r="U20" i="97"/>
  <c r="U40" i="97" s="1"/>
  <c r="I64" i="95"/>
  <c r="G40" i="95"/>
  <c r="F34" i="92"/>
  <c r="J34" i="113"/>
  <c r="I30" i="95"/>
  <c r="I37" i="32" s="1"/>
  <c r="F24" i="94"/>
  <c r="T25" i="102"/>
  <c r="O31" i="113"/>
  <c r="O67" i="113" s="1"/>
  <c r="O43" i="113"/>
  <c r="N24" i="113"/>
  <c r="E30" i="101"/>
  <c r="N24" i="95"/>
  <c r="E54" i="101"/>
  <c r="E42" i="101"/>
  <c r="S54" i="101"/>
  <c r="S42" i="101"/>
  <c r="I35" i="113"/>
  <c r="F34" i="113"/>
  <c r="F27" i="93"/>
  <c r="F42" i="95"/>
  <c r="F36" i="91"/>
  <c r="Y43" i="95"/>
  <c r="F37" i="110"/>
  <c r="F41" i="95"/>
  <c r="F35" i="91"/>
  <c r="R16" i="110"/>
  <c r="S30" i="110" s="1"/>
  <c r="N16" i="110"/>
  <c r="W16" i="110"/>
  <c r="K14" i="89"/>
  <c r="G19" i="113"/>
  <c r="S37" i="92"/>
  <c r="G19" i="95"/>
  <c r="E37" i="92"/>
  <c r="E25" i="92"/>
  <c r="E49" i="92"/>
  <c r="S49" i="92"/>
  <c r="I42" i="95"/>
  <c r="F36" i="94"/>
  <c r="U34" i="113"/>
  <c r="U46" i="113"/>
  <c r="O43" i="95"/>
  <c r="O31" i="95"/>
  <c r="O66" i="95" s="1"/>
  <c r="F25" i="102"/>
  <c r="T27" i="93"/>
  <c r="H33" i="113"/>
  <c r="H69" i="113" s="1"/>
  <c r="I35" i="95"/>
  <c r="F39" i="93"/>
  <c r="F30" i="95"/>
  <c r="F37" i="32" s="1"/>
  <c r="F24" i="91"/>
  <c r="Y31" i="95"/>
  <c r="Y66" i="95" s="1"/>
  <c r="F25" i="110"/>
  <c r="T23" i="91"/>
  <c r="F29" i="113"/>
  <c r="R55" i="95"/>
  <c r="F49" i="105"/>
  <c r="I20" i="113"/>
  <c r="I20" i="95"/>
  <c r="E26" i="94"/>
  <c r="E38" i="94"/>
  <c r="E50" i="94"/>
  <c r="S38" i="94"/>
  <c r="S50" i="94"/>
  <c r="G52" i="95"/>
  <c r="F46" i="92"/>
  <c r="O55" i="95"/>
  <c r="F49" i="102"/>
  <c r="U26" i="97"/>
  <c r="U46" i="97" s="1"/>
  <c r="I65" i="113"/>
  <c r="U36" i="97" s="1"/>
  <c r="I59" i="95"/>
  <c r="F51" i="93"/>
  <c r="G23" i="113"/>
  <c r="S41" i="92"/>
  <c r="S53" i="92"/>
  <c r="E41" i="92"/>
  <c r="E29" i="92"/>
  <c r="G23" i="95"/>
  <c r="E53" i="92"/>
  <c r="T24" i="91"/>
  <c r="F30" i="113"/>
  <c r="F66" i="113" s="1"/>
  <c r="F41" i="113"/>
  <c r="T35" i="91"/>
  <c r="T25" i="94"/>
  <c r="I31" i="113"/>
  <c r="T26" i="99"/>
  <c r="U44" i="113"/>
  <c r="U32" i="113"/>
  <c r="G28" i="95"/>
  <c r="G35" i="32" s="1"/>
  <c r="F22" i="92"/>
  <c r="I54" i="95"/>
  <c r="F48" i="94"/>
  <c r="T39" i="93"/>
  <c r="H14" i="92"/>
  <c r="D23" i="113"/>
  <c r="D23" i="95"/>
  <c r="E29" i="88"/>
  <c r="S41" i="88"/>
  <c r="S53" i="88"/>
  <c r="E53" i="88"/>
  <c r="E41" i="88"/>
  <c r="S29" i="88"/>
  <c r="F42" i="113"/>
  <c r="T36" i="91"/>
  <c r="Y43" i="113"/>
  <c r="T37" i="110"/>
  <c r="Y22" i="113"/>
  <c r="S52" i="110"/>
  <c r="S40" i="110"/>
  <c r="E40" i="110"/>
  <c r="Y22" i="95"/>
  <c r="E52" i="110"/>
  <c r="E28" i="110"/>
  <c r="Z68" i="113"/>
  <c r="T25" i="105"/>
  <c r="R43" i="113"/>
  <c r="R31" i="113"/>
  <c r="R67" i="113" s="1"/>
  <c r="C19" i="113"/>
  <c r="E25" i="87"/>
  <c r="G25" i="87" s="1"/>
  <c r="E49" i="87"/>
  <c r="G49" i="87" s="1"/>
  <c r="C19" i="95"/>
  <c r="S37" i="87"/>
  <c r="U37" i="87" s="1"/>
  <c r="S25" i="87"/>
  <c r="U25" i="87" s="1"/>
  <c r="E37" i="87"/>
  <c r="G37" i="87" s="1"/>
  <c r="S49" i="87"/>
  <c r="U49" i="87" s="1"/>
  <c r="T22" i="92"/>
  <c r="G28" i="113"/>
  <c r="I42" i="113"/>
  <c r="T36" i="94"/>
  <c r="L15" i="110"/>
  <c r="H16" i="92"/>
  <c r="I16" i="92" s="1"/>
  <c r="J16" i="92" s="1"/>
  <c r="K16" i="92" s="1"/>
  <c r="L16" i="92" s="1"/>
  <c r="R14" i="93"/>
  <c r="S28" i="93" s="1"/>
  <c r="N14" i="93"/>
  <c r="W14" i="93"/>
  <c r="G40" i="113"/>
  <c r="T34" i="92"/>
  <c r="N13" i="110"/>
  <c r="R13" i="110"/>
  <c r="S27" i="110" s="1"/>
  <c r="W13" i="110"/>
  <c r="T24" i="94"/>
  <c r="I30" i="113"/>
  <c r="I66" i="113" s="1"/>
  <c r="I59" i="113"/>
  <c r="I7" i="113"/>
  <c r="T37" i="94"/>
  <c r="V11" i="94"/>
  <c r="F49" i="94"/>
  <c r="F25" i="94"/>
  <c r="F37" i="94"/>
  <c r="I7" i="95"/>
  <c r="T49" i="94"/>
  <c r="F53" i="113"/>
  <c r="T47" i="91"/>
  <c r="AA21" i="113"/>
  <c r="S39" i="112"/>
  <c r="U39" i="112" s="1"/>
  <c r="E39" i="112"/>
  <c r="G39" i="112" s="1"/>
  <c r="AA21" i="95"/>
  <c r="E27" i="112"/>
  <c r="G27" i="112" s="1"/>
  <c r="E51" i="112"/>
  <c r="S51" i="112"/>
  <c r="F54" i="113"/>
  <c r="T48" i="91"/>
  <c r="Y55" i="113"/>
  <c r="T49" i="110"/>
  <c r="R55" i="113"/>
  <c r="T49" i="105"/>
  <c r="N11" i="91"/>
  <c r="R11" i="91"/>
  <c r="W11" i="91"/>
  <c r="I47" i="113"/>
  <c r="F54" i="95"/>
  <c r="F48" i="91"/>
  <c r="T25" i="110"/>
  <c r="Y31" i="113"/>
  <c r="Y67" i="113" s="1"/>
  <c r="F53" i="95"/>
  <c r="F47" i="91"/>
  <c r="K15" i="112"/>
  <c r="G52" i="113"/>
  <c r="T46" i="92"/>
  <c r="I54" i="113"/>
  <c r="T48" i="94"/>
  <c r="O55" i="113"/>
  <c r="T49" i="102"/>
  <c r="I47" i="95"/>
  <c r="T51" i="93"/>
  <c r="N68" i="95" l="1"/>
  <c r="N14" i="115"/>
  <c r="N11" i="95"/>
  <c r="N70" i="95" s="1"/>
  <c r="T53" i="101"/>
  <c r="U41" i="101"/>
  <c r="N11" i="113"/>
  <c r="N71" i="113" s="1"/>
  <c r="U16" i="101"/>
  <c r="G30" i="101" s="1"/>
  <c r="T29" i="101"/>
  <c r="U53" i="101"/>
  <c r="F29" i="101"/>
  <c r="V15" i="101"/>
  <c r="F41" i="101"/>
  <c r="G41" i="101"/>
  <c r="T41" i="101"/>
  <c r="G29" i="101"/>
  <c r="U29" i="101"/>
  <c r="F53" i="101"/>
  <c r="G53" i="101"/>
  <c r="F51" i="87"/>
  <c r="F39" i="87"/>
  <c r="C9" i="113"/>
  <c r="C69" i="113" s="1"/>
  <c r="U14" i="87"/>
  <c r="V14" i="87" s="1"/>
  <c r="T52" i="107"/>
  <c r="T40" i="107"/>
  <c r="T15" i="112"/>
  <c r="S15" i="112"/>
  <c r="T16" i="92"/>
  <c r="S16" i="92"/>
  <c r="U34" i="95"/>
  <c r="U39" i="87"/>
  <c r="G51" i="87"/>
  <c r="T27" i="87"/>
  <c r="T51" i="87"/>
  <c r="T28" i="107"/>
  <c r="U52" i="107"/>
  <c r="C9" i="95"/>
  <c r="C68" i="95" s="1"/>
  <c r="U51" i="87"/>
  <c r="G27" i="87"/>
  <c r="G52" i="107"/>
  <c r="G40" i="107"/>
  <c r="F52" i="107"/>
  <c r="U28" i="107"/>
  <c r="S10" i="96"/>
  <c r="U40" i="107"/>
  <c r="F40" i="107"/>
  <c r="F28" i="105"/>
  <c r="U52" i="105"/>
  <c r="U40" i="105"/>
  <c r="U30" i="97"/>
  <c r="I41" i="32"/>
  <c r="G64" i="95"/>
  <c r="G41" i="32" s="1"/>
  <c r="G26" i="32"/>
  <c r="V10" i="95"/>
  <c r="V69" i="95" s="1"/>
  <c r="F52" i="105"/>
  <c r="T52" i="105"/>
  <c r="T40" i="105"/>
  <c r="U15" i="105"/>
  <c r="U29" i="105" s="1"/>
  <c r="G52" i="105"/>
  <c r="G40" i="105"/>
  <c r="F40" i="105"/>
  <c r="G28" i="105"/>
  <c r="T28" i="105"/>
  <c r="R10" i="113"/>
  <c r="R70" i="113" s="1"/>
  <c r="R10" i="95"/>
  <c r="R69" i="95" s="1"/>
  <c r="F41" i="107"/>
  <c r="Z12" i="95"/>
  <c r="Z71" i="95" s="1"/>
  <c r="U16" i="107"/>
  <c r="U30" i="107" s="1"/>
  <c r="V10" i="113"/>
  <c r="V70" i="113" s="1"/>
  <c r="V14" i="107"/>
  <c r="V15" i="107"/>
  <c r="U52" i="90"/>
  <c r="V11" i="95"/>
  <c r="V70" i="95" s="1"/>
  <c r="F29" i="107"/>
  <c r="T41" i="107"/>
  <c r="G29" i="107"/>
  <c r="T53" i="107"/>
  <c r="E10" i="95"/>
  <c r="E69" i="95" s="1"/>
  <c r="Z11" i="95"/>
  <c r="G41" i="107"/>
  <c r="F53" i="107"/>
  <c r="T29" i="107"/>
  <c r="U29" i="107"/>
  <c r="T52" i="90"/>
  <c r="G53" i="107"/>
  <c r="U41" i="107"/>
  <c r="U53" i="107"/>
  <c r="T40" i="90"/>
  <c r="G42" i="111"/>
  <c r="V13" i="117"/>
  <c r="T42" i="111"/>
  <c r="U54" i="111"/>
  <c r="U52" i="99"/>
  <c r="G38" i="91"/>
  <c r="T52" i="80"/>
  <c r="U11" i="95"/>
  <c r="U70" i="95" s="1"/>
  <c r="E27" i="117"/>
  <c r="G27" i="117" s="1"/>
  <c r="U26" i="91"/>
  <c r="T28" i="80"/>
  <c r="S50" i="92"/>
  <c r="T50" i="92" s="1"/>
  <c r="G40" i="99"/>
  <c r="U10" i="95"/>
  <c r="F41" i="99"/>
  <c r="G26" i="91"/>
  <c r="G52" i="80"/>
  <c r="V12" i="91"/>
  <c r="T40" i="80"/>
  <c r="F30" i="111"/>
  <c r="T30" i="111"/>
  <c r="V16" i="111"/>
  <c r="U30" i="111"/>
  <c r="G30" i="111"/>
  <c r="F42" i="111"/>
  <c r="T54" i="111"/>
  <c r="Z11" i="113"/>
  <c r="U51" i="117"/>
  <c r="F54" i="111"/>
  <c r="U42" i="111"/>
  <c r="G54" i="111"/>
  <c r="V15" i="111"/>
  <c r="E50" i="92"/>
  <c r="G50" i="92" s="1"/>
  <c r="O21" i="95"/>
  <c r="F7" i="95"/>
  <c r="G52" i="99"/>
  <c r="U40" i="99"/>
  <c r="F52" i="99"/>
  <c r="V15" i="99"/>
  <c r="T41" i="99"/>
  <c r="E39" i="117"/>
  <c r="G39" i="117" s="1"/>
  <c r="F38" i="91"/>
  <c r="T50" i="91"/>
  <c r="U50" i="91"/>
  <c r="T26" i="91"/>
  <c r="F40" i="80"/>
  <c r="B10" i="113"/>
  <c r="B70" i="113" s="1"/>
  <c r="U15" i="80"/>
  <c r="F53" i="80" s="1"/>
  <c r="G28" i="80"/>
  <c r="F28" i="99"/>
  <c r="F7" i="113"/>
  <c r="T40" i="99"/>
  <c r="G28" i="99"/>
  <c r="V14" i="99"/>
  <c r="U10" i="113"/>
  <c r="U70" i="113" s="1"/>
  <c r="T52" i="99"/>
  <c r="G29" i="99"/>
  <c r="G41" i="99"/>
  <c r="S39" i="117"/>
  <c r="U39" i="117" s="1"/>
  <c r="E51" i="117"/>
  <c r="G51" i="117" s="1"/>
  <c r="F8" i="95"/>
  <c r="F67" i="95" s="1"/>
  <c r="F8" i="113"/>
  <c r="F68" i="113" s="1"/>
  <c r="F26" i="91"/>
  <c r="U13" i="91"/>
  <c r="G39" i="91" s="1"/>
  <c r="U40" i="80"/>
  <c r="U52" i="80"/>
  <c r="B10" i="95"/>
  <c r="B69" i="95" s="1"/>
  <c r="F28" i="80"/>
  <c r="G20" i="95"/>
  <c r="V11" i="91"/>
  <c r="T28" i="99"/>
  <c r="F40" i="99"/>
  <c r="G53" i="99"/>
  <c r="U16" i="99"/>
  <c r="G30" i="99" s="1"/>
  <c r="S27" i="117"/>
  <c r="U27" i="117" s="1"/>
  <c r="U38" i="91"/>
  <c r="G50" i="91"/>
  <c r="T38" i="91"/>
  <c r="G40" i="80"/>
  <c r="V14" i="80"/>
  <c r="U28" i="80"/>
  <c r="T39" i="94"/>
  <c r="E39" i="102"/>
  <c r="F39" i="102" s="1"/>
  <c r="S39" i="102"/>
  <c r="U39" i="102" s="1"/>
  <c r="P68" i="95"/>
  <c r="E51" i="102"/>
  <c r="G51" i="102" s="1"/>
  <c r="O21" i="113"/>
  <c r="R15" i="120"/>
  <c r="S41" i="120" s="1"/>
  <c r="U52" i="112"/>
  <c r="U32" i="95"/>
  <c r="U67" i="95" s="1"/>
  <c r="S51" i="102"/>
  <c r="U51" i="102" s="1"/>
  <c r="E27" i="102"/>
  <c r="G27" i="102" s="1"/>
  <c r="U28" i="112"/>
  <c r="G52" i="112"/>
  <c r="G28" i="100"/>
  <c r="T52" i="100"/>
  <c r="F40" i="90"/>
  <c r="F52" i="90"/>
  <c r="F28" i="90"/>
  <c r="E10" i="113"/>
  <c r="E70" i="113" s="1"/>
  <c r="G28" i="90"/>
  <c r="U40" i="90"/>
  <c r="T28" i="90"/>
  <c r="V14" i="90"/>
  <c r="U14" i="118"/>
  <c r="U15" i="118" s="1"/>
  <c r="G40" i="90"/>
  <c r="G52" i="90"/>
  <c r="U28" i="90"/>
  <c r="P69" i="113"/>
  <c r="V14" i="112"/>
  <c r="AA10" i="113"/>
  <c r="AA70" i="113" s="1"/>
  <c r="G40" i="100"/>
  <c r="M69" i="113"/>
  <c r="W15" i="120"/>
  <c r="U40" i="112"/>
  <c r="G40" i="112"/>
  <c r="G52" i="110"/>
  <c r="U52" i="110"/>
  <c r="F28" i="112"/>
  <c r="T40" i="112"/>
  <c r="U49" i="92"/>
  <c r="G7" i="95"/>
  <c r="U37" i="92"/>
  <c r="F26" i="99"/>
  <c r="E38" i="92"/>
  <c r="G38" i="92" s="1"/>
  <c r="S38" i="92"/>
  <c r="U38" i="92" s="1"/>
  <c r="G25" i="92"/>
  <c r="G48" i="92"/>
  <c r="G6" i="95"/>
  <c r="U24" i="92"/>
  <c r="T27" i="94"/>
  <c r="M10" i="95"/>
  <c r="M69" i="95" s="1"/>
  <c r="U36" i="92"/>
  <c r="V11" i="92"/>
  <c r="U25" i="92"/>
  <c r="G49" i="92"/>
  <c r="E26" i="92"/>
  <c r="F26" i="92" s="1"/>
  <c r="G20" i="113"/>
  <c r="G37" i="92"/>
  <c r="G24" i="92"/>
  <c r="U56" i="95"/>
  <c r="F27" i="94"/>
  <c r="F40" i="112"/>
  <c r="AA10" i="95"/>
  <c r="AA69" i="95" s="1"/>
  <c r="T52" i="112"/>
  <c r="T28" i="112"/>
  <c r="V14" i="100"/>
  <c r="G52" i="100"/>
  <c r="M68" i="95"/>
  <c r="H10" i="113"/>
  <c r="U27" i="94"/>
  <c r="U39" i="94"/>
  <c r="I9" i="95"/>
  <c r="I68" i="95" s="1"/>
  <c r="T29" i="93"/>
  <c r="T51" i="94"/>
  <c r="G39" i="94"/>
  <c r="U14" i="94"/>
  <c r="F28" i="94" s="1"/>
  <c r="U26" i="94"/>
  <c r="U51" i="94"/>
  <c r="F51" i="94"/>
  <c r="I9" i="113"/>
  <c r="I69" i="113" s="1"/>
  <c r="O21" i="97"/>
  <c r="C65" i="95"/>
  <c r="C42" i="32" s="1"/>
  <c r="S30" i="112"/>
  <c r="E30" i="112"/>
  <c r="AA24" i="95"/>
  <c r="S42" i="112"/>
  <c r="AA48" i="113" s="1"/>
  <c r="E54" i="112"/>
  <c r="S54" i="112"/>
  <c r="AA24" i="113"/>
  <c r="E42" i="112"/>
  <c r="AA48" i="95" s="1"/>
  <c r="U10" i="96"/>
  <c r="F52" i="112"/>
  <c r="U41" i="99"/>
  <c r="U53" i="99"/>
  <c r="F53" i="99"/>
  <c r="T53" i="99"/>
  <c r="T29" i="99"/>
  <c r="F29" i="99"/>
  <c r="U11" i="113"/>
  <c r="U71" i="113" s="1"/>
  <c r="F40" i="100"/>
  <c r="U15" i="100"/>
  <c r="G29" i="100" s="1"/>
  <c r="U28" i="100"/>
  <c r="F28" i="100"/>
  <c r="G51" i="94"/>
  <c r="F39" i="94"/>
  <c r="G27" i="94"/>
  <c r="G7" i="113"/>
  <c r="U28" i="99"/>
  <c r="G38" i="99"/>
  <c r="F41" i="93"/>
  <c r="U28" i="93"/>
  <c r="V14" i="110"/>
  <c r="T53" i="93"/>
  <c r="U44" i="95"/>
  <c r="G41" i="93"/>
  <c r="T41" i="93"/>
  <c r="H11" i="95"/>
  <c r="H70" i="95" s="1"/>
  <c r="F52" i="100"/>
  <c r="M10" i="113"/>
  <c r="M70" i="113" s="1"/>
  <c r="U52" i="100"/>
  <c r="U40" i="100"/>
  <c r="T40" i="100"/>
  <c r="V14" i="93"/>
  <c r="G40" i="110"/>
  <c r="T39" i="116"/>
  <c r="U15" i="110"/>
  <c r="U16" i="110" s="1"/>
  <c r="Y12" i="95" s="1"/>
  <c r="F53" i="93"/>
  <c r="G53" i="93"/>
  <c r="H10" i="95"/>
  <c r="G28" i="110"/>
  <c r="U40" i="110"/>
  <c r="Y10" i="113"/>
  <c r="U28" i="110"/>
  <c r="H11" i="113"/>
  <c r="H71" i="113" s="1"/>
  <c r="F29" i="93"/>
  <c r="U53" i="93"/>
  <c r="G41" i="88"/>
  <c r="G29" i="88"/>
  <c r="G53" i="88"/>
  <c r="U27" i="92"/>
  <c r="V13" i="92"/>
  <c r="G9" i="113"/>
  <c r="G69" i="113" s="1"/>
  <c r="U53" i="88"/>
  <c r="D11" i="95"/>
  <c r="U29" i="88"/>
  <c r="U41" i="88"/>
  <c r="U51" i="92"/>
  <c r="V13" i="102"/>
  <c r="U14" i="89"/>
  <c r="U15" i="89" s="1"/>
  <c r="U16" i="89" s="1"/>
  <c r="U30" i="89" s="1"/>
  <c r="T39" i="92"/>
  <c r="F51" i="92"/>
  <c r="G51" i="92"/>
  <c r="U56" i="113"/>
  <c r="T27" i="116"/>
  <c r="F39" i="92"/>
  <c r="F27" i="92"/>
  <c r="R15" i="89"/>
  <c r="S29" i="89" s="1"/>
  <c r="G50" i="99"/>
  <c r="U39" i="92"/>
  <c r="U15" i="104"/>
  <c r="Q10" i="113"/>
  <c r="Q70" i="113" s="1"/>
  <c r="F52" i="104"/>
  <c r="T28" i="104"/>
  <c r="G52" i="104"/>
  <c r="T40" i="104"/>
  <c r="G40" i="104"/>
  <c r="U28" i="104"/>
  <c r="F40" i="104"/>
  <c r="F28" i="104"/>
  <c r="T52" i="104"/>
  <c r="V14" i="104"/>
  <c r="G28" i="104"/>
  <c r="U52" i="104"/>
  <c r="U40" i="104"/>
  <c r="Q10" i="95"/>
  <c r="Q69" i="95" s="1"/>
  <c r="T51" i="92"/>
  <c r="G9" i="95"/>
  <c r="G68" i="95" s="1"/>
  <c r="T50" i="99"/>
  <c r="G27" i="92"/>
  <c r="U26" i="92"/>
  <c r="F39" i="116"/>
  <c r="U16" i="93"/>
  <c r="F30" i="93" s="1"/>
  <c r="U29" i="93"/>
  <c r="U41" i="93"/>
  <c r="G29" i="93"/>
  <c r="T51" i="116"/>
  <c r="U15" i="120"/>
  <c r="F27" i="116"/>
  <c r="U15" i="102"/>
  <c r="V14" i="102"/>
  <c r="G40" i="102"/>
  <c r="F52" i="102"/>
  <c r="F28" i="102"/>
  <c r="U52" i="102"/>
  <c r="T28" i="102"/>
  <c r="O10" i="113"/>
  <c r="O70" i="113" s="1"/>
  <c r="F40" i="102"/>
  <c r="T40" i="102"/>
  <c r="G52" i="102"/>
  <c r="G28" i="102"/>
  <c r="O10" i="95"/>
  <c r="O69" i="95" s="1"/>
  <c r="T52" i="102"/>
  <c r="U28" i="102"/>
  <c r="U40" i="102"/>
  <c r="U16" i="90"/>
  <c r="E11" i="113"/>
  <c r="E71" i="113" s="1"/>
  <c r="G29" i="90"/>
  <c r="F53" i="90"/>
  <c r="G53" i="90"/>
  <c r="G41" i="90"/>
  <c r="F29" i="90"/>
  <c r="V15" i="90"/>
  <c r="U41" i="90"/>
  <c r="T53" i="90"/>
  <c r="T41" i="90"/>
  <c r="U29" i="90"/>
  <c r="E11" i="95"/>
  <c r="E70" i="95" s="1"/>
  <c r="U53" i="90"/>
  <c r="T29" i="90"/>
  <c r="F41" i="90"/>
  <c r="U16" i="105"/>
  <c r="V15" i="105"/>
  <c r="R11" i="95"/>
  <c r="R70" i="95" s="1"/>
  <c r="R11" i="113"/>
  <c r="R71" i="113" s="1"/>
  <c r="V12" i="95"/>
  <c r="V71" i="95" s="1"/>
  <c r="T54" i="107"/>
  <c r="U42" i="107"/>
  <c r="G42" i="107"/>
  <c r="U15" i="103"/>
  <c r="U28" i="103"/>
  <c r="U52" i="103"/>
  <c r="P10" i="113"/>
  <c r="P70" i="113" s="1"/>
  <c r="P10" i="95"/>
  <c r="P69" i="95" s="1"/>
  <c r="G52" i="103"/>
  <c r="V14" i="103"/>
  <c r="F40" i="103"/>
  <c r="T28" i="103"/>
  <c r="G40" i="103"/>
  <c r="F28" i="103"/>
  <c r="T52" i="103"/>
  <c r="G28" i="103"/>
  <c r="U40" i="103"/>
  <c r="F52" i="103"/>
  <c r="T40" i="103"/>
  <c r="U15" i="117"/>
  <c r="F40" i="117"/>
  <c r="F52" i="117"/>
  <c r="V14" i="117"/>
  <c r="F28" i="117"/>
  <c r="T40" i="117"/>
  <c r="T52" i="117"/>
  <c r="T28" i="117"/>
  <c r="G52" i="117"/>
  <c r="U28" i="117"/>
  <c r="G40" i="117"/>
  <c r="U52" i="117"/>
  <c r="U40" i="117"/>
  <c r="G28" i="117"/>
  <c r="N14" i="118"/>
  <c r="R14" i="118"/>
  <c r="W14" i="118"/>
  <c r="U14" i="119"/>
  <c r="V13" i="119"/>
  <c r="T27" i="119"/>
  <c r="T39" i="119"/>
  <c r="T51" i="119"/>
  <c r="F27" i="119"/>
  <c r="F51" i="119"/>
  <c r="F39" i="119"/>
  <c r="U27" i="119"/>
  <c r="G39" i="119"/>
  <c r="U51" i="119"/>
  <c r="G27" i="119"/>
  <c r="U39" i="119"/>
  <c r="G51" i="119"/>
  <c r="U14" i="106"/>
  <c r="S9" i="113"/>
  <c r="S69" i="113" s="1"/>
  <c r="V13" i="106"/>
  <c r="G51" i="106"/>
  <c r="U39" i="106"/>
  <c r="F39" i="106"/>
  <c r="F51" i="106"/>
  <c r="T27" i="106"/>
  <c r="S9" i="95"/>
  <c r="S68" i="95" s="1"/>
  <c r="U27" i="106"/>
  <c r="G39" i="106"/>
  <c r="F27" i="106"/>
  <c r="T51" i="106"/>
  <c r="G27" i="106"/>
  <c r="U51" i="106"/>
  <c r="T39" i="106"/>
  <c r="U16" i="109"/>
  <c r="U29" i="109"/>
  <c r="X11" i="113"/>
  <c r="X71" i="113" s="1"/>
  <c r="F53" i="109"/>
  <c r="U41" i="109"/>
  <c r="V15" i="109"/>
  <c r="F41" i="109"/>
  <c r="G53" i="109"/>
  <c r="G41" i="109"/>
  <c r="F29" i="109"/>
  <c r="T41" i="109"/>
  <c r="T29" i="109"/>
  <c r="U53" i="109"/>
  <c r="G29" i="109"/>
  <c r="X11" i="95"/>
  <c r="X70" i="95" s="1"/>
  <c r="T53" i="109"/>
  <c r="U15" i="108"/>
  <c r="U28" i="108"/>
  <c r="W10" i="113"/>
  <c r="W70" i="113" s="1"/>
  <c r="F52" i="108"/>
  <c r="T28" i="108"/>
  <c r="T52" i="108"/>
  <c r="T40" i="108"/>
  <c r="F28" i="108"/>
  <c r="G40" i="108"/>
  <c r="U40" i="108"/>
  <c r="U52" i="108"/>
  <c r="V14" i="108"/>
  <c r="W10" i="95"/>
  <c r="W69" i="95" s="1"/>
  <c r="F40" i="108"/>
  <c r="G28" i="108"/>
  <c r="G52" i="108"/>
  <c r="G39" i="92"/>
  <c r="M16" i="92"/>
  <c r="N16" i="92" s="1"/>
  <c r="U28" i="87"/>
  <c r="F52" i="87"/>
  <c r="G40" i="87"/>
  <c r="T40" i="87"/>
  <c r="T51" i="117"/>
  <c r="F50" i="115"/>
  <c r="F38" i="115"/>
  <c r="V12" i="115"/>
  <c r="T26" i="115"/>
  <c r="F26" i="115"/>
  <c r="T38" i="115"/>
  <c r="T50" i="115"/>
  <c r="U26" i="115"/>
  <c r="U50" i="115"/>
  <c r="G38" i="115"/>
  <c r="G26" i="115"/>
  <c r="G50" i="115"/>
  <c r="U38" i="115"/>
  <c r="U13" i="115"/>
  <c r="U16" i="121"/>
  <c r="V15" i="121"/>
  <c r="F29" i="121"/>
  <c r="T53" i="121"/>
  <c r="T41" i="121"/>
  <c r="T29" i="121"/>
  <c r="F41" i="121"/>
  <c r="F53" i="121"/>
  <c r="U41" i="121"/>
  <c r="G41" i="121"/>
  <c r="G29" i="121"/>
  <c r="U29" i="121"/>
  <c r="U53" i="121"/>
  <c r="G53" i="121"/>
  <c r="L16" i="118"/>
  <c r="N16" i="115"/>
  <c r="R16" i="115"/>
  <c r="F51" i="116"/>
  <c r="U15" i="116"/>
  <c r="T28" i="116"/>
  <c r="T40" i="116"/>
  <c r="T52" i="116"/>
  <c r="F28" i="116"/>
  <c r="V14" i="116"/>
  <c r="F40" i="116"/>
  <c r="F52" i="116"/>
  <c r="G52" i="116"/>
  <c r="G28" i="116"/>
  <c r="U40" i="116"/>
  <c r="U28" i="116"/>
  <c r="G40" i="116"/>
  <c r="U52" i="116"/>
  <c r="U16" i="88"/>
  <c r="D11" i="113"/>
  <c r="E28" i="115"/>
  <c r="S28" i="115"/>
  <c r="S40" i="115"/>
  <c r="S52" i="115"/>
  <c r="E52" i="115"/>
  <c r="E40" i="115"/>
  <c r="J46" i="95"/>
  <c r="U38" i="99"/>
  <c r="U48" i="92"/>
  <c r="G6" i="113"/>
  <c r="G66" i="113" s="1"/>
  <c r="F48" i="92"/>
  <c r="V10" i="92"/>
  <c r="F24" i="92"/>
  <c r="T48" i="92"/>
  <c r="T24" i="92"/>
  <c r="T36" i="92"/>
  <c r="F36" i="92"/>
  <c r="G36" i="92"/>
  <c r="N15" i="89"/>
  <c r="T41" i="111"/>
  <c r="Z47" i="113"/>
  <c r="U41" i="111"/>
  <c r="S30" i="100"/>
  <c r="M24" i="113"/>
  <c r="M24" i="95"/>
  <c r="S54" i="100"/>
  <c r="E42" i="100"/>
  <c r="E30" i="100"/>
  <c r="E54" i="100"/>
  <c r="S42" i="100"/>
  <c r="F53" i="111"/>
  <c r="G53" i="111"/>
  <c r="Z59" i="95"/>
  <c r="T29" i="111"/>
  <c r="Z35" i="113"/>
  <c r="U29" i="111"/>
  <c r="G29" i="111"/>
  <c r="Z35" i="95"/>
  <c r="F29" i="111"/>
  <c r="Z47" i="95"/>
  <c r="G41" i="111"/>
  <c r="F41" i="111"/>
  <c r="T53" i="111"/>
  <c r="Z59" i="113"/>
  <c r="U53" i="111"/>
  <c r="W12" i="96"/>
  <c r="R12" i="96"/>
  <c r="N12" i="96"/>
  <c r="G13" i="96"/>
  <c r="G11" i="96"/>
  <c r="T11" i="96" s="1"/>
  <c r="N9" i="96"/>
  <c r="W9" i="96"/>
  <c r="R9" i="96"/>
  <c r="G16" i="96"/>
  <c r="S22" i="96"/>
  <c r="J16" i="95"/>
  <c r="S34" i="96"/>
  <c r="E22" i="96"/>
  <c r="S46" i="96"/>
  <c r="E34" i="96"/>
  <c r="J16" i="113"/>
  <c r="E46" i="96"/>
  <c r="V24" i="97"/>
  <c r="V44" i="97" s="1"/>
  <c r="J63" i="113"/>
  <c r="V34" i="97" s="1"/>
  <c r="V9" i="97"/>
  <c r="G15" i="96"/>
  <c r="G10" i="96"/>
  <c r="W10" i="96" s="1"/>
  <c r="U68" i="113"/>
  <c r="O9" i="95"/>
  <c r="U69" i="95"/>
  <c r="O9" i="113"/>
  <c r="U27" i="102"/>
  <c r="F30" i="101"/>
  <c r="I67" i="113"/>
  <c r="S10" i="97"/>
  <c r="H68" i="95"/>
  <c r="G8" i="95"/>
  <c r="V12" i="92"/>
  <c r="G8" i="113"/>
  <c r="I66" i="95"/>
  <c r="F42" i="101"/>
  <c r="F51" i="112"/>
  <c r="G51" i="112"/>
  <c r="I44" i="95"/>
  <c r="G38" i="94"/>
  <c r="U27" i="110"/>
  <c r="I32" i="95"/>
  <c r="G26" i="94"/>
  <c r="T42" i="101"/>
  <c r="U42" i="101"/>
  <c r="N60" i="113"/>
  <c r="U54" i="101"/>
  <c r="I44" i="113"/>
  <c r="U38" i="94"/>
  <c r="I56" i="113"/>
  <c r="U50" i="94"/>
  <c r="T51" i="112"/>
  <c r="U51" i="112"/>
  <c r="I56" i="95"/>
  <c r="G50" i="94"/>
  <c r="N60" i="95"/>
  <c r="G54" i="101"/>
  <c r="F19" i="113"/>
  <c r="S37" i="91"/>
  <c r="U37" i="91" s="1"/>
  <c r="F19" i="95"/>
  <c r="E49" i="91"/>
  <c r="G49" i="91" s="1"/>
  <c r="E25" i="91"/>
  <c r="G25" i="91" s="1"/>
  <c r="E37" i="91"/>
  <c r="G37" i="91" s="1"/>
  <c r="S25" i="91"/>
  <c r="U25" i="91" s="1"/>
  <c r="S49" i="91"/>
  <c r="U49" i="91" s="1"/>
  <c r="AA45" i="113"/>
  <c r="T39" i="112"/>
  <c r="H22" i="113"/>
  <c r="E28" i="93"/>
  <c r="G28" i="93" s="1"/>
  <c r="H22" i="95"/>
  <c r="S40" i="93"/>
  <c r="U40" i="93" s="1"/>
  <c r="E52" i="93"/>
  <c r="G52" i="93" s="1"/>
  <c r="S52" i="93"/>
  <c r="U52" i="93" s="1"/>
  <c r="E40" i="93"/>
  <c r="G40" i="93" s="1"/>
  <c r="C55" i="113"/>
  <c r="T49" i="87"/>
  <c r="T28" i="110"/>
  <c r="Y34" i="113"/>
  <c r="D59" i="113"/>
  <c r="T53" i="88"/>
  <c r="S19" i="97"/>
  <c r="G63" i="95"/>
  <c r="G40" i="32" s="1"/>
  <c r="G35" i="113"/>
  <c r="G43" i="113"/>
  <c r="T37" i="92"/>
  <c r="L15" i="112"/>
  <c r="C43" i="95"/>
  <c r="F37" i="87"/>
  <c r="F28" i="110"/>
  <c r="Y34" i="95"/>
  <c r="Y69" i="95" s="1"/>
  <c r="D47" i="113"/>
  <c r="T41" i="88"/>
  <c r="G59" i="113"/>
  <c r="R21" i="97"/>
  <c r="F65" i="95"/>
  <c r="F42" i="32" s="1"/>
  <c r="I8" i="113"/>
  <c r="V12" i="94"/>
  <c r="I8" i="95"/>
  <c r="F26" i="94"/>
  <c r="F50" i="94"/>
  <c r="F38" i="94"/>
  <c r="T38" i="94"/>
  <c r="T50" i="94"/>
  <c r="T27" i="112"/>
  <c r="AA33" i="113"/>
  <c r="AA69" i="113" s="1"/>
  <c r="AA57" i="113"/>
  <c r="Y9" i="113"/>
  <c r="Y9" i="95"/>
  <c r="V13" i="110"/>
  <c r="T25" i="87"/>
  <c r="C31" i="113"/>
  <c r="C67" i="113" s="1"/>
  <c r="Y58" i="95"/>
  <c r="F52" i="110"/>
  <c r="D35" i="95"/>
  <c r="F29" i="88"/>
  <c r="G47" i="113"/>
  <c r="G55" i="113"/>
  <c r="T49" i="92"/>
  <c r="T30" i="101"/>
  <c r="N48" i="113"/>
  <c r="N36" i="113"/>
  <c r="C43" i="113"/>
  <c r="T37" i="87"/>
  <c r="G55" i="95"/>
  <c r="F49" i="92"/>
  <c r="N14" i="89"/>
  <c r="R14" i="89"/>
  <c r="S28" i="89" s="1"/>
  <c r="W14" i="89"/>
  <c r="S25" i="97"/>
  <c r="S45" i="97" s="1"/>
  <c r="G64" i="113"/>
  <c r="S35" i="97" s="1"/>
  <c r="Y46" i="95"/>
  <c r="F40" i="110"/>
  <c r="G59" i="95"/>
  <c r="R26" i="97"/>
  <c r="R46" i="97" s="1"/>
  <c r="F65" i="113"/>
  <c r="R36" i="97" s="1"/>
  <c r="G31" i="95"/>
  <c r="F25" i="92"/>
  <c r="R20" i="97"/>
  <c r="F64" i="95"/>
  <c r="F41" i="32" s="1"/>
  <c r="C55" i="95"/>
  <c r="F49" i="87"/>
  <c r="Y46" i="113"/>
  <c r="T40" i="110"/>
  <c r="T29" i="88"/>
  <c r="D35" i="113"/>
  <c r="G43" i="95"/>
  <c r="F37" i="92"/>
  <c r="N36" i="95"/>
  <c r="N48" i="95"/>
  <c r="Y21" i="113"/>
  <c r="Y21" i="95"/>
  <c r="E27" i="110"/>
  <c r="S39" i="110"/>
  <c r="E39" i="110"/>
  <c r="S51" i="110"/>
  <c r="E51" i="110"/>
  <c r="C31" i="95"/>
  <c r="C66" i="95" s="1"/>
  <c r="F25" i="87"/>
  <c r="Y58" i="113"/>
  <c r="T52" i="110"/>
  <c r="D47" i="95"/>
  <c r="F41" i="88"/>
  <c r="I14" i="92"/>
  <c r="G35" i="95"/>
  <c r="U21" i="97"/>
  <c r="U41" i="97" s="1"/>
  <c r="I65" i="95"/>
  <c r="AA57" i="95"/>
  <c r="AA33" i="95"/>
  <c r="AA68" i="95" s="1"/>
  <c r="F27" i="112"/>
  <c r="F39" i="112"/>
  <c r="AA45" i="95"/>
  <c r="R15" i="110"/>
  <c r="S29" i="110" s="1"/>
  <c r="N15" i="110"/>
  <c r="W15" i="110"/>
  <c r="D59" i="95"/>
  <c r="F53" i="88"/>
  <c r="T26" i="92"/>
  <c r="G32" i="113"/>
  <c r="G47" i="95"/>
  <c r="T26" i="94"/>
  <c r="I32" i="113"/>
  <c r="T25" i="92"/>
  <c r="G31" i="113"/>
  <c r="Y24" i="113"/>
  <c r="E30" i="110"/>
  <c r="Y24" i="95"/>
  <c r="S54" i="110"/>
  <c r="E42" i="110"/>
  <c r="E54" i="110"/>
  <c r="S42" i="110"/>
  <c r="T27" i="102"/>
  <c r="O33" i="113"/>
  <c r="O45" i="113"/>
  <c r="T54" i="101" l="1"/>
  <c r="G42" i="101"/>
  <c r="F54" i="101"/>
  <c r="N71" i="95"/>
  <c r="U30" i="101"/>
  <c r="N12" i="95"/>
  <c r="V16" i="101"/>
  <c r="N12" i="113"/>
  <c r="N72" i="113" s="1"/>
  <c r="S11" i="96"/>
  <c r="T16" i="118"/>
  <c r="S16" i="118"/>
  <c r="T28" i="87"/>
  <c r="T52" i="87"/>
  <c r="F40" i="87"/>
  <c r="C10" i="95"/>
  <c r="C69" i="95" s="1"/>
  <c r="U52" i="87"/>
  <c r="G52" i="87"/>
  <c r="U40" i="87"/>
  <c r="U15" i="87"/>
  <c r="F28" i="87"/>
  <c r="G28" i="87"/>
  <c r="C10" i="113"/>
  <c r="C70" i="113" s="1"/>
  <c r="G56" i="95"/>
  <c r="F42" i="107"/>
  <c r="G54" i="107"/>
  <c r="T30" i="107"/>
  <c r="F30" i="107"/>
  <c r="G30" i="107"/>
  <c r="U54" i="107"/>
  <c r="T42" i="107"/>
  <c r="U31" i="97"/>
  <c r="I42" i="32"/>
  <c r="V14" i="97"/>
  <c r="J30" i="32"/>
  <c r="V16" i="107"/>
  <c r="F54" i="107"/>
  <c r="V12" i="113"/>
  <c r="V72" i="113" s="1"/>
  <c r="R30" i="97"/>
  <c r="R31" i="97"/>
  <c r="O31" i="97"/>
  <c r="S29" i="97"/>
  <c r="S11" i="97"/>
  <c r="S41" i="97" s="1"/>
  <c r="G27" i="32"/>
  <c r="S30" i="97"/>
  <c r="V16" i="89"/>
  <c r="F41" i="105"/>
  <c r="G53" i="105"/>
  <c r="T41" i="105"/>
  <c r="U53" i="105"/>
  <c r="O57" i="95"/>
  <c r="L10" i="113"/>
  <c r="V16" i="99"/>
  <c r="F53" i="105"/>
  <c r="U41" i="105"/>
  <c r="T29" i="105"/>
  <c r="G41" i="105"/>
  <c r="F51" i="102"/>
  <c r="U30" i="99"/>
  <c r="F29" i="105"/>
  <c r="G29" i="105"/>
  <c r="T53" i="105"/>
  <c r="Z70" i="95"/>
  <c r="F50" i="92"/>
  <c r="S29" i="120"/>
  <c r="U29" i="120" s="1"/>
  <c r="F41" i="80"/>
  <c r="F51" i="117"/>
  <c r="T51" i="102"/>
  <c r="O57" i="113"/>
  <c r="F27" i="102"/>
  <c r="B11" i="113"/>
  <c r="B71" i="113" s="1"/>
  <c r="U14" i="91"/>
  <c r="V14" i="91" s="1"/>
  <c r="T41" i="80"/>
  <c r="E29" i="120"/>
  <c r="F29" i="120" s="1"/>
  <c r="F27" i="117"/>
  <c r="U41" i="80"/>
  <c r="B11" i="95"/>
  <c r="B70" i="95" s="1"/>
  <c r="V15" i="80"/>
  <c r="U27" i="91"/>
  <c r="O33" i="95"/>
  <c r="O68" i="95" s="1"/>
  <c r="E41" i="120"/>
  <c r="G41" i="120" s="1"/>
  <c r="G41" i="80"/>
  <c r="U53" i="80"/>
  <c r="G29" i="80"/>
  <c r="F39" i="91"/>
  <c r="G27" i="91"/>
  <c r="T39" i="102"/>
  <c r="E53" i="120"/>
  <c r="F53" i="120" s="1"/>
  <c r="F9" i="113"/>
  <c r="F69" i="113" s="1"/>
  <c r="U16" i="80"/>
  <c r="F54" i="80" s="1"/>
  <c r="F29" i="80"/>
  <c r="T53" i="80"/>
  <c r="F27" i="91"/>
  <c r="T27" i="91"/>
  <c r="G39" i="102"/>
  <c r="U50" i="92"/>
  <c r="T27" i="117"/>
  <c r="S41" i="89"/>
  <c r="T41" i="89" s="1"/>
  <c r="G56" i="113"/>
  <c r="Z71" i="113"/>
  <c r="T39" i="117"/>
  <c r="L23" i="95"/>
  <c r="L11" i="113"/>
  <c r="F30" i="99"/>
  <c r="F42" i="89"/>
  <c r="T29" i="80"/>
  <c r="G53" i="80"/>
  <c r="U29" i="80"/>
  <c r="G51" i="91"/>
  <c r="T39" i="91"/>
  <c r="F9" i="95"/>
  <c r="F68" i="95" s="1"/>
  <c r="T51" i="91"/>
  <c r="T53" i="100"/>
  <c r="S53" i="89"/>
  <c r="L59" i="113" s="1"/>
  <c r="U54" i="99"/>
  <c r="U54" i="89"/>
  <c r="F51" i="91"/>
  <c r="V13" i="91"/>
  <c r="T30" i="99"/>
  <c r="F42" i="99"/>
  <c r="U12" i="95"/>
  <c r="U71" i="95" s="1"/>
  <c r="T54" i="99"/>
  <c r="F54" i="99"/>
  <c r="U42" i="99"/>
  <c r="T42" i="99"/>
  <c r="G54" i="99"/>
  <c r="G42" i="99"/>
  <c r="U12" i="113"/>
  <c r="U72" i="113" s="1"/>
  <c r="F38" i="92"/>
  <c r="U28" i="94"/>
  <c r="U39" i="91"/>
  <c r="U51" i="91"/>
  <c r="F39" i="117"/>
  <c r="G26" i="92"/>
  <c r="O45" i="95"/>
  <c r="S53" i="120"/>
  <c r="T53" i="120" s="1"/>
  <c r="R16" i="92"/>
  <c r="S30" i="92" s="1"/>
  <c r="T40" i="94"/>
  <c r="G44" i="95"/>
  <c r="U41" i="120"/>
  <c r="U52" i="94"/>
  <c r="G28" i="94"/>
  <c r="I10" i="95"/>
  <c r="I69" i="95" s="1"/>
  <c r="G40" i="94"/>
  <c r="T28" i="94"/>
  <c r="G52" i="94"/>
  <c r="T54" i="89"/>
  <c r="U42" i="89"/>
  <c r="W16" i="92"/>
  <c r="V14" i="118"/>
  <c r="G30" i="89"/>
  <c r="G54" i="89"/>
  <c r="G67" i="113"/>
  <c r="G44" i="113"/>
  <c r="T38" i="92"/>
  <c r="F29" i="100"/>
  <c r="G66" i="95"/>
  <c r="F54" i="93"/>
  <c r="M11" i="95"/>
  <c r="M70" i="95" s="1"/>
  <c r="U28" i="89"/>
  <c r="V16" i="110"/>
  <c r="L10" i="95"/>
  <c r="L69" i="95" s="1"/>
  <c r="E41" i="89"/>
  <c r="F41" i="89" s="1"/>
  <c r="E29" i="89"/>
  <c r="F29" i="89" s="1"/>
  <c r="G32" i="95"/>
  <c r="G67" i="95" s="1"/>
  <c r="G65" i="95"/>
  <c r="G42" i="32" s="1"/>
  <c r="G42" i="89"/>
  <c r="L12" i="113"/>
  <c r="L72" i="113" s="1"/>
  <c r="T30" i="89"/>
  <c r="F30" i="89"/>
  <c r="F40" i="94"/>
  <c r="T52" i="94"/>
  <c r="V14" i="94"/>
  <c r="U15" i="94"/>
  <c r="V15" i="94" s="1"/>
  <c r="T41" i="100"/>
  <c r="T29" i="100"/>
  <c r="D70" i="95"/>
  <c r="Y70" i="113"/>
  <c r="E53" i="89"/>
  <c r="F53" i="89" s="1"/>
  <c r="L23" i="113"/>
  <c r="T42" i="89"/>
  <c r="F54" i="89"/>
  <c r="L12" i="95"/>
  <c r="L71" i="95" s="1"/>
  <c r="F52" i="94"/>
  <c r="I10" i="113"/>
  <c r="I70" i="113" s="1"/>
  <c r="U40" i="94"/>
  <c r="V15" i="100"/>
  <c r="G53" i="120"/>
  <c r="AA36" i="95"/>
  <c r="AA60" i="95"/>
  <c r="AA36" i="113"/>
  <c r="AA60" i="113"/>
  <c r="O41" i="97"/>
  <c r="U53" i="100"/>
  <c r="M11" i="113"/>
  <c r="M71" i="113" s="1"/>
  <c r="G53" i="100"/>
  <c r="F41" i="100"/>
  <c r="U41" i="100"/>
  <c r="U16" i="100"/>
  <c r="U42" i="100" s="1"/>
  <c r="G41" i="100"/>
  <c r="U29" i="100"/>
  <c r="F53" i="100"/>
  <c r="Y12" i="113"/>
  <c r="T30" i="93"/>
  <c r="U30" i="110"/>
  <c r="Y11" i="95"/>
  <c r="U54" i="93"/>
  <c r="T42" i="93"/>
  <c r="D71" i="113"/>
  <c r="U15" i="112"/>
  <c r="U16" i="112" s="1"/>
  <c r="V16" i="112" s="1"/>
  <c r="G42" i="93"/>
  <c r="H12" i="113"/>
  <c r="H72" i="113" s="1"/>
  <c r="G30" i="93"/>
  <c r="U30" i="93"/>
  <c r="H12" i="95"/>
  <c r="H71" i="95" s="1"/>
  <c r="V16" i="93"/>
  <c r="U42" i="93"/>
  <c r="T54" i="93"/>
  <c r="F42" i="93"/>
  <c r="G54" i="93"/>
  <c r="Q11" i="113"/>
  <c r="Q71" i="113" s="1"/>
  <c r="G41" i="104"/>
  <c r="F29" i="104"/>
  <c r="V15" i="104"/>
  <c r="G29" i="104"/>
  <c r="U53" i="104"/>
  <c r="U29" i="104"/>
  <c r="T41" i="104"/>
  <c r="T53" i="104"/>
  <c r="G53" i="104"/>
  <c r="F41" i="104"/>
  <c r="U41" i="104"/>
  <c r="T29" i="104"/>
  <c r="F53" i="104"/>
  <c r="Q11" i="95"/>
  <c r="Q70" i="95" s="1"/>
  <c r="U16" i="104"/>
  <c r="U54" i="80"/>
  <c r="U16" i="120"/>
  <c r="V16" i="120" s="1"/>
  <c r="V15" i="120"/>
  <c r="S30" i="115"/>
  <c r="E30" i="115"/>
  <c r="S42" i="115"/>
  <c r="S54" i="115"/>
  <c r="E42" i="115"/>
  <c r="E54" i="115"/>
  <c r="D12" i="95"/>
  <c r="D71" i="95" s="1"/>
  <c r="D12" i="113"/>
  <c r="D72" i="113" s="1"/>
  <c r="U54" i="88"/>
  <c r="G54" i="88"/>
  <c r="T42" i="88"/>
  <c r="F42" i="88"/>
  <c r="T30" i="88"/>
  <c r="U30" i="88"/>
  <c r="G30" i="88"/>
  <c r="G42" i="88"/>
  <c r="U42" i="88"/>
  <c r="F30" i="88"/>
  <c r="F54" i="88"/>
  <c r="T54" i="88"/>
  <c r="V16" i="88"/>
  <c r="V13" i="115"/>
  <c r="T51" i="115"/>
  <c r="T39" i="115"/>
  <c r="F27" i="115"/>
  <c r="F51" i="115"/>
  <c r="T27" i="115"/>
  <c r="F39" i="115"/>
  <c r="U14" i="115"/>
  <c r="G52" i="115" s="1"/>
  <c r="U39" i="115"/>
  <c r="U28" i="91"/>
  <c r="U51" i="115"/>
  <c r="U16" i="103"/>
  <c r="P11" i="95"/>
  <c r="P70" i="95" s="1"/>
  <c r="F41" i="103"/>
  <c r="T29" i="103"/>
  <c r="V15" i="103"/>
  <c r="T53" i="103"/>
  <c r="F29" i="103"/>
  <c r="T41" i="103"/>
  <c r="G29" i="103"/>
  <c r="P11" i="113"/>
  <c r="P71" i="113" s="1"/>
  <c r="G53" i="103"/>
  <c r="U53" i="103"/>
  <c r="U29" i="103"/>
  <c r="F53" i="103"/>
  <c r="G41" i="103"/>
  <c r="U41" i="103"/>
  <c r="G39" i="115"/>
  <c r="U30" i="105"/>
  <c r="R12" i="95"/>
  <c r="R71" i="95" s="1"/>
  <c r="T54" i="105"/>
  <c r="T42" i="105"/>
  <c r="F30" i="105"/>
  <c r="V16" i="105"/>
  <c r="T30" i="105"/>
  <c r="G54" i="105"/>
  <c r="G42" i="105"/>
  <c r="U42" i="105"/>
  <c r="U54" i="105"/>
  <c r="F54" i="105"/>
  <c r="R12" i="113"/>
  <c r="R72" i="113" s="1"/>
  <c r="G30" i="105"/>
  <c r="F42" i="105"/>
  <c r="G30" i="90"/>
  <c r="F42" i="90"/>
  <c r="G42" i="90"/>
  <c r="E12" i="95"/>
  <c r="E71" i="95" s="1"/>
  <c r="T54" i="90"/>
  <c r="U42" i="90"/>
  <c r="T42" i="90"/>
  <c r="V16" i="90"/>
  <c r="E12" i="113"/>
  <c r="E72" i="113" s="1"/>
  <c r="T30" i="90"/>
  <c r="U54" i="90"/>
  <c r="F30" i="90"/>
  <c r="F54" i="90"/>
  <c r="G54" i="90"/>
  <c r="U30" i="90"/>
  <c r="U16" i="102"/>
  <c r="O11" i="95"/>
  <c r="O70" i="95" s="1"/>
  <c r="O11" i="113"/>
  <c r="O71" i="113" s="1"/>
  <c r="U29" i="102"/>
  <c r="V15" i="102"/>
  <c r="F53" i="102"/>
  <c r="F41" i="102"/>
  <c r="U53" i="102"/>
  <c r="T29" i="102"/>
  <c r="G41" i="102"/>
  <c r="F29" i="102"/>
  <c r="T41" i="102"/>
  <c r="T53" i="102"/>
  <c r="G29" i="102"/>
  <c r="G53" i="102"/>
  <c r="U41" i="102"/>
  <c r="T41" i="120"/>
  <c r="G51" i="115"/>
  <c r="U16" i="117"/>
  <c r="V15" i="117"/>
  <c r="T29" i="117"/>
  <c r="T53" i="117"/>
  <c r="T41" i="117"/>
  <c r="F29" i="117"/>
  <c r="F53" i="117"/>
  <c r="F41" i="117"/>
  <c r="G53" i="117"/>
  <c r="G29" i="117"/>
  <c r="G41" i="117"/>
  <c r="U29" i="117"/>
  <c r="U41" i="117"/>
  <c r="U53" i="117"/>
  <c r="U16" i="116"/>
  <c r="T53" i="116"/>
  <c r="F29" i="116"/>
  <c r="F41" i="116"/>
  <c r="V15" i="116"/>
  <c r="T41" i="116"/>
  <c r="T29" i="116"/>
  <c r="F53" i="116"/>
  <c r="G41" i="116"/>
  <c r="G53" i="116"/>
  <c r="U41" i="116"/>
  <c r="U29" i="116"/>
  <c r="G29" i="116"/>
  <c r="U53" i="116"/>
  <c r="V16" i="121"/>
  <c r="T54" i="121"/>
  <c r="F30" i="121"/>
  <c r="T30" i="121"/>
  <c r="T42" i="121"/>
  <c r="F42" i="121"/>
  <c r="F54" i="121"/>
  <c r="U42" i="121"/>
  <c r="G42" i="121"/>
  <c r="U54" i="121"/>
  <c r="G54" i="121"/>
  <c r="U30" i="121"/>
  <c r="G30" i="121"/>
  <c r="U27" i="115"/>
  <c r="U16" i="87"/>
  <c r="F41" i="87"/>
  <c r="G53" i="87"/>
  <c r="U29" i="87"/>
  <c r="V15" i="87"/>
  <c r="T53" i="87"/>
  <c r="C11" i="95"/>
  <c r="C70" i="95" s="1"/>
  <c r="U41" i="87"/>
  <c r="G41" i="87"/>
  <c r="F53" i="87"/>
  <c r="U53" i="87"/>
  <c r="C11" i="113"/>
  <c r="C71" i="113" s="1"/>
  <c r="T29" i="87"/>
  <c r="F29" i="87"/>
  <c r="G29" i="87"/>
  <c r="T41" i="87"/>
  <c r="U15" i="119"/>
  <c r="T40" i="119"/>
  <c r="V14" i="119"/>
  <c r="T52" i="119"/>
  <c r="F28" i="119"/>
  <c r="T28" i="119"/>
  <c r="F40" i="119"/>
  <c r="F52" i="119"/>
  <c r="G40" i="119"/>
  <c r="U28" i="119"/>
  <c r="G52" i="119"/>
  <c r="U52" i="119"/>
  <c r="G28" i="119"/>
  <c r="U40" i="119"/>
  <c r="G27" i="115"/>
  <c r="M16" i="118"/>
  <c r="U16" i="108"/>
  <c r="W11" i="113"/>
  <c r="W71" i="113" s="1"/>
  <c r="V15" i="108"/>
  <c r="F29" i="108"/>
  <c r="T41" i="108"/>
  <c r="U29" i="108"/>
  <c r="G53" i="108"/>
  <c r="G29" i="108"/>
  <c r="T29" i="108"/>
  <c r="F41" i="108"/>
  <c r="F53" i="108"/>
  <c r="U41" i="108"/>
  <c r="G41" i="108"/>
  <c r="W11" i="95"/>
  <c r="W70" i="95" s="1"/>
  <c r="T53" i="108"/>
  <c r="U53" i="108"/>
  <c r="U30" i="109"/>
  <c r="G30" i="109"/>
  <c r="G54" i="109"/>
  <c r="T54" i="109"/>
  <c r="F54" i="109"/>
  <c r="X12" i="113"/>
  <c r="X72" i="113" s="1"/>
  <c r="U42" i="109"/>
  <c r="T42" i="109"/>
  <c r="X12" i="95"/>
  <c r="X71" i="95" s="1"/>
  <c r="V16" i="109"/>
  <c r="G42" i="109"/>
  <c r="F42" i="109"/>
  <c r="U54" i="109"/>
  <c r="F30" i="109"/>
  <c r="T30" i="109"/>
  <c r="U15" i="106"/>
  <c r="U28" i="106"/>
  <c r="G40" i="106"/>
  <c r="U52" i="106"/>
  <c r="U40" i="106"/>
  <c r="T52" i="106"/>
  <c r="G52" i="106"/>
  <c r="F40" i="106"/>
  <c r="T28" i="106"/>
  <c r="S10" i="95"/>
  <c r="S69" i="95" s="1"/>
  <c r="S10" i="113"/>
  <c r="S70" i="113" s="1"/>
  <c r="F52" i="106"/>
  <c r="F28" i="106"/>
  <c r="G28" i="106"/>
  <c r="V14" i="106"/>
  <c r="T40" i="106"/>
  <c r="E28" i="118"/>
  <c r="S52" i="118"/>
  <c r="S40" i="118"/>
  <c r="S28" i="118"/>
  <c r="E40" i="118"/>
  <c r="E52" i="118"/>
  <c r="V15" i="118"/>
  <c r="F29" i="118"/>
  <c r="T53" i="118"/>
  <c r="T41" i="118"/>
  <c r="T29" i="118"/>
  <c r="F53" i="118"/>
  <c r="F41" i="118"/>
  <c r="U53" i="118"/>
  <c r="G53" i="118"/>
  <c r="G41" i="118"/>
  <c r="G29" i="118"/>
  <c r="U41" i="118"/>
  <c r="U29" i="118"/>
  <c r="V14" i="89"/>
  <c r="J6" i="95"/>
  <c r="J6" i="113"/>
  <c r="V10" i="96"/>
  <c r="M60" i="95"/>
  <c r="M48" i="95"/>
  <c r="M36" i="95"/>
  <c r="M60" i="113"/>
  <c r="M36" i="113"/>
  <c r="M48" i="113"/>
  <c r="J52" i="95"/>
  <c r="G46" i="96"/>
  <c r="F46" i="96"/>
  <c r="H16" i="96"/>
  <c r="H13" i="96"/>
  <c r="J40" i="95"/>
  <c r="G34" i="96"/>
  <c r="F34" i="96"/>
  <c r="S23" i="96"/>
  <c r="J29" i="113" s="1"/>
  <c r="V26" i="97" s="1"/>
  <c r="S35" i="96"/>
  <c r="T35" i="96" s="1"/>
  <c r="E47" i="96"/>
  <c r="F47" i="96" s="1"/>
  <c r="J17" i="95"/>
  <c r="E35" i="96"/>
  <c r="F35" i="96" s="1"/>
  <c r="E23" i="96"/>
  <c r="F23" i="96" s="1"/>
  <c r="S47" i="96"/>
  <c r="T47" i="96" s="1"/>
  <c r="J17" i="113"/>
  <c r="V9" i="96"/>
  <c r="J5" i="113"/>
  <c r="J5" i="95"/>
  <c r="J26" i="32" s="1"/>
  <c r="T46" i="96"/>
  <c r="U46" i="96"/>
  <c r="J52" i="113"/>
  <c r="U22" i="96"/>
  <c r="J28" i="113"/>
  <c r="T22" i="96"/>
  <c r="R10" i="96"/>
  <c r="N10" i="96"/>
  <c r="J28" i="95"/>
  <c r="J35" i="32" s="1"/>
  <c r="G22" i="96"/>
  <c r="F22" i="96"/>
  <c r="S26" i="96"/>
  <c r="J20" i="95"/>
  <c r="E26" i="96"/>
  <c r="E38" i="96"/>
  <c r="E50" i="96"/>
  <c r="J20" i="113"/>
  <c r="S50" i="96"/>
  <c r="S38" i="96"/>
  <c r="J40" i="113"/>
  <c r="U34" i="96"/>
  <c r="T34" i="96"/>
  <c r="H15" i="96"/>
  <c r="I15" i="96" s="1"/>
  <c r="J15" i="96" s="1"/>
  <c r="K15" i="96" s="1"/>
  <c r="T15" i="96" s="1"/>
  <c r="H11" i="96"/>
  <c r="U29" i="89"/>
  <c r="R41" i="97"/>
  <c r="R40" i="97"/>
  <c r="S39" i="97"/>
  <c r="S40" i="97"/>
  <c r="G68" i="113"/>
  <c r="V15" i="110"/>
  <c r="O69" i="113"/>
  <c r="Y11" i="113"/>
  <c r="U29" i="110"/>
  <c r="L11" i="95"/>
  <c r="L70" i="95" s="1"/>
  <c r="S46" i="97"/>
  <c r="V15" i="89"/>
  <c r="I67" i="95"/>
  <c r="Y48" i="113"/>
  <c r="U42" i="110"/>
  <c r="Y45" i="113"/>
  <c r="U39" i="110"/>
  <c r="T42" i="110"/>
  <c r="Y60" i="95"/>
  <c r="G54" i="110"/>
  <c r="Y33" i="95"/>
  <c r="Y68" i="95" s="1"/>
  <c r="G27" i="110"/>
  <c r="Y48" i="95"/>
  <c r="G42" i="110"/>
  <c r="Y60" i="113"/>
  <c r="U54" i="110"/>
  <c r="Y36" i="95"/>
  <c r="Y71" i="95" s="1"/>
  <c r="G30" i="110"/>
  <c r="Y57" i="113"/>
  <c r="U51" i="110"/>
  <c r="Y57" i="95"/>
  <c r="G51" i="110"/>
  <c r="Y45" i="95"/>
  <c r="G39" i="110"/>
  <c r="H46" i="95"/>
  <c r="F40" i="93"/>
  <c r="T51" i="110"/>
  <c r="T29" i="89"/>
  <c r="L35" i="113"/>
  <c r="L47" i="113"/>
  <c r="H58" i="113"/>
  <c r="T52" i="93"/>
  <c r="F55" i="113"/>
  <c r="T49" i="91"/>
  <c r="F30" i="110"/>
  <c r="N15" i="112"/>
  <c r="R15" i="112"/>
  <c r="S29" i="112" s="1"/>
  <c r="W15" i="112"/>
  <c r="H58" i="95"/>
  <c r="F52" i="93"/>
  <c r="T25" i="91"/>
  <c r="F31" i="113"/>
  <c r="F67" i="113" s="1"/>
  <c r="Y23" i="113"/>
  <c r="S53" i="110"/>
  <c r="U53" i="110" s="1"/>
  <c r="S41" i="110"/>
  <c r="U41" i="110" s="1"/>
  <c r="E29" i="110"/>
  <c r="G29" i="110" s="1"/>
  <c r="E41" i="110"/>
  <c r="G41" i="110" s="1"/>
  <c r="Y23" i="95"/>
  <c r="E53" i="110"/>
  <c r="G53" i="110" s="1"/>
  <c r="L22" i="113"/>
  <c r="E52" i="89"/>
  <c r="G52" i="89" s="1"/>
  <c r="E40" i="89"/>
  <c r="S40" i="89"/>
  <c r="E28" i="89"/>
  <c r="G28" i="89" s="1"/>
  <c r="L22" i="95"/>
  <c r="S52" i="89"/>
  <c r="U52" i="89" s="1"/>
  <c r="T39" i="110"/>
  <c r="I68" i="113"/>
  <c r="H46" i="113"/>
  <c r="T40" i="93"/>
  <c r="F43" i="95"/>
  <c r="F37" i="91"/>
  <c r="F31" i="95"/>
  <c r="F66" i="95" s="1"/>
  <c r="F25" i="91"/>
  <c r="T27" i="110"/>
  <c r="Y33" i="113"/>
  <c r="Y69" i="113" s="1"/>
  <c r="F54" i="110"/>
  <c r="F27" i="110"/>
  <c r="H34" i="95"/>
  <c r="H69" i="95" s="1"/>
  <c r="F28" i="93"/>
  <c r="F55" i="95"/>
  <c r="F49" i="91"/>
  <c r="T30" i="110"/>
  <c r="Y36" i="113"/>
  <c r="J14" i="92"/>
  <c r="T54" i="110"/>
  <c r="F51" i="110"/>
  <c r="F42" i="110"/>
  <c r="F39" i="110"/>
  <c r="T28" i="93"/>
  <c r="H34" i="113"/>
  <c r="H70" i="113" s="1"/>
  <c r="F43" i="113"/>
  <c r="T37" i="91"/>
  <c r="G29" i="120" l="1"/>
  <c r="S14" i="92"/>
  <c r="T14" i="92"/>
  <c r="S15" i="96"/>
  <c r="U15" i="91"/>
  <c r="F53" i="91" s="1"/>
  <c r="F40" i="91"/>
  <c r="U52" i="91"/>
  <c r="V15" i="97"/>
  <c r="J31" i="32"/>
  <c r="V11" i="97"/>
  <c r="J27" i="32"/>
  <c r="G28" i="91"/>
  <c r="T28" i="91"/>
  <c r="F52" i="91"/>
  <c r="F10" i="95"/>
  <c r="F69" i="95" s="1"/>
  <c r="G40" i="91"/>
  <c r="T40" i="91"/>
  <c r="T52" i="91"/>
  <c r="F10" i="113"/>
  <c r="F70" i="113" s="1"/>
  <c r="G52" i="91"/>
  <c r="U40" i="91"/>
  <c r="F28" i="91"/>
  <c r="S31" i="97"/>
  <c r="T29" i="120"/>
  <c r="U30" i="80"/>
  <c r="G42" i="80"/>
  <c r="F30" i="80"/>
  <c r="U42" i="80"/>
  <c r="B12" i="95"/>
  <c r="B71" i="95" s="1"/>
  <c r="T54" i="80"/>
  <c r="T30" i="80"/>
  <c r="G30" i="80"/>
  <c r="F42" i="80"/>
  <c r="V16" i="80"/>
  <c r="B12" i="113"/>
  <c r="B72" i="113" s="1"/>
  <c r="U41" i="89"/>
  <c r="T42" i="80"/>
  <c r="G54" i="80"/>
  <c r="G24" i="95"/>
  <c r="F41" i="120"/>
  <c r="L71" i="113"/>
  <c r="U53" i="89"/>
  <c r="T53" i="89"/>
  <c r="E30" i="92"/>
  <c r="G36" i="95" s="1"/>
  <c r="L59" i="95"/>
  <c r="G41" i="89"/>
  <c r="G24" i="113"/>
  <c r="S42" i="92"/>
  <c r="G48" i="113" s="1"/>
  <c r="U53" i="120"/>
  <c r="E42" i="92"/>
  <c r="G48" i="95" s="1"/>
  <c r="S54" i="92"/>
  <c r="G60" i="113" s="1"/>
  <c r="E54" i="92"/>
  <c r="G60" i="95" s="1"/>
  <c r="G53" i="89"/>
  <c r="U41" i="94"/>
  <c r="T29" i="94"/>
  <c r="I11" i="113"/>
  <c r="I71" i="113" s="1"/>
  <c r="F53" i="94"/>
  <c r="G54" i="100"/>
  <c r="U16" i="118"/>
  <c r="U53" i="94"/>
  <c r="G53" i="94"/>
  <c r="G29" i="94"/>
  <c r="F41" i="94"/>
  <c r="U29" i="94"/>
  <c r="U16" i="94"/>
  <c r="G54" i="94" s="1"/>
  <c r="G41" i="94"/>
  <c r="I11" i="95"/>
  <c r="I70" i="95" s="1"/>
  <c r="T41" i="94"/>
  <c r="T53" i="94"/>
  <c r="F29" i="94"/>
  <c r="G30" i="100"/>
  <c r="G29" i="89"/>
  <c r="F42" i="100"/>
  <c r="U11" i="96"/>
  <c r="U12" i="96" s="1"/>
  <c r="T26" i="96" s="1"/>
  <c r="L47" i="95"/>
  <c r="T30" i="100"/>
  <c r="T54" i="100"/>
  <c r="G42" i="100"/>
  <c r="T42" i="100"/>
  <c r="Y72" i="113"/>
  <c r="U30" i="100"/>
  <c r="U54" i="100"/>
  <c r="F30" i="100"/>
  <c r="F54" i="100"/>
  <c r="M12" i="95"/>
  <c r="M71" i="95" s="1"/>
  <c r="M12" i="113"/>
  <c r="M72" i="113" s="1"/>
  <c r="V16" i="100"/>
  <c r="U52" i="115"/>
  <c r="U28" i="115"/>
  <c r="U40" i="115"/>
  <c r="G40" i="115"/>
  <c r="T42" i="112"/>
  <c r="F54" i="112"/>
  <c r="U30" i="120"/>
  <c r="T54" i="120"/>
  <c r="U30" i="112"/>
  <c r="U42" i="112"/>
  <c r="F54" i="120"/>
  <c r="F42" i="112"/>
  <c r="G42" i="112"/>
  <c r="T30" i="112"/>
  <c r="AA12" i="113"/>
  <c r="AA72" i="113" s="1"/>
  <c r="G54" i="120"/>
  <c r="G30" i="120"/>
  <c r="F30" i="120"/>
  <c r="T30" i="120"/>
  <c r="F30" i="112"/>
  <c r="G54" i="112"/>
  <c r="T54" i="112"/>
  <c r="G42" i="120"/>
  <c r="U54" i="120"/>
  <c r="T42" i="120"/>
  <c r="G30" i="112"/>
  <c r="U54" i="112"/>
  <c r="AA12" i="95"/>
  <c r="AA71" i="95" s="1"/>
  <c r="U42" i="120"/>
  <c r="F42" i="120"/>
  <c r="Q12" i="113"/>
  <c r="Q72" i="113" s="1"/>
  <c r="F30" i="104"/>
  <c r="G30" i="104"/>
  <c r="U30" i="104"/>
  <c r="Q12" i="95"/>
  <c r="Q71" i="95" s="1"/>
  <c r="G42" i="104"/>
  <c r="T30" i="104"/>
  <c r="V16" i="104"/>
  <c r="F42" i="104"/>
  <c r="G54" i="104"/>
  <c r="F54" i="104"/>
  <c r="U54" i="104"/>
  <c r="T42" i="104"/>
  <c r="U42" i="104"/>
  <c r="T54" i="104"/>
  <c r="G40" i="118"/>
  <c r="F40" i="118"/>
  <c r="G28" i="118"/>
  <c r="F28" i="118"/>
  <c r="U16" i="106"/>
  <c r="U29" i="106"/>
  <c r="V15" i="106"/>
  <c r="S11" i="113"/>
  <c r="S71" i="113" s="1"/>
  <c r="F41" i="106"/>
  <c r="F29" i="106"/>
  <c r="T53" i="106"/>
  <c r="S11" i="95"/>
  <c r="S70" i="95" s="1"/>
  <c r="G41" i="106"/>
  <c r="T41" i="106"/>
  <c r="G29" i="106"/>
  <c r="T29" i="106"/>
  <c r="G53" i="106"/>
  <c r="U53" i="106"/>
  <c r="U41" i="106"/>
  <c r="F53" i="106"/>
  <c r="T30" i="117"/>
  <c r="V16" i="117"/>
  <c r="T42" i="117"/>
  <c r="T54" i="117"/>
  <c r="F30" i="117"/>
  <c r="F42" i="117"/>
  <c r="F54" i="117"/>
  <c r="U30" i="117"/>
  <c r="G30" i="117"/>
  <c r="G54" i="117"/>
  <c r="G42" i="117"/>
  <c r="U42" i="117"/>
  <c r="U54" i="117"/>
  <c r="U28" i="118"/>
  <c r="T28" i="118"/>
  <c r="N16" i="118"/>
  <c r="R16" i="118"/>
  <c r="W16" i="118"/>
  <c r="T30" i="116"/>
  <c r="T42" i="116"/>
  <c r="T54" i="116"/>
  <c r="F30" i="116"/>
  <c r="F42" i="116"/>
  <c r="V16" i="116"/>
  <c r="F54" i="116"/>
  <c r="U30" i="116"/>
  <c r="U42" i="116"/>
  <c r="G54" i="116"/>
  <c r="G30" i="116"/>
  <c r="G42" i="116"/>
  <c r="U54" i="116"/>
  <c r="U15" i="115"/>
  <c r="T40" i="115"/>
  <c r="T52" i="115"/>
  <c r="F28" i="115"/>
  <c r="T28" i="115"/>
  <c r="V14" i="115"/>
  <c r="F52" i="115"/>
  <c r="F40" i="115"/>
  <c r="U40" i="118"/>
  <c r="T40" i="118"/>
  <c r="U30" i="103"/>
  <c r="U42" i="103"/>
  <c r="G54" i="103"/>
  <c r="P12" i="113"/>
  <c r="P72" i="113" s="1"/>
  <c r="F30" i="103"/>
  <c r="U54" i="103"/>
  <c r="F54" i="103"/>
  <c r="T54" i="103"/>
  <c r="G42" i="103"/>
  <c r="G30" i="103"/>
  <c r="T30" i="103"/>
  <c r="V16" i="103"/>
  <c r="F42" i="103"/>
  <c r="T42" i="103"/>
  <c r="P12" i="95"/>
  <c r="P71" i="95" s="1"/>
  <c r="G52" i="118"/>
  <c r="F52" i="118"/>
  <c r="U52" i="118"/>
  <c r="T52" i="118"/>
  <c r="U30" i="108"/>
  <c r="V16" i="108"/>
  <c r="T42" i="108"/>
  <c r="U42" i="108"/>
  <c r="G54" i="108"/>
  <c r="W12" i="113"/>
  <c r="W72" i="113" s="1"/>
  <c r="F42" i="108"/>
  <c r="W12" i="95"/>
  <c r="W71" i="95" s="1"/>
  <c r="T54" i="108"/>
  <c r="G42" i="108"/>
  <c r="F30" i="108"/>
  <c r="G30" i="108"/>
  <c r="T30" i="108"/>
  <c r="F54" i="108"/>
  <c r="U54" i="108"/>
  <c r="U16" i="119"/>
  <c r="T53" i="119"/>
  <c r="V15" i="119"/>
  <c r="T29" i="119"/>
  <c r="T41" i="119"/>
  <c r="F29" i="119"/>
  <c r="F41" i="119"/>
  <c r="F53" i="119"/>
  <c r="U29" i="119"/>
  <c r="G29" i="119"/>
  <c r="G41" i="119"/>
  <c r="G53" i="119"/>
  <c r="U41" i="119"/>
  <c r="U53" i="119"/>
  <c r="C12" i="113"/>
  <c r="C72" i="113" s="1"/>
  <c r="U42" i="87"/>
  <c r="G54" i="87"/>
  <c r="T54" i="87"/>
  <c r="G30" i="87"/>
  <c r="V16" i="87"/>
  <c r="C12" i="95"/>
  <c r="C71" i="95" s="1"/>
  <c r="G42" i="87"/>
  <c r="U30" i="87"/>
  <c r="T42" i="87"/>
  <c r="F54" i="87"/>
  <c r="F30" i="87"/>
  <c r="U54" i="87"/>
  <c r="F42" i="87"/>
  <c r="T30" i="87"/>
  <c r="U30" i="102"/>
  <c r="T42" i="102"/>
  <c r="G54" i="102"/>
  <c r="T30" i="102"/>
  <c r="T54" i="102"/>
  <c r="F54" i="102"/>
  <c r="G30" i="102"/>
  <c r="U42" i="102"/>
  <c r="O12" i="95"/>
  <c r="O71" i="95" s="1"/>
  <c r="F30" i="102"/>
  <c r="U54" i="102"/>
  <c r="V16" i="102"/>
  <c r="G42" i="102"/>
  <c r="O12" i="113"/>
  <c r="O72" i="113" s="1"/>
  <c r="F42" i="102"/>
  <c r="F11" i="113"/>
  <c r="F71" i="113" s="1"/>
  <c r="U53" i="91"/>
  <c r="G29" i="91"/>
  <c r="V15" i="91"/>
  <c r="G28" i="115"/>
  <c r="U23" i="96"/>
  <c r="L15" i="96"/>
  <c r="W15" i="96" s="1"/>
  <c r="J32" i="95"/>
  <c r="J41" i="113"/>
  <c r="U35" i="96"/>
  <c r="V25" i="97"/>
  <c r="V45" i="97" s="1"/>
  <c r="J64" i="113"/>
  <c r="V35" i="97" s="1"/>
  <c r="V10" i="97"/>
  <c r="I16" i="96"/>
  <c r="J16" i="96" s="1"/>
  <c r="K16" i="96" s="1"/>
  <c r="L16" i="96" s="1"/>
  <c r="J32" i="113"/>
  <c r="J44" i="113"/>
  <c r="J53" i="113"/>
  <c r="U47" i="96"/>
  <c r="G23" i="96"/>
  <c r="J29" i="95"/>
  <c r="R11" i="96"/>
  <c r="N11" i="96"/>
  <c r="W11" i="96"/>
  <c r="V19" i="97"/>
  <c r="V39" i="97" s="1"/>
  <c r="J63" i="95"/>
  <c r="T23" i="96"/>
  <c r="J41" i="95"/>
  <c r="G35" i="96"/>
  <c r="J56" i="95"/>
  <c r="J65" i="113"/>
  <c r="V36" i="97" s="1"/>
  <c r="J56" i="113"/>
  <c r="J44" i="95"/>
  <c r="S24" i="96"/>
  <c r="S48" i="96"/>
  <c r="J18" i="113"/>
  <c r="E24" i="96"/>
  <c r="S36" i="96"/>
  <c r="E48" i="96"/>
  <c r="J18" i="95"/>
  <c r="E36" i="96"/>
  <c r="J53" i="95"/>
  <c r="G47" i="96"/>
  <c r="I13" i="96"/>
  <c r="U29" i="112"/>
  <c r="F40" i="89"/>
  <c r="G40" i="89"/>
  <c r="T40" i="89"/>
  <c r="U40" i="89"/>
  <c r="AA11" i="113"/>
  <c r="V15" i="112"/>
  <c r="AA11" i="95"/>
  <c r="Y59" i="113"/>
  <c r="T53" i="110"/>
  <c r="T29" i="110"/>
  <c r="Y35" i="113"/>
  <c r="Y71" i="113" s="1"/>
  <c r="L58" i="95"/>
  <c r="F52" i="89"/>
  <c r="L58" i="113"/>
  <c r="T52" i="89"/>
  <c r="L46" i="95"/>
  <c r="F28" i="89"/>
  <c r="Y59" i="95"/>
  <c r="F53" i="110"/>
  <c r="Y47" i="95"/>
  <c r="F41" i="110"/>
  <c r="F29" i="110"/>
  <c r="Y35" i="95"/>
  <c r="Y70" i="95" s="1"/>
  <c r="G36" i="113"/>
  <c r="K14" i="92"/>
  <c r="W14" i="92" s="1"/>
  <c r="T28" i="89"/>
  <c r="L34" i="113"/>
  <c r="L70" i="113" s="1"/>
  <c r="L46" i="113"/>
  <c r="Y47" i="113"/>
  <c r="T41" i="110"/>
  <c r="AA23" i="113"/>
  <c r="S41" i="112"/>
  <c r="AA23" i="95"/>
  <c r="E29" i="112"/>
  <c r="E41" i="112"/>
  <c r="G41" i="112" s="1"/>
  <c r="S53" i="112"/>
  <c r="E53" i="112"/>
  <c r="T16" i="96" l="1"/>
  <c r="S16" i="96"/>
  <c r="F11" i="95"/>
  <c r="F70" i="95" s="1"/>
  <c r="T53" i="91"/>
  <c r="U41" i="91"/>
  <c r="U16" i="91"/>
  <c r="G41" i="91"/>
  <c r="T41" i="91"/>
  <c r="U29" i="91"/>
  <c r="F29" i="91"/>
  <c r="T13" i="96"/>
  <c r="S13" i="96"/>
  <c r="F41" i="91"/>
  <c r="G53" i="91"/>
  <c r="T29" i="91"/>
  <c r="V20" i="97"/>
  <c r="J36" i="32"/>
  <c r="V29" i="97"/>
  <c r="J40" i="32"/>
  <c r="V16" i="97"/>
  <c r="J32" i="32"/>
  <c r="F30" i="94"/>
  <c r="U30" i="94"/>
  <c r="I12" i="113"/>
  <c r="I72" i="113" s="1"/>
  <c r="T30" i="94"/>
  <c r="U42" i="94"/>
  <c r="G30" i="94"/>
  <c r="G42" i="94"/>
  <c r="V16" i="118"/>
  <c r="F50" i="96"/>
  <c r="U26" i="96"/>
  <c r="T54" i="94"/>
  <c r="V16" i="94"/>
  <c r="T42" i="94"/>
  <c r="U54" i="94"/>
  <c r="F54" i="94"/>
  <c r="F42" i="94"/>
  <c r="I12" i="95"/>
  <c r="I71" i="95" s="1"/>
  <c r="T50" i="96"/>
  <c r="V12" i="96"/>
  <c r="G38" i="96"/>
  <c r="T38" i="96"/>
  <c r="F26" i="96"/>
  <c r="J8" i="95"/>
  <c r="J67" i="95" s="1"/>
  <c r="F38" i="96"/>
  <c r="U38" i="96"/>
  <c r="G26" i="96"/>
  <c r="J8" i="113"/>
  <c r="J68" i="113" s="1"/>
  <c r="U50" i="96"/>
  <c r="G50" i="96"/>
  <c r="N15" i="96"/>
  <c r="R15" i="96"/>
  <c r="E29" i="96" s="1"/>
  <c r="T54" i="91"/>
  <c r="U30" i="91"/>
  <c r="U54" i="91"/>
  <c r="F42" i="91"/>
  <c r="G54" i="91"/>
  <c r="F54" i="91"/>
  <c r="F12" i="95"/>
  <c r="F71" i="95" s="1"/>
  <c r="G42" i="91"/>
  <c r="T30" i="91"/>
  <c r="T42" i="91"/>
  <c r="F30" i="91"/>
  <c r="U42" i="91"/>
  <c r="V16" i="91"/>
  <c r="G30" i="91"/>
  <c r="F12" i="113"/>
  <c r="F72" i="113" s="1"/>
  <c r="F30" i="119"/>
  <c r="T54" i="119"/>
  <c r="V16" i="119"/>
  <c r="T30" i="119"/>
  <c r="T42" i="119"/>
  <c r="F54" i="119"/>
  <c r="F42" i="119"/>
  <c r="G30" i="119"/>
  <c r="G42" i="119"/>
  <c r="G54" i="119"/>
  <c r="U54" i="119"/>
  <c r="U30" i="119"/>
  <c r="U42" i="119"/>
  <c r="S42" i="118"/>
  <c r="E30" i="118"/>
  <c r="S54" i="118"/>
  <c r="S30" i="118"/>
  <c r="E42" i="118"/>
  <c r="E54" i="118"/>
  <c r="G30" i="106"/>
  <c r="T42" i="106"/>
  <c r="G54" i="106"/>
  <c r="V16" i="106"/>
  <c r="F54" i="106"/>
  <c r="U42" i="106"/>
  <c r="T30" i="106"/>
  <c r="F42" i="106"/>
  <c r="U30" i="106"/>
  <c r="S12" i="113"/>
  <c r="S72" i="113" s="1"/>
  <c r="F30" i="106"/>
  <c r="G42" i="106"/>
  <c r="U54" i="106"/>
  <c r="S12" i="95"/>
  <c r="S71" i="95" s="1"/>
  <c r="T54" i="106"/>
  <c r="U16" i="115"/>
  <c r="T41" i="115"/>
  <c r="F53" i="115"/>
  <c r="F29" i="115"/>
  <c r="T53" i="115"/>
  <c r="V15" i="115"/>
  <c r="T29" i="115"/>
  <c r="F41" i="115"/>
  <c r="G41" i="115"/>
  <c r="U29" i="115"/>
  <c r="U41" i="115"/>
  <c r="G53" i="115"/>
  <c r="G29" i="115"/>
  <c r="U53" i="115"/>
  <c r="U14" i="92"/>
  <c r="U15" i="92" s="1"/>
  <c r="J42" i="113"/>
  <c r="U36" i="96"/>
  <c r="T36" i="96"/>
  <c r="J13" i="96"/>
  <c r="M16" i="96"/>
  <c r="W16" i="96" s="1"/>
  <c r="G24" i="96"/>
  <c r="J30" i="95"/>
  <c r="J37" i="32" s="1"/>
  <c r="F24" i="96"/>
  <c r="U48" i="96"/>
  <c r="J54" i="113"/>
  <c r="T48" i="96"/>
  <c r="J42" i="95"/>
  <c r="G36" i="96"/>
  <c r="F36" i="96"/>
  <c r="J64" i="95"/>
  <c r="S25" i="96"/>
  <c r="J31" i="113" s="1"/>
  <c r="J19" i="113"/>
  <c r="S37" i="96"/>
  <c r="S49" i="96"/>
  <c r="T49" i="96" s="1"/>
  <c r="E25" i="96"/>
  <c r="F25" i="96" s="1"/>
  <c r="E37" i="96"/>
  <c r="F37" i="96" s="1"/>
  <c r="J19" i="95"/>
  <c r="E49" i="96"/>
  <c r="J7" i="113"/>
  <c r="V11" i="96"/>
  <c r="J7" i="95"/>
  <c r="J30" i="113"/>
  <c r="J66" i="113" s="1"/>
  <c r="T24" i="96"/>
  <c r="U24" i="96"/>
  <c r="G48" i="96"/>
  <c r="J54" i="95"/>
  <c r="F48" i="96"/>
  <c r="V46" i="97"/>
  <c r="V40" i="97"/>
  <c r="F53" i="112"/>
  <c r="G53" i="112"/>
  <c r="T53" i="112"/>
  <c r="U53" i="112"/>
  <c r="F29" i="112"/>
  <c r="G29" i="112"/>
  <c r="AA47" i="113"/>
  <c r="U41" i="112"/>
  <c r="F41" i="112"/>
  <c r="AA47" i="95"/>
  <c r="T41" i="112"/>
  <c r="T29" i="112"/>
  <c r="AA59" i="113"/>
  <c r="AA35" i="113"/>
  <c r="AA71" i="113" s="1"/>
  <c r="AA59" i="95"/>
  <c r="AA35" i="95"/>
  <c r="AA70" i="95" s="1"/>
  <c r="R14" i="92"/>
  <c r="S28" i="92" s="1"/>
  <c r="N14" i="92"/>
  <c r="V30" i="97" l="1"/>
  <c r="J41" i="32"/>
  <c r="U25" i="96"/>
  <c r="G10" i="113"/>
  <c r="S53" i="96"/>
  <c r="J59" i="113" s="1"/>
  <c r="E41" i="96"/>
  <c r="J47" i="95" s="1"/>
  <c r="V14" i="92"/>
  <c r="U28" i="92"/>
  <c r="G10" i="95"/>
  <c r="S41" i="96"/>
  <c r="J47" i="113" s="1"/>
  <c r="J23" i="113"/>
  <c r="J23" i="95"/>
  <c r="S29" i="96"/>
  <c r="J35" i="113" s="1"/>
  <c r="E53" i="96"/>
  <c r="J59" i="95" s="1"/>
  <c r="U13" i="96"/>
  <c r="U14" i="96" s="1"/>
  <c r="F52" i="96" s="1"/>
  <c r="J67" i="113"/>
  <c r="U16" i="92"/>
  <c r="G11" i="95"/>
  <c r="G70" i="95" s="1"/>
  <c r="U29" i="92"/>
  <c r="G11" i="113"/>
  <c r="G71" i="113" s="1"/>
  <c r="V15" i="92"/>
  <c r="G29" i="92"/>
  <c r="G53" i="92"/>
  <c r="F41" i="92"/>
  <c r="T29" i="92"/>
  <c r="G41" i="92"/>
  <c r="F29" i="92"/>
  <c r="U53" i="92"/>
  <c r="U41" i="92"/>
  <c r="T53" i="92"/>
  <c r="T41" i="92"/>
  <c r="F53" i="92"/>
  <c r="V16" i="115"/>
  <c r="F54" i="115"/>
  <c r="F42" i="115"/>
  <c r="T54" i="115"/>
  <c r="T30" i="115"/>
  <c r="T42" i="115"/>
  <c r="F30" i="115"/>
  <c r="U30" i="115"/>
  <c r="G54" i="115"/>
  <c r="G30" i="115"/>
  <c r="U54" i="115"/>
  <c r="U42" i="115"/>
  <c r="G42" i="115"/>
  <c r="G54" i="118"/>
  <c r="F54" i="118"/>
  <c r="G30" i="118"/>
  <c r="F30" i="118"/>
  <c r="G42" i="118"/>
  <c r="F42" i="118"/>
  <c r="U42" i="118"/>
  <c r="T42" i="118"/>
  <c r="U30" i="118"/>
  <c r="T30" i="118"/>
  <c r="U54" i="118"/>
  <c r="T54" i="118"/>
  <c r="U37" i="96"/>
  <c r="J43" i="113"/>
  <c r="J35" i="95"/>
  <c r="J55" i="95"/>
  <c r="G49" i="96"/>
  <c r="N13" i="96"/>
  <c r="R13" i="96"/>
  <c r="N16" i="96"/>
  <c r="R16" i="96"/>
  <c r="T37" i="96"/>
  <c r="W13" i="96"/>
  <c r="J43" i="95"/>
  <c r="G37" i="96"/>
  <c r="T25" i="96"/>
  <c r="J31" i="95"/>
  <c r="J66" i="95" s="1"/>
  <c r="G25" i="96"/>
  <c r="V21" i="97"/>
  <c r="V41" i="97" s="1"/>
  <c r="J65" i="95"/>
  <c r="F49" i="96"/>
  <c r="J55" i="113"/>
  <c r="U49" i="96"/>
  <c r="G22" i="113"/>
  <c r="E52" i="92"/>
  <c r="G52" i="92" s="1"/>
  <c r="G22" i="95"/>
  <c r="S40" i="92"/>
  <c r="U40" i="92" s="1"/>
  <c r="E28" i="92"/>
  <c r="G28" i="92" s="1"/>
  <c r="E40" i="92"/>
  <c r="G40" i="92" s="1"/>
  <c r="S52" i="92"/>
  <c r="U52" i="92" s="1"/>
  <c r="V31" i="97" l="1"/>
  <c r="J42" i="32"/>
  <c r="J9" i="95"/>
  <c r="U40" i="96"/>
  <c r="U52" i="96"/>
  <c r="J10" i="95"/>
  <c r="J69" i="95" s="1"/>
  <c r="J10" i="113"/>
  <c r="J70" i="113" s="1"/>
  <c r="F40" i="96"/>
  <c r="T28" i="96"/>
  <c r="G52" i="96"/>
  <c r="U15" i="96"/>
  <c r="F41" i="96" s="1"/>
  <c r="V13" i="96"/>
  <c r="G28" i="96"/>
  <c r="G40" i="96"/>
  <c r="U28" i="96"/>
  <c r="T40" i="96"/>
  <c r="J9" i="113"/>
  <c r="F28" i="96"/>
  <c r="T52" i="96"/>
  <c r="V14" i="96"/>
  <c r="V16" i="92"/>
  <c r="F42" i="92"/>
  <c r="T54" i="92"/>
  <c r="F54" i="92"/>
  <c r="T30" i="92"/>
  <c r="U30" i="92"/>
  <c r="F30" i="92"/>
  <c r="U42" i="92"/>
  <c r="G54" i="92"/>
  <c r="G12" i="113"/>
  <c r="G72" i="113" s="1"/>
  <c r="T42" i="92"/>
  <c r="G12" i="95"/>
  <c r="G71" i="95" s="1"/>
  <c r="U54" i="92"/>
  <c r="G42" i="92"/>
  <c r="G30" i="92"/>
  <c r="S30" i="96"/>
  <c r="J36" i="113" s="1"/>
  <c r="S54" i="96"/>
  <c r="E30" i="96"/>
  <c r="S42" i="96"/>
  <c r="J24" i="113"/>
  <c r="J24" i="95"/>
  <c r="E54" i="96"/>
  <c r="E42" i="96"/>
  <c r="S27" i="96"/>
  <c r="E39" i="96"/>
  <c r="S51" i="96"/>
  <c r="E51" i="96"/>
  <c r="E27" i="96"/>
  <c r="J21" i="113"/>
  <c r="J21" i="95"/>
  <c r="S39" i="96"/>
  <c r="T28" i="92"/>
  <c r="G34" i="113"/>
  <c r="G70" i="113" s="1"/>
  <c r="G46" i="113"/>
  <c r="T40" i="92"/>
  <c r="G58" i="95"/>
  <c r="F52" i="92"/>
  <c r="G58" i="113"/>
  <c r="T52" i="92"/>
  <c r="G34" i="95"/>
  <c r="G69" i="95" s="1"/>
  <c r="F28" i="92"/>
  <c r="G46" i="95"/>
  <c r="F40" i="92"/>
  <c r="J11" i="95" l="1"/>
  <c r="J70" i="95" s="1"/>
  <c r="J11" i="113"/>
  <c r="J71" i="113" s="1"/>
  <c r="F53" i="96"/>
  <c r="U16" i="96"/>
  <c r="V16" i="96" s="1"/>
  <c r="F29" i="96"/>
  <c r="T29" i="96"/>
  <c r="U53" i="96"/>
  <c r="V15" i="96"/>
  <c r="U41" i="96"/>
  <c r="U29" i="96"/>
  <c r="T41" i="96"/>
  <c r="G41" i="96"/>
  <c r="G29" i="96"/>
  <c r="G53" i="96"/>
  <c r="T53" i="96"/>
  <c r="J33" i="95"/>
  <c r="J68" i="95" s="1"/>
  <c r="G27" i="96"/>
  <c r="F27" i="96"/>
  <c r="J48" i="95"/>
  <c r="J57" i="95"/>
  <c r="G51" i="96"/>
  <c r="F51" i="96"/>
  <c r="J60" i="95"/>
  <c r="J57" i="113"/>
  <c r="U51" i="96"/>
  <c r="T51" i="96"/>
  <c r="J45" i="95"/>
  <c r="G39" i="96"/>
  <c r="F39" i="96"/>
  <c r="U27" i="96"/>
  <c r="J33" i="113"/>
  <c r="J69" i="113" s="1"/>
  <c r="T27" i="96"/>
  <c r="J48" i="113"/>
  <c r="J45" i="113"/>
  <c r="U39" i="96"/>
  <c r="T39" i="96"/>
  <c r="J36" i="95"/>
  <c r="J60" i="113"/>
  <c r="T30" i="96" l="1"/>
  <c r="U54" i="96"/>
  <c r="F54" i="96"/>
  <c r="F42" i="96"/>
  <c r="U30" i="96"/>
  <c r="U42" i="96"/>
  <c r="T42" i="96"/>
  <c r="G30" i="96"/>
  <c r="F30" i="96"/>
  <c r="G54" i="96"/>
  <c r="J12" i="113"/>
  <c r="J72" i="113" s="1"/>
  <c r="G42" i="96"/>
  <c r="T54" i="96"/>
  <c r="J12" i="95"/>
  <c r="J71" i="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B189A29-4DFE-FF4E-BE3E-6F013F4C54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41BA8C8-FF7B-C043-8052-26B17EF7B9A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5EFD612-9308-6C42-BBFB-ABA33D835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9BF717B-E1AF-A343-96BF-8A69854B475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B20B53A-4997-BA41-AC5D-0EE0C49C421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DC9B727-CE48-F548-9DF9-0819056C6DD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5CF2DE0-2FCA-BB4B-BA5E-D2C560BEA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C461C24-A53E-FB4A-8337-B6B7CF2B44A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87FAD97-E137-064E-925C-0312ABBCF9A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EBAD577-18C7-174F-86AB-CFB261E3F44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2112A0D-8D1D-5D49-BA5A-FDBE521F3C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DC37270-90BD-E944-86DF-30AD16E055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E007665-E6C1-2540-AE3D-2E84FE44FF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1DDAAFC-4FF5-6640-9920-5E7D731FFC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D4DF8EE-0DDA-9B4B-BA98-7A93D85273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CCC3AA9-9C92-F243-A0D6-13F666C8406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8B1EE2C-F95D-0B44-B7E4-E77F012D2C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096658F-AACC-FC47-9B9D-74C593D609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4895BF9-17C5-1449-8330-6938BCFCF2A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76D4158-F228-5040-BB26-D41A76CC2CC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FBCF3-6924-D242-9F01-37FD2762FEE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2E7EA68-9177-4A4E-A52A-A5B2EAEA4A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166985F-B041-FB4B-8F29-5601CE09E92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B950640-FFAE-CA4F-8D7E-5A3CCD1B816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F86EC41-0595-F34A-8522-D7A2A384159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12D0693C-8D4B-7C4B-BD1D-52DA4849F70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2590A03-F6EA-F041-AD3A-56F04CE58D2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2A47523F-04EF-C045-8204-4D92FEB03B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C511A53-101A-8A4E-9774-95F67EABB0C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AF220B-91A2-6E47-ACCC-0DC1A777B1C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DB6AE9E-5E5F-4441-B844-FF76E27F0BD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48D7066-76B6-134A-A158-2FE45BD8AFC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7C04581-69F6-7940-BBF5-336E81B24D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A6FB122-3B23-D44E-BFE2-9A106F6795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95D2F81-6D59-B041-ADF7-616B7B2C53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07D30CF-1F08-1A47-B03A-B6774F13E6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AB4D3F0-5B04-ED4B-9D86-D8995B5A8EF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7026922E-0240-F843-B2B4-A3C980BCA6A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CB06203-47E5-BC49-ACEC-4A071E48950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A4A38EB5-BD7C-6B4F-94B5-59E1193C911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859E91B-7882-8C43-8C8D-0A47178E9FD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7FA4759-DF9D-CA47-8277-6A6C003734B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D341340-7313-7B4B-BF44-D18B61151F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0983ECA-EA86-3143-A1AB-13D278CAA86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B6DD1F0-5637-244B-9228-0A6B6BEE84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091A266-F183-994E-9054-1A4CE424774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4104990-159A-8E47-9074-856F780032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532BFAE-860A-2542-9F13-F97D0679BE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7B981A6-B94E-D944-BC43-C8E40E893C2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0B6C172C-C356-FD4D-9332-D1F21BDB858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C3F89-963C-3845-9871-B5D75E9831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5EACF68-8FCE-2649-9875-8A6366E8899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F8628F4-198E-534A-9BAC-A0708D854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AB996A7A-03D0-2F4C-8655-B679C3D344F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E9734F3-9364-9F47-B98F-93D5A753D56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ACB897B5-D8E8-8244-9BDA-388259AB78C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A278939-BC6B-2E4C-A4A4-545D633D281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1486D084-830C-294A-8605-0357DFD07AF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B57BE29-A597-9649-B13B-0707E704D15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99D6C07-57A8-C54A-B250-55A22A60F70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79E9E43-A2D1-6A47-A74B-30C468C80C0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545E746-209E-EA41-8478-E318F360BED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66B2B54-42CD-1D40-B92D-1472F7B0929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CAFD163F-D992-F94B-820E-69B20B2993D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C3AB7A4-29F9-9940-9336-25DF5FDBD6A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19CEDECF-AF05-DD4C-BC75-87C245AE8F0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6A01D471-2A3E-804A-AFE4-8026A24E2BE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A564C93-3A5F-134A-827F-D982219BD90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203692F0-265C-0043-A26F-00F37814460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B0025033-2935-124B-A05B-4358520D3F5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49D3AD8-D1C2-A044-B0A7-22CBF4CC8C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65814B3F-9815-CB40-B8D4-691C0F38C3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56845B4-F1E6-DB40-9EDF-EC60563FA42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B0A71C60-15D9-7143-9FBC-093DBDB98EB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DBEFA2F-BD81-3B4E-9F77-0C2FB831B75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931BE853-7099-3741-B4DC-23BECE06FE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26937C3-DD35-B44C-8A6E-AD766AF07C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45272ECC-631A-3440-BE81-11FC3D0AC27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2CADB55-5F0D-BA48-9CEC-C6DB485962D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E6AA93F5-04A9-9F48-898F-EE982FBBAA2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302472-91B5-F942-A968-E034762A60A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321FB45-5678-0C4D-87F8-672F26E2ED4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E4C80AC-98A5-FE4E-95FC-AE33995982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ED877AC-A84B-E940-9741-7E938E6F014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77B0A6DE-4D2A-7644-A8D0-3A14F433BD2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887D9BAF-C86E-8042-8F6B-F52556BEF22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EB79175A-104B-444A-A1A7-844534A9473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49AD711-38F7-5743-95A4-8DEE9637208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51704A3E-E6EF-824A-8D62-D83607F14C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113C595-D60E-AB4C-9F99-38BFD7E843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82FFC967-6D1B-DC4C-ADD1-EE04F1E92A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B371EB0-A767-0649-8333-73B86BD3BF0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BB8DB328-8EE6-4749-93B1-564932F5CC7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4823094F-6D26-CE42-B328-8109343C1C7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3F34B5BB-D652-784F-A919-21313E1BE67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8E181D3-50B7-6449-8265-68B26D6154F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5F958A8-EDBD-EA48-A2FA-66FA2950E2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F435D68-38C7-6E4F-92EA-16138A274C7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C6728CB-71ED-9B4E-8804-DC5325AF859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FF2021CD-6151-E742-A378-0EE0C8C6854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65B3B8F-86D0-CC4F-BB1C-A3421F58259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C1CBA484-C1E5-F24F-B193-467777278D9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17BB6DD-2B38-984F-9CEB-55A61721E0F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DBEBA59-DF81-084B-9843-586F605C2FD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E2AF040-94A3-F24D-8820-1EAE0E036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E4B44BA-B5D8-8B42-B7A7-5AC81691B9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35B999D-97A0-2149-AFAC-63CCEFAD7F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7093DF1-D9D4-284C-AC9A-A67986EC22B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549C061-3F5E-5C45-8A4A-11DB65B10D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E97A7EBB-431C-7F47-96FC-9C18D2D8B5A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D8EEF419-EC2B-7B41-9EAF-A630FE09273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02B71CC-B4F9-9143-A287-A78B6A1E134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359F7A1-841D-0F4E-B756-225DDD78DE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4529879-36D7-304A-91B7-C694B17512E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<sst xmlns="http://schemas.openxmlformats.org/spreadsheetml/2006/main" count="2802" uniqueCount="211">
  <si>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</si>
  <si>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</si>
  <si>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</si>
  <si>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</si>
  <si>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</si>
  <si>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</si>
  <si>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</si>
  <si>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</si>
  <si>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</si>
  <si>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</si>
  <si>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</si>
  <si>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</si>
  <si>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</si>
  <si>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</si>
  <si>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</si>
  <si>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</si>
  <si>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</si>
  <si>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</si>
  <si>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</si>
  <si>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</si>
  <si>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</si>
  <si>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</si>
  <si>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</si>
  <si>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</si>
  <si>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</si>
  <si>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</si>
  <si>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</si>
  <si>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</si>
  <si>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</si>
  <si>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</si>
  <si>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</si>
  <si>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</si>
  <si>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</si>
  <si>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</si>
  <si>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</si>
  <si>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</si>
  <si>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</si>
  <si>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</si>
  <si>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</si>
  <si>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</si>
  <si>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</si>
  <si>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</si>
  <si>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</si>
  <si>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</si>
  <si>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</si>
  <si>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</si>
  <si>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</si>
  <si>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</si>
  <si>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</si>
  <si>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</si>
  <si>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</si>
  <si>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</si>
  <si>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</si>
  <si>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</si>
  <si>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</si>
  <si>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</si>
  <si>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</si>
  <si>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</si>
  <si>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</si>
  <si>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</si>
  <si>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</si>
  <si>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</si>
  <si>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</si>
  <si>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</si>
  <si>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</si>
  <si>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</si>
  <si>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</si>
  <si>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</si>
  <si>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</si>
  <si>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</si>
  <si>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</si>
  <si>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</si>
  <si>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</si>
  <si>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</si>
  <si>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</si>
  <si>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</si>
  <si>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</si>
  <si>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</si>
  <si>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</si>
  <si>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</si>
  <si>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</si>
  <si>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</si>
  <si>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</si>
  <si>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</si>
  <si>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</si>
  <si>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</si>
  <si>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</si>
  <si>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</si>
  <si>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</si>
  <si>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</si>
  <si>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</si>
  <si>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</si>
  <si>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</si>
  <si>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</si>
  <si>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</si>
  <si>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</si>
  <si>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</si>
  <si>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</si>
  <si>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</si>
  <si>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</si>
  <si>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</si>
  <si>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</si>
  <si>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</si>
  <si>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</si>
  <si>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</si>
  <si>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</si>
  <si>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</si>
  <si>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</si>
  <si>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</si>
  <si>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</si>
  <si>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</si>
  <si>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</si>
  <si>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</si>
  <si>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</si>
  <si>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</si>
  <si>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</si>
  <si>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</si>
  <si>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</si>
  <si>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</si>
  <si>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</si>
  <si>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</si>
  <si>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</si>
  <si>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</si>
  <si>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</si>
  <si>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</si>
  <si>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</si>
  <si>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</si>
  <si>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</si>
  <si>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</si>
  <si>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</si>
  <si>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</si>
  <si>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</si>
  <si>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</si>
  <si>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Blackjack Hand Expected Return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</si>
  <si>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</si>
  <si>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</si>
  <si>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</si>
  <si>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</si>
  <si>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</si>
  <si>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</si>
  <si>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</si>
  <si>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</si>
  <si>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</si>
  <si>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</si>
  <si>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</si>
  <si>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</si>
  <si>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</si>
  <si>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</si>
  <si>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</si>
  <si>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</si>
  <si>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</si>
  <si>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</si>
  <si>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</si>
  <si>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</si>
  <si>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</si>
  <si>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</si>
  <si>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</si>
  <si>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</si>
  <si>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</si>
  <si>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</si>
  <si>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</si>
  <si>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</si>
  <si>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</si>
  <si>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</si>
  <si>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</si>
  <si>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</si>
  <si>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</si>
  <si>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</si>
  <si>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</si>
  <si>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</si>
  <si>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</si>
  <si>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</si>
  <si>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</si>
  <si>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</si>
  <si>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</si>
  <si>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</si>
  <si>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</si>
  <si>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</si>
  <si>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</si>
  <si>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</si>
  <si>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</si>
  <si>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</si>
  <si>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</si>
  <si>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</si>
  <si>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</si>
  <si>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Suggested</t>
  </si>
  <si>
    <t>Soft 17</t>
  </si>
  <si>
    <t>Surrender Allow</t>
  </si>
  <si>
    <t>Split Up to</t>
  </si>
  <si>
    <t>Strategy #1</t>
  </si>
  <si>
    <t>Strategy #2</t>
  </si>
  <si>
    <t>Strategy #1 Bet your Edge Bankroll</t>
  </si>
  <si>
    <t>Strategy #2 Bet your Edge Bankroll</t>
  </si>
  <si>
    <t>Strategy #1 Bet Your Edge ROI</t>
  </si>
  <si>
    <t>Strategy #2 Bet Your Edge ROI</t>
  </si>
  <si>
    <t>Strategy #1 Return</t>
  </si>
  <si>
    <t>Strategy #2 Return</t>
  </si>
  <si>
    <t>General Win</t>
  </si>
  <si>
    <t>General Lose</t>
  </si>
  <si>
    <t>General EV</t>
  </si>
  <si>
    <t>Casino Name</t>
  </si>
  <si>
    <t>Version Date</t>
  </si>
  <si>
    <t>Best Methods</t>
  </si>
  <si>
    <t>Bankroll</t>
  </si>
  <si>
    <t>Calculation Method</t>
  </si>
  <si>
    <t>Separate Case</t>
  </si>
  <si>
    <t>Recursive Case</t>
  </si>
  <si>
    <t>1X7X2</t>
  </si>
  <si>
    <t>Expected Return</t>
  </si>
  <si>
    <t>Expected lose</t>
  </si>
  <si>
    <t>20191125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</si>
</sst>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0.000"/>
    <numFmt numFmtId="167" formatCode="_(* #,##0.0000_);_(* \(#,##0.00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68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9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8" borderId="1" xfId="0" applyFill="1" applyBorder="1"/>
    <xf numFmtId="0" fontId="0" fillId="0" borderId="58" xfId="0" applyBorder="1"/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0" fillId="0" borderId="62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0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3" xfId="0" applyBorder="1"/>
    <xf numFmtId="0" fontId="0" fillId="0" borderId="64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6" xfId="0" applyBorder="1"/>
    <xf numFmtId="0" fontId="0" fillId="0" borderId="67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0" fontId="10" fillId="5" borderId="22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6" fontId="0" fillId="0" borderId="1" xfId="0" applyNumberFormat="1" applyBorder="1"/>
    <xf numFmtId="167" fontId="0" fillId="0" borderId="0" xfId="20" applyNumberFormat="1" applyFont="1"/>
    <xf numFmtId="167" fontId="0" fillId="0" borderId="54" xfId="20" applyNumberFormat="1" applyFont="1" applyBorder="1" applyAlignment="1">
      <alignment horizontal="center"/>
    </xf>
    <xf numFmtId="167" fontId="0" fillId="0" borderId="40" xfId="20" applyNumberFormat="1" applyFont="1" applyBorder="1" applyAlignment="1">
      <alignment horizontal="center"/>
    </xf>
    <xf numFmtId="167" fontId="0" fillId="0" borderId="38" xfId="20" applyNumberFormat="1" applyFont="1" applyBorder="1" applyAlignment="1">
      <alignment horizontal="center"/>
    </xf>
    <xf numFmtId="167" fontId="0" fillId="0" borderId="26" xfId="20" applyNumberFormat="1" applyFont="1" applyBorder="1"/>
    <xf numFmtId="167" fontId="0" fillId="0" borderId="19" xfId="20" applyNumberFormat="1" applyFont="1" applyBorder="1"/>
    <xf numFmtId="167" fontId="0" fillId="0" borderId="29" xfId="20" applyNumberFormat="1" applyFont="1" applyBorder="1"/>
    <xf numFmtId="167" fontId="0" fillId="0" borderId="51" xfId="20" applyNumberFormat="1" applyFont="1" applyBorder="1"/>
    <xf numFmtId="167" fontId="0" fillId="0" borderId="30" xfId="20" applyNumberFormat="1" applyFont="1" applyBorder="1"/>
    <xf numFmtId="167" fontId="0" fillId="0" borderId="53" xfId="20" applyNumberFormat="1" applyFont="1" applyBorder="1"/>
    <xf numFmtId="43" fontId="0" fillId="0" borderId="28" xfId="0" applyNumberFormat="1" applyBorder="1"/>
    <xf numFmtId="43" fontId="0" fillId="0" borderId="14" xfId="0" applyNumberFormat="1" applyBorder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8" xfId="18" applyBorder="1"/>
    <xf numFmtId="0" fontId="4" fillId="0" borderId="24" xfId="18" applyBorder="1"/>
    <xf numFmtId="0" fontId="4" fillId="0" borderId="65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0" xfId="18" applyBorder="1"/>
    <xf numFmtId="0" fontId="4" fillId="0" borderId="22" xfId="18" applyBorder="1"/>
    <xf numFmtId="0" fontId="4" fillId="0" borderId="64" xfId="18" applyBorder="1"/>
    <xf numFmtId="0" fontId="4" fillId="0" borderId="69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1" xfId="0" applyFont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0" fontId="0" fillId="0" borderId="46" xfId="0" applyBorder="1"/>
    <xf numFmtId="0" fontId="0" fillId="0" borderId="68" xfId="0" applyBorder="1"/>
    <xf numFmtId="0" fontId="0" fillId="0" borderId="24" xfId="0" applyBorder="1"/>
    <xf numFmtId="0" fontId="0" fillId="0" borderId="31" xfId="0" applyBorder="1"/>
    <xf numFmtId="0" fontId="0" fillId="0" borderId="65" xfId="0" applyBorder="1"/>
    <xf numFmtId="167" fontId="0" fillId="0" borderId="32" xfId="20" applyNumberFormat="1" applyFont="1" applyBorder="1"/>
    <xf numFmtId="167" fontId="0" fillId="0" borderId="11" xfId="20" applyNumberFormat="1" applyFont="1" applyBorder="1"/>
    <xf numFmtId="167" fontId="0" fillId="0" borderId="12" xfId="20" applyNumberFormat="1" applyFont="1" applyBorder="1"/>
    <xf numFmtId="167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2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1" xfId="0" applyBorder="1" applyAlignment="1">
      <alignment horizontal="center"/>
    </xf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3" xfId="0" applyBorder="1"/>
    <xf numFmtId="0" fontId="0" fillId="0" borderId="55" xfId="0" applyFill="1" applyBorder="1" applyAlignment="1">
      <alignment horizontal="center"/>
    </xf>
    <xf numFmtId="0" fontId="0" fillId="0" borderId="2" xfId="0" applyNumberFormat="1" applyFill="1" applyBorder="1"/>
    <xf numFmtId="0" fontId="0" fillId="0" borderId="32" xfId="20" applyNumberFormat="1" applyFont="1" applyBorder="1"/>
    <xf numFmtId="0" fontId="0" fillId="0" borderId="11" xfId="20" applyNumberFormat="1" applyFont="1" applyBorder="1"/>
    <xf numFmtId="0" fontId="0" fillId="0" borderId="26" xfId="20" applyNumberFormat="1" applyFont="1" applyBorder="1"/>
    <xf numFmtId="0" fontId="0" fillId="0" borderId="26" xfId="0" applyNumberFormat="1" applyBorder="1"/>
    <xf numFmtId="0" fontId="0" fillId="0" borderId="19" xfId="20" applyNumberFormat="1" applyFont="1" applyBorder="1"/>
    <xf numFmtId="0" fontId="0" fillId="0" borderId="19" xfId="0" applyNumberFormat="1" applyBorder="1"/>
    <xf numFmtId="0" fontId="0" fillId="0" borderId="29" xfId="20" applyNumberFormat="1" applyFont="1" applyBorder="1"/>
    <xf numFmtId="0" fontId="0" fillId="0" borderId="29" xfId="0" applyNumberFormat="1" applyBorder="1"/>
    <xf numFmtId="0" fontId="0" fillId="0" borderId="12" xfId="20" applyNumberFormat="1" applyFont="1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5" borderId="68" xfId="0" applyFont="1" applyFill="1" applyBorder="1" applyAlignment="1">
      <alignment horizontal="center"/>
    </xf>
    <xf numFmtId="0" fontId="10" fillId="5" borderId="7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33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0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3" fillId="2" borderId="1" xfId="0" applyFont="1" applyFill="1" applyBorder="1" applyAlignment="1" applyProtection="1">
      <alignment horizontal="center"/>
      <protection locked="0"/>
    </xf>
    <xf numFmtId="0" fontId="22" fillId="2" borderId="1" xfId="0" applyFont="1" applyFill="1" applyBorder="1" applyAlignment="1" applyProtection="1">
      <alignment horizontal="center"/>
      <protection locked="0"/>
    </xf>
    <xf numFmtId="10" fontId="23" fillId="2" borderId="1" xfId="1" applyNumberFormat="1" applyFont="1" applyFill="1" applyBorder="1" applyAlignment="1" applyProtection="1">
      <alignment horizontal="center"/>
      <protection locked="0"/>
    </xf>
    <xf numFmtId="49" fontId="17" fillId="5" borderId="71" xfId="0" applyNumberFormat="1" applyFont="1" applyFill="1" applyBorder="1" applyAlignment="1">
      <alignment horizontal="center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0" fontId="11" fillId="4" borderId="51" xfId="18" applyFont="1" applyFill="1" applyBorder="1" applyAlignment="1">
      <alignment horizontal="left" vertical="center"/>
    </xf>
    <xf numFmtId="0" fontId="11" fillId="4" borderId="71" xfId="18" applyFont="1" applyFill="1" applyBorder="1" applyAlignment="1">
      <alignment horizontal="left" vertical="center"/>
    </xf>
    <xf numFmtId="16" fontId="0" fillId="8" borderId="1" xfId="0" applyNumberFormat="1" applyFill="1" applyBorder="1"/>
    <xf numFmtId="49" fontId="0" fillId="7" borderId="12" xfId="0" applyNumberForma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>
      <alignment horizontal="center"/>
    </xf>
    <xf numFmtId="49" fontId="0" fillId="7" borderId="55" xfId="0" applyNumberFormat="1" applyFill="1" applyBorder="1" applyAlignment="1" applyProtection="1">
      <alignment horizontal="center"/>
      <protection locked="0"/>
    </xf>
    <xf numFmtId="0" fontId="0" fillId="0" borderId="74" xfId="0" applyBorder="1"/>
    <xf numFmtId="10" fontId="0" fillId="0" borderId="1" xfId="1" applyNumberFormat="1" applyFont="1" applyBorder="1"/>
    <xf numFmtId="10" fontId="0" fillId="0" borderId="22" xfId="1" applyNumberFormat="1" applyFont="1" applyBorder="1"/>
    <xf numFmtId="49" fontId="0" fillId="7" borderId="33" xfId="0" applyNumberFormat="1" applyFill="1" applyBorder="1" applyAlignment="1" applyProtection="1">
      <alignment horizontal="center"/>
      <protection locked="0"/>
    </xf>
    <xf numFmtId="49" fontId="0" fillId="7" borderId="34" xfId="0" applyNumberFormat="1" applyFill="1" applyBorder="1" applyAlignment="1" applyProtection="1">
      <alignment horizontal="center"/>
      <protection locked="0"/>
    </xf>
    <xf numFmtId="10" fontId="0" fillId="0" borderId="1" xfId="0" applyNumberFormat="1" applyBorder="1"/>
    <xf numFmtId="0" fontId="0" fillId="8" borderId="9" xfId="0" applyFill="1" applyBorder="1"/>
    <xf numFmtId="0" fontId="22" fillId="2" borderId="25" xfId="0" applyFont="1" applyFill="1" applyBorder="1" applyAlignment="1" applyProtection="1">
      <alignment horizontal="center"/>
      <protection locked="0"/>
    </xf>
    <xf numFmtId="0" fontId="23" fillId="2" borderId="68" xfId="0" applyFont="1" applyFill="1" applyBorder="1" applyAlignment="1" applyProtection="1">
      <alignment horizontal="center"/>
      <protection locked="0"/>
    </xf>
    <xf numFmtId="0" fontId="23" fillId="2" borderId="71" xfId="0" applyFont="1" applyFill="1" applyBorder="1" applyAlignment="1" applyProtection="1">
      <alignment horizontal="center"/>
      <protection locked="0"/>
    </xf>
    <xf numFmtId="0" fontId="23" fillId="2" borderId="8" xfId="0" applyFont="1" applyFill="1" applyBorder="1" applyAlignment="1" applyProtection="1">
      <alignment horizontal="center"/>
      <protection locked="0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1154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-0.1650851242859781</c:v>
                </c:pt>
                <c:pt idx="1">
                  <c:v>0.10319797996906244</c:v>
                </c:pt>
                <c:pt idx="2">
                  <c:v>0.23022196212840235</c:v>
                </c:pt>
                <c:pt idx="3">
                  <c:v>0.30115588817456668</c:v>
                </c:pt>
                <c:pt idx="4">
                  <c:v>0.34444532557734919</c:v>
                </c:pt>
                <c:pt idx="5">
                  <c:v>0.37230861223628287</c:v>
                </c:pt>
                <c:pt idx="6">
                  <c:v>0.39086201815543437</c:v>
                </c:pt>
                <c:pt idx="7">
                  <c:v>0.40349700080092782</c:v>
                </c:pt>
                <c:pt idx="8">
                  <c:v>0.41223371605271664</c:v>
                </c:pt>
                <c:pt idx="9">
                  <c:v>0.41833877977736161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7.7422561492027114E-2</c:v>
                </c:pt>
                <c:pt idx="1">
                  <c:v>0.16189528242837606</c:v>
                </c:pt>
                <c:pt idx="2">
                  <c:v>0.25304408033917886</c:v>
                </c:pt>
                <c:pt idx="3">
                  <c:v>0.3503840325469601</c:v>
                </c:pt>
                <c:pt idx="4">
                  <c:v>0.45335159728834656</c:v>
                </c:pt>
                <c:pt idx="5">
                  <c:v>0.56133828922389883</c:v>
                </c:pt>
                <c:pt idx="6">
                  <c:v>0.67372230184267712</c:v>
                </c:pt>
                <c:pt idx="7">
                  <c:v>0.78989548381469843</c:v>
                </c:pt>
                <c:pt idx="8">
                  <c:v>0.9092841978734657</c:v>
                </c:pt>
                <c:pt idx="9">
                  <c:v>1.0313636555114831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-0.12680640784624386</c:v>
                </c:pt>
                <c:pt idx="1">
                  <c:v>-0.26515990709128862</c:v>
                </c:pt>
                <c:pt idx="2">
                  <c:v>-0.41444780741169307</c:v>
                </c:pt>
                <c:pt idx="3">
                  <c:v>-0.57387587904253012</c:v>
                </c:pt>
                <c:pt idx="4">
                  <c:v>-0.74252112608560772</c:v>
                </c:pt>
                <c:pt idx="5">
                  <c:v>-0.91938694188474612</c:v>
                </c:pt>
                <c:pt idx="6">
                  <c:v>-1.103454901726165</c:v>
                </c:pt>
                <c:pt idx="7">
                  <c:v>-1.2937289460104922</c:v>
                </c:pt>
                <c:pt idx="8">
                  <c:v>-1.4892695439372821</c:v>
                </c:pt>
                <c:pt idx="9">
                  <c:v>-1.6892171715611608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-4.9383846354216748E-2</c:v>
                </c:pt>
                <c:pt idx="1">
                  <c:v>-0.10326462466291256</c:v>
                </c:pt>
                <c:pt idx="2">
                  <c:v>-0.16140372707251421</c:v>
                </c:pt>
                <c:pt idx="3">
                  <c:v>-0.22349184649557002</c:v>
                </c:pt>
                <c:pt idx="4">
                  <c:v>-0.28916952879726115</c:v>
                </c:pt>
                <c:pt idx="5">
                  <c:v>-0.35804865266084729</c:v>
                </c:pt>
                <c:pt idx="6">
                  <c:v>-0.42973259988348789</c:v>
                </c:pt>
                <c:pt idx="7">
                  <c:v>-0.50383346219579372</c:v>
                </c:pt>
                <c:pt idx="8">
                  <c:v>-0.57998534606381635</c:v>
                </c:pt>
                <c:pt idx="9">
                  <c:v>-0.65785351604967768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19.826665338578159</c:v>
                </c:pt>
                <c:pt idx="1">
                  <c:v>92.903204749710255</c:v>
                </c:pt>
                <c:pt idx="2">
                  <c:v>642.65084712196108</c:v>
                </c:pt>
                <c:pt idx="3">
                  <c:v>4865.119305799446</c:v>
                </c:pt>
                <c:pt idx="4">
                  <c:v>38058.539734381688</c:v>
                </c:pt>
                <c:pt idx="5">
                  <c:v>301641.63357701519</c:v>
                </c:pt>
                <c:pt idx="6">
                  <c:v>2403675.6287268936</c:v>
                </c:pt>
                <c:pt idx="7">
                  <c:v>19197474.655311458</c:v>
                </c:pt>
                <c:pt idx="8">
                  <c:v>153471562.9396235</c:v>
                </c:pt>
                <c:pt idx="9">
                  <c:v>1227404983.1118348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21.832275356266774</c:v>
                </c:pt>
                <c:pt idx="1">
                  <c:v>115.08451039891871</c:v>
                </c:pt>
                <c:pt idx="2">
                  <c:v>896.82701136380854</c:v>
                </c:pt>
                <c:pt idx="3">
                  <c:v>7651.4505107375808</c:v>
                </c:pt>
                <c:pt idx="4">
                  <c:v>67417.145407854507</c:v>
                </c:pt>
                <c:pt idx="5">
                  <c:v>601528.32287763979</c:v>
                </c:pt>
                <c:pt idx="6">
                  <c:v>5394476.16302309</c:v>
                </c:pt>
                <c:pt idx="7">
                  <c:v>48478539.311407149</c:v>
                </c:pt>
                <c:pt idx="8">
                  <c:v>436038846.50359732</c:v>
                </c:pt>
                <c:pt idx="9">
                  <c:v>3923346885.0693164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23.90407125373833</c:v>
                </c:pt>
                <c:pt idx="1">
                  <c:v>139.79270980119577</c:v>
                </c:pt>
                <c:pt idx="2">
                  <c:v>1211.4482663130677</c:v>
                </c:pt>
                <c:pt idx="3">
                  <c:v>11498.209412518325</c:v>
                </c:pt>
                <c:pt idx="4">
                  <c:v>112659.15978746426</c:v>
                </c:pt>
                <c:pt idx="5">
                  <c:v>1117393.5224213742</c:v>
                </c:pt>
                <c:pt idx="6">
                  <c:v>11136763.443068126</c:v>
                </c:pt>
                <c:pt idx="7">
                  <c:v>111216122.12948537</c:v>
                </c:pt>
                <c:pt idx="8">
                  <c:v>1111541441.7927327</c:v>
                </c:pt>
                <c:pt idx="9">
                  <c:v>11112875358.977859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General</c:formatCode>
                <c:ptCount val="10"/>
                <c:pt idx="0">
                  <c:v>-0.2728198764624834</c:v>
                </c:pt>
                <c:pt idx="1">
                  <c:v>-0.84714056772997104</c:v>
                </c:pt>
                <c:pt idx="2">
                  <c:v>-1.7494443171519707</c:v>
                </c:pt>
                <c:pt idx="3">
                  <c:v>-3.0034613137018278</c:v>
                </c:pt>
                <c:pt idx="4">
                  <c:v>-4.6298643601480052</c:v>
                </c:pt>
                <c:pt idx="5">
                  <c:v>-6.6461980040998814</c:v>
                </c:pt>
                <c:pt idx="6">
                  <c:v>-9.0670000054829156</c:v>
                </c:pt>
                <c:pt idx="7">
                  <c:v>-11.904058921412505</c:v>
                </c:pt>
                <c:pt idx="8">
                  <c:v>-15.16675068415212</c:v>
                </c:pt>
                <c:pt idx="9">
                  <c:v>-18.862405201612223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General</c:formatCode>
                <c:ptCount val="10"/>
                <c:pt idx="0">
                  <c:v>-0.31248522639831922</c:v>
                </c:pt>
                <c:pt idx="1">
                  <c:v>-0.96017418994718817</c:v>
                </c:pt>
                <c:pt idx="2">
                  <c:v>-1.9650826927902676</c:v>
                </c:pt>
                <c:pt idx="3">
                  <c:v>-3.3482856327030319</c:v>
                </c:pt>
                <c:pt idx="4">
                  <c:v>-5.1297173699458263</c:v>
                </c:pt>
                <c:pt idx="5">
                  <c:v>-7.3280161454835602</c:v>
                </c:pt>
                <c:pt idx="6">
                  <c:v>-9.9604148937853338</c:v>
                </c:pt>
                <c:pt idx="7">
                  <c:v>-13.042677827862599</c:v>
                </c:pt>
                <c:pt idx="8">
                  <c:v>-16.589079657904652</c:v>
                </c:pt>
                <c:pt idx="9">
                  <c:v>-20.612422409036611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General</c:formatCode>
                <c:ptCount val="10"/>
                <c:pt idx="0">
                  <c:v>-0.34984324498541275</c:v>
                </c:pt>
                <c:pt idx="1">
                  <c:v>-1.066171419147119</c:v>
                </c:pt>
                <c:pt idx="2">
                  <c:v>-2.1654274764245196</c:v>
                </c:pt>
                <c:pt idx="3">
                  <c:v>-3.6637808699606396</c:v>
                </c:pt>
                <c:pt idx="4">
                  <c:v>-5.5770573158744146</c:v>
                </c:pt>
                <c:pt idx="5">
                  <c:v>-7.9206741305740884</c:v>
                </c:pt>
                <c:pt idx="6">
                  <c:v>-10.709582007253536</c:v>
                </c:pt>
                <c:pt idx="7">
                  <c:v>-13.95821390399302</c:v>
                </c:pt>
                <c:pt idx="8">
                  <c:v>-17.680441512121277</c:v>
                </c:pt>
                <c:pt idx="9">
                  <c:v>-21.889539568194756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General</c:formatCode>
                <c:ptCount val="10"/>
                <c:pt idx="0">
                  <c:v>-0.38809197802836592</c:v>
                </c:pt>
                <c:pt idx="1">
                  <c:v>-1.175540820237817</c:v>
                </c:pt>
                <c:pt idx="2">
                  <c:v>-2.3735645518490673</c:v>
                </c:pt>
                <c:pt idx="3">
                  <c:v>-3.9933159819404382</c:v>
                </c:pt>
                <c:pt idx="4">
                  <c:v>-6.0458647319827232</c:v>
                </c:pt>
                <c:pt idx="5">
                  <c:v>-8.542179750136194</c:v>
                </c:pt>
                <c:pt idx="6">
                  <c:v>-11.493112407804595</c:v>
                </c:pt>
                <c:pt idx="7">
                  <c:v>-14.909380268403446</c:v>
                </c:pt>
                <c:pt idx="8">
                  <c:v>-18.801551610864742</c:v>
                </c:pt>
                <c:pt idx="9">
                  <c:v>-23.180030782198966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General</c:formatCode>
                <c:ptCount val="10"/>
                <c:pt idx="0">
                  <c:v>-0.42871433777214352</c:v>
                </c:pt>
                <c:pt idx="1">
                  <c:v>-1.2928269220616722</c:v>
                </c:pt>
                <c:pt idx="2">
                  <c:v>-2.5990139888140025</c:v>
                </c:pt>
                <c:pt idx="3">
                  <c:v>-4.3539410496618984</c:v>
                </c:pt>
                <c:pt idx="4">
                  <c:v>-6.5642598579519111</c:v>
                </c:pt>
                <c:pt idx="5">
                  <c:v>-9.2366053972247997</c:v>
                </c:pt>
                <c:pt idx="6">
                  <c:v>-12.377592896992939</c:v>
                </c:pt>
                <c:pt idx="7">
                  <c:v>-15.993814880570861</c:v>
                </c:pt>
                <c:pt idx="8">
                  <c:v>-20.091838249613517</c:v>
                </c:pt>
                <c:pt idx="9">
                  <c:v>-24.678201409901014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General</c:formatCode>
                <c:ptCount val="10"/>
                <c:pt idx="0">
                  <c:v>-0.4723073314238091</c:v>
                </c:pt>
                <c:pt idx="1">
                  <c:v>-1.4197200878518419</c:v>
                </c:pt>
                <c:pt idx="2">
                  <c:v>-2.8450359129167806</c:v>
                </c:pt>
                <c:pt idx="3">
                  <c:v>-4.7510518204691792</c:v>
                </c:pt>
                <c:pt idx="4">
                  <c:v>-7.140564014887687</c:v>
                </c:pt>
                <c:pt idx="5">
                  <c:v>-10.0163677115751</c:v>
                </c:pt>
                <c:pt idx="6">
                  <c:v>-13.381256957681366</c:v>
                </c:pt>
                <c:pt idx="7">
                  <c:v>-17.23802445309456</c:v>
                </c:pt>
                <c:pt idx="8">
                  <c:v>-21.589461371740747</c:v>
                </c:pt>
                <c:pt idx="9">
                  <c:v>-26.438357183233457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General</c:formatCode>
                <c:ptCount val="10"/>
                <c:pt idx="0">
                  <c:v>-0.51898578997343592</c:v>
                </c:pt>
                <c:pt idx="1">
                  <c:v>-1.5564331214162972</c:v>
                </c:pt>
                <c:pt idx="2">
                  <c:v>-3.1118177482245089</c:v>
                </c:pt>
                <c:pt idx="3">
                  <c:v>-5.1846154276538865</c:v>
                </c:pt>
                <c:pt idx="4">
                  <c:v>-7.7743019212800624</c:v>
                </c:pt>
                <c:pt idx="5">
                  <c:v>-10.880352995958393</c:v>
                </c:pt>
                <c:pt idx="6">
                  <c:v>-14.502244424783823</c:v>
                </c:pt>
                <c:pt idx="7">
                  <c:v>-18.639451988050716</c:v>
                </c:pt>
                <c:pt idx="8">
                  <c:v>-23.291451474212625</c:v>
                </c:pt>
                <c:pt idx="9">
                  <c:v>-28.457718680842035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-0.53946179783308501</c:v>
                </c:pt>
                <c:pt idx="1">
                  <c:v>-0.32141080823318502</c:v>
                </c:pt>
                <c:pt idx="2">
                  <c:v>-0.19964472510748005</c:v>
                </c:pt>
                <c:pt idx="3">
                  <c:v>-0.12533352414812982</c:v>
                </c:pt>
                <c:pt idx="4">
                  <c:v>-7.7503050514695249E-2</c:v>
                </c:pt>
                <c:pt idx="5">
                  <c:v>-4.5654037026480077E-2</c:v>
                </c:pt>
                <c:pt idx="6">
                  <c:v>-2.3964664495461085E-2</c:v>
                </c:pt>
                <c:pt idx="7">
                  <c:v>-8.9671075450314941E-3</c:v>
                </c:pt>
                <c:pt idx="8">
                  <c:v>1.5129227933297074E-3</c:v>
                </c:pt>
                <c:pt idx="9">
                  <c:v>8.8901281862445725E-3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0.14500695129571411</c:v>
                </c:pt>
                <c:pt idx="1">
                  <c:v>0.30147414156503166</c:v>
                </c:pt>
                <c:pt idx="2">
                  <c:v>0.46856914634837038</c:v>
                </c:pt>
                <c:pt idx="3">
                  <c:v>0.64532458265949832</c:v>
                </c:pt>
                <c:pt idx="4">
                  <c:v>0.830695916795675</c:v>
                </c:pt>
                <c:pt idx="5">
                  <c:v>1.0236157477610779</c:v>
                </c:pt>
                <c:pt idx="6">
                  <c:v>1.2230401152178643</c:v>
                </c:pt>
                <c:pt idx="7">
                  <c:v>1.4279843061102417</c:v>
                </c:pt>
                <c:pt idx="8">
                  <c:v>1.6375474617858132</c:v>
                </c:pt>
                <c:pt idx="9">
                  <c:v>1.8509267162179599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-0.23749938328297626</c:v>
                </c:pt>
                <c:pt idx="1">
                  <c:v>-0.493768899060882</c:v>
                </c:pt>
                <c:pt idx="2">
                  <c:v>-0.76744516237862448</c:v>
                </c:pt>
                <c:pt idx="3">
                  <c:v>-1.056943746692679</c:v>
                </c:pt>
                <c:pt idx="4">
                  <c:v>-1.3605538642925081</c:v>
                </c:pt>
                <c:pt idx="5">
                  <c:v>-1.6765272743113244</c:v>
                </c:pt>
                <c:pt idx="6">
                  <c:v>-2.0031541281232927</c:v>
                </c:pt>
                <c:pt idx="7">
                  <c:v>-2.3388216151605632</c:v>
                </c:pt>
                <c:pt idx="8">
                  <c:v>-2.6820542656442208</c:v>
                </c:pt>
                <c:pt idx="9">
                  <c:v>-3.0315371068472543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-9.2492431987262147E-2</c:v>
                </c:pt>
                <c:pt idx="1">
                  <c:v>-0.19229475749585034</c:v>
                </c:pt>
                <c:pt idx="2">
                  <c:v>-0.2988760160302541</c:v>
                </c:pt>
                <c:pt idx="3">
                  <c:v>-0.41161916403318066</c:v>
                </c:pt>
                <c:pt idx="4">
                  <c:v>-0.52985794749683313</c:v>
                </c:pt>
                <c:pt idx="5">
                  <c:v>-0.65291152655024653</c:v>
                </c:pt>
                <c:pt idx="6">
                  <c:v>-0.78011401290542848</c:v>
                </c:pt>
                <c:pt idx="7">
                  <c:v>-0.91083730905032145</c:v>
                </c:pt>
                <c:pt idx="8">
                  <c:v>-1.0445068038584076</c:v>
                </c:pt>
                <c:pt idx="9">
                  <c:v>-1.1806103906292944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General</c:formatCode>
                <c:ptCount val="10"/>
                <c:pt idx="0">
                  <c:v>-0.5686023306887712</c:v>
                </c:pt>
                <c:pt idx="1">
                  <c:v>-1.7024071571415802</c:v>
                </c:pt>
                <c:pt idx="2">
                  <c:v>-3.3980151817989093</c:v>
                </c:pt>
                <c:pt idx="3">
                  <c:v>-5.6520278592426836</c:v>
                </c:pt>
                <c:pt idx="4">
                  <c:v>-8.461047610802737</c:v>
                </c:pt>
                <c:pt idx="5">
                  <c:v>-11.821678038945135</c:v>
                </c:pt>
                <c:pt idx="6">
                  <c:v>-15.730524141394076</c:v>
                </c:pt>
                <c:pt idx="7">
                  <c:v>-20.184192524939206</c:v>
                </c:pt>
                <c:pt idx="8">
                  <c:v>-25.179291618880338</c:v>
                </c:pt>
                <c:pt idx="9">
                  <c:v>-30.712431888061698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General</c:formatCode>
                <c:ptCount val="10"/>
                <c:pt idx="0">
                  <c:v>-0.75388712237740174</c:v>
                </c:pt>
                <c:pt idx="1">
                  <c:v>-2.3761654782992587</c:v>
                </c:pt>
                <c:pt idx="2">
                  <c:v>-4.9497730988091266</c:v>
                </c:pt>
                <c:pt idx="3">
                  <c:v>-8.5289845127424009</c:v>
                </c:pt>
                <c:pt idx="4">
                  <c:v>-13.146526242324658</c:v>
                </c:pt>
                <c:pt idx="5">
                  <c:v>-18.820912809087488</c:v>
                </c:pt>
                <c:pt idx="6">
                  <c:v>-25.562120275620394</c:v>
                </c:pt>
                <c:pt idx="7">
                  <c:v>-33.37532863140769</c:v>
                </c:pt>
                <c:pt idx="8">
                  <c:v>-42.26315268367658</c:v>
                </c:pt>
                <c:pt idx="9">
                  <c:v>-52.226883948817147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General</c:formatCode>
                <c:ptCount val="10"/>
                <c:pt idx="0">
                  <c:v>-0.90370245173501096</c:v>
                </c:pt>
                <c:pt idx="1">
                  <c:v>-2.8439653464174537</c:v>
                </c:pt>
                <c:pt idx="2">
                  <c:v>-5.9233904285703201</c:v>
                </c:pt>
                <c:pt idx="3">
                  <c:v>-10.214750530667342</c:v>
                </c:pt>
                <c:pt idx="4">
                  <c:v>-15.766114931151154</c:v>
                </c:pt>
                <c:pt idx="5">
                  <c:v>-22.607455108835396</c:v>
                </c:pt>
                <c:pt idx="6">
                  <c:v>-30.756622036071551</c:v>
                </c:pt>
                <c:pt idx="7">
                  <c:v>-40.223872361465105</c:v>
                </c:pt>
                <c:pt idx="8">
                  <c:v>-51.014935712316912</c:v>
                </c:pt>
                <c:pt idx="9">
                  <c:v>-63.132942754988591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General</c:formatCode>
                <c:ptCount val="10"/>
                <c:pt idx="0">
                  <c:v>-1.0567724707852977</c:v>
                </c:pt>
                <c:pt idx="1">
                  <c:v>-3.3206868956640596</c:v>
                </c:pt>
                <c:pt idx="2">
                  <c:v>-6.9125318724158564</c:v>
                </c:pt>
                <c:pt idx="3">
                  <c:v>-11.922396677879684</c:v>
                </c:pt>
                <c:pt idx="4">
                  <c:v>-18.413334580260454</c:v>
                </c:pt>
                <c:pt idx="5">
                  <c:v>-26.427202425387282</c:v>
                </c:pt>
                <c:pt idx="6">
                  <c:v>-35.990614120569475</c:v>
                </c:pt>
                <c:pt idx="7">
                  <c:v>-47.11991528237246</c:v>
                </c:pt>
                <c:pt idx="8">
                  <c:v>-59.824870712895219</c:v>
                </c:pt>
                <c:pt idx="9">
                  <c:v>-74.111186080613351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General</c:formatCode>
                <c:ptCount val="10"/>
                <c:pt idx="0">
                  <c:v>-1.2148415100314476</c:v>
                </c:pt>
                <c:pt idx="1">
                  <c:v>-3.8125962546543519</c:v>
                </c:pt>
                <c:pt idx="2">
                  <c:v>-7.9317249980944897</c:v>
                </c:pt>
                <c:pt idx="3">
                  <c:v>-13.678918213577745</c:v>
                </c:pt>
                <c:pt idx="4">
                  <c:v>-21.131736721862399</c:v>
                </c:pt>
                <c:pt idx="5">
                  <c:v>-30.34385232004076</c:v>
                </c:pt>
                <c:pt idx="6">
                  <c:v>-41.350917294444471</c:v>
                </c:pt>
                <c:pt idx="7">
                  <c:v>-54.175834951353309</c:v>
                </c:pt>
                <c:pt idx="8">
                  <c:v>-68.832924287684193</c:v>
                </c:pt>
                <c:pt idx="9">
                  <c:v>-85.330942618737765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General</c:formatCode>
                <c:ptCount val="10"/>
                <c:pt idx="0">
                  <c:v>-1.3784551197768893</c:v>
                </c:pt>
                <c:pt idx="1">
                  <c:v>-4.3218195051754611</c:v>
                </c:pt>
                <c:pt idx="2">
                  <c:v>-8.9862842627052011</c:v>
                </c:pt>
                <c:pt idx="3">
                  <c:v>-15.494842863191009</c:v>
                </c:pt>
                <c:pt idx="4">
                  <c:v>-23.939215710144225</c:v>
                </c:pt>
                <c:pt idx="5">
                  <c:v>-34.384682993162862</c:v>
                </c:pt>
                <c:pt idx="6">
                  <c:v>-46.875920325656182</c:v>
                </c:pt>
                <c:pt idx="7">
                  <c:v>-61.442525526201401</c:v>
                </c:pt>
                <c:pt idx="8">
                  <c:v>-78.103591518117014</c:v>
                </c:pt>
                <c:pt idx="9">
                  <c:v>-96.871169068082196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General</c:formatCode>
                <c:ptCount val="10"/>
                <c:pt idx="0">
                  <c:v>-1.5475091763263382</c:v>
                </c:pt>
                <c:pt idx="1">
                  <c:v>-4.8482337700358649</c:v>
                </c:pt>
                <c:pt idx="2">
                  <c:v>-10.076449080409208</c:v>
                </c:pt>
                <c:pt idx="3">
                  <c:v>-17.371428373256212</c:v>
                </c:pt>
                <c:pt idx="4">
                  <c:v>-26.838856888328941</c:v>
                </c:pt>
                <c:pt idx="5">
                  <c:v>-38.555421522344716</c:v>
                </c:pt>
                <c:pt idx="6">
                  <c:v>-52.57469614673596</c:v>
                </c:pt>
                <c:pt idx="7">
                  <c:v>-68.93294030967931</c:v>
                </c:pt>
                <c:pt idx="8">
                  <c:v>-87.654059638499945</c:v>
                </c:pt>
                <c:pt idx="9">
                  <c:v>-108.75347791933578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General</c:formatCode>
                <c:ptCount val="10"/>
                <c:pt idx="0">
                  <c:v>-1.721562927481584</c:v>
                </c:pt>
                <c:pt idx="1">
                  <c:v>-5.3905451004640899</c:v>
                </c:pt>
                <c:pt idx="2">
                  <c:v>-11.199783729202268</c:v>
                </c:pt>
                <c:pt idx="3">
                  <c:v>-19.304961490542446</c:v>
                </c:pt>
                <c:pt idx="4">
                  <c:v>-29.825648368275939</c:v>
                </c:pt>
                <c:pt idx="5">
                  <c:v>-42.849779198124097</c:v>
                </c:pt>
                <c:pt idx="6">
                  <c:v>-58.439674480607401</c:v>
                </c:pt>
                <c:pt idx="7">
                  <c:v>-76.638149070215121</c:v>
                </c:pt>
                <c:pt idx="8">
                  <c:v>-97.473865390749154</c:v>
                </c:pt>
                <c:pt idx="9">
                  <c:v>-120.96560433502543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'4x4'!$U$7:$U$16</c:f>
              <c:numCache>
                <c:formatCode>General</c:formatCode>
                <c:ptCount val="10"/>
                <c:pt idx="0">
                  <c:v>-1.1884827564308145</c:v>
                </c:pt>
                <c:pt idx="1">
                  <c:v>-3.7385333989669935</c:v>
                </c:pt>
                <c:pt idx="2">
                  <c:v>-7.7355067731555529</c:v>
                </c:pt>
                <c:pt idx="3">
                  <c:v>-13.214778372981272</c:v>
                </c:pt>
                <c:pt idx="4">
                  <c:v>-20.189397276799085</c:v>
                </c:pt>
                <c:pt idx="5">
                  <c:v>-28.663822504269952</c:v>
                </c:pt>
                <c:pt idx="6">
                  <c:v>-38.639502006456006</c:v>
                </c:pt>
                <c:pt idx="7">
                  <c:v>-50.116889702692433</c:v>
                </c:pt>
                <c:pt idx="8">
                  <c:v>-63.096124333817166</c:v>
                </c:pt>
                <c:pt idx="9">
                  <c:v>-77.577247510261159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C347-9EA6-F9A0D5BA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'4x5'!$U$7:$U$16</c:f>
              <c:numCache>
                <c:formatCode>General</c:formatCode>
                <c:ptCount val="10"/>
                <c:pt idx="0">
                  <c:v>-1.4562987012094362</c:v>
                </c:pt>
                <c:pt idx="1">
                  <c:v>-4.587206856242787</c:v>
                </c:pt>
                <c:pt idx="2">
                  <c:v>-9.5096869089988321</c:v>
                </c:pt>
                <c:pt idx="3">
                  <c:v>-16.27706493484262</c:v>
                </c:pt>
                <c:pt idx="4">
                  <c:v>-24.911077572267001</c:v>
                </c:pt>
                <c:pt idx="5">
                  <c:v>-35.419939026608752</c:v>
                </c:pt>
                <c:pt idx="6">
                  <c:v>-47.80659767490566</c:v>
                </c:pt>
                <c:pt idx="7">
                  <c:v>-62.07207445794193</c:v>
                </c:pt>
                <c:pt idx="8">
                  <c:v>-78.216713843908195</c:v>
                </c:pt>
                <c:pt idx="9">
                  <c:v>-96.240629822146445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4144-8538-D1A3E4F0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-0.53946179783308501</c:v>
                </c:pt>
                <c:pt idx="1">
                  <c:v>-0.32141080823318502</c:v>
                </c:pt>
                <c:pt idx="2">
                  <c:v>-0.19964472510748005</c:v>
                </c:pt>
                <c:pt idx="3">
                  <c:v>-0.12533352414812982</c:v>
                </c:pt>
                <c:pt idx="4">
                  <c:v>-7.7503050514695249E-2</c:v>
                </c:pt>
                <c:pt idx="5">
                  <c:v>-4.5654037026480077E-2</c:v>
                </c:pt>
                <c:pt idx="6">
                  <c:v>-2.3964664495461085E-2</c:v>
                </c:pt>
                <c:pt idx="7">
                  <c:v>-8.9671075450314941E-3</c:v>
                </c:pt>
                <c:pt idx="8">
                  <c:v>1.5129227933297074E-3</c:v>
                </c:pt>
                <c:pt idx="9">
                  <c:v>8.8901281862445725E-3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0.14500695129571411</c:v>
                </c:pt>
                <c:pt idx="1">
                  <c:v>0.30147414156503166</c:v>
                </c:pt>
                <c:pt idx="2">
                  <c:v>0.46856914634837038</c:v>
                </c:pt>
                <c:pt idx="3">
                  <c:v>0.64532458265949832</c:v>
                </c:pt>
                <c:pt idx="4">
                  <c:v>0.830695916795675</c:v>
                </c:pt>
                <c:pt idx="5">
                  <c:v>1.0236157477610779</c:v>
                </c:pt>
                <c:pt idx="6">
                  <c:v>1.2230401152178643</c:v>
                </c:pt>
                <c:pt idx="7">
                  <c:v>1.4279843061102417</c:v>
                </c:pt>
                <c:pt idx="8">
                  <c:v>1.6375474617858132</c:v>
                </c:pt>
                <c:pt idx="9">
                  <c:v>1.8509267162179599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-0.23749938328297626</c:v>
                </c:pt>
                <c:pt idx="1">
                  <c:v>-0.493768899060882</c:v>
                </c:pt>
                <c:pt idx="2">
                  <c:v>-0.76744516237862448</c:v>
                </c:pt>
                <c:pt idx="3">
                  <c:v>-1.056943746692679</c:v>
                </c:pt>
                <c:pt idx="4">
                  <c:v>-1.3605538642925081</c:v>
                </c:pt>
                <c:pt idx="5">
                  <c:v>-1.6765272743113244</c:v>
                </c:pt>
                <c:pt idx="6">
                  <c:v>-2.0031541281232927</c:v>
                </c:pt>
                <c:pt idx="7">
                  <c:v>-2.3388216151605632</c:v>
                </c:pt>
                <c:pt idx="8">
                  <c:v>-2.6820542656442208</c:v>
                </c:pt>
                <c:pt idx="9">
                  <c:v>-3.0315371068472543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-9.2492431987262147E-2</c:v>
                </c:pt>
                <c:pt idx="1">
                  <c:v>-0.19229475749585034</c:v>
                </c:pt>
                <c:pt idx="2">
                  <c:v>-0.2988760160302541</c:v>
                </c:pt>
                <c:pt idx="3">
                  <c:v>-0.41161916403318066</c:v>
                </c:pt>
                <c:pt idx="4">
                  <c:v>-0.52985794749683313</c:v>
                </c:pt>
                <c:pt idx="5">
                  <c:v>-0.65291152655024653</c:v>
                </c:pt>
                <c:pt idx="6">
                  <c:v>-0.78011401290542848</c:v>
                </c:pt>
                <c:pt idx="7">
                  <c:v>-0.91083730905032145</c:v>
                </c:pt>
                <c:pt idx="8">
                  <c:v>-1.0445068038584076</c:v>
                </c:pt>
                <c:pt idx="9">
                  <c:v>-1.1806103906292944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'4x6'!$U$7:$U$16</c:f>
              <c:numCache>
                <c:formatCode>General</c:formatCode>
                <c:ptCount val="10"/>
                <c:pt idx="0">
                  <c:v>-1.729114673774963</c:v>
                </c:pt>
                <c:pt idx="1">
                  <c:v>-5.4503270578256453</c:v>
                </c:pt>
                <c:pt idx="2">
                  <c:v>-11.312259498534834</c:v>
                </c:pt>
                <c:pt idx="3">
                  <c:v>-19.387021748135574</c:v>
                </c:pt>
                <c:pt idx="4">
                  <c:v>-29.706005557519752</c:v>
                </c:pt>
                <c:pt idx="5">
                  <c:v>-42.281891473416039</c:v>
                </c:pt>
                <c:pt idx="6">
                  <c:v>-57.119543886559335</c:v>
                </c:pt>
                <c:pt idx="7">
                  <c:v>-74.220762182439501</c:v>
                </c:pt>
                <c:pt idx="8">
                  <c:v>-93.586194639764031</c:v>
                </c:pt>
                <c:pt idx="9">
                  <c:v>-115.21607024709152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4-4E41-A1E7-1256B3C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'4x7'!$U$7:$U$16</c:f>
              <c:numCache>
                <c:formatCode>General</c:formatCode>
                <c:ptCount val="10"/>
                <c:pt idx="0">
                  <c:v>-2.0084740184237422</c:v>
                </c:pt>
                <c:pt idx="1">
                  <c:v>-6.3331850582778646</c:v>
                </c:pt>
                <c:pt idx="2">
                  <c:v>-13.154352070926979</c:v>
                </c:pt>
                <c:pt idx="3">
                  <c:v>-22.563144785791522</c:v>
                </c:pt>
                <c:pt idx="4">
                  <c:v>-34.60105795542772</c:v>
                </c:pt>
                <c:pt idx="5">
                  <c:v>-49.285629584354751</c:v>
                </c:pt>
                <c:pt idx="6">
                  <c:v>-66.623898870696266</c:v>
                </c:pt>
                <c:pt idx="7">
                  <c:v>-86.618589457278205</c:v>
                </c:pt>
                <c:pt idx="8">
                  <c:v>-109.27072743988629</c:v>
                </c:pt>
                <c:pt idx="9">
                  <c:v>-134.58069172317582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8-184C-8865-AEE66559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'4x8'!$U$7:$U$16</c:f>
              <c:numCache>
                <c:formatCode>General</c:formatCode>
                <c:ptCount val="10"/>
                <c:pt idx="0">
                  <c:v>-2.2947036873879156</c:v>
                </c:pt>
                <c:pt idx="1">
                  <c:v>-7.2371338788878008</c:v>
                </c:pt>
                <c:pt idx="2">
                  <c:v>-15.039068860457842</c:v>
                </c:pt>
                <c:pt idx="3">
                  <c:v>-25.810751491769416</c:v>
                </c:pt>
                <c:pt idx="4">
                  <c:v>-39.603917408771522</c:v>
                </c:pt>
                <c:pt idx="5">
                  <c:v>-56.441127484093528</c:v>
                </c:pt>
                <c:pt idx="6">
                  <c:v>-76.331724853933238</c:v>
                </c:pt>
                <c:pt idx="7">
                  <c:v>-99.279438904748176</c:v>
                </c:pt>
                <c:pt idx="8">
                  <c:v>-125.28571875014875</c:v>
                </c:pt>
                <c:pt idx="9">
                  <c:v>-154.3511162041396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5546-9734-F1DB0791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'4x9'!$U$7:$U$16</c:f>
              <c:numCache>
                <c:formatCode>General</c:formatCode>
                <c:ptCount val="10"/>
                <c:pt idx="0">
                  <c:v>-2.5874777386132903</c:v>
                </c:pt>
                <c:pt idx="1">
                  <c:v>-8.1613619253307128</c:v>
                </c:pt>
                <c:pt idx="2">
                  <c:v>-16.964997516364779</c:v>
                </c:pt>
                <c:pt idx="3">
                  <c:v>-29.127597947272712</c:v>
                </c:pt>
                <c:pt idx="4">
                  <c:v>-44.71110841261924</c:v>
                </c:pt>
                <c:pt idx="5">
                  <c:v>-63.743138184914805</c:v>
                </c:pt>
                <c:pt idx="6">
                  <c:v>-86.235374072531883</c:v>
                </c:pt>
                <c:pt idx="7">
                  <c:v>-112.1925836391281</c:v>
                </c:pt>
                <c:pt idx="8">
                  <c:v>-141.61665990283936</c:v>
                </c:pt>
                <c:pt idx="9">
                  <c:v>-174.50833937905361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D-8C4F-A8D7-9A508093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'4x10'!$U$6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'4x10'!$U$7:$U$16</c:f>
              <c:numCache>
                <c:formatCode>General</c:formatCode>
                <c:ptCount val="10"/>
                <c:pt idx="0">
                  <c:v>-2.8861473887543605</c:v>
                </c:pt>
                <c:pt idx="1">
                  <c:v>-9.1039610292947373</c:v>
                </c:pt>
                <c:pt idx="2">
                  <c:v>-18.928390540766756</c:v>
                </c:pt>
                <c:pt idx="3">
                  <c:v>-32.507473733170173</c:v>
                </c:pt>
                <c:pt idx="4">
                  <c:v>-49.91325096968788</c:v>
                </c:pt>
                <c:pt idx="5">
                  <c:v>-71.178327980697446</c:v>
                </c:pt>
                <c:pt idx="6">
                  <c:v>-96.316720910387829</c:v>
                </c:pt>
                <c:pt idx="7">
                  <c:v>-125.33423595304419</c:v>
                </c:pt>
                <c:pt idx="8">
                  <c:v>-158.23321393210699</c:v>
                </c:pt>
                <c:pt idx="9">
                  <c:v>-195.01457949093989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A248-A885-3AD9B5ED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19.380224308650003</c:v>
                </c:pt>
                <c:pt idx="1">
                  <c:v>12.883072963545962</c:v>
                </c:pt>
                <c:pt idx="2">
                  <c:v>21.767119723802981</c:v>
                </c:pt>
                <c:pt idx="3">
                  <c:v>40.178293258402711</c:v>
                </c:pt>
                <c:pt idx="4">
                  <c:v>76.233434167860011</c:v>
                </c:pt>
                <c:pt idx="5">
                  <c:v>146.69443697494555</c:v>
                </c:pt>
                <c:pt idx="6">
                  <c:v>284.90021126348978</c:v>
                </c:pt>
                <c:pt idx="7">
                  <c:v>557.03945483290022</c:v>
                </c:pt>
                <c:pt idx="8">
                  <c:v>1094.6504987585356</c:v>
                </c:pt>
                <c:pt idx="9">
                  <c:v>2159.4457632749582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13.030902752565376</c:v>
                </c:pt>
                <c:pt idx="1">
                  <c:v>19.613633686215511</c:v>
                </c:pt>
                <c:pt idx="2">
                  <c:v>49.782326653186303</c:v>
                </c:pt>
                <c:pt idx="3">
                  <c:v>137.44512181693045</c:v>
                </c:pt>
                <c:pt idx="4">
                  <c:v>393.02139053477481</c:v>
                </c:pt>
                <c:pt idx="5">
                  <c:v>1145.4717277930013</c:v>
                </c:pt>
                <c:pt idx="6">
                  <c:v>3376.1969869601139</c:v>
                </c:pt>
                <c:pt idx="7">
                  <c:v>10018.86754585537</c:v>
                </c:pt>
                <c:pt idx="8">
                  <c:v>29854.65611429391</c:v>
                </c:pt>
                <c:pt idx="9">
                  <c:v>89189.826431016205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13.282157703260239</c:v>
                </c:pt>
                <c:pt idx="1">
                  <c:v>29.241240660485374</c:v>
                </c:pt>
                <c:pt idx="2">
                  <c:v>99.580524546258616</c:v>
                </c:pt>
                <c:pt idx="3">
                  <c:v>369.8249632467988</c:v>
                </c:pt>
                <c:pt idx="4">
                  <c:v>1424.3890284865449</c:v>
                </c:pt>
                <c:pt idx="5">
                  <c:v>5585.7610194436384</c:v>
                </c:pt>
                <c:pt idx="6">
                  <c:v>22109.754520011702</c:v>
                </c:pt>
                <c:pt idx="7">
                  <c:v>87945.93151270345</c:v>
                </c:pt>
                <c:pt idx="8">
                  <c:v>350734.11671241355</c:v>
                </c:pt>
                <c:pt idx="9">
                  <c:v>1400693.2300415332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14.516091898240006</c:v>
                </c:pt>
                <c:pt idx="1">
                  <c:v>41.413693033190086</c:v>
                </c:pt>
                <c:pt idx="2">
                  <c:v>177.3299355023631</c:v>
                </c:pt>
                <c:pt idx="3">
                  <c:v>829.4091820761123</c:v>
                </c:pt>
                <c:pt idx="4">
                  <c:v>4020.1010838636826</c:v>
                </c:pt>
                <c:pt idx="5">
                  <c:v>19804.569707334456</c:v>
                </c:pt>
                <c:pt idx="6">
                  <c:v>98317.396288256699</c:v>
                </c:pt>
                <c:pt idx="7">
                  <c:v>489886.70511016261</c:v>
                </c:pt>
                <c:pt idx="8">
                  <c:v>2445312.450884419</c:v>
                </c:pt>
                <c:pt idx="9">
                  <c:v>12216544.898902414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16.115662659428747</c:v>
                </c:pt>
                <c:pt idx="1">
                  <c:v>56.079559294460843</c:v>
                </c:pt>
                <c:pt idx="2">
                  <c:v>289.43253895704834</c:v>
                </c:pt>
                <c:pt idx="3">
                  <c:v>1633.1589858550701</c:v>
                </c:pt>
                <c:pt idx="4">
                  <c:v>9539.1649072222626</c:v>
                </c:pt>
                <c:pt idx="5">
                  <c:v>56550.333213805396</c:v>
                </c:pt>
                <c:pt idx="6">
                  <c:v>337458.82910440874</c:v>
                </c:pt>
                <c:pt idx="7">
                  <c:v>2019740.8386423788</c:v>
                </c:pt>
                <c:pt idx="8">
                  <c:v>12104749.707764093</c:v>
                </c:pt>
                <c:pt idx="9">
                  <c:v>72590990.386791617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17.909133338241897</c:v>
                </c:pt>
                <c:pt idx="1">
                  <c:v>73.238946698657955</c:v>
                </c:pt>
                <c:pt idx="2">
                  <c:v>442.36661763385865</c:v>
                </c:pt>
                <c:pt idx="3">
                  <c:v>2922.8534815563962</c:v>
                </c:pt>
                <c:pt idx="4">
                  <c:v>19971.28308901074</c:v>
                </c:pt>
                <c:pt idx="5">
                  <c:v>138356.86525716577</c:v>
                </c:pt>
                <c:pt idx="6">
                  <c:v>964152.93760938547</c:v>
                </c:pt>
                <c:pt idx="7">
                  <c:v>6735854.2208362604</c:v>
                </c:pt>
                <c:pt idx="8">
                  <c:v>47110605.98130627</c:v>
                </c:pt>
                <c:pt idx="9">
                  <c:v>329650665.74810421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212725</xdr:rowOff>
    </xdr:from>
    <xdr:to>
      <xdr:col>12</xdr:col>
      <xdr:colOff>149225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E7FF7-B687-8541-B657-8E9F795F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D68E-FFEC-B841-998B-F5763A87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8540C-3F12-C64F-ABC6-92C3DB5E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0CE6-9544-0944-BE56-C64B4C0B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57150</xdr:rowOff>
    </xdr:from>
    <xdr:to>
      <xdr:col>12</xdr:col>
      <xdr:colOff>127000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C6FB-7E55-304E-9639-C7C997F1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22FF-4884-BB42-B54F-40B1F580F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5CD6F-7D81-4548-B549-CA833218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2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26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27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2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29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3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2"/>
  <sheetViews>
    <sheetView zoomScale="80" zoomScaleNormal="80" zoomScalePageLayoutView="80" workbookViewId="0">
      <selection activeCell="B19" sqref="B19:C19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3" width="13.5" bestFit="1" customWidth="1"/>
    <col min="4" max="10" width="13.83203125" customWidth="1"/>
    <col min="11" max="22" width="4.6640625" customWidth="1"/>
  </cols>
  <sheetData>
    <row r="1" spans="1:22" ht="25" thickBot="1" x14ac:dyDescent="0.35">
      <c r="A1" s="295" t="s">
        <v>120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7"/>
    </row>
    <row r="2" spans="1:22" ht="22" thickBot="1" x14ac:dyDescent="0.3">
      <c r="A2" s="300" t="s">
        <v>50</v>
      </c>
      <c r="B2" s="301"/>
      <c r="C2" s="301"/>
      <c r="D2" s="301"/>
      <c r="E2" s="301"/>
      <c r="F2" s="301"/>
      <c r="G2" s="301"/>
      <c r="H2" s="355"/>
      <c r="I2" s="355"/>
      <c r="J2" s="355"/>
      <c r="L2" s="287" t="s">
        <v>23</v>
      </c>
      <c r="M2" s="287"/>
      <c r="N2" s="287"/>
      <c r="O2" s="287"/>
      <c r="P2" s="287"/>
      <c r="Q2" s="287"/>
      <c r="R2" s="287"/>
      <c r="S2" s="287"/>
      <c r="T2" s="287"/>
      <c r="U2" s="287"/>
      <c r="V2" s="287"/>
    </row>
    <row r="3" spans="1:22" ht="17" thickBot="1" x14ac:dyDescent="0.25">
      <c r="A3" s="351" t="s">
        <v>63</v>
      </c>
      <c r="B3" s="122" t="s">
        <v>61</v>
      </c>
      <c r="C3" s="130"/>
      <c r="D3" s="120" t="s">
        <v>52</v>
      </c>
      <c r="E3" s="353" t="s">
        <v>61</v>
      </c>
      <c r="F3" s="120" t="s">
        <v>62</v>
      </c>
      <c r="G3" s="120" t="s">
        <v>85</v>
      </c>
      <c r="H3" s="120"/>
      <c r="I3" s="120"/>
      <c r="J3" s="120"/>
      <c r="K3" s="1"/>
      <c r="L3" s="48" t="s">
        <v>9</v>
      </c>
      <c r="M3" s="48" t="s">
        <v>22</v>
      </c>
      <c r="N3" s="48">
        <v>2</v>
      </c>
      <c r="O3" s="48">
        <v>3</v>
      </c>
      <c r="P3" s="48">
        <v>4</v>
      </c>
      <c r="Q3" s="48">
        <v>5</v>
      </c>
      <c r="R3" s="48">
        <v>6</v>
      </c>
      <c r="S3" s="48">
        <v>7</v>
      </c>
      <c r="T3" s="48">
        <v>8</v>
      </c>
      <c r="U3" s="48">
        <v>9</v>
      </c>
      <c r="V3" s="48">
        <v>10</v>
      </c>
    </row>
    <row r="4" spans="1:22" ht="17" thickBot="1" x14ac:dyDescent="0.25">
      <c r="A4" s="351" t="s">
        <v>121</v>
      </c>
      <c r="B4" s="123" t="s">
        <v>6</v>
      </c>
      <c r="C4" s="130"/>
      <c r="D4" s="120" t="s">
        <v>52</v>
      </c>
      <c r="E4" s="120" t="s">
        <v>51</v>
      </c>
      <c r="F4" s="120" t="s">
        <v>6</v>
      </c>
      <c r="G4" s="120"/>
      <c r="H4" s="120"/>
      <c r="I4" s="120"/>
      <c r="J4" s="120"/>
      <c r="K4" s="1"/>
      <c r="L4" s="48" t="s">
        <v>20</v>
      </c>
      <c r="M4" s="49" t="str">
        <f>Summary!C3</f>
        <v>H</v>
      </c>
      <c r="N4" s="49" t="str">
        <f>Summary!D3</f>
        <v>H</v>
      </c>
      <c r="O4" s="49" t="str">
        <f>Summary!E3</f>
        <v>H</v>
      </c>
      <c r="P4" s="49" t="str">
        <f>Summary!F3</f>
        <v>H</v>
      </c>
      <c r="Q4" s="49" t="str">
        <f>Summary!G3</f>
        <v>H</v>
      </c>
      <c r="R4" s="49" t="str">
        <f>Summary!H3</f>
        <v>H</v>
      </c>
      <c r="S4" s="49" t="str">
        <f>Summary!I3</f>
        <v>H</v>
      </c>
      <c r="T4" s="49" t="str">
        <f>Summary!J3</f>
        <v>H</v>
      </c>
      <c r="U4" s="49" t="str">
        <f>Summary!K3</f>
        <v>H</v>
      </c>
      <c r="V4" s="49" t="str">
        <f>Summary!L3</f>
        <v>H</v>
      </c>
    </row>
    <row r="5" spans="1:22" ht="17" thickBot="1" x14ac:dyDescent="0.25">
      <c r="A5" s="351" t="s">
        <v>122</v>
      </c>
      <c r="B5" s="123">
        <v>4</v>
      </c>
      <c r="C5" s="130" t="str">
        <f>"True Count: " &amp; B5-4</f>
        <v>True Count: 0</v>
      </c>
      <c r="D5" s="120" t="s">
        <v>52</v>
      </c>
      <c r="E5" s="120" t="s">
        <v>82</v>
      </c>
      <c r="F5" s="120" t="s">
        <v>81</v>
      </c>
      <c r="G5" s="120"/>
      <c r="H5" s="120"/>
      <c r="I5" s="120"/>
      <c r="J5" s="120"/>
      <c r="K5" s="1"/>
      <c r="L5" s="48">
        <v>9</v>
      </c>
      <c r="M5" s="49" t="str">
        <f>Summary!C4</f>
        <v>H</v>
      </c>
      <c r="N5" s="49" t="str">
        <f>Summary!D4</f>
        <v>H</v>
      </c>
      <c r="O5" s="49" t="str">
        <f>Summary!E4</f>
        <v>D</v>
      </c>
      <c r="P5" s="49" t="str">
        <f>Summary!F4</f>
        <v>D</v>
      </c>
      <c r="Q5" s="49" t="str">
        <f>Summary!G4</f>
        <v>D</v>
      </c>
      <c r="R5" s="49" t="str">
        <f>Summary!H4</f>
        <v>D</v>
      </c>
      <c r="S5" s="49" t="str">
        <f>Summary!I4</f>
        <v>H</v>
      </c>
      <c r="T5" s="49" t="str">
        <f>Summary!J4</f>
        <v>H</v>
      </c>
      <c r="U5" s="49" t="str">
        <f>Summary!K4</f>
        <v>H</v>
      </c>
      <c r="V5" s="49" t="str">
        <f>Summary!L4</f>
        <v>H</v>
      </c>
    </row>
    <row r="6" spans="1:22" ht="17" thickBot="1" x14ac:dyDescent="0.25">
      <c r="A6" s="351" t="s">
        <v>54</v>
      </c>
      <c r="B6" s="123" t="s">
        <v>55</v>
      </c>
      <c r="C6" s="130"/>
      <c r="D6" s="120" t="s">
        <v>52</v>
      </c>
      <c r="E6" s="120" t="s">
        <v>74</v>
      </c>
      <c r="F6" s="120" t="s">
        <v>55</v>
      </c>
      <c r="G6" s="120"/>
      <c r="H6" s="120"/>
      <c r="I6" s="120"/>
      <c r="J6" s="120"/>
      <c r="K6" s="1"/>
      <c r="L6" s="48">
        <v>10</v>
      </c>
      <c r="M6" s="49" t="str">
        <f>Summary!C5</f>
        <v>H</v>
      </c>
      <c r="N6" s="49" t="str">
        <f>Summary!D5</f>
        <v>D</v>
      </c>
      <c r="O6" s="49" t="str">
        <f>Summary!E5</f>
        <v>D</v>
      </c>
      <c r="P6" s="49" t="str">
        <f>Summary!F5</f>
        <v>D</v>
      </c>
      <c r="Q6" s="49" t="str">
        <f>Summary!G5</f>
        <v>D</v>
      </c>
      <c r="R6" s="49" t="str">
        <f>Summary!H5</f>
        <v>D</v>
      </c>
      <c r="S6" s="49" t="str">
        <f>Summary!I5</f>
        <v>D</v>
      </c>
      <c r="T6" s="49" t="str">
        <f>Summary!J5</f>
        <v>D</v>
      </c>
      <c r="U6" s="49" t="str">
        <f>Summary!K5</f>
        <v>D</v>
      </c>
      <c r="V6" s="49" t="str">
        <f>Summary!L5</f>
        <v>H</v>
      </c>
    </row>
    <row r="7" spans="1:22" ht="17" thickBot="1" x14ac:dyDescent="0.25">
      <c r="A7" s="351" t="s">
        <v>60</v>
      </c>
      <c r="B7" s="123" t="s">
        <v>57</v>
      </c>
      <c r="C7" s="130"/>
      <c r="D7" s="120" t="s">
        <v>52</v>
      </c>
      <c r="E7" s="120" t="s">
        <v>56</v>
      </c>
      <c r="F7" s="120" t="s">
        <v>57</v>
      </c>
      <c r="G7" s="120"/>
      <c r="H7" s="120"/>
      <c r="I7" s="120"/>
      <c r="J7" s="120"/>
      <c r="K7" s="1"/>
      <c r="L7" s="48">
        <v>11</v>
      </c>
      <c r="M7" s="49" t="str">
        <f>Summary!C6</f>
        <v>H</v>
      </c>
      <c r="N7" s="49" t="str">
        <f>Summary!D6</f>
        <v>D</v>
      </c>
      <c r="O7" s="49" t="str">
        <f>Summary!E6</f>
        <v>D</v>
      </c>
      <c r="P7" s="49" t="str">
        <f>Summary!F6</f>
        <v>D</v>
      </c>
      <c r="Q7" s="49" t="str">
        <f>Summary!G6</f>
        <v>D</v>
      </c>
      <c r="R7" s="49" t="str">
        <f>Summary!H6</f>
        <v>D</v>
      </c>
      <c r="S7" s="49" t="str">
        <f>Summary!I6</f>
        <v>D</v>
      </c>
      <c r="T7" s="49" t="str">
        <f>Summary!J6</f>
        <v>D</v>
      </c>
      <c r="U7" s="49" t="str">
        <f>Summary!K6</f>
        <v>D</v>
      </c>
      <c r="V7" s="49" t="str">
        <f>Summary!L6</f>
        <v>H</v>
      </c>
    </row>
    <row r="8" spans="1:22" ht="17" thickBot="1" x14ac:dyDescent="0.25">
      <c r="A8" s="351" t="s">
        <v>58</v>
      </c>
      <c r="B8" s="123" t="s">
        <v>57</v>
      </c>
      <c r="C8" s="130"/>
      <c r="D8" s="120" t="s">
        <v>52</v>
      </c>
      <c r="E8" s="120" t="s">
        <v>56</v>
      </c>
      <c r="F8" s="120" t="s">
        <v>57</v>
      </c>
      <c r="G8" s="120"/>
      <c r="H8" s="120"/>
      <c r="I8" s="120"/>
      <c r="J8" s="120"/>
      <c r="K8" s="1"/>
      <c r="L8" s="48">
        <v>12</v>
      </c>
      <c r="M8" s="49" t="str">
        <f>Summary!C7</f>
        <v>H</v>
      </c>
      <c r="N8" s="49" t="str">
        <f>Summary!D7</f>
        <v>H</v>
      </c>
      <c r="O8" s="49" t="str">
        <f>Summary!E7</f>
        <v>H</v>
      </c>
      <c r="P8" s="49" t="str">
        <f>Summary!F7</f>
        <v>S</v>
      </c>
      <c r="Q8" s="49" t="str">
        <f>Summary!G7</f>
        <v>S</v>
      </c>
      <c r="R8" s="49" t="str">
        <f>Summary!H7</f>
        <v>S</v>
      </c>
      <c r="S8" s="49" t="str">
        <f>Summary!I7</f>
        <v>H</v>
      </c>
      <c r="T8" s="49" t="str">
        <f>Summary!J7</f>
        <v>H</v>
      </c>
      <c r="U8" s="49" t="str">
        <f>Summary!K7</f>
        <v>H</v>
      </c>
      <c r="V8" s="49" t="str">
        <f>Summary!L7</f>
        <v>H</v>
      </c>
    </row>
    <row r="9" spans="1:22" ht="17" thickBot="1" x14ac:dyDescent="0.25">
      <c r="A9" s="351" t="s">
        <v>73</v>
      </c>
      <c r="B9" s="123" t="s">
        <v>57</v>
      </c>
      <c r="C9" s="130"/>
      <c r="D9" s="120" t="s">
        <v>52</v>
      </c>
      <c r="E9" s="120" t="s">
        <v>56</v>
      </c>
      <c r="F9" s="120" t="s">
        <v>57</v>
      </c>
      <c r="G9" s="120"/>
      <c r="H9" s="120"/>
      <c r="I9" s="120"/>
      <c r="J9" s="120"/>
      <c r="K9" s="1"/>
      <c r="L9" s="48">
        <v>13</v>
      </c>
      <c r="M9" s="49" t="str">
        <f>Summary!C8</f>
        <v>H</v>
      </c>
      <c r="N9" s="49" t="str">
        <f>Summary!D8</f>
        <v>S</v>
      </c>
      <c r="O9" s="49" t="str">
        <f>Summary!E8</f>
        <v>S</v>
      </c>
      <c r="P9" s="49" t="str">
        <f>Summary!F8</f>
        <v>S</v>
      </c>
      <c r="Q9" s="49" t="str">
        <f>Summary!G8</f>
        <v>S</v>
      </c>
      <c r="R9" s="49" t="str">
        <f>Summary!H8</f>
        <v>S</v>
      </c>
      <c r="S9" s="49" t="str">
        <f>Summary!I8</f>
        <v>H</v>
      </c>
      <c r="T9" s="49" t="str">
        <f>Summary!J8</f>
        <v>H</v>
      </c>
      <c r="U9" s="49" t="str">
        <f>Summary!K8</f>
        <v>H</v>
      </c>
      <c r="V9" s="49" t="str">
        <f>Summary!L8</f>
        <v>H</v>
      </c>
    </row>
    <row r="10" spans="1:22" ht="17" thickBot="1" x14ac:dyDescent="0.25">
      <c r="A10" s="351" t="s">
        <v>50</v>
      </c>
      <c r="B10" s="123" t="s">
        <v>64</v>
      </c>
      <c r="C10" s="130"/>
      <c r="D10" s="120" t="s">
        <v>52</v>
      </c>
      <c r="E10" s="120" t="s">
        <v>65</v>
      </c>
      <c r="F10" s="120" t="s">
        <v>64</v>
      </c>
      <c r="G10" s="120"/>
      <c r="H10" s="120"/>
      <c r="I10" s="120"/>
      <c r="J10" s="120"/>
      <c r="K10" s="1"/>
      <c r="L10" s="48">
        <v>14</v>
      </c>
      <c r="M10" s="49" t="str">
        <f>Summary!C9</f>
        <v>H</v>
      </c>
      <c r="N10" s="49" t="str">
        <f>Summary!D9</f>
        <v>S</v>
      </c>
      <c r="O10" s="49" t="str">
        <f>Summary!E9</f>
        <v>S</v>
      </c>
      <c r="P10" s="49" t="str">
        <f>Summary!F9</f>
        <v>S</v>
      </c>
      <c r="Q10" s="49" t="str">
        <f>Summary!G9</f>
        <v>S</v>
      </c>
      <c r="R10" s="49" t="str">
        <f>Summary!H9</f>
        <v>S</v>
      </c>
      <c r="S10" s="49" t="str">
        <f>Summary!I9</f>
        <v>H</v>
      </c>
      <c r="T10" s="49" t="str">
        <f>Summary!J9</f>
        <v>H</v>
      </c>
      <c r="U10" s="49" t="str">
        <f>Summary!K9</f>
        <v>H</v>
      </c>
      <c r="V10" s="49" t="str">
        <f>Summary!L9</f>
        <v>H</v>
      </c>
    </row>
    <row r="11" spans="1:22" ht="17" thickBot="1" x14ac:dyDescent="0.25">
      <c r="A11" s="351" t="s">
        <v>71</v>
      </c>
      <c r="B11" s="123">
        <v>2</v>
      </c>
      <c r="C11" s="130" t="s">
        <v>72</v>
      </c>
      <c r="D11" s="120" t="s">
        <v>52</v>
      </c>
      <c r="E11" s="120" t="s">
        <v>59</v>
      </c>
      <c r="F11" s="120" t="s">
        <v>80</v>
      </c>
      <c r="G11" s="120"/>
      <c r="H11" s="120"/>
      <c r="I11" s="120"/>
      <c r="J11" s="120"/>
      <c r="K11" s="1"/>
      <c r="L11" s="48">
        <v>15</v>
      </c>
      <c r="M11" s="49" t="str">
        <f>Summary!C10</f>
        <v>H</v>
      </c>
      <c r="N11" s="49" t="str">
        <f>Summary!D10</f>
        <v>S</v>
      </c>
      <c r="O11" s="49" t="str">
        <f>Summary!E10</f>
        <v>S</v>
      </c>
      <c r="P11" s="49" t="str">
        <f>Summary!F10</f>
        <v>S</v>
      </c>
      <c r="Q11" s="49" t="str">
        <f>Summary!G10</f>
        <v>S</v>
      </c>
      <c r="R11" s="49" t="str">
        <f>Summary!H10</f>
        <v>S</v>
      </c>
      <c r="S11" s="49" t="str">
        <f>Summary!I10</f>
        <v>H</v>
      </c>
      <c r="T11" s="49" t="str">
        <f>Summary!J10</f>
        <v>H</v>
      </c>
      <c r="U11" s="49" t="str">
        <f>Summary!K10</f>
        <v>H</v>
      </c>
      <c r="V11" s="49" t="str">
        <f>Summary!L10</f>
        <v>H</v>
      </c>
    </row>
    <row r="12" spans="1:22" ht="17" thickBot="1" x14ac:dyDescent="0.25">
      <c r="A12" s="351" t="s">
        <v>79</v>
      </c>
      <c r="B12" s="123" t="s">
        <v>57</v>
      </c>
      <c r="C12" s="130"/>
      <c r="D12" s="120" t="s">
        <v>52</v>
      </c>
      <c r="E12" s="120" t="s">
        <v>56</v>
      </c>
      <c r="F12" s="120" t="s">
        <v>57</v>
      </c>
      <c r="G12" s="120"/>
      <c r="H12" s="120"/>
      <c r="I12" s="120"/>
      <c r="J12" s="120"/>
      <c r="K12" s="1"/>
      <c r="L12" s="48">
        <v>16</v>
      </c>
      <c r="M12" s="49" t="str">
        <f>Summary!C11</f>
        <v>S</v>
      </c>
      <c r="N12" s="49" t="str">
        <f>Summary!D11</f>
        <v>S</v>
      </c>
      <c r="O12" s="49" t="str">
        <f>Summary!E11</f>
        <v>S</v>
      </c>
      <c r="P12" s="49" t="str">
        <f>Summary!F11</f>
        <v>S</v>
      </c>
      <c r="Q12" s="49" t="str">
        <f>Summary!G11</f>
        <v>S</v>
      </c>
      <c r="R12" s="49" t="str">
        <f>Summary!H11</f>
        <v>S</v>
      </c>
      <c r="S12" s="49" t="str">
        <f>Summary!I11</f>
        <v>H</v>
      </c>
      <c r="T12" s="49" t="str">
        <f>Summary!J11</f>
        <v>H</v>
      </c>
      <c r="U12" s="49" t="str">
        <f>Summary!K11</f>
        <v>H</v>
      </c>
      <c r="V12" s="49" t="str">
        <f>Summary!L11</f>
        <v>H</v>
      </c>
    </row>
    <row r="13" spans="1:22" ht="17" thickBot="1" x14ac:dyDescent="0.25">
      <c r="A13" s="351" t="s">
        <v>87</v>
      </c>
      <c r="B13" s="123" t="s">
        <v>84</v>
      </c>
      <c r="C13" s="130"/>
      <c r="D13" s="120" t="s">
        <v>52</v>
      </c>
      <c r="E13" s="120" t="s">
        <v>83</v>
      </c>
      <c r="F13" s="120" t="s">
        <v>84</v>
      </c>
      <c r="G13" s="120"/>
      <c r="H13" s="120"/>
      <c r="I13" s="120"/>
      <c r="J13" s="120"/>
      <c r="K13" s="1"/>
      <c r="L13" s="48" t="s">
        <v>21</v>
      </c>
      <c r="M13" s="49" t="str">
        <f>Summary!C12</f>
        <v>S</v>
      </c>
      <c r="N13" s="49" t="str">
        <f>Summary!D12</f>
        <v>S</v>
      </c>
      <c r="O13" s="49" t="str">
        <f>Summary!E12</f>
        <v>S</v>
      </c>
      <c r="P13" s="49" t="str">
        <f>Summary!F12</f>
        <v>S</v>
      </c>
      <c r="Q13" s="49" t="str">
        <f>Summary!G12</f>
        <v>S</v>
      </c>
      <c r="R13" s="49" t="str">
        <f>Summary!H12</f>
        <v>S</v>
      </c>
      <c r="S13" s="49" t="str">
        <f>Summary!I12</f>
        <v>S</v>
      </c>
      <c r="T13" s="49" t="str">
        <f>Summary!J12</f>
        <v>S</v>
      </c>
      <c r="U13" s="49" t="str">
        <f>Summary!K12</f>
        <v>S</v>
      </c>
      <c r="V13" s="49" t="str">
        <f>Summary!L12</f>
        <v>S</v>
      </c>
    </row>
    <row r="14" spans="1:22" ht="17" thickBot="1" x14ac:dyDescent="0.25">
      <c r="A14" s="351" t="s">
        <v>88</v>
      </c>
      <c r="B14" s="123" t="s">
        <v>89</v>
      </c>
      <c r="C14" s="130"/>
      <c r="D14" s="120" t="s">
        <v>52</v>
      </c>
      <c r="E14" s="120" t="s">
        <v>89</v>
      </c>
      <c r="F14" s="120" t="s">
        <v>90</v>
      </c>
      <c r="G14" s="120"/>
      <c r="H14" s="120"/>
      <c r="I14" s="120"/>
      <c r="J14" s="120"/>
      <c r="K14" s="1"/>
      <c r="L14" s="48" t="s">
        <v>4</v>
      </c>
      <c r="M14" s="48" t="s">
        <v>22</v>
      </c>
      <c r="N14" s="48">
        <v>2</v>
      </c>
      <c r="O14" s="48">
        <v>3</v>
      </c>
      <c r="P14" s="48">
        <v>4</v>
      </c>
      <c r="Q14" s="48">
        <v>5</v>
      </c>
      <c r="R14" s="48">
        <v>6</v>
      </c>
      <c r="S14" s="48">
        <v>7</v>
      </c>
      <c r="T14" s="48">
        <v>8</v>
      </c>
      <c r="U14" s="48">
        <v>9</v>
      </c>
      <c r="V14" s="48">
        <v>10</v>
      </c>
    </row>
    <row r="15" spans="1:22" ht="17" thickBot="1" x14ac:dyDescent="0.25">
      <c r="A15" s="351" t="s">
        <v>113</v>
      </c>
      <c r="B15" s="123" t="s">
        <v>84</v>
      </c>
      <c r="C15" s="130"/>
      <c r="D15" s="120" t="s">
        <v>52</v>
      </c>
      <c r="E15" s="120" t="s">
        <v>83</v>
      </c>
      <c r="F15" s="120" t="s">
        <v>114</v>
      </c>
      <c r="G15" s="120" t="s">
        <v>84</v>
      </c>
      <c r="H15" s="120"/>
      <c r="I15" s="120"/>
      <c r="J15" s="120"/>
      <c r="K15" s="1"/>
      <c r="L15" s="48">
        <v>13</v>
      </c>
      <c r="M15" s="49" t="str">
        <f>Summary!C14</f>
        <v>H</v>
      </c>
      <c r="N15" s="49" t="str">
        <f>Summary!D14</f>
        <v>H</v>
      </c>
      <c r="O15" s="49" t="str">
        <f>Summary!E14</f>
        <v>H</v>
      </c>
      <c r="P15" s="49" t="str">
        <f>Summary!F14</f>
        <v>H</v>
      </c>
      <c r="Q15" s="49" t="str">
        <f>Summary!G14</f>
        <v>H</v>
      </c>
      <c r="R15" s="49" t="str">
        <f>Summary!H14</f>
        <v>H</v>
      </c>
      <c r="S15" s="49" t="str">
        <f>Summary!I14</f>
        <v>H</v>
      </c>
      <c r="T15" s="49" t="str">
        <f>Summary!J14</f>
        <v>H</v>
      </c>
      <c r="U15" s="49" t="str">
        <f>Summary!K14</f>
        <v>H</v>
      </c>
      <c r="V15" s="49" t="str">
        <f>Summary!L14</f>
        <v>H</v>
      </c>
    </row>
    <row r="16" spans="1:22" ht="17" thickBot="1" x14ac:dyDescent="0.25">
      <c r="A16" s="351" t="s">
        <v>112</v>
      </c>
      <c r="B16" s="123" t="s">
        <v>84</v>
      </c>
      <c r="C16" s="130"/>
      <c r="D16" s="120" t="s">
        <v>52</v>
      </c>
      <c r="E16" s="120" t="s">
        <v>83</v>
      </c>
      <c r="F16" s="120" t="s">
        <v>114</v>
      </c>
      <c r="G16" s="120" t="s">
        <v>84</v>
      </c>
      <c r="H16" s="120"/>
      <c r="I16" s="120"/>
      <c r="J16" s="120"/>
      <c r="K16" s="1"/>
      <c r="L16" s="48">
        <v>14</v>
      </c>
      <c r="M16" s="49" t="str">
        <f>Summary!C15</f>
        <v>H</v>
      </c>
      <c r="N16" s="49" t="str">
        <f>Summary!D15</f>
        <v>H</v>
      </c>
      <c r="O16" s="49" t="str">
        <f>Summary!E15</f>
        <v>H</v>
      </c>
      <c r="P16" s="49" t="str">
        <f>Summary!F15</f>
        <v>H</v>
      </c>
      <c r="Q16" s="49" t="str">
        <f>Summary!G15</f>
        <v>H</v>
      </c>
      <c r="R16" s="49" t="str">
        <f>Summary!H15</f>
        <v>H</v>
      </c>
      <c r="S16" s="49" t="str">
        <f>Summary!I15</f>
        <v>H</v>
      </c>
      <c r="T16" s="49" t="str">
        <f>Summary!J15</f>
        <v>H</v>
      </c>
      <c r="U16" s="49" t="str">
        <f>Summary!K15</f>
        <v>H</v>
      </c>
      <c r="V16" s="49" t="str">
        <f>Summary!L15</f>
        <v>H</v>
      </c>
    </row>
    <row r="17" spans="1:22" x14ac:dyDescent="0.2">
      <c r="A17" s="351" t="s">
        <v>86</v>
      </c>
      <c r="B17" s="123">
        <v>2</v>
      </c>
      <c r="C17" s="130" t="s">
        <v>72</v>
      </c>
      <c r="D17" s="120" t="s">
        <v>52</v>
      </c>
      <c r="E17" s="120" t="s">
        <v>59</v>
      </c>
      <c r="F17" s="120" t="s">
        <v>80</v>
      </c>
      <c r="G17" s="120"/>
      <c r="H17" s="120"/>
      <c r="I17" s="120"/>
      <c r="J17" s="120"/>
      <c r="K17" s="1"/>
      <c r="L17" s="48">
        <v>15</v>
      </c>
      <c r="M17" s="49" t="str">
        <f>Summary!C16</f>
        <v>H</v>
      </c>
      <c r="N17" s="49" t="str">
        <f>Summary!D16</f>
        <v>H</v>
      </c>
      <c r="O17" s="49" t="str">
        <f>Summary!E16</f>
        <v>H</v>
      </c>
      <c r="P17" s="49" t="str">
        <f>Summary!F16</f>
        <v>H</v>
      </c>
      <c r="Q17" s="49" t="str">
        <f>Summary!G16</f>
        <v>H</v>
      </c>
      <c r="R17" s="49" t="str">
        <f>Summary!H16</f>
        <v>H</v>
      </c>
      <c r="S17" s="49" t="str">
        <f>Summary!I16</f>
        <v>H</v>
      </c>
      <c r="T17" s="49" t="str">
        <f>Summary!J16</f>
        <v>H</v>
      </c>
      <c r="U17" s="49" t="str">
        <f>Summary!K16</f>
        <v>H</v>
      </c>
      <c r="V17" s="49" t="str">
        <f>Summary!L16</f>
        <v>H</v>
      </c>
    </row>
    <row r="18" spans="1:22" ht="17" thickBot="1" x14ac:dyDescent="0.25">
      <c r="A18" s="352" t="s">
        <v>201</v>
      </c>
      <c r="B18" s="354" t="s">
        <v>210</v>
      </c>
      <c r="C18" s="121"/>
      <c r="D18" s="120"/>
      <c r="E18" s="120"/>
      <c r="F18" s="120"/>
      <c r="G18" s="120"/>
      <c r="H18" s="120"/>
      <c r="I18" s="120"/>
      <c r="J18" s="120"/>
      <c r="K18" s="130"/>
      <c r="L18" s="48">
        <v>16</v>
      </c>
      <c r="M18" s="49" t="str">
        <f>Summary!C17</f>
        <v>H</v>
      </c>
      <c r="N18" s="49" t="str">
        <f>Summary!D17</f>
        <v>H</v>
      </c>
      <c r="O18" s="49" t="str">
        <f>Summary!E17</f>
        <v>H</v>
      </c>
      <c r="P18" s="49" t="str">
        <f>Summary!F17</f>
        <v>H</v>
      </c>
      <c r="Q18" s="49" t="str">
        <f>Summary!G17</f>
        <v>H</v>
      </c>
      <c r="R18" s="49" t="str">
        <f>Summary!H17</f>
        <v>H</v>
      </c>
      <c r="S18" s="49" t="str">
        <f>Summary!I17</f>
        <v>H</v>
      </c>
      <c r="T18" s="49" t="str">
        <f>Summary!J17</f>
        <v>H</v>
      </c>
      <c r="U18" s="49" t="str">
        <f>Summary!K17</f>
        <v>H</v>
      </c>
      <c r="V18" s="49" t="str">
        <f>Summary!L17</f>
        <v>H</v>
      </c>
    </row>
    <row r="19" spans="1:22" ht="17" thickBot="1" x14ac:dyDescent="0.25">
      <c r="A19" s="352" t="s">
        <v>200</v>
      </c>
      <c r="B19" s="360" t="s">
        <v>202</v>
      </c>
      <c r="C19" s="361"/>
      <c r="D19" s="363"/>
      <c r="E19" s="120"/>
      <c r="F19" s="120"/>
      <c r="G19" s="120"/>
      <c r="H19" s="120"/>
      <c r="I19" s="120"/>
      <c r="J19" s="120"/>
      <c r="K19" s="130"/>
      <c r="L19" s="48">
        <v>17</v>
      </c>
      <c r="M19" s="49" t="str">
        <f>Summary!C18</f>
        <v>H</v>
      </c>
      <c r="N19" s="49" t="str">
        <f>Summary!D18</f>
        <v>H</v>
      </c>
      <c r="O19" s="49" t="str">
        <f>Summary!E18</f>
        <v>H</v>
      </c>
      <c r="P19" s="49" t="str">
        <f>Summary!F18</f>
        <v>H</v>
      </c>
      <c r="Q19" s="49" t="str">
        <f>Summary!G18</f>
        <v>H</v>
      </c>
      <c r="R19" s="49" t="str">
        <f>Summary!H18</f>
        <v>H</v>
      </c>
      <c r="S19" s="49" t="str">
        <f>Summary!I18</f>
        <v>H</v>
      </c>
      <c r="T19" s="49" t="str">
        <f>Summary!J18</f>
        <v>H</v>
      </c>
      <c r="U19" s="49" t="str">
        <f>Summary!K18</f>
        <v>H</v>
      </c>
      <c r="V19" s="49" t="str">
        <f>Summary!L18</f>
        <v>H</v>
      </c>
    </row>
    <row r="20" spans="1:22" x14ac:dyDescent="0.2">
      <c r="A20" s="352" t="s">
        <v>204</v>
      </c>
      <c r="B20" s="356" t="s">
        <v>205</v>
      </c>
      <c r="C20" s="357"/>
      <c r="D20" s="120" t="s">
        <v>52</v>
      </c>
      <c r="E20" s="120" t="s">
        <v>205</v>
      </c>
      <c r="F20" s="120" t="s">
        <v>206</v>
      </c>
      <c r="G20" s="120"/>
      <c r="H20" s="120"/>
      <c r="I20" s="120"/>
      <c r="J20" s="120"/>
      <c r="K20" s="130"/>
      <c r="L20" s="48">
        <v>18</v>
      </c>
      <c r="M20" s="49" t="str">
        <f>Summary!C19</f>
        <v>S</v>
      </c>
      <c r="N20" s="49" t="str">
        <f>Summary!D19</f>
        <v>S</v>
      </c>
      <c r="O20" s="49" t="str">
        <f>Summary!E19</f>
        <v>S</v>
      </c>
      <c r="P20" s="49" t="str">
        <f>Summary!F19</f>
        <v>S</v>
      </c>
      <c r="Q20" s="49" t="str">
        <f>Summary!G19</f>
        <v>S</v>
      </c>
      <c r="R20" s="49" t="str">
        <f>Summary!H19</f>
        <v>S</v>
      </c>
      <c r="S20" s="49" t="str">
        <f>Summary!I19</f>
        <v>S</v>
      </c>
      <c r="T20" s="49" t="str">
        <f>Summary!J19</f>
        <v>S</v>
      </c>
      <c r="U20" s="49" t="str">
        <f>Summary!K19</f>
        <v>H</v>
      </c>
      <c r="V20" s="49" t="str">
        <f>Summary!L19</f>
        <v>H</v>
      </c>
    </row>
    <row r="21" spans="1:22" x14ac:dyDescent="0.2">
      <c r="A21" s="48" t="s">
        <v>41</v>
      </c>
      <c r="B21" s="1">
        <f>'WL Prob'!P15</f>
        <v>0.41745743785701095</v>
      </c>
      <c r="C21" s="359">
        <f>'WL Prob'!P15</f>
        <v>0.41745743785701095</v>
      </c>
      <c r="D21" s="48" t="s">
        <v>42</v>
      </c>
      <c r="E21" s="1">
        <f>'WL Prob'!R15</f>
        <v>0.58254256214298905</v>
      </c>
      <c r="F21" s="358">
        <f>'WL Prob'!R15</f>
        <v>0.58254256214298905</v>
      </c>
      <c r="G21" s="48" t="s">
        <v>49</v>
      </c>
      <c r="H21" s="1">
        <f>B21-E21</f>
        <v>-0.1650851242859781</v>
      </c>
      <c r="I21" s="362">
        <f>C21-F21</f>
        <v>-0.1650851242859781</v>
      </c>
      <c r="J21" s="1"/>
      <c r="L21" s="48">
        <v>19</v>
      </c>
      <c r="M21" s="49" t="str">
        <f>Summary!C20</f>
        <v>S</v>
      </c>
      <c r="N21" s="49" t="str">
        <f>Summary!D20</f>
        <v>S</v>
      </c>
      <c r="O21" s="49" t="str">
        <f>Summary!E20</f>
        <v>S</v>
      </c>
      <c r="P21" s="49" t="str">
        <f>Summary!F20</f>
        <v>S</v>
      </c>
      <c r="Q21" s="49" t="str">
        <f>Summary!G20</f>
        <v>S</v>
      </c>
      <c r="R21" s="49" t="str">
        <f>Summary!H20</f>
        <v>S</v>
      </c>
      <c r="S21" s="49" t="str">
        <f>Summary!I20</f>
        <v>S</v>
      </c>
      <c r="T21" s="49" t="str">
        <f>Summary!J20</f>
        <v>S</v>
      </c>
      <c r="U21" s="49" t="str">
        <f>Summary!K20</f>
        <v>S</v>
      </c>
      <c r="V21" s="49" t="str">
        <f>Summary!L20</f>
        <v>S</v>
      </c>
    </row>
    <row r="22" spans="1:22" x14ac:dyDescent="0.2">
      <c r="A22" s="48" t="s">
        <v>68</v>
      </c>
      <c r="B22" s="1">
        <f>IF(Rules!$B$16=Rules!$E$16,EV!H46+'5 Cards'!G122,EV!H46)</f>
        <v>-3.2215330709750079E-2</v>
      </c>
      <c r="C22" s="358">
        <f>B22</f>
        <v>-3.2215330709750079E-2</v>
      </c>
      <c r="D22" s="1"/>
      <c r="E22" s="1"/>
      <c r="F22" s="1"/>
      <c r="G22" s="1"/>
      <c r="H22" s="1"/>
      <c r="I22" s="1"/>
      <c r="J22" s="1"/>
      <c r="L22" s="48" t="s">
        <v>10</v>
      </c>
      <c r="M22" s="48" t="s">
        <v>22</v>
      </c>
      <c r="N22" s="48">
        <v>2</v>
      </c>
      <c r="O22" s="48">
        <v>3</v>
      </c>
      <c r="P22" s="48">
        <v>4</v>
      </c>
      <c r="Q22" s="48">
        <v>5</v>
      </c>
      <c r="R22" s="48">
        <v>6</v>
      </c>
      <c r="S22" s="48">
        <v>7</v>
      </c>
      <c r="T22" s="48">
        <v>8</v>
      </c>
      <c r="U22" s="48">
        <v>9</v>
      </c>
      <c r="V22" s="48">
        <v>10</v>
      </c>
    </row>
    <row r="23" spans="1:22" x14ac:dyDescent="0.2">
      <c r="A23" s="290" t="str">
        <f>Final!M6</f>
        <v>Strategy Evs</v>
      </c>
      <c r="B23" s="291"/>
      <c r="C23" s="291"/>
      <c r="D23" s="291"/>
      <c r="E23" s="291"/>
      <c r="F23" s="291"/>
      <c r="G23" s="291"/>
      <c r="H23" s="291"/>
      <c r="I23" s="291"/>
      <c r="J23" s="291"/>
      <c r="L23" s="48" t="s">
        <v>22</v>
      </c>
      <c r="M23" s="49" t="str">
        <f>Summary!C22</f>
        <v>P</v>
      </c>
      <c r="N23" s="49" t="str">
        <f>Summary!D22</f>
        <v>P</v>
      </c>
      <c r="O23" s="49" t="str">
        <f>Summary!E22</f>
        <v>P</v>
      </c>
      <c r="P23" s="49" t="str">
        <f>Summary!F22</f>
        <v>P</v>
      </c>
      <c r="Q23" s="49" t="str">
        <f>Summary!G22</f>
        <v>P</v>
      </c>
      <c r="R23" s="49" t="str">
        <f>Summary!H22</f>
        <v>P</v>
      </c>
      <c r="S23" s="49" t="str">
        <f>Summary!I22</f>
        <v>P</v>
      </c>
      <c r="T23" s="49" t="str">
        <f>Summary!J22</f>
        <v>P</v>
      </c>
      <c r="U23" s="49" t="str">
        <f>Summary!K22</f>
        <v>P</v>
      </c>
      <c r="V23" s="49" t="str">
        <f>Summary!L22</f>
        <v>P</v>
      </c>
    </row>
    <row r="24" spans="1:22" x14ac:dyDescent="0.2">
      <c r="A24" s="163" t="str">
        <f>Final!M7</f>
        <v>Level</v>
      </c>
      <c r="B24" s="163" t="str">
        <f>Final!N7</f>
        <v>1x2</v>
      </c>
      <c r="C24" s="163" t="str">
        <f>Final!O7</f>
        <v>1x3</v>
      </c>
      <c r="D24" s="163" t="str">
        <f>Final!P7</f>
        <v>1x4</v>
      </c>
      <c r="E24" s="163" t="str">
        <f>Final!Q7</f>
        <v>1x5</v>
      </c>
      <c r="F24" s="163" t="str">
        <f>Final!R7</f>
        <v>1x6</v>
      </c>
      <c r="G24" s="163" t="str">
        <f>Final!S7</f>
        <v>1x7</v>
      </c>
      <c r="H24" s="163" t="str">
        <f>Final!T7</f>
        <v>1x8</v>
      </c>
      <c r="I24" s="163" t="str">
        <f>Final!U7</f>
        <v>1x9</v>
      </c>
      <c r="J24" s="163" t="str">
        <f>Final!V7</f>
        <v>1x10</v>
      </c>
      <c r="L24" s="48">
        <v>2</v>
      </c>
      <c r="M24" s="49" t="str">
        <f>Summary!C23</f>
        <v>H</v>
      </c>
      <c r="N24" s="49" t="str">
        <f>Summary!D23</f>
        <v>H</v>
      </c>
      <c r="O24" s="49" t="str">
        <f>Summary!E23</f>
        <v>H</v>
      </c>
      <c r="P24" s="49" t="str">
        <f>Summary!F23</f>
        <v>P</v>
      </c>
      <c r="Q24" s="49" t="str">
        <f>Summary!G23</f>
        <v>P</v>
      </c>
      <c r="R24" s="49" t="str">
        <f>Summary!H23</f>
        <v>P</v>
      </c>
      <c r="S24" s="49" t="str">
        <f>Summary!I23</f>
        <v>P</v>
      </c>
      <c r="T24" s="49" t="str">
        <f>Summary!J23</f>
        <v>H</v>
      </c>
      <c r="U24" s="49" t="str">
        <f>Summary!K23</f>
        <v>H</v>
      </c>
      <c r="V24" s="49" t="str">
        <f>Summary!L23</f>
        <v>H</v>
      </c>
    </row>
    <row r="25" spans="1:22" x14ac:dyDescent="0.2">
      <c r="A25" s="163">
        <f>Final!M9</f>
        <v>2</v>
      </c>
      <c r="B25" s="1">
        <f>'Strategy Summary'!B4</f>
        <v>-8.6551687971514329E-2</v>
      </c>
      <c r="C25" s="1">
        <f>'Strategy Summary'!C4</f>
        <v>-1.0881321796344684E-2</v>
      </c>
      <c r="D25" s="1">
        <f>'Strategy Summary'!D4</f>
        <v>7.5327031488404056E-2</v>
      </c>
      <c r="E25" s="1">
        <f>'Strategy Summary'!E4</f>
        <v>0.16588869090898117</v>
      </c>
      <c r="F25" s="1">
        <f>'Strategy Summary'!F4</f>
        <v>0.25840070038185703</v>
      </c>
      <c r="G25" s="1">
        <f>'Strategy Summary'!G4</f>
        <v>0.35167105259605869</v>
      </c>
      <c r="H25" s="1">
        <f>'Strategy Summary'!H4</f>
        <v>0.44503107196523023</v>
      </c>
      <c r="I25" s="1">
        <f>'Strategy Summary'!I4</f>
        <v>0.53809525008226577</v>
      </c>
      <c r="J25" s="1">
        <f>'Strategy Summary'!J4</f>
        <v>0.63065327399123661</v>
      </c>
      <c r="L25" s="48">
        <v>3</v>
      </c>
      <c r="M25" s="49" t="str">
        <f>Summary!C24</f>
        <v>H</v>
      </c>
      <c r="N25" s="49" t="str">
        <f>Summary!D24</f>
        <v>H</v>
      </c>
      <c r="O25" s="49" t="str">
        <f>Summary!E24</f>
        <v>H</v>
      </c>
      <c r="P25" s="49" t="str">
        <f>Summary!F24</f>
        <v>P</v>
      </c>
      <c r="Q25" s="49" t="str">
        <f>Summary!G24</f>
        <v>P</v>
      </c>
      <c r="R25" s="49" t="str">
        <f>Summary!H24</f>
        <v>P</v>
      </c>
      <c r="S25" s="49" t="str">
        <f>Summary!I24</f>
        <v>P</v>
      </c>
      <c r="T25" s="49" t="str">
        <f>Summary!J24</f>
        <v>H</v>
      </c>
      <c r="U25" s="49" t="str">
        <f>Summary!K24</f>
        <v>H</v>
      </c>
      <c r="V25" s="49" t="str">
        <f>Summary!L24</f>
        <v>H</v>
      </c>
    </row>
    <row r="26" spans="1:22" x14ac:dyDescent="0.2">
      <c r="A26" s="163">
        <f>Final!M10</f>
        <v>3</v>
      </c>
      <c r="B26" s="1">
        <f>'Strategy Summary'!B5</f>
        <v>-0.16867375129726578</v>
      </c>
      <c r="C26" s="1">
        <f>'Strategy Summary'!C5</f>
        <v>-2.0400194984254244E-2</v>
      </c>
      <c r="D26" s="1">
        <f>'Strategy Summary'!D5</f>
        <v>0.13790132922084994</v>
      </c>
      <c r="E26" s="1">
        <f>'Strategy Summary'!E5</f>
        <v>0.2991911554204737</v>
      </c>
      <c r="F26" s="1">
        <f>'Strategy Summary'!F5</f>
        <v>0.4615474469477876</v>
      </c>
      <c r="G26" s="1">
        <f>'Strategy Summary'!G5</f>
        <v>0.62409554833567327</v>
      </c>
      <c r="H26" s="1">
        <f>'Strategy Summary'!H5</f>
        <v>0.78630821005810847</v>
      </c>
      <c r="I26" s="1">
        <f>'Strategy Summary'!I5</f>
        <v>0.94785224375241506</v>
      </c>
      <c r="J26" s="1">
        <f>'Strategy Summary'!J5</f>
        <v>1.1085361873026871</v>
      </c>
      <c r="L26" s="48">
        <v>4</v>
      </c>
      <c r="M26" s="49" t="str">
        <f>Summary!C25</f>
        <v>H</v>
      </c>
      <c r="N26" s="49" t="str">
        <f>Summary!D25</f>
        <v>H</v>
      </c>
      <c r="O26" s="49" t="str">
        <f>Summary!E25</f>
        <v>H</v>
      </c>
      <c r="P26" s="49" t="str">
        <f>Summary!F25</f>
        <v>H</v>
      </c>
      <c r="Q26" s="49" t="str">
        <f>Summary!G25</f>
        <v>H</v>
      </c>
      <c r="R26" s="49" t="str">
        <f>Summary!H25</f>
        <v>H</v>
      </c>
      <c r="S26" s="49" t="str">
        <f>Summary!I25</f>
        <v>H</v>
      </c>
      <c r="T26" s="49" t="str">
        <f>Summary!J25</f>
        <v>H</v>
      </c>
      <c r="U26" s="49" t="str">
        <f>Summary!K25</f>
        <v>H</v>
      </c>
      <c r="V26" s="49" t="str">
        <f>Summary!L25</f>
        <v>H</v>
      </c>
    </row>
    <row r="27" spans="1:22" x14ac:dyDescent="0.2">
      <c r="A27" s="163">
        <f>Final!M11</f>
        <v>4</v>
      </c>
      <c r="B27" s="1">
        <f>'Strategy Summary'!B6</f>
        <v>-0.27383573533530148</v>
      </c>
      <c r="C27" s="1">
        <f>'Strategy Summary'!C6</f>
        <v>-3.1864893556236146E-2</v>
      </c>
      <c r="D27" s="1">
        <f>'Strategy Summary'!D6</f>
        <v>0.21061277908064843</v>
      </c>
      <c r="E27" s="1">
        <f>'Strategy Summary'!E6</f>
        <v>0.45083094173320881</v>
      </c>
      <c r="F27" s="1">
        <f>'Strategy Summary'!F6</f>
        <v>0.68961434976223523</v>
      </c>
      <c r="G27" s="1">
        <f>'Strategy Summary'!G6</f>
        <v>0.92735207221246507</v>
      </c>
      <c r="H27" s="1">
        <f>'Strategy Summary'!H6</f>
        <v>1.1640738554326027</v>
      </c>
      <c r="I27" s="1">
        <f>'Strategy Summary'!I6</f>
        <v>1.3996878125411412</v>
      </c>
      <c r="J27" s="1">
        <f>'Strategy Summary'!J6</f>
        <v>1.6341065890551658</v>
      </c>
      <c r="L27" s="48">
        <v>5</v>
      </c>
      <c r="M27" s="49" t="str">
        <f>Summary!C26</f>
        <v>H</v>
      </c>
      <c r="N27" s="49" t="str">
        <f>Summary!D26</f>
        <v>D</v>
      </c>
      <c r="O27" s="49" t="str">
        <f>Summary!E26</f>
        <v>D</v>
      </c>
      <c r="P27" s="49" t="str">
        <f>Summary!F26</f>
        <v>D</v>
      </c>
      <c r="Q27" s="49" t="str">
        <f>Summary!G26</f>
        <v>D</v>
      </c>
      <c r="R27" s="49" t="str">
        <f>Summary!H26</f>
        <v>D</v>
      </c>
      <c r="S27" s="49" t="str">
        <f>Summary!I26</f>
        <v>D</v>
      </c>
      <c r="T27" s="49" t="str">
        <f>Summary!J26</f>
        <v>D</v>
      </c>
      <c r="U27" s="49" t="str">
        <f>Summary!K26</f>
        <v>D</v>
      </c>
      <c r="V27" s="49" t="str">
        <f>Summary!L26</f>
        <v>H</v>
      </c>
    </row>
    <row r="28" spans="1:22" x14ac:dyDescent="0.2">
      <c r="A28" s="290" t="str">
        <f>Final!M12</f>
        <v>Strategy Edges</v>
      </c>
      <c r="B28" s="291"/>
      <c r="C28" s="291"/>
      <c r="D28" s="291"/>
      <c r="E28" s="291"/>
      <c r="F28" s="291"/>
      <c r="G28" s="291"/>
      <c r="H28" s="291"/>
      <c r="I28" s="291"/>
      <c r="J28" s="291"/>
      <c r="L28" s="48">
        <v>6</v>
      </c>
      <c r="M28" s="49" t="str">
        <f>Summary!C27</f>
        <v>H</v>
      </c>
      <c r="N28" s="49" t="str">
        <f>Summary!D27</f>
        <v>H</v>
      </c>
      <c r="O28" s="49" t="str">
        <f>Summary!E27</f>
        <v>P</v>
      </c>
      <c r="P28" s="49" t="str">
        <f>Summary!F27</f>
        <v>P</v>
      </c>
      <c r="Q28" s="49" t="str">
        <f>Summary!G27</f>
        <v>P</v>
      </c>
      <c r="R28" s="49" t="str">
        <f>Summary!H27</f>
        <v>P</v>
      </c>
      <c r="S28" s="49" t="str">
        <f>Summary!I27</f>
        <v>H</v>
      </c>
      <c r="T28" s="49" t="str">
        <f>Summary!J27</f>
        <v>H</v>
      </c>
      <c r="U28" s="49" t="str">
        <f>Summary!K27</f>
        <v>H</v>
      </c>
      <c r="V28" s="49" t="str">
        <f>Summary!L27</f>
        <v>H</v>
      </c>
    </row>
    <row r="29" spans="1:22" x14ac:dyDescent="0.2">
      <c r="A29" s="163" t="str">
        <f>Final!M13</f>
        <v>Level</v>
      </c>
      <c r="B29" s="163" t="str">
        <f>Final!N13</f>
        <v>1x2</v>
      </c>
      <c r="C29" s="163" t="str">
        <f>Final!O13</f>
        <v>1x3</v>
      </c>
      <c r="D29" s="163" t="str">
        <f>Final!P13</f>
        <v>1x4</v>
      </c>
      <c r="E29" s="163" t="str">
        <f>Final!Q13</f>
        <v>1x5</v>
      </c>
      <c r="F29" s="163" t="str">
        <f>Final!R13</f>
        <v>1x6</v>
      </c>
      <c r="G29" s="163" t="str">
        <f>Final!S13</f>
        <v>1x7</v>
      </c>
      <c r="H29" s="163" t="str">
        <f>Final!T13</f>
        <v>1x8</v>
      </c>
      <c r="I29" s="163" t="str">
        <f>Final!U13</f>
        <v>1x9</v>
      </c>
      <c r="J29" s="163" t="str">
        <f>Final!V13</f>
        <v>1x10</v>
      </c>
      <c r="L29" s="48">
        <v>7</v>
      </c>
      <c r="M29" s="49" t="str">
        <f>Summary!C28</f>
        <v>H</v>
      </c>
      <c r="N29" s="49" t="str">
        <f>Summary!D28</f>
        <v>P</v>
      </c>
      <c r="O29" s="49" t="str">
        <f>Summary!E28</f>
        <v>P</v>
      </c>
      <c r="P29" s="49" t="str">
        <f>Summary!F28</f>
        <v>P</v>
      </c>
      <c r="Q29" s="49" t="str">
        <f>Summary!G28</f>
        <v>P</v>
      </c>
      <c r="R29" s="49" t="str">
        <f>Summary!H28</f>
        <v>P</v>
      </c>
      <c r="S29" s="49" t="str">
        <f>Summary!I28</f>
        <v>P</v>
      </c>
      <c r="T29" s="49" t="str">
        <f>Summary!J28</f>
        <v>H</v>
      </c>
      <c r="U29" s="49" t="str">
        <f>Summary!K28</f>
        <v>H</v>
      </c>
      <c r="V29" s="49" t="str">
        <f>Summary!L28</f>
        <v>H</v>
      </c>
    </row>
    <row r="30" spans="1:22" x14ac:dyDescent="0.2">
      <c r="A30" s="163">
        <f>Final!M14</f>
        <v>2</v>
      </c>
      <c r="B30" s="1">
        <f>'Strategy Summary'!B16</f>
        <v>0.46572739415337044</v>
      </c>
      <c r="C30" s="1">
        <f>'Strategy Summary'!C16</f>
        <v>0.61181931874426798</v>
      </c>
      <c r="D30" s="1">
        <f>'Strategy Summary'!D16</f>
        <v>0.68396550721688909</v>
      </c>
      <c r="E30" s="1">
        <f>'Strategy Summary'!E16</f>
        <v>0.72439808678634787</v>
      </c>
      <c r="F30" s="1">
        <f>'Strategy Summary'!F16</f>
        <v>0.74893598538226158</v>
      </c>
      <c r="G30" s="1">
        <f>'Strategy Summary'!G16</f>
        <v>0.76462049939647958</v>
      </c>
      <c r="H30" s="1">
        <f>'Strategy Summary'!H16</f>
        <v>0.7750001756556687</v>
      </c>
      <c r="I30" s="1">
        <f>'Strategy Summary'!I16</f>
        <v>0.78203399995387746</v>
      </c>
      <c r="J30" s="1">
        <f>'Strategy Summary'!J16</f>
        <v>0.78687937415645604</v>
      </c>
      <c r="L30" s="48">
        <v>8</v>
      </c>
      <c r="M30" s="49" t="str">
        <f>Summary!C29</f>
        <v>S</v>
      </c>
      <c r="N30" s="49" t="str">
        <f>Summary!D29</f>
        <v>P</v>
      </c>
      <c r="O30" s="49" t="str">
        <f>Summary!E29</f>
        <v>P</v>
      </c>
      <c r="P30" s="49" t="str">
        <f>Summary!F29</f>
        <v>P</v>
      </c>
      <c r="Q30" s="49" t="str">
        <f>Summary!G29</f>
        <v>P</v>
      </c>
      <c r="R30" s="49" t="str">
        <f>Summary!H29</f>
        <v>P</v>
      </c>
      <c r="S30" s="49" t="str">
        <f>Summary!I29</f>
        <v>P</v>
      </c>
      <c r="T30" s="49" t="str">
        <f>Summary!J29</f>
        <v>P</v>
      </c>
      <c r="U30" s="49" t="str">
        <f>Summary!K29</f>
        <v>P</v>
      </c>
      <c r="V30" s="49" t="str">
        <f>Summary!L29</f>
        <v>H</v>
      </c>
    </row>
    <row r="31" spans="1:22" x14ac:dyDescent="0.2">
      <c r="A31" s="163">
        <f>Final!M15</f>
        <v>3</v>
      </c>
      <c r="B31" s="1">
        <f>'Strategy Summary'!B17</f>
        <v>0.64317191147208108</v>
      </c>
      <c r="C31" s="1">
        <f>'Strategy Summary'!C17</f>
        <v>0.78341055193537878</v>
      </c>
      <c r="D31" s="1">
        <f>'Strategy Summary'!D17</f>
        <v>0.84353843668476636</v>
      </c>
      <c r="E31" s="1">
        <f>'Strategy Summary'!E17</f>
        <v>0.87407689830200419</v>
      </c>
      <c r="F31" s="1">
        <f>'Strategy Summary'!F17</f>
        <v>0.8913994291370505</v>
      </c>
      <c r="G31" s="1">
        <f>'Strategy Summary'!G17</f>
        <v>0.90196679427164039</v>
      </c>
      <c r="H31" s="1">
        <f>'Strategy Summary'!H17</f>
        <v>0.90873606191507839</v>
      </c>
      <c r="I31" s="1">
        <f>'Strategy Summary'!I17</f>
        <v>0.91321959488546556</v>
      </c>
      <c r="J31" s="1">
        <f>'Strategy Summary'!J17</f>
        <v>0.91625868876611938</v>
      </c>
      <c r="L31" s="48">
        <v>9</v>
      </c>
      <c r="M31" s="49" t="str">
        <f>Summary!C30</f>
        <v>S</v>
      </c>
      <c r="N31" s="49" t="str">
        <f>Summary!D30</f>
        <v>P</v>
      </c>
      <c r="O31" s="49" t="str">
        <f>Summary!E30</f>
        <v>P</v>
      </c>
      <c r="P31" s="49" t="str">
        <f>Summary!F30</f>
        <v>P</v>
      </c>
      <c r="Q31" s="49" t="str">
        <f>Summary!G30</f>
        <v>P</v>
      </c>
      <c r="R31" s="49" t="str">
        <f>Summary!H30</f>
        <v>P</v>
      </c>
      <c r="S31" s="49" t="str">
        <f>Summary!I30</f>
        <v>S</v>
      </c>
      <c r="T31" s="49" t="str">
        <f>Summary!J30</f>
        <v>P</v>
      </c>
      <c r="U31" s="49" t="str">
        <f>Summary!K30</f>
        <v>P</v>
      </c>
      <c r="V31" s="49" t="str">
        <f>Summary!L30</f>
        <v>S</v>
      </c>
    </row>
    <row r="32" spans="1:22" x14ac:dyDescent="0.2">
      <c r="A32" s="163">
        <f>Final!M16</f>
        <v>4</v>
      </c>
      <c r="B32" s="1">
        <f>'Strategy Summary'!B18</f>
        <v>0.74667183613445132</v>
      </c>
      <c r="C32" s="1">
        <f>'Strategy Summary'!C18</f>
        <v>0.87307572952522516</v>
      </c>
      <c r="D32" s="1">
        <f>'Strategy Summary'!D18</f>
        <v>0.91935383975987739</v>
      </c>
      <c r="E32" s="1">
        <f>'Strategy Summary'!E18</f>
        <v>0.94042846022944293</v>
      </c>
      <c r="F32" s="1">
        <f>'Strategy Summary'!F18</f>
        <v>0.95153014094728505</v>
      </c>
      <c r="G32" s="1">
        <f>'Strategy Summary'!G18</f>
        <v>0.95796796441162091</v>
      </c>
      <c r="H32" s="1">
        <f>'Strategy Summary'!H18</f>
        <v>0.96194968835013461</v>
      </c>
      <c r="I32" s="1">
        <f>'Strategy Summary'!I18</f>
        <v>0.96452299987346923</v>
      </c>
      <c r="J32" s="1">
        <f>'Strategy Summary'!J18</f>
        <v>0.96623740283459492</v>
      </c>
      <c r="L32" s="48">
        <v>10</v>
      </c>
      <c r="M32" s="49" t="str">
        <f>Summary!C31</f>
        <v>S</v>
      </c>
      <c r="N32" s="49" t="str">
        <f>Summary!D31</f>
        <v>S</v>
      </c>
      <c r="O32" s="49" t="str">
        <f>Summary!E31</f>
        <v>S</v>
      </c>
      <c r="P32" s="49" t="str">
        <f>Summary!F31</f>
        <v>S</v>
      </c>
      <c r="Q32" s="49" t="str">
        <f>Summary!G31</f>
        <v>S</v>
      </c>
      <c r="R32" s="49" t="str">
        <f>Summary!H31</f>
        <v>S</v>
      </c>
      <c r="S32" s="49" t="str">
        <f>Summary!I31</f>
        <v>S</v>
      </c>
      <c r="T32" s="49" t="str">
        <f>Summary!J31</f>
        <v>S</v>
      </c>
      <c r="U32" s="49" t="str">
        <f>Summary!K31</f>
        <v>S</v>
      </c>
      <c r="V32" s="49" t="str">
        <f>Summary!L31</f>
        <v>S</v>
      </c>
    </row>
    <row r="33" spans="1:22" x14ac:dyDescent="0.2">
      <c r="A33" s="292" t="str">
        <f>Final!M17</f>
        <v>Strategy #1 Bet your Edge Bankroll</v>
      </c>
      <c r="B33" s="293"/>
      <c r="C33" s="293"/>
      <c r="D33" s="293"/>
      <c r="E33" s="293"/>
      <c r="F33" s="293"/>
      <c r="G33" s="293"/>
      <c r="H33" s="293"/>
      <c r="I33" s="293"/>
      <c r="J33" s="293"/>
      <c r="L33" s="284" t="str">
        <f>Summary!B32</f>
        <v>EV = -0.0322153307097501</v>
      </c>
      <c r="M33" s="284"/>
      <c r="N33" s="284"/>
      <c r="O33" s="284"/>
      <c r="P33" s="284"/>
      <c r="Q33" s="284"/>
      <c r="R33" s="284"/>
      <c r="S33" s="284"/>
      <c r="T33" s="284"/>
      <c r="U33" s="284"/>
      <c r="V33" s="284"/>
    </row>
    <row r="34" spans="1:22" x14ac:dyDescent="0.2">
      <c r="A34" s="163" t="str">
        <f>Final!M18</f>
        <v>Level</v>
      </c>
      <c r="B34" s="163" t="str">
        <f>Final!N18</f>
        <v>1x2</v>
      </c>
      <c r="C34" s="163" t="str">
        <f>Final!O18</f>
        <v>1x3</v>
      </c>
      <c r="D34" s="163" t="str">
        <f>Final!P18</f>
        <v>1x4</v>
      </c>
      <c r="E34" s="163" t="str">
        <f>Final!Q18</f>
        <v>1x5</v>
      </c>
      <c r="F34" s="163" t="str">
        <f>Final!R18</f>
        <v>1x6</v>
      </c>
      <c r="G34" s="163" t="str">
        <f>Final!S18</f>
        <v>1x7</v>
      </c>
      <c r="H34" s="163" t="str">
        <f>Final!T18</f>
        <v>1x8</v>
      </c>
      <c r="I34" s="163" t="str">
        <f>Final!U18</f>
        <v>1x9</v>
      </c>
      <c r="J34" s="163" t="str">
        <f>Final!V18</f>
        <v>1x10</v>
      </c>
      <c r="L34" s="284" t="str">
        <f>Summary!B33</f>
        <v>EV = -3.22153307097501 %</v>
      </c>
      <c r="M34" s="284"/>
      <c r="N34" s="284"/>
      <c r="O34" s="284"/>
      <c r="P34" s="284"/>
      <c r="Q34" s="284"/>
      <c r="R34" s="284"/>
      <c r="S34" s="284"/>
      <c r="T34" s="284"/>
      <c r="U34" s="284"/>
      <c r="V34" s="284"/>
    </row>
    <row r="35" spans="1:22" x14ac:dyDescent="0.2">
      <c r="A35" s="163">
        <f>Final!M19</f>
        <v>2</v>
      </c>
      <c r="B35" s="1">
        <f>'Strategy Summary'!B28</f>
        <v>12.883072963545962</v>
      </c>
      <c r="C35" s="1">
        <f>'Strategy Summary'!C28</f>
        <v>19.613633686215511</v>
      </c>
      <c r="D35" s="1">
        <f>'Strategy Summary'!D28</f>
        <v>29.241240660485374</v>
      </c>
      <c r="E35" s="1">
        <f>'Strategy Summary'!E28</f>
        <v>41.413693033190086</v>
      </c>
      <c r="F35" s="1">
        <f>'Strategy Summary'!F28</f>
        <v>56.079559294460843</v>
      </c>
      <c r="G35" s="1">
        <f>'Strategy Summary'!G28</f>
        <v>73.238946698657955</v>
      </c>
      <c r="H35" s="1">
        <f>'Strategy Summary'!H28</f>
        <v>92.903204749710255</v>
      </c>
      <c r="I35" s="1">
        <f>'Strategy Summary'!I28</f>
        <v>115.08451039891871</v>
      </c>
      <c r="J35" s="1">
        <f>'Strategy Summary'!J28</f>
        <v>139.79270980119577</v>
      </c>
      <c r="L35" s="288" t="s">
        <v>24</v>
      </c>
      <c r="M35" s="288"/>
      <c r="N35" s="288"/>
      <c r="O35" s="288"/>
      <c r="P35" s="288"/>
      <c r="Q35" s="288"/>
      <c r="R35" s="288"/>
      <c r="S35" s="288"/>
      <c r="T35" s="288"/>
      <c r="U35" s="288"/>
      <c r="V35" s="288"/>
    </row>
    <row r="36" spans="1:22" x14ac:dyDescent="0.2">
      <c r="A36" s="163">
        <f>Final!M20</f>
        <v>3</v>
      </c>
      <c r="B36" s="1">
        <f>'Strategy Summary'!B29</f>
        <v>21.767119723802981</v>
      </c>
      <c r="C36" s="1">
        <f>'Strategy Summary'!C29</f>
        <v>49.782326653186303</v>
      </c>
      <c r="D36" s="1">
        <f>'Strategy Summary'!D29</f>
        <v>99.580524546258616</v>
      </c>
      <c r="E36" s="1">
        <f>'Strategy Summary'!E29</f>
        <v>177.3299355023631</v>
      </c>
      <c r="F36" s="1">
        <f>'Strategy Summary'!F29</f>
        <v>289.43253895704834</v>
      </c>
      <c r="G36" s="1">
        <f>'Strategy Summary'!G29</f>
        <v>442.36661763385865</v>
      </c>
      <c r="H36" s="1">
        <f>'Strategy Summary'!H29</f>
        <v>642.65084712196108</v>
      </c>
      <c r="I36" s="1">
        <f>'Strategy Summary'!I29</f>
        <v>896.82701136380854</v>
      </c>
      <c r="J36" s="1">
        <f>'Strategy Summary'!J29</f>
        <v>1211.4482663130677</v>
      </c>
      <c r="L36" s="289" t="s">
        <v>25</v>
      </c>
      <c r="M36" s="289"/>
      <c r="N36" s="289"/>
      <c r="O36" s="289"/>
      <c r="P36" s="289"/>
      <c r="Q36" s="289"/>
      <c r="R36" s="289"/>
      <c r="S36" s="289"/>
      <c r="T36" s="289"/>
      <c r="U36" s="289"/>
      <c r="V36" s="289"/>
    </row>
    <row r="37" spans="1:22" x14ac:dyDescent="0.2">
      <c r="A37" s="163">
        <f>Final!M21</f>
        <v>4</v>
      </c>
      <c r="B37" s="1">
        <f>'Strategy Summary'!B30</f>
        <v>40.178293258402711</v>
      </c>
      <c r="C37" s="1">
        <f>'Strategy Summary'!C30</f>
        <v>137.44512181693045</v>
      </c>
      <c r="D37" s="1">
        <f>'Strategy Summary'!D30</f>
        <v>369.8249632467988</v>
      </c>
      <c r="E37" s="1">
        <f>'Strategy Summary'!E30</f>
        <v>829.4091820761123</v>
      </c>
      <c r="F37" s="1">
        <f>'Strategy Summary'!F30</f>
        <v>1633.1589858550701</v>
      </c>
      <c r="G37" s="1">
        <f>'Strategy Summary'!G30</f>
        <v>2922.8534815563962</v>
      </c>
      <c r="H37" s="1">
        <f>'Strategy Summary'!H30</f>
        <v>4865.119305799446</v>
      </c>
      <c r="I37" s="1">
        <f>'Strategy Summary'!I30</f>
        <v>7651.4505107375808</v>
      </c>
      <c r="J37" s="1">
        <f>'Strategy Summary'!J30</f>
        <v>11498.209412518325</v>
      </c>
      <c r="L37" s="285" t="s">
        <v>26</v>
      </c>
      <c r="M37" s="285"/>
      <c r="N37" s="285"/>
      <c r="O37" s="285"/>
      <c r="P37" s="285"/>
      <c r="Q37" s="285"/>
      <c r="R37" s="285"/>
      <c r="S37" s="285"/>
      <c r="T37" s="285"/>
      <c r="U37" s="285"/>
      <c r="V37" s="285"/>
    </row>
    <row r="38" spans="1:22" x14ac:dyDescent="0.2">
      <c r="A38" s="292" t="str">
        <f>Final!M27</f>
        <v>Strategy #1 Bet Your Edge ROI</v>
      </c>
      <c r="B38" s="293"/>
      <c r="C38" s="293"/>
      <c r="D38" s="293"/>
      <c r="E38" s="293"/>
      <c r="F38" s="293"/>
      <c r="G38" s="293"/>
      <c r="H38" s="293"/>
      <c r="I38" s="293"/>
      <c r="J38" s="293"/>
      <c r="L38" s="286" t="s">
        <v>27</v>
      </c>
      <c r="M38" s="286"/>
      <c r="N38" s="286"/>
      <c r="O38" s="286"/>
      <c r="P38" s="286"/>
      <c r="Q38" s="286"/>
      <c r="R38" s="286"/>
      <c r="S38" s="286"/>
      <c r="T38" s="286"/>
      <c r="U38" s="286"/>
      <c r="V38" s="286"/>
    </row>
    <row r="39" spans="1:22" x14ac:dyDescent="0.2">
      <c r="A39" s="163" t="str">
        <f>Final!M28</f>
        <v>Level</v>
      </c>
      <c r="B39" s="163" t="str">
        <f>Final!N28</f>
        <v>1x2</v>
      </c>
      <c r="C39" s="163" t="str">
        <f>Final!O28</f>
        <v>1x3</v>
      </c>
      <c r="D39" s="163" t="str">
        <f>Final!P28</f>
        <v>1x4</v>
      </c>
      <c r="E39" s="163" t="str">
        <f>Final!Q28</f>
        <v>1x5</v>
      </c>
      <c r="F39" s="163" t="str">
        <f>Final!R28</f>
        <v>1x6</v>
      </c>
      <c r="G39" s="163" t="str">
        <f>Final!S28</f>
        <v>1x7</v>
      </c>
      <c r="H39" s="163" t="str">
        <f>Final!T28</f>
        <v>1x8</v>
      </c>
      <c r="I39" s="163" t="str">
        <f>Final!U28</f>
        <v>1x9</v>
      </c>
      <c r="J39" s="163" t="str">
        <f>Final!V28</f>
        <v>1x10</v>
      </c>
      <c r="L39" s="284" t="s">
        <v>28</v>
      </c>
      <c r="M39" s="284"/>
      <c r="N39" s="284"/>
      <c r="O39" s="284"/>
      <c r="P39" s="284"/>
      <c r="Q39" s="284"/>
      <c r="R39" s="284"/>
      <c r="S39" s="284"/>
      <c r="T39" s="284"/>
      <c r="U39" s="284"/>
      <c r="V39" s="284"/>
    </row>
    <row r="40" spans="1:22" x14ac:dyDescent="0.2">
      <c r="A40" s="163">
        <f>Final!M29</f>
        <v>2</v>
      </c>
      <c r="B40" s="1">
        <f>'Strategy Summary'!B63</f>
        <v>-6.718248683091497E-3</v>
      </c>
      <c r="C40" s="1">
        <f>'Strategy Summary'!C63</f>
        <v>-5.5478357403972991E-4</v>
      </c>
      <c r="D40" s="1">
        <f>'Strategy Summary'!D63</f>
        <v>2.5760545649554426E-3</v>
      </c>
      <c r="E40" s="1">
        <f>'Strategy Summary'!E63</f>
        <v>4.0056483437985926E-3</v>
      </c>
      <c r="F40" s="1">
        <f>'Strategy Summary'!F63</f>
        <v>4.6077519800941102E-3</v>
      </c>
      <c r="G40" s="1">
        <f>'Strategy Summary'!G63</f>
        <v>4.8016945689157865E-3</v>
      </c>
      <c r="H40" s="1">
        <f>'Strategy Summary'!H63</f>
        <v>4.790266096462277E-3</v>
      </c>
      <c r="I40" s="1">
        <f>'Strategy Summary'!I63</f>
        <v>4.6756531197557367E-3</v>
      </c>
      <c r="J40" s="1">
        <f>'Strategy Summary'!J63</f>
        <v>4.5113459413449472E-3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2">
      <c r="A41" s="163">
        <f>Final!M30</f>
        <v>3</v>
      </c>
      <c r="B41" s="1">
        <f>'Strategy Summary'!B64</f>
        <v>-7.7490156455020595E-3</v>
      </c>
      <c r="C41" s="1">
        <f>'Strategy Summary'!C64</f>
        <v>-4.0978789774881956E-4</v>
      </c>
      <c r="D41" s="1">
        <f>'Strategy Summary'!D64</f>
        <v>1.3848222817584173E-3</v>
      </c>
      <c r="E41" s="1">
        <f>'Strategy Summary'!E64</f>
        <v>1.6872004976085195E-3</v>
      </c>
      <c r="F41" s="1">
        <f>'Strategy Summary'!F64</f>
        <v>1.5946632973989183E-3</v>
      </c>
      <c r="G41" s="1">
        <f>'Strategy Summary'!G64</f>
        <v>1.4108106793271399E-3</v>
      </c>
      <c r="H41" s="1">
        <f>'Strategy Summary'!H64</f>
        <v>1.2235387435953762E-3</v>
      </c>
      <c r="I41" s="1">
        <f>'Strategy Summary'!I64</f>
        <v>1.0568952894393895E-3</v>
      </c>
      <c r="J41" s="1">
        <f>'Strategy Summary'!J64</f>
        <v>9.1505037245743549E-4</v>
      </c>
    </row>
    <row r="42" spans="1:22" x14ac:dyDescent="0.2">
      <c r="A42" s="163">
        <f>Final!M31</f>
        <v>4</v>
      </c>
      <c r="B42" s="1">
        <f>'Strategy Summary'!B65</f>
        <v>-6.815514376734574E-3</v>
      </c>
      <c r="C42" s="1">
        <f>'Strategy Summary'!C65</f>
        <v>-2.3183720989878768E-4</v>
      </c>
      <c r="D42" s="1">
        <f>'Strategy Summary'!D65</f>
        <v>5.6949313867733211E-4</v>
      </c>
      <c r="E42" s="1">
        <f>'Strategy Summary'!E65</f>
        <v>5.4355672866404007E-4</v>
      </c>
      <c r="F42" s="1">
        <f>'Strategy Summary'!F65</f>
        <v>4.2225794043019953E-4</v>
      </c>
      <c r="G42" s="1">
        <f>'Strategy Summary'!G65</f>
        <v>3.1727627746795488E-4</v>
      </c>
      <c r="H42" s="1">
        <f>'Strategy Summary'!H65</f>
        <v>2.3926933385682301E-4</v>
      </c>
      <c r="I42" s="1">
        <f>'Strategy Summary'!I65</f>
        <v>1.8293104171253599E-4</v>
      </c>
      <c r="J42" s="1">
        <f>'Strategy Summary'!J65</f>
        <v>1.4211835342606321E-4</v>
      </c>
    </row>
  </sheetData>
  <sheetProtection sheet="1" objects="1" scenarios="1"/>
  <mergeCells count="15">
    <mergeCell ref="A1:V1"/>
    <mergeCell ref="A2:G2"/>
    <mergeCell ref="A38:J38"/>
    <mergeCell ref="A33:J33"/>
    <mergeCell ref="A23:J23"/>
    <mergeCell ref="A28:J28"/>
    <mergeCell ref="B19:C19"/>
    <mergeCell ref="L39:V39"/>
    <mergeCell ref="L37:V37"/>
    <mergeCell ref="L38:V38"/>
    <mergeCell ref="L2:V2"/>
    <mergeCell ref="L33:V33"/>
    <mergeCell ref="L35:V35"/>
    <mergeCell ref="L36:V36"/>
    <mergeCell ref="L34:V34"/>
  </mergeCells>
  <phoneticPr fontId="16" type="noConversion"/>
  <conditionalFormatting sqref="M23:V32 M4:V13 M15:V21 A24:A27">
    <cfRule type="containsText" dxfId="1151" priority="70" operator="containsText" text="S">
      <formula>NOT(ISERROR(SEARCH("S",A4)))</formula>
    </cfRule>
    <cfRule type="containsText" dxfId="1150" priority="71" operator="containsText" text="H">
      <formula>NOT(ISERROR(SEARCH("H",A4)))</formula>
    </cfRule>
  </conditionalFormatting>
  <conditionalFormatting sqref="M23:V32 M4:V13 M15:V21 A24:A27">
    <cfRule type="containsText" dxfId="1149" priority="69" operator="containsText" text="D">
      <formula>NOT(ISERROR(SEARCH("D",A4)))</formula>
    </cfRule>
  </conditionalFormatting>
  <conditionalFormatting sqref="M23:V32 M4:V13 M15:V21 A24:A27">
    <cfRule type="containsText" dxfId="1148" priority="68" operator="containsText" text="R">
      <formula>NOT(ISERROR(SEARCH("R",A4)))</formula>
    </cfRule>
  </conditionalFormatting>
  <conditionalFormatting sqref="M23:V32 M4:V13 M15:V21 A24:A27">
    <cfRule type="containsText" dxfId="1147" priority="67" operator="containsText" text="P">
      <formula>NOT(ISERROR(SEARCH("P",A4)))</formula>
    </cfRule>
  </conditionalFormatting>
  <conditionalFormatting sqref="A39:A42">
    <cfRule type="containsText" dxfId="1146" priority="65" operator="containsText" text="S">
      <formula>NOT(ISERROR(SEARCH("S",A39)))</formula>
    </cfRule>
    <cfRule type="containsText" dxfId="1145" priority="66" operator="containsText" text="H">
      <formula>NOT(ISERROR(SEARCH("H",A39)))</formula>
    </cfRule>
  </conditionalFormatting>
  <conditionalFormatting sqref="A39:A42">
    <cfRule type="containsText" dxfId="1144" priority="64" operator="containsText" text="D">
      <formula>NOT(ISERROR(SEARCH("D",A39)))</formula>
    </cfRule>
  </conditionalFormatting>
  <conditionalFormatting sqref="A39:A42">
    <cfRule type="containsText" dxfId="1143" priority="63" operator="containsText" text="R">
      <formula>NOT(ISERROR(SEARCH("R",A39)))</formula>
    </cfRule>
  </conditionalFormatting>
  <conditionalFormatting sqref="A39:A42">
    <cfRule type="containsText" dxfId="1142" priority="62" operator="containsText" text="P">
      <formula>NOT(ISERROR(SEARCH("P",A39)))</formula>
    </cfRule>
  </conditionalFormatting>
  <conditionalFormatting sqref="B39:J39">
    <cfRule type="containsText" dxfId="1141" priority="60" operator="containsText" text="S">
      <formula>NOT(ISERROR(SEARCH("S",B39)))</formula>
    </cfRule>
    <cfRule type="containsText" dxfId="1140" priority="61" operator="containsText" text="H">
      <formula>NOT(ISERROR(SEARCH("H",B39)))</formula>
    </cfRule>
  </conditionalFormatting>
  <conditionalFormatting sqref="B39:J39">
    <cfRule type="containsText" dxfId="1139" priority="59" operator="containsText" text="D">
      <formula>NOT(ISERROR(SEARCH("D",B39)))</formula>
    </cfRule>
  </conditionalFormatting>
  <conditionalFormatting sqref="B39:J39">
    <cfRule type="containsText" dxfId="1138" priority="58" operator="containsText" text="R">
      <formula>NOT(ISERROR(SEARCH("R",B39)))</formula>
    </cfRule>
  </conditionalFormatting>
  <conditionalFormatting sqref="B39:J39">
    <cfRule type="containsText" dxfId="1137" priority="57" operator="containsText" text="P">
      <formula>NOT(ISERROR(SEARCH("P",B39)))</formula>
    </cfRule>
  </conditionalFormatting>
  <conditionalFormatting sqref="B40:J42">
    <cfRule type="colorScale" priority="55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1136" priority="56" operator="equal">
      <formula>MAX($B$40:$J$42)</formula>
    </cfRule>
  </conditionalFormatting>
  <conditionalFormatting sqref="B24:J24">
    <cfRule type="containsText" dxfId="1135" priority="48" operator="containsText" text="S">
      <formula>NOT(ISERROR(SEARCH("S",B24)))</formula>
    </cfRule>
    <cfRule type="containsText" dxfId="1134" priority="49" operator="containsText" text="H">
      <formula>NOT(ISERROR(SEARCH("H",B24)))</formula>
    </cfRule>
  </conditionalFormatting>
  <conditionalFormatting sqref="B24:J24">
    <cfRule type="containsText" dxfId="1133" priority="47" operator="containsText" text="D">
      <formula>NOT(ISERROR(SEARCH("D",B24)))</formula>
    </cfRule>
  </conditionalFormatting>
  <conditionalFormatting sqref="B24:J24">
    <cfRule type="containsText" dxfId="1132" priority="46" operator="containsText" text="R">
      <formula>NOT(ISERROR(SEARCH("R",B24)))</formula>
    </cfRule>
  </conditionalFormatting>
  <conditionalFormatting sqref="B24:J24">
    <cfRule type="containsText" dxfId="1131" priority="45" operator="containsText" text="P">
      <formula>NOT(ISERROR(SEARCH("P",B24)))</formula>
    </cfRule>
  </conditionalFormatting>
  <conditionalFormatting sqref="A34:A37">
    <cfRule type="containsText" dxfId="1130" priority="22" operator="containsText" text="S">
      <formula>NOT(ISERROR(SEARCH("S",A34)))</formula>
    </cfRule>
    <cfRule type="containsText" dxfId="1129" priority="23" operator="containsText" text="H">
      <formula>NOT(ISERROR(SEARCH("H",A34)))</formula>
    </cfRule>
  </conditionalFormatting>
  <conditionalFormatting sqref="A34:A37">
    <cfRule type="containsText" dxfId="1128" priority="21" operator="containsText" text="D">
      <formula>NOT(ISERROR(SEARCH("D",A34)))</formula>
    </cfRule>
  </conditionalFormatting>
  <conditionalFormatting sqref="A34:A37">
    <cfRule type="containsText" dxfId="1127" priority="20" operator="containsText" text="R">
      <formula>NOT(ISERROR(SEARCH("R",A34)))</formula>
    </cfRule>
  </conditionalFormatting>
  <conditionalFormatting sqref="A34:A37">
    <cfRule type="containsText" dxfId="1126" priority="19" operator="containsText" text="P">
      <formula>NOT(ISERROR(SEARCH("P",A34)))</formula>
    </cfRule>
  </conditionalFormatting>
  <conditionalFormatting sqref="B34:J34">
    <cfRule type="containsText" dxfId="1125" priority="17" operator="containsText" text="S">
      <formula>NOT(ISERROR(SEARCH("S",B34)))</formula>
    </cfRule>
    <cfRule type="containsText" dxfId="1124" priority="18" operator="containsText" text="H">
      <formula>NOT(ISERROR(SEARCH("H",B34)))</formula>
    </cfRule>
  </conditionalFormatting>
  <conditionalFormatting sqref="B34:J34">
    <cfRule type="containsText" dxfId="1123" priority="16" operator="containsText" text="D">
      <formula>NOT(ISERROR(SEARCH("D",B34)))</formula>
    </cfRule>
  </conditionalFormatting>
  <conditionalFormatting sqref="B34:J34">
    <cfRule type="containsText" dxfId="1122" priority="15" operator="containsText" text="R">
      <formula>NOT(ISERROR(SEARCH("R",B34)))</formula>
    </cfRule>
  </conditionalFormatting>
  <conditionalFormatting sqref="B34:J34">
    <cfRule type="containsText" dxfId="1121" priority="14" operator="containsText" text="P">
      <formula>NOT(ISERROR(SEARCH("P",B34)))</formula>
    </cfRule>
  </conditionalFormatting>
  <conditionalFormatting sqref="B35:J37">
    <cfRule type="colorScale" priority="12">
      <colorScale>
        <cfvo type="num" val="0"/>
        <cfvo type="num" val="0"/>
        <cfvo type="max"/>
        <color rgb="FF00B050"/>
        <color rgb="FFFFEB84"/>
        <color rgb="FFFF0000"/>
      </colorScale>
    </cfRule>
    <cfRule type="cellIs" dxfId="1120" priority="13" operator="equal">
      <formula>MAX($Q$29:$Y$31)</formula>
    </cfRule>
  </conditionalFormatting>
  <conditionalFormatting sqref="A29:A32">
    <cfRule type="containsText" dxfId="1119" priority="10" operator="containsText" text="S">
      <formula>NOT(ISERROR(SEARCH("S",A29)))</formula>
    </cfRule>
    <cfRule type="containsText" dxfId="1118" priority="11" operator="containsText" text="H">
      <formula>NOT(ISERROR(SEARCH("H",A29)))</formula>
    </cfRule>
  </conditionalFormatting>
  <conditionalFormatting sqref="A29:A32">
    <cfRule type="containsText" dxfId="1117" priority="9" operator="containsText" text="D">
      <formula>NOT(ISERROR(SEARCH("D",A29)))</formula>
    </cfRule>
  </conditionalFormatting>
  <conditionalFormatting sqref="A29:A32">
    <cfRule type="containsText" dxfId="1116" priority="8" operator="containsText" text="R">
      <formula>NOT(ISERROR(SEARCH("R",A29)))</formula>
    </cfRule>
  </conditionalFormatting>
  <conditionalFormatting sqref="A29:A32">
    <cfRule type="containsText" dxfId="1115" priority="7" operator="containsText" text="P">
      <formula>NOT(ISERROR(SEARCH("P",A29)))</formula>
    </cfRule>
  </conditionalFormatting>
  <conditionalFormatting sqref="B29:J29">
    <cfRule type="containsText" dxfId="1114" priority="5" operator="containsText" text="S">
      <formula>NOT(ISERROR(SEARCH("S",B29)))</formula>
    </cfRule>
    <cfRule type="containsText" dxfId="1113" priority="6" operator="containsText" text="H">
      <formula>NOT(ISERROR(SEARCH("H",B29)))</formula>
    </cfRule>
  </conditionalFormatting>
  <conditionalFormatting sqref="B29:J29">
    <cfRule type="containsText" dxfId="1112" priority="4" operator="containsText" text="D">
      <formula>NOT(ISERROR(SEARCH("D",B29)))</formula>
    </cfRule>
  </conditionalFormatting>
  <conditionalFormatting sqref="B29:J29">
    <cfRule type="containsText" dxfId="1111" priority="3" operator="containsText" text="R">
      <formula>NOT(ISERROR(SEARCH("R",B29)))</formula>
    </cfRule>
  </conditionalFormatting>
  <conditionalFormatting sqref="B29:J29">
    <cfRule type="containsText" dxfId="1110" priority="2" operator="containsText" text="P">
      <formula>NOT(ISERROR(SEARCH("P",B29)))</formula>
    </cfRule>
  </conditionalFormatting>
  <conditionalFormatting sqref="B30:J32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5:J27">
    <cfRule type="colorScale" priority="377">
      <colorScale>
        <cfvo type="num" val="0"/>
        <cfvo type="num" val="0"/>
        <cfvo type="max"/>
        <color rgb="FFFF0000"/>
        <color rgb="FFFFEB84"/>
        <color rgb="FF00B050"/>
      </colorScale>
    </cfRule>
  </conditionalFormatting>
  <dataValidations count="15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  <dataValidation type="textLength" operator="greaterThan" allowBlank="1" showInputMessage="1" showErrorMessage="1" sqref="B18:B19" xr:uid="{DB7CC3A3-DC58-B24B-8A55-F7465E4C5F5A}">
      <formula1>0</formula1>
    </dataValidation>
    <dataValidation type="list" operator="greaterThan" allowBlank="1" showInputMessage="1" showErrorMessage="1" sqref="B20" xr:uid="{91D4D8A0-A14C-1C4D-B99A-420B714A263C}">
      <formula1>$E$20:$F$20</formula1>
    </dataValidation>
  </dataValidations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298" t="s">
        <v>75</v>
      </c>
      <c r="B1" s="303"/>
      <c r="C1" s="303"/>
      <c r="D1" s="303"/>
      <c r="E1" s="303"/>
      <c r="F1" s="303"/>
      <c r="G1" s="303"/>
      <c r="H1" s="303"/>
      <c r="I1" s="303"/>
      <c r="J1" s="303"/>
      <c r="K1" s="299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00" t="s">
        <v>7</v>
      </c>
      <c r="B2" s="116">
        <v>1</v>
      </c>
      <c r="C2" s="117">
        <v>2</v>
      </c>
      <c r="D2" s="117">
        <v>3</v>
      </c>
      <c r="E2" s="117">
        <v>4</v>
      </c>
      <c r="F2" s="117">
        <v>5</v>
      </c>
      <c r="G2" s="117">
        <v>6</v>
      </c>
      <c r="H2" s="117">
        <v>7</v>
      </c>
      <c r="I2" s="117">
        <v>8</v>
      </c>
      <c r="J2" s="117">
        <v>9</v>
      </c>
      <c r="K2" s="104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98">
        <v>1</v>
      </c>
      <c r="B3" s="108">
        <f>2*(IF(Rules!$B$12=Rules!$F$12,SUM(Stand!B36:B43)+Rules!$B$5*Stand!B44+B16,SUM(HSD!B36:B43)+Rules!$B$5*HSD!B44+B16)/(9+Rules!$B$5))</f>
        <v>-3.5255635824912389E-2</v>
      </c>
      <c r="C3" s="109">
        <f>2*(IF(Rules!$B$12=Rules!$F$12,SUM(Stand!C36:C43)+Rules!$B$5*Stand!C44+C16,SUM(HSD!C36:C43)+Rules!$B$5*HSD!C44+C16)/(9+Rules!$B$5))</f>
        <v>0.60893997246027043</v>
      </c>
      <c r="D3" s="109">
        <f>2*(IF(Rules!$B$12=Rules!$F$12,SUM(Stand!D36:D43)+Rules!$B$5*Stand!D44+D16,SUM(HSD!D36:D43)+Rules!$B$5*HSD!D44+D16)/(9+Rules!$B$5))</f>
        <v>0.65729370645788177</v>
      </c>
      <c r="E3" s="109">
        <f>2*(IF(Rules!$B$12=Rules!$F$12,SUM(Stand!E36:E43)+Rules!$B$5*Stand!E44+E16,SUM(HSD!E36:E43)+Rules!$B$5*HSD!E44+E16)/(9+Rules!$B$5))</f>
        <v>0.7068176357371978</v>
      </c>
      <c r="F3" s="109">
        <f>2*(IF(Rules!$B$12=Rules!$F$12,SUM(Stand!F36:F43)+Rules!$B$5*Stand!F44+F16,SUM(HSD!F36:F43)+Rules!$B$5*HSD!F44+F16)/(9+Rules!$B$5))</f>
        <v>0.75634348224235182</v>
      </c>
      <c r="G3" s="109">
        <f>2*(IF(Rules!$B$12=Rules!$F$12,SUM(Stand!G36:G43)+Rules!$B$5*Stand!G44+G16,SUM(HSD!G36:G43)+Rules!$B$5*HSD!G44+G16)/(9+Rules!$B$5))</f>
        <v>0.81612360245129012</v>
      </c>
      <c r="H3" s="109">
        <f>2*(IF(Rules!$B$12=Rules!$F$12,SUM(Stand!H36:H43)+Rules!$B$5*Stand!H44+H16,SUM(HSD!H36:H43)+Rules!$B$5*HSD!H44+H16)/(9+Rules!$B$5))</f>
        <v>0.63286124044017034</v>
      </c>
      <c r="I3" s="109">
        <f>2*(IF(Rules!$B$12=Rules!$F$12,SUM(Stand!I36:I43)+Rules!$B$5*Stand!I44+I16,SUM(HSD!I36:I43)+Rules!$B$5*HSD!I44+I16)/(9+Rules!$B$5))</f>
        <v>0.5067060739538094</v>
      </c>
      <c r="J3" s="109">
        <f>2*(IF(Rules!$B$12=Rules!$F$12,SUM(Stand!J36:J43)+Rules!$B$5*Stand!J44+J16,SUM(HSD!J36:J43)+Rules!$B$5*HSD!J44+J16)/(9+Rules!$B$5))</f>
        <v>0.36744267463395625</v>
      </c>
      <c r="K3" s="57">
        <f>2*(IF(Rules!$B$12=Rules!$F$12,SUM(Stand!K36:K43)+Rules!$B$5*Stand!K44+K16,SUM(HSD!K36:K43)+Rules!$B$5*HSD!K44+K16)/(9+Rules!$B$5))</f>
        <v>0.17441704855103865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H</v>
      </c>
      <c r="Q3" s="31" t="str">
        <f>IF(D55=IF(Rules!$B$11=2,D43,IF(Rules!$B$11=3,D30,IF(Rules!$B$11=4,D17,D4))),"P",HSDR!Q4)</f>
        <v>H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98">
        <v>2</v>
      </c>
      <c r="B4" s="93">
        <f>2*(IF(Rules!$B$9=Rules!$E$9,SUM(HSD!B5:B11)+Rules!$B$5*HSD!B12+HSD!B36+B17,SUM(HS!B5:B11)+Rules!$B$5*HS!B12+HS!B36+B17)/(9+Rules!$B$5))</f>
        <v>-0.74416317626718731</v>
      </c>
      <c r="C4" s="1">
        <f>2*(IF(Rules!$B$9=Rules!$E$9,SUM(HSD!C5:C11)+Rules!$B$5*HSD!C12+HSD!C36+C17,SUM(HS!C5:C11)+Rules!$B$5*HS!C12+HS!C36+C17)/(9+Rules!$B$5))</f>
        <v>-0.15844529598680707</v>
      </c>
      <c r="D4" s="1">
        <f>2*(IF(Rules!$B$9=Rules!$E$9,SUM(HSD!D5:D11)+Rules!$B$5*HSD!D12+HSD!D36+D17,SUM(HS!D5:D11)+Rules!$B$5*HS!D12+HS!D36+D17)/(9+Rules!$B$5))</f>
        <v>-0.10256079463294501</v>
      </c>
      <c r="E4" s="1">
        <f>2*(IF(Rules!$B$9=Rules!$E$9,SUM(HSD!E5:E11)+Rules!$B$5*HSD!E12+HSD!E36+E17,SUM(HS!E5:E11)+Rules!$B$5*HS!E12+HS!E36+E17)/(9+Rules!$B$5))</f>
        <v>-4.3264863806293831E-2</v>
      </c>
      <c r="F4" s="1">
        <f>2*(IF(Rules!$B$9=Rules!$E$9,SUM(HSD!F5:F11)+Rules!$B$5*HSD!F12+HSD!F36+F17,SUM(HS!F5:F11)+Rules!$B$5*HS!F12+HS!F36+F17)/(9+Rules!$B$5))</f>
        <v>3.4677322855237773E-2</v>
      </c>
      <c r="G4" s="1">
        <f>2*(IF(Rules!$B$9=Rules!$E$9,SUM(HSD!G5:G11)+Rules!$B$5*HSD!G12+HSD!G36+G17,SUM(HS!G5:G11)+Rules!$B$5*HS!G12+HS!G36+G17)/(9+Rules!$B$5))</f>
        <v>8.9838416897347936E-2</v>
      </c>
      <c r="H4" s="1">
        <f>2*(IF(Rules!$B$9=Rules!$E$9,SUM(HSD!H5:H11)+Rules!$B$5*HSD!H12+HSD!H36+H17,SUM(HS!H5:H11)+Rules!$B$5*HS!H12+HS!H36+H17)/(9+Rules!$B$5))</f>
        <v>-4.8397277614682085E-2</v>
      </c>
      <c r="I4" s="1">
        <f>2*(IF(Rules!$B$9=Rules!$E$9,SUM(HSD!I5:I11)+Rules!$B$5*HSD!I12+HSD!I36+I17,SUM(HS!I5:I11)+Rules!$B$5*HS!I12+HS!I36+I17)/(9+Rules!$B$5))</f>
        <v>-0.21483585543657199</v>
      </c>
      <c r="J4" s="1">
        <f>2*(IF(Rules!$B$9=Rules!$E$9,SUM(HSD!J5:J11)+Rules!$B$5*HSD!J12+HSD!J36+J17,SUM(HS!J5:J11)+Rules!$B$5*HS!J12+HS!J36+J17)/(9+Rules!$B$5))</f>
        <v>-0.40535254125838382</v>
      </c>
      <c r="K4" s="9">
        <f>2*(IF(Rules!$B$9=Rules!$E$9,SUM(HSD!K5:K11)+Rules!$B$5*HSD!K12+HSD!K36+K17,SUM(HS!K5:K11)+Rules!$B$5*HS!K12+HS!K36+K17)/(9+Rules!$B$5))</f>
        <v>-0.62664178468491172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H</v>
      </c>
      <c r="Q4" s="31" t="str">
        <f>IF(D56=IF(Rules!$B$11=2,D44,IF(Rules!$B$11=3,D31,IF(Rules!$B$11=4,D18,D5))),"P",HSDR!Q6)</f>
        <v>H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98">
        <v>3</v>
      </c>
      <c r="B5" s="93">
        <f>2*(IF(Rules!$B$9=Rules!$E$9,SUM(HSD!B6:B12)+Rules!$B$5*HSD!B13+HSD!B37+B18,SUM(HS!B6:B12)+Rules!$B$5*HS!B13+HS!B37+B18)/(9+Rules!$B$5))</f>
        <v>-0.78803295881767643</v>
      </c>
      <c r="C5" s="1">
        <f>2*(IF(Rules!$B$9=Rules!$E$9,SUM(HSD!C6:C12)+Rules!$B$5*HSD!C13+HSD!C37+C18,SUM(HS!C6:C12)+Rules!$B$5*HS!C13+HS!C37+C18)/(9+Rules!$B$5))</f>
        <v>-0.2142385080261642</v>
      </c>
      <c r="D5" s="1">
        <f>2*(IF(Rules!$B$9=Rules!$E$9,SUM(HSD!D6:D12)+Rules!$B$5*HSD!D13+HSD!D37+D18,SUM(HS!D6:D12)+Rules!$B$5*HS!D13+HS!D37+D18)/(9+Rules!$B$5))</f>
        <v>-0.14544025216996137</v>
      </c>
      <c r="E5" s="1">
        <f>2*(IF(Rules!$B$9=Rules!$E$9,SUM(HSD!E6:E12)+Rules!$B$5*HSD!E13+HSD!E37+E18,SUM(HS!E6:E12)+Rules!$B$5*HS!E13+HS!E37+E18)/(9+Rules!$B$5))</f>
        <v>-7.4523109707665208E-2</v>
      </c>
      <c r="F5" s="1">
        <f>2*(IF(Rules!$B$9=Rules!$E$9,SUM(HSD!F6:F12)+Rules!$B$5*HSD!F13+HSD!F37+F18,SUM(HS!F6:F12)+Rules!$B$5*HS!F13+HS!F37+F18)/(9+Rules!$B$5))</f>
        <v>4.7454290741965922E-3</v>
      </c>
      <c r="G5" s="1">
        <f>2*(IF(Rules!$B$9=Rules!$E$9,SUM(HSD!G6:G12)+Rules!$B$5*HSD!G13+HSD!G37+G18,SUM(HS!G6:G12)+Rules!$B$5*HS!G13+HS!G37+G18)/(9+Rules!$B$5))</f>
        <v>5.802377155290956E-2</v>
      </c>
      <c r="H5" s="1">
        <f>2*(IF(Rules!$B$9=Rules!$E$9,SUM(HSD!H6:H12)+Rules!$B$5*HSD!H13+HSD!H37+H18,SUM(HS!H6:H12)+Rules!$B$5*HS!H13+HS!H37+H18)/(9+Rules!$B$5))</f>
        <v>-0.11404688332023669</v>
      </c>
      <c r="I5" s="1">
        <f>2*(IF(Rules!$B$9=Rules!$E$9,SUM(HSD!I6:I12)+Rules!$B$5*HSD!I13+HSD!I37+I18,SUM(HS!I6:I12)+Rules!$B$5*HS!I13+HS!I37+I18)/(9+Rules!$B$5))</f>
        <v>-0.27525135440194609</v>
      </c>
      <c r="J5" s="1">
        <f>2*(IF(Rules!$B$9=Rules!$E$9,SUM(HSD!J6:J12)+Rules!$B$5*HSD!J13+HSD!J37+J18,SUM(HS!J6:J12)+Rules!$B$5*HS!J13+HS!J37+J18)/(9+Rules!$B$5))</f>
        <v>-0.45977919033511261</v>
      </c>
      <c r="K5" s="9">
        <f>2*(IF(Rules!$B$9=Rules!$E$9,SUM(HSD!K6:K12)+Rules!$B$5*HSD!K13+HSD!K37+K18,SUM(HS!K6:K12)+Rules!$B$5*HS!K13+HS!K37+K18)/(9+Rules!$B$5))</f>
        <v>-0.67407613770117725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H</v>
      </c>
      <c r="T5" s="31" t="str">
        <f>IF(G57=IF(Rules!$B$11=2,G45,IF(Rules!$B$11=3,G32,IF(Rules!$B$11=4,G19,G6))),"P",HSDR!T8)</f>
        <v>H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98">
        <v>4</v>
      </c>
      <c r="B6" s="93">
        <f>2*(IF(Rules!$B$9=Rules!$E$9,SUM(HSD!B7:B13)+Rules!$B$5*HSD!B14+HSD!B38+B19,SUM(HS!B7:B13)+Rules!$B$5*HS!B14+HS!B38+B19)/(9+Rules!$B$5))</f>
        <v>-0.83437157658628724</v>
      </c>
      <c r="C6" s="1">
        <f>2*(IF(Rules!$B$9=Rules!$E$9,SUM(HSD!C7:C13)+Rules!$B$5*HSD!C14+HSD!C38+C19,SUM(HS!C7:C13)+Rules!$B$5*HS!C14+HS!C38+C19)/(9+Rules!$B$5))</f>
        <v>-0.24596178497638319</v>
      </c>
      <c r="D6" s="1">
        <f>2*(IF(Rules!$B$9=Rules!$E$9,SUM(HSD!D7:D13)+Rules!$B$5*HSD!D14+HSD!D38+D19,SUM(HS!D7:D13)+Rules!$B$5*HS!D14+HS!D38+D19)/(9+Rules!$B$5))</f>
        <v>-0.17572200826957085</v>
      </c>
      <c r="E6" s="1">
        <f>2*(IF(Rules!$B$9=Rules!$E$9,SUM(HSD!E7:E13)+Rules!$B$5*HSD!E14+HSD!E38+E19,SUM(HS!E7:E13)+Rules!$B$5*HS!E14+HS!E38+E19)/(9+Rules!$B$5))</f>
        <v>-0.10341187431415412</v>
      </c>
      <c r="F6" s="1">
        <f>2*(IF(Rules!$B$9=Rules!$E$9,SUM(HSD!F7:F13)+Rules!$B$5*HSD!F14+HSD!F38+F19,SUM(HS!F7:F13)+Rules!$B$5*HS!F14+HS!F38+F19)/(9+Rules!$B$5))</f>
        <v>-2.2920009673662818E-2</v>
      </c>
      <c r="G6" s="1">
        <f>2*(IF(Rules!$B$9=Rules!$E$9,SUM(HSD!G7:G13)+Rules!$B$5*HSD!G14+HSD!G38+G19,SUM(HS!G7:G13)+Rules!$B$5*HS!G14+HS!G38+G19)/(9+Rules!$B$5))</f>
        <v>2.8649607751103836E-2</v>
      </c>
      <c r="H6" s="1">
        <f>2*(IF(Rules!$B$9=Rules!$E$9,SUM(HSD!H7:H13)+Rules!$B$5*HSD!H14+HSD!H38+H19,SUM(HS!H7:H13)+Rules!$B$5*HS!H14+HS!H38+H19)/(9+Rules!$B$5))</f>
        <v>-0.18101949750260365</v>
      </c>
      <c r="I6" s="1">
        <f>2*(IF(Rules!$B$9=Rules!$E$9,SUM(HSD!I7:I13)+Rules!$B$5*HSD!I14+HSD!I38+I19,SUM(HS!I7:I13)+Rules!$B$5*HS!I14+HS!I38+I19)/(9+Rules!$B$5))</f>
        <v>-0.33704232295894054</v>
      </c>
      <c r="J6" s="1">
        <f>2*(IF(Rules!$B$9=Rules!$E$9,SUM(HSD!J7:J13)+Rules!$B$5*HSD!J14+HSD!J38+J19,SUM(HS!J7:J13)+Rules!$B$5*HS!J14+HS!J38+J19)/(9+Rules!$B$5))</f>
        <v>-0.51551500734058797</v>
      </c>
      <c r="K6" s="9">
        <f>2*(IF(Rules!$B$9=Rules!$E$9,SUM(HSD!K7:K13)+Rules!$B$5*HSD!K14+HSD!K38+K19,SUM(HS!K7:K13)+Rules!$B$5*HS!K14+HS!K38+K19)/(9+Rules!$B$5))</f>
        <v>-0.72267922005191143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98">
        <v>5</v>
      </c>
      <c r="B7" s="93">
        <f>2*(IF(Rules!$B$9=Rules!$E$9,SUM(HSD!B8:B14)+Rules!$B$5*HSD!B15+HSD!B39+B20,SUM(HS!B8:B14)+Rules!$B$5*HS!B15+HS!B39+B20)/(9+Rules!$B$5))</f>
        <v>-0.88745016624280393</v>
      </c>
      <c r="C7" s="1">
        <f>2*(IF(Rules!$B$9=Rules!$E$9,SUM(HSD!C8:C14)+Rules!$B$5*HSD!C15+HSD!C39+C20,SUM(HS!C8:C14)+Rules!$B$5*HS!C15+HS!C39+C20)/(9+Rules!$B$5))</f>
        <v>-0.28310595756483203</v>
      </c>
      <c r="D7" s="1">
        <f>2*(IF(Rules!$B$9=Rules!$E$9,SUM(HSD!D8:D14)+Rules!$B$5*HSD!D15+HSD!D39+D20,SUM(HS!D8:D14)+Rules!$B$5*HS!D15+HS!D39+D20)/(9+Rules!$B$5))</f>
        <v>-0.21127904082346655</v>
      </c>
      <c r="E7" s="1">
        <f>2*(IF(Rules!$B$9=Rules!$E$9,SUM(HSD!E8:E14)+Rules!$B$5*HSD!E15+HSD!E39+E20,SUM(HS!E8:E14)+Rules!$B$5*HS!E15+HS!E39+E20)/(9+Rules!$B$5))</f>
        <v>-0.13744002966895089</v>
      </c>
      <c r="F7" s="1">
        <f>2*(IF(Rules!$B$9=Rules!$E$9,SUM(HSD!F8:F14)+Rules!$B$5*HSD!F15+HSD!F39+F20,SUM(HS!F8:F14)+Rules!$B$5*HS!F15+HS!F39+F20)/(9+Rules!$B$5))</f>
        <v>-5.5328563811734607E-2</v>
      </c>
      <c r="G7" s="1">
        <f>2*(IF(Rules!$B$9=Rules!$E$9,SUM(HSD!G8:G14)+Rules!$B$5*HSD!G15+HSD!G39+G20,SUM(HS!G8:G14)+Rules!$B$5*HS!G15+HS!G39+G20)/(9+Rules!$B$5))</f>
        <v>-8.0896038408470993E-3</v>
      </c>
      <c r="H7" s="1">
        <f>2*(IF(Rules!$B$9=Rules!$E$9,SUM(HSD!H8:H14)+Rules!$B$5*HSD!H15+HSD!H39+H20,SUM(HS!H8:H14)+Rules!$B$5*HS!H15+HS!H39+H20)/(9+Rules!$B$5))</f>
        <v>-0.26970720033942674</v>
      </c>
      <c r="I7" s="1">
        <f>2*(IF(Rules!$B$9=Rules!$E$9,SUM(HSD!I8:I14)+Rules!$B$5*HSD!I15+HSD!I39+I20,SUM(HS!I8:I14)+Rules!$B$5*HS!I15+HS!I39+I20)/(9+Rules!$B$5))</f>
        <v>-0.40618277164553479</v>
      </c>
      <c r="J7" s="1">
        <f>2*(IF(Rules!$B$9=Rules!$E$9,SUM(HSD!J8:J14)+Rules!$B$5*HSD!J15+HSD!J39+J20,SUM(HS!J8:J14)+Rules!$B$5*HS!J15+HS!J39+J20)/(9+Rules!$B$5))</f>
        <v>-0.57813230842695973</v>
      </c>
      <c r="K7" s="9">
        <f>2*(IF(Rules!$B$9=Rules!$E$9,SUM(HSD!K8:K14)+Rules!$B$5*HSD!K15+HSD!K39+K20,SUM(HS!K8:K14)+Rules!$B$5*HS!K15+HS!K39+K20)/(9+Rules!$B$5))</f>
        <v>-0.77896564178776029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98">
        <v>6</v>
      </c>
      <c r="B8" s="93">
        <f>2*(IF(Rules!$B$9=Rules!$E$9,SUM(HSD!B9:B15)+Rules!$B$5*HSD!B16+HSD!B40+B21,SUM(HS!B9:B15)+Rules!$B$5*HS!B16+HS!B40+B21)/(9+Rules!$B$5))</f>
        <v>-0.9315883367535035</v>
      </c>
      <c r="C8" s="1">
        <f>2*(IF(Rules!$B$9=Rules!$E$9,SUM(HSD!C9:C15)+Rules!$B$5*HSD!C16+HSD!C40+C21,SUM(HS!C9:C15)+Rules!$B$5*HS!C16+HS!C40+C21)/(9+Rules!$B$5))</f>
        <v>-0.32856811142011766</v>
      </c>
      <c r="D8" s="1">
        <f>2*(IF(Rules!$B$9=Rules!$E$9,SUM(HSD!D9:D15)+Rules!$B$5*HSD!D16+HSD!D40+D21,SUM(HS!D9:D15)+Rules!$B$5*HS!D16+HS!D40+D21)/(9+Rules!$B$5))</f>
        <v>-0.25490522956389527</v>
      </c>
      <c r="E8" s="1">
        <f>2*(IF(Rules!$B$9=Rules!$E$9,SUM(HSD!E9:E15)+Rules!$B$5*HSD!E16+HSD!E40+E21,SUM(HS!E9:E15)+Rules!$B$5*HS!E16+HS!E40+E21)/(9+Rules!$B$5))</f>
        <v>-0.17927910194004515</v>
      </c>
      <c r="F8" s="1">
        <f>2*(IF(Rules!$B$9=Rules!$E$9,SUM(HSD!F9:F15)+Rules!$B$5*HSD!F16+HSD!F40+F21,SUM(HS!F9:F15)+Rules!$B$5*HS!F16+HS!F40+F21)/(9+Rules!$B$5))</f>
        <v>-9.5309124581009458E-2</v>
      </c>
      <c r="G8" s="1">
        <f>2*(IF(Rules!$B$9=Rules!$E$9,SUM(HSD!G9:G15)+Rules!$B$5*HSD!G16+HSD!G40+G21,SUM(HS!G9:G15)+Rules!$B$5*HS!G16+HS!G40+G21)/(9+Rules!$B$5))</f>
        <v>-5.1549579489460401E-2</v>
      </c>
      <c r="H8" s="1">
        <f>2*(IF(Rules!$B$9=Rules!$E$9,SUM(HSD!H9:H15)+Rules!$B$5*HSD!H16+HSD!H40+H21,SUM(HS!H9:H15)+Rules!$B$5*HS!H16+HS!H40+H21)/(9+Rules!$B$5))</f>
        <v>-0.37380487547803365</v>
      </c>
      <c r="I8" s="1">
        <f>2*(IF(Rules!$B$9=Rules!$E$9,SUM(HSD!I9:I15)+Rules!$B$5*HSD!I16+HSD!I40+I21,SUM(HS!I9:I15)+Rules!$B$5*HS!I16+HS!I40+I21)/(9+Rules!$B$5))</f>
        <v>-0.50234221681507851</v>
      </c>
      <c r="J8" s="1">
        <f>2*(IF(Rules!$B$9=Rules!$E$9,SUM(HSD!J9:J15)+Rules!$B$5*HSD!J16+HSD!J40+J21,SUM(HS!J9:J15)+Rules!$B$5*HS!J16+HS!J40+J21)/(9+Rules!$B$5))</f>
        <v>-0.65323216836181486</v>
      </c>
      <c r="K8" s="9">
        <f>2*(IF(Rules!$B$9=Rules!$E$9,SUM(HSD!K9:K15)+Rules!$B$5*HSD!K16+HSD!K40+K21,SUM(HS!K9:K15)+Rules!$B$5*HS!K16+HS!K40+K21)/(9+Rules!$B$5))</f>
        <v>-0.84420908858274091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98">
        <v>7</v>
      </c>
      <c r="B9" s="93">
        <f>2*(IF(Rules!$B$9=Rules!$E$9,SUM(HSD!B10:B16)+Rules!$B$5*HSD!B17+HSD!B41+B22,SUM(HS!B10:B16)+Rules!$B$5*HS!B17+HS!B41+B22)/(9+Rules!$B$5))</f>
        <v>-0.89860302064250752</v>
      </c>
      <c r="C9" s="1">
        <f>2*(IF(Rules!$B$9=Rules!$E$9,SUM(HSD!C10:C16)+Rules!$B$5*HSD!C17+HSD!C41+C22,SUM(HS!C10:C16)+Rules!$B$5*HS!C17+HS!C41+C22)/(9+Rules!$B$5))</f>
        <v>-0.27141170395226322</v>
      </c>
      <c r="D9" s="1">
        <f>2*(IF(Rules!$B$9=Rules!$E$9,SUM(HSD!D10:D16)+Rules!$B$5*HSD!D17+HSD!D41+D22,SUM(HS!D10:D16)+Rules!$B$5*HS!D17+HS!D41+D22)/(9+Rules!$B$5))</f>
        <v>-0.19925763649350886</v>
      </c>
      <c r="E9" s="1">
        <f>2*(IF(Rules!$B$9=Rules!$E$9,SUM(HSD!E10:E16)+Rules!$B$5*HSD!E17+HSD!E41+E22,SUM(HS!E10:E16)+Rules!$B$5*HS!E17+HS!E41+E22)/(9+Rules!$B$5))</f>
        <v>-0.12499658698153827</v>
      </c>
      <c r="F9" s="1">
        <f>2*(IF(Rules!$B$9=Rules!$E$9,SUM(HSD!F10:F16)+Rules!$B$5*HSD!F17+HSD!F41+F22,SUM(HS!F10:F16)+Rules!$B$5*HS!F17+HS!F41+F22)/(9+Rules!$B$5))</f>
        <v>-4.580566312259314E-2</v>
      </c>
      <c r="G9" s="1">
        <f>2*(IF(Rules!$B$9=Rules!$E$9,SUM(HSD!G10:G16)+Rules!$B$5*HSD!G17+HSD!G41+G22,SUM(HS!G10:G16)+Rules!$B$5*HS!G17+HS!G41+G22)/(9+Rules!$B$5))</f>
        <v>3.3434878831197522E-2</v>
      </c>
      <c r="H9" s="1">
        <f>2*(IF(Rules!$B$9=Rules!$E$9,SUM(HSD!H10:H16)+Rules!$B$5*HSD!H17+HSD!H41+H22,SUM(HS!H10:H16)+Rules!$B$5*HS!H17+HS!H41+H22)/(9+Rules!$B$5))</f>
        <v>-0.19368042242937064</v>
      </c>
      <c r="I9" s="1">
        <f>2*(IF(Rules!$B$9=Rules!$E$9,SUM(HSD!I10:I16)+Rules!$B$5*HSD!I17+HSD!I41+I22,SUM(HS!I10:I16)+Rules!$B$5*HS!I17+HS!I41+I22)/(9+Rules!$B$5))</f>
        <v>-0.51533567784190304</v>
      </c>
      <c r="J9" s="1">
        <f>2*(IF(Rules!$B$9=Rules!$E$9,SUM(HSD!J10:J16)+Rules!$B$5*HSD!J17+HSD!J41+J22,SUM(HS!J10:J16)+Rules!$B$5*HS!J17+HS!J41+J22)/(9+Rules!$B$5))</f>
        <v>-0.66466990024977435</v>
      </c>
      <c r="K9" s="9">
        <f>2*(IF(Rules!$B$9=Rules!$E$9,SUM(HSD!K10:K16)+Rules!$B$5*HSD!K17+HSD!K41+K22,SUM(HS!K10:K16)+Rules!$B$5*HS!K17+HS!K41+K22)/(9+Rules!$B$5))</f>
        <v>-0.82376353398191704</v>
      </c>
      <c r="N9">
        <v>8</v>
      </c>
      <c r="O9" s="31" t="str">
        <f>IF(B61=IF(Rules!$B$11=2,B49,IF(Rules!$B$11=3,B36,IF(Rules!$B$11=4,B23,B10))),"P",HSDR!O16)</f>
        <v>S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P</v>
      </c>
      <c r="X9" s="31" t="str">
        <f>IF(K61=IF(Rules!$B$11=2,K49,IF(Rules!$B$11=3,K36,IF(Rules!$B$11=4,K23,K10))),"P",HSDR!X16)</f>
        <v>H</v>
      </c>
    </row>
    <row r="10" spans="1:24" x14ac:dyDescent="0.2">
      <c r="A10" s="98">
        <v>8</v>
      </c>
      <c r="B10" s="93">
        <f>2*(IF(Rules!$B$9=Rules!$E$9,SUM(HSD!B11:B17)+Rules!$B$5*HSD!B18+HSD!B42+B23,SUM(HS!B11:B17)+Rules!$B$5*HS!B18+HS!B42+B23)/(9+Rules!$B$5))</f>
        <v>-0.75379723043188618</v>
      </c>
      <c r="C10" s="1">
        <f>2*(IF(Rules!$B$9=Rules!$E$9,SUM(HSD!C11:C17)+Rules!$B$5*HSD!C18+HSD!C42+C23,SUM(HS!C11:C17)+Rules!$B$5*HS!C18+HS!C42+C23)/(9+Rules!$B$5))</f>
        <v>-8.4555117606418415E-2</v>
      </c>
      <c r="D10" s="1">
        <f>2*(IF(Rules!$B$9=Rules!$E$9,SUM(HSD!D11:D17)+Rules!$B$5*HSD!D18+HSD!D42+D23,SUM(HS!D11:D17)+Rules!$B$5*HS!D18+HS!D42+D23)/(9+Rules!$B$5))</f>
        <v>-1.8423168793741732E-2</v>
      </c>
      <c r="E10" s="1">
        <f>2*(IF(Rules!$B$9=Rules!$E$9,SUM(HSD!E11:E17)+Rules!$B$5*HSD!E18+HSD!E42+E23,SUM(HS!E11:E17)+Rules!$B$5*HS!E18+HS!E42+E23)/(9+Rules!$B$5))</f>
        <v>4.9869962582447566E-2</v>
      </c>
      <c r="F10" s="1">
        <f>2*(IF(Rules!$B$9=Rules!$E$9,SUM(HSD!F11:F17)+Rules!$B$5*HSD!F18+HSD!F42+F23,SUM(HS!F11:F17)+Rules!$B$5*HS!F18+HS!F42+F23)/(9+Rules!$B$5))</f>
        <v>0.12083985255361643</v>
      </c>
      <c r="G10" s="1">
        <f>2*(IF(Rules!$B$9=Rules!$E$9,SUM(HSD!G11:G17)+Rules!$B$5*HSD!G18+HSD!G42+G23,SUM(HS!G11:G17)+Rules!$B$5*HS!G18+HS!G42+G23)/(9+Rules!$B$5))</f>
        <v>0.21943592874303255</v>
      </c>
      <c r="H10" s="1">
        <f>2*(IF(Rules!$B$9=Rules!$E$9,SUM(HSD!H11:H17)+Rules!$B$5*HSD!H18+HSD!H42+H23,SUM(HS!H11:H17)+Rules!$B$5*HS!H18+HS!H42+H23)/(9+Rules!$B$5))</f>
        <v>0.14765904872647384</v>
      </c>
      <c r="I10" s="1">
        <f>2*(IF(Rules!$B$9=Rules!$E$9,SUM(HSD!I11:I17)+Rules!$B$5*HSD!I18+HSD!I42+I23,SUM(HS!I11:I17)+Rules!$B$5*HS!I18+HS!I42+I23)/(9+Rules!$B$5))</f>
        <v>-0.17735895611495334</v>
      </c>
      <c r="J10" s="1">
        <f>2*(IF(Rules!$B$9=Rules!$E$9,SUM(HSD!J11:J17)+Rules!$B$5*HSD!J18+HSD!J42+J23,SUM(HS!J11:J17)+Rules!$B$5*HS!J18+HS!J42+J23)/(9+Rules!$B$5))</f>
        <v>-0.51763579440888674</v>
      </c>
      <c r="K10" s="9">
        <f>2*(IF(Rules!$B$9=Rules!$E$9,SUM(HSD!K11:K17)+Rules!$B$5*HSD!K18+HSD!K42+K23,SUM(HS!K11:K17)+Rules!$B$5*HS!K18+HS!K42+K23)/(9+Rules!$B$5))</f>
        <v>-0.70474215313406918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98">
        <v>9</v>
      </c>
      <c r="B11" s="93">
        <f>2*(IF(Rules!$B$9=Rules!$E$9,SUM(HSD!B12:B18)+Rules!$B$5*HSD!B19+HSD!B43+B24,SUM(HS!B12:B18)+Rules!$B$5*HS!B19+HS!B43+B24)/(9+Rules!$B$5))</f>
        <v>-0.58751877672810893</v>
      </c>
      <c r="C11" s="1">
        <f>2*(IF(Rules!$B$9=Rules!$E$9,SUM(HSD!C12:C18)+Rules!$B$5*HSD!C19+HSD!C43+C24,SUM(HS!C12:C18)+Rules!$B$5*HS!C19+HS!C43+C24)/(9+Rules!$B$5))</f>
        <v>0.13268608863771988</v>
      </c>
      <c r="D11" s="1">
        <f>2*(IF(Rules!$B$9=Rules!$E$9,SUM(HSD!D12:D18)+Rules!$B$5*HSD!D19+HSD!D43+D24,SUM(HS!D12:D18)+Rules!$B$5*HS!D19+HS!D43+D24)/(9+Rules!$B$5))</f>
        <v>0.19205932892331035</v>
      </c>
      <c r="E11" s="1">
        <f>2*(IF(Rules!$B$9=Rules!$E$9,SUM(HSD!E12:E18)+Rules!$B$5*HSD!E19+HSD!E43+E24,SUM(HS!E12:E18)+Rules!$B$5*HS!E19+HS!E43+E24)/(9+Rules!$B$5))</f>
        <v>0.25342225938676494</v>
      </c>
      <c r="F11" s="1">
        <f>2*(IF(Rules!$B$9=Rules!$E$9,SUM(HSD!F12:F18)+Rules!$B$5*HSD!F19+HSD!F43+F24,SUM(HS!F12:F18)+Rules!$B$5*HS!F19+HS!F43+F24)/(9+Rules!$B$5))</f>
        <v>0.31764234385950318</v>
      </c>
      <c r="G11" s="1">
        <f>2*(IF(Rules!$B$9=Rules!$E$9,SUM(HSD!G12:G18)+Rules!$B$5*HSD!G19+HSD!G43+G24,SUM(HS!G12:G18)+Rules!$B$5*HS!G19+HS!G43+G24)/(9+Rules!$B$5))</f>
        <v>0.40260770908451093</v>
      </c>
      <c r="H11" s="1">
        <f>2*(IF(Rules!$B$9=Rules!$E$9,SUM(HSD!H12:H18)+Rules!$B$5*HSD!H19+HSD!H43+H24,SUM(HS!H12:H18)+Rules!$B$5*HS!H19+HS!H43+H24)/(9+Rules!$B$5))</f>
        <v>0.35308133391180391</v>
      </c>
      <c r="I11" s="1">
        <f>2*(IF(Rules!$B$9=Rules!$E$9,SUM(HSD!I12:I18)+Rules!$B$5*HSD!I19+HSD!I43+I24,SUM(HS!I12:I18)+Rules!$B$5*HS!I19+HS!I43+I24)/(9+Rules!$B$5))</f>
        <v>0.19073266939041358</v>
      </c>
      <c r="J11" s="1">
        <f>2*(IF(Rules!$B$9=Rules!$E$9,SUM(HSD!J12:J18)+Rules!$B$5*HSD!J19+HSD!J43+J24,SUM(HS!J12:J18)+Rules!$B$5*HS!J19+HS!J43+J24)/(9+Rules!$B$5))</f>
        <v>-0.15193010041706984</v>
      </c>
      <c r="K11" s="9">
        <f>2*(IF(Rules!$B$9=Rules!$E$9,SUM(HSD!K12:K18)+Rules!$B$5*HSD!K19+HSD!K43+K24,SUM(HS!K12:K18)+Rules!$B$5*HS!K19+HS!K43+K24)/(9+Rules!$B$5))</f>
        <v>-0.51500564837004559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S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99">
        <v>10</v>
      </c>
      <c r="B12" s="94">
        <f>2*(IF(Rules!$B$9=Rules!$E$9,SUM(HSD!B13:B19)+Rules!$B$5*HSD!B20+HSD!B44+B25,SUM(HS!B13:B19)+Rules!$B$5*HS!B20+HS!B44+B25)/(9+Rules!$B$5))</f>
        <v>-0.26211809303977207</v>
      </c>
      <c r="C12" s="110">
        <f>2*(IF(Rules!$B$9=Rules!$E$9,SUM(HSD!C13:C19)+Rules!$B$5*HSD!C20+HSD!C44+C25,SUM(HS!C13:C19)+Rules!$B$5*HS!C20+HS!C44+C25)/(9+Rules!$B$5))</f>
        <v>0.47702511757927396</v>
      </c>
      <c r="D12" s="110">
        <f>2*(IF(Rules!$B$9=Rules!$E$9,SUM(HSD!D13:D19)+Rules!$B$5*HSD!D20+HSD!D44+D25,SUM(HS!D13:D19)+Rules!$B$5*HS!D20+HS!D44+D25)/(9+Rules!$B$5))</f>
        <v>0.52917868575056526</v>
      </c>
      <c r="E12" s="110">
        <f>2*(IF(Rules!$B$9=Rules!$E$9,SUM(HSD!E13:E19)+Rules!$B$5*HSD!E20+HSD!E44+E25,SUM(HS!E13:E19)+Rules!$B$5*HS!E20+HS!E44+E25)/(9+Rules!$B$5))</f>
        <v>0.58267776514625602</v>
      </c>
      <c r="F12" s="110">
        <f>2*(IF(Rules!$B$9=Rules!$E$9,SUM(HSD!F13:F19)+Rules!$B$5*HSD!F20+HSD!F44+F25,SUM(HS!F13:F19)+Rules!$B$5*HS!F20+HS!F44+F25)/(9+Rules!$B$5))</f>
        <v>0.63565069498224802</v>
      </c>
      <c r="G12" s="110">
        <f>2*(IF(Rules!$B$9=Rules!$E$9,SUM(HSD!G13:G19)+Rules!$B$5*HSD!G20+HSD!G44+G25,SUM(HS!G13:G19)+Rules!$B$5*HS!G20+HS!G44+G25)/(9+Rules!$B$5))</f>
        <v>0.70770536905396042</v>
      </c>
      <c r="H12" s="110">
        <f>2*(IF(Rules!$B$9=Rules!$E$9,SUM(HSD!H13:H19)+Rules!$B$5*HSD!H20+HSD!H44+H25,SUM(HS!H13:H19)+Rules!$B$5*HS!H20+HS!H44+H25)/(9+Rules!$B$5))</f>
        <v>0.6454573388630771</v>
      </c>
      <c r="I12" s="110">
        <f>2*(IF(Rules!$B$9=Rules!$E$9,SUM(HSD!I13:I19)+Rules!$B$5*HSD!I20+HSD!I44+I25,SUM(HS!I13:I19)+Rules!$B$5*HS!I20+HS!I44+I25)/(9+Rules!$B$5))</f>
        <v>0.51682590743860801</v>
      </c>
      <c r="J12" s="110">
        <f>2*(IF(Rules!$B$9=Rules!$E$9,SUM(HSD!J13:J19)+Rules!$B$5*HSD!J20+HSD!J44+J25,SUM(HS!J13:J19)+Rules!$B$5*HS!J20+HS!J44+J25)/(9+Rules!$B$5))</f>
        <v>0.33687476710602632</v>
      </c>
      <c r="K12" s="10">
        <f>2*(IF(Rules!$B$9=Rules!$E$9,SUM(HSD!K13:K19)+Rules!$B$5*HSD!K20+HSD!K44+K25,SUM(HS!K13:K19)+Rules!$B$5*HS!K20+HS!K44+K25)/(9+Rules!$B$5))</f>
        <v>-3.0069352830969863E-2</v>
      </c>
    </row>
    <row r="13" spans="1:24" ht="17" thickBot="1" x14ac:dyDescent="0.25"/>
    <row r="14" spans="1:24" ht="17" thickBot="1" x14ac:dyDescent="0.25">
      <c r="A14" s="298" t="s">
        <v>76</v>
      </c>
      <c r="B14" s="303"/>
      <c r="C14" s="303"/>
      <c r="D14" s="303"/>
      <c r="E14" s="303"/>
      <c r="F14" s="303"/>
      <c r="G14" s="303"/>
      <c r="H14" s="303"/>
      <c r="I14" s="303"/>
      <c r="J14" s="303"/>
      <c r="K14" s="299"/>
    </row>
    <row r="15" spans="1:24" ht="17" thickBot="1" x14ac:dyDescent="0.25">
      <c r="A15" s="102" t="s">
        <v>7</v>
      </c>
      <c r="B15" s="116">
        <v>1</v>
      </c>
      <c r="C15" s="117">
        <v>2</v>
      </c>
      <c r="D15" s="117">
        <v>3</v>
      </c>
      <c r="E15" s="117">
        <v>4</v>
      </c>
      <c r="F15" s="117">
        <v>5</v>
      </c>
      <c r="G15" s="117">
        <v>6</v>
      </c>
      <c r="H15" s="117">
        <v>7</v>
      </c>
      <c r="I15" s="117">
        <v>8</v>
      </c>
      <c r="J15" s="117">
        <v>9</v>
      </c>
      <c r="K15" s="104">
        <v>10</v>
      </c>
    </row>
    <row r="16" spans="1:24" x14ac:dyDescent="0.2">
      <c r="A16" s="100">
        <v>1</v>
      </c>
      <c r="B16" s="108">
        <f>2*(IF(Rules!$B$12=Rules!$F$12,SUM(Stand!B36:B43)+Rules!$B$5*Stand!B44+B29,SUM(HSD!B36:B43)+Rules!$B$5*HSD!B44+B29)/(9+Rules!$B$5))</f>
        <v>-3.6921997939562683E-2</v>
      </c>
      <c r="C16" s="109">
        <f>2*(IF(Rules!$B$12=Rules!$F$12,SUM(Stand!C36:C43)+Rules!$B$5*Stand!C44+C29,SUM(HSD!C36:C43)+Rules!$B$5*HSD!C44+C29)/(9+Rules!$B$5))</f>
        <v>0.60616009207593269</v>
      </c>
      <c r="D16" s="109">
        <f>2*(IF(Rules!$B$12=Rules!$F$12,SUM(Stand!D36:D43)+Rules!$B$5*Stand!D44+D29,SUM(HSD!D36:D43)+Rules!$B$5*HSD!D44+D29)/(9+Rules!$B$5))</f>
        <v>0.65448971744610962</v>
      </c>
      <c r="E16" s="109">
        <f>2*(IF(Rules!$B$12=Rules!$F$12,SUM(Stand!E36:E43)+Rules!$B$5*Stand!E44+E29,SUM(HSD!E36:E43)+Rules!$B$5*HSD!E44+E29)/(9+Rules!$B$5))</f>
        <v>0.70398794558002764</v>
      </c>
      <c r="F16" s="109">
        <f>2*(IF(Rules!$B$12=Rules!$F$12,SUM(Stand!F36:F43)+Rules!$B$5*Stand!F44+F29,SUM(HSD!F36:F43)+Rules!$B$5*HSD!F44+F29)/(9+Rules!$B$5))</f>
        <v>0.75349635733112907</v>
      </c>
      <c r="G16" s="109">
        <f>2*(IF(Rules!$B$12=Rules!$F$12,SUM(Stand!G36:G43)+Rules!$B$5*Stand!G44+G29,SUM(HSD!G36:G43)+Rules!$B$5*HSD!G44+G29)/(9+Rules!$B$5))</f>
        <v>0.81313378320418017</v>
      </c>
      <c r="H16" s="109">
        <f>2*(IF(Rules!$B$12=Rules!$F$12,SUM(Stand!H36:H43)+Rules!$B$5*Stand!H44+H29,SUM(HSD!H36:H43)+Rules!$B$5*HSD!H44+H29)/(9+Rules!$B$5))</f>
        <v>0.62944471196628327</v>
      </c>
      <c r="I16" s="109">
        <f>2*(IF(Rules!$B$12=Rules!$F$12,SUM(Stand!I36:I43)+Rules!$B$5*Stand!I44+I29,SUM(HSD!I36:I43)+Rules!$B$5*HSD!I44+I29)/(9+Rules!$B$5))</f>
        <v>0.50357012454509598</v>
      </c>
      <c r="J16" s="109">
        <f>2*(IF(Rules!$B$12=Rules!$F$12,SUM(Stand!J36:J43)+Rules!$B$5*Stand!J44+J29,SUM(HSD!J36:J43)+Rules!$B$5*HSD!J44+J29)/(9+Rules!$B$5))</f>
        <v>0.36463545349864968</v>
      </c>
      <c r="K16" s="57">
        <f>2*(IF(Rules!$B$12=Rules!$F$12,SUM(Stand!K36:K43)+Rules!$B$5*Stand!K44+K29,SUM(HSD!K36:K43)+Rules!$B$5*HSD!K44+K29)/(9+Rules!$B$5))</f>
        <v>0.17210429665796539</v>
      </c>
    </row>
    <row r="17" spans="1:11" x14ac:dyDescent="0.2">
      <c r="A17" s="98">
        <v>2</v>
      </c>
      <c r="B17" s="93">
        <f>2*(IF(Rules!$B$9=Rules!$E$9,SUM(HSD!B5:B11)+Rules!$B$5*HSD!B12+HSD!B36+B30,SUM(HS!B5:B11)+Rules!$B$5*HS!B12+HS!B36+B30)/(9+Rules!$B$5))</f>
        <v>-0.74305711732414204</v>
      </c>
      <c r="C17" s="1">
        <f>2*(IF(Rules!$B$9=Rules!$E$9,SUM(HSD!C5:C11)+Rules!$B$5*HSD!C12+HSD!C36+C30,SUM(HS!C5:C11)+Rules!$B$5*HS!C12+HS!C36+C30)/(9+Rules!$B$5))</f>
        <v>-0.158311093386829</v>
      </c>
      <c r="D17" s="1">
        <f>2*(IF(Rules!$B$9=Rules!$E$9,SUM(HSD!D5:D11)+Rules!$B$5*HSD!D12+HSD!D36+D30,SUM(HS!D5:D11)+Rules!$B$5*HS!D12+HS!D36+D30)/(9+Rules!$B$5))</f>
        <v>-0.10249929951053052</v>
      </c>
      <c r="E17" s="1">
        <f>2*(IF(Rules!$B$9=Rules!$E$9,SUM(HSD!E5:E11)+Rules!$B$5*HSD!E12+HSD!E36+E30,SUM(HS!E5:E11)+Rules!$B$5*HS!E12+HS!E36+E30)/(9+Rules!$B$5))</f>
        <v>-4.3283677081979763E-2</v>
      </c>
      <c r="F17" s="1">
        <f>2*(IF(Rules!$B$9=Rules!$E$9,SUM(HSD!F5:F11)+Rules!$B$5*HSD!F12+HSD!F36+F30,SUM(HS!F5:F11)+Rules!$B$5*HS!F12+HS!F36+F30)/(9+Rules!$B$5))</f>
        <v>3.4532252336932835E-2</v>
      </c>
      <c r="G17" s="1">
        <f>2*(IF(Rules!$B$9=Rules!$E$9,SUM(HSD!G5:G11)+Rules!$B$5*HSD!G12+HSD!G36+G30,SUM(HS!G5:G11)+Rules!$B$5*HS!G12+HS!G36+G30)/(9+Rules!$B$5))</f>
        <v>8.9595771811825417E-2</v>
      </c>
      <c r="H17" s="1">
        <f>2*(IF(Rules!$B$9=Rules!$E$9,SUM(HSD!H5:H11)+Rules!$B$5*HSD!H12+HSD!H36+H30,SUM(HS!H5:H11)+Rules!$B$5*HS!H12+HS!H36+H30)/(9+Rules!$B$5))</f>
        <v>-4.852022766768796E-2</v>
      </c>
      <c r="I17" s="1">
        <f>2*(IF(Rules!$B$9=Rules!$E$9,SUM(HSD!I5:I11)+Rules!$B$5*HSD!I12+HSD!I36+I30,SUM(HS!I5:I11)+Rules!$B$5*HS!I12+HS!I36+I30)/(9+Rules!$B$5))</f>
        <v>-0.2146647519212691</v>
      </c>
      <c r="J17" s="1">
        <f>2*(IF(Rules!$B$9=Rules!$E$9,SUM(HSD!J5:J11)+Rules!$B$5*HSD!J12+HSD!J36+J30,SUM(HS!J5:J11)+Rules!$B$5*HS!J12+HS!J36+J30)/(9+Rules!$B$5))</f>
        <v>-0.40484483763725082</v>
      </c>
      <c r="K17" s="9">
        <f>2*(IF(Rules!$B$9=Rules!$E$9,SUM(HSD!K5:K11)+Rules!$B$5*HSD!K12+HSD!K36+K30,SUM(HS!K5:K11)+Rules!$B$5*HS!K12+HS!K36+K30)/(9+Rules!$B$5))</f>
        <v>-0.62574300419837159</v>
      </c>
    </row>
    <row r="18" spans="1:11" x14ac:dyDescent="0.2">
      <c r="A18" s="98">
        <v>3</v>
      </c>
      <c r="B18" s="93">
        <f>2*(IF(Rules!$B$9=Rules!$E$9,SUM(HSD!B6:B12)+Rules!$B$5*HSD!B13+HSD!B37+B31,SUM(HS!B6:B12)+Rules!$B$5*HS!B13+HS!B37+B31)/(9+Rules!$B$5))</f>
        <v>-0.7868562014944972</v>
      </c>
      <c r="C18" s="1">
        <f>2*(IF(Rules!$B$9=Rules!$E$9,SUM(HSD!C6:C12)+Rules!$B$5*HSD!C13+HSD!C37+C31,SUM(HS!C6:C12)+Rules!$B$5*HS!C13+HS!C37+C31)/(9+Rules!$B$5))</f>
        <v>-0.2139733120617329</v>
      </c>
      <c r="D18" s="1">
        <f>2*(IF(Rules!$B$9=Rules!$E$9,SUM(HSD!D6:D12)+Rules!$B$5*HSD!D13+HSD!D37+D31,SUM(HS!D6:D12)+Rules!$B$5*HS!D13+HS!D37+D31)/(9+Rules!$B$5))</f>
        <v>-0.14528570874057109</v>
      </c>
      <c r="E18" s="1">
        <f>2*(IF(Rules!$B$9=Rules!$E$9,SUM(HSD!E6:E12)+Rules!$B$5*HSD!E13+HSD!E37+E31,SUM(HS!E6:E12)+Rules!$B$5*HS!E13+HS!E37+E31)/(9+Rules!$B$5))</f>
        <v>-7.4482898083748542E-2</v>
      </c>
      <c r="F18" s="1">
        <f>2*(IF(Rules!$B$9=Rules!$E$9,SUM(HSD!F6:F12)+Rules!$B$5*HSD!F13+HSD!F37+F31,SUM(HS!F6:F12)+Rules!$B$5*HS!F13+HS!F37+F31)/(9+Rules!$B$5))</f>
        <v>4.6568760122588466E-3</v>
      </c>
      <c r="G18" s="1">
        <f>2*(IF(Rules!$B$9=Rules!$E$9,SUM(HSD!G6:G12)+Rules!$B$5*HSD!G13+HSD!G37+G31,SUM(HS!G6:G12)+Rules!$B$5*HS!G13+HS!G37+G31)/(9+Rules!$B$5))</f>
        <v>5.784123557020019E-2</v>
      </c>
      <c r="H18" s="1">
        <f>2*(IF(Rules!$B$9=Rules!$E$9,SUM(HSD!H6:H12)+Rules!$B$5*HSD!H13+HSD!H37+H31,SUM(HS!H6:H12)+Rules!$B$5*HS!H13+HS!H37+H31)/(9+Rules!$B$5))</f>
        <v>-0.1140635324410503</v>
      </c>
      <c r="I18" s="1">
        <f>2*(IF(Rules!$B$9=Rules!$E$9,SUM(HSD!I6:I12)+Rules!$B$5*HSD!I13+HSD!I37+I31,SUM(HS!I6:I12)+Rules!$B$5*HS!I13+HS!I37+I31)/(9+Rules!$B$5))</f>
        <v>-0.27498265906322161</v>
      </c>
      <c r="J18" s="1">
        <f>2*(IF(Rules!$B$9=Rules!$E$9,SUM(HSD!J6:J12)+Rules!$B$5*HSD!J13+HSD!J37+J31,SUM(HS!J6:J12)+Rules!$B$5*HS!J13+HS!J37+J31)/(9+Rules!$B$5))</f>
        <v>-0.45918369395907516</v>
      </c>
      <c r="K18" s="9">
        <f>2*(IF(Rules!$B$9=Rules!$E$9,SUM(HSD!K6:K12)+Rules!$B$5*HSD!K13+HSD!K37+K31,SUM(HS!K6:K12)+Rules!$B$5*HS!K13+HS!K37+K31)/(9+Rules!$B$5))</f>
        <v>-0.67310093096477552</v>
      </c>
    </row>
    <row r="19" spans="1:11" x14ac:dyDescent="0.2">
      <c r="A19" s="98">
        <v>4</v>
      </c>
      <c r="B19" s="93">
        <f>2*(IF(Rules!$B$9=Rules!$E$9,SUM(HSD!B7:B13)+Rules!$B$5*HSD!B14+HSD!B38+B32,SUM(HS!B7:B13)+Rules!$B$5*HS!B14+HS!B38+B32)/(9+Rules!$B$5))</f>
        <v>-0.83309316526261779</v>
      </c>
      <c r="C19" s="1">
        <f>2*(IF(Rules!$B$9=Rules!$E$9,SUM(HSD!C7:C13)+Rules!$B$5*HSD!C14+HSD!C38+C32,SUM(HS!C7:C13)+Rules!$B$5*HS!C14+HS!C38+C32)/(9+Rules!$B$5))</f>
        <v>-0.24563746076053314</v>
      </c>
      <c r="D19" s="1">
        <f>2*(IF(Rules!$B$9=Rules!$E$9,SUM(HSD!D7:D13)+Rules!$B$5*HSD!D14+HSD!D38+D32,SUM(HS!D7:D13)+Rules!$B$5*HS!D14+HS!D38+D32)/(9+Rules!$B$5))</f>
        <v>-0.17551104586414204</v>
      </c>
      <c r="E19" s="1">
        <f>2*(IF(Rules!$B$9=Rules!$E$9,SUM(HSD!E7:E13)+Rules!$B$5*HSD!E14+HSD!E38+E32,SUM(HS!E7:E13)+Rules!$B$5*HS!E14+HS!E38+E32)/(9+Rules!$B$5))</f>
        <v>-0.1033178635784693</v>
      </c>
      <c r="F19" s="1">
        <f>2*(IF(Rules!$B$9=Rules!$E$9,SUM(HSD!F7:F13)+Rules!$B$5*HSD!F14+HSD!F38+F32,SUM(HS!F7:F13)+Rules!$B$5*HS!F14+HS!F38+F32)/(9+Rules!$B$5))</f>
        <v>-2.2956991449867643E-2</v>
      </c>
      <c r="G19" s="1">
        <f>2*(IF(Rules!$B$9=Rules!$E$9,SUM(HSD!G7:G13)+Rules!$B$5*HSD!G14+HSD!G38+G32,SUM(HS!G7:G13)+Rules!$B$5*HS!G14+HS!G38+G32)/(9+Rules!$B$5))</f>
        <v>2.8521190199563246E-2</v>
      </c>
      <c r="H19" s="1">
        <f>2*(IF(Rules!$B$9=Rules!$E$9,SUM(HSD!H7:H13)+Rules!$B$5*HSD!H14+HSD!H38+H32,SUM(HS!H7:H13)+Rules!$B$5*HS!H14+HS!H38+H32)/(9+Rules!$B$5))</f>
        <v>-0.1809298272435951</v>
      </c>
      <c r="I19" s="1">
        <f>2*(IF(Rules!$B$9=Rules!$E$9,SUM(HSD!I7:I13)+Rules!$B$5*HSD!I14+HSD!I38+I32,SUM(HS!I7:I13)+Rules!$B$5*HS!I14+HS!I38+I32)/(9+Rules!$B$5))</f>
        <v>-0.3366729959712314</v>
      </c>
      <c r="J19" s="1">
        <f>2*(IF(Rules!$B$9=Rules!$E$9,SUM(HSD!J7:J13)+Rules!$B$5*HSD!J14+HSD!J38+J32,SUM(HS!J7:J13)+Rules!$B$5*HS!J14+HS!J38+J32)/(9+Rules!$B$5))</f>
        <v>-0.51482791891779689</v>
      </c>
      <c r="K19" s="9">
        <f>2*(IF(Rules!$B$9=Rules!$E$9,SUM(HSD!K7:K13)+Rules!$B$5*HSD!K14+HSD!K38+K32,SUM(HS!K7:K13)+Rules!$B$5*HS!K14+HS!K38+K32)/(9+Rules!$B$5))</f>
        <v>-0.72162435590467744</v>
      </c>
    </row>
    <row r="20" spans="1:11" x14ac:dyDescent="0.2">
      <c r="A20" s="98">
        <v>5</v>
      </c>
      <c r="B20" s="93">
        <f>2*(IF(Rules!$B$9=Rules!$E$9,SUM(HSD!B8:B14)+Rules!$B$5*HSD!B15+HSD!B39+B33,SUM(HS!B8:B14)+Rules!$B$5*HS!B15+HS!B39+B33)/(9+Rules!$B$5))</f>
        <v>-0.88594653685546787</v>
      </c>
      <c r="C20" s="1">
        <f>2*(IF(Rules!$B$9=Rules!$E$9,SUM(HSD!C8:C14)+Rules!$B$5*HSD!C15+HSD!C39+C33,SUM(HS!C8:C14)+Rules!$B$5*HS!C15+HS!C39+C33)/(9+Rules!$B$5))</f>
        <v>-0.28256978020930767</v>
      </c>
      <c r="D20" s="1">
        <f>2*(IF(Rules!$B$9=Rules!$E$9,SUM(HSD!D8:D14)+Rules!$B$5*HSD!D15+HSD!D39+D33,SUM(HS!D8:D14)+Rules!$B$5*HS!D15+HS!D39+D33)/(9+Rules!$B$5))</f>
        <v>-0.21086379285762763</v>
      </c>
      <c r="E20" s="1">
        <f>2*(IF(Rules!$B$9=Rules!$E$9,SUM(HSD!E8:E14)+Rules!$B$5*HSD!E15+HSD!E39+E33,SUM(HS!E8:E14)+Rules!$B$5*HS!E15+HS!E39+E33)/(9+Rules!$B$5))</f>
        <v>-0.13714895225649737</v>
      </c>
      <c r="F20" s="1">
        <f>2*(IF(Rules!$B$9=Rules!$E$9,SUM(HSD!F8:F14)+Rules!$B$5*HSD!F15+HSD!F39+F33,SUM(HS!F8:F14)+Rules!$B$5*HS!F15+HS!F39+F33)/(9+Rules!$B$5))</f>
        <v>-5.5180410585040834E-2</v>
      </c>
      <c r="G20" s="1">
        <f>2*(IF(Rules!$B$9=Rules!$E$9,SUM(HSD!G8:G14)+Rules!$B$5*HSD!G15+HSD!G39+G33,SUM(HS!G8:G14)+Rules!$B$5*HS!G15+HS!G39+G33)/(9+Rules!$B$5))</f>
        <v>-7.9746907119231433E-3</v>
      </c>
      <c r="H20" s="1">
        <f>2*(IF(Rules!$B$9=Rules!$E$9,SUM(HSD!H8:H14)+Rules!$B$5*HSD!H15+HSD!H39+H33,SUM(HS!H8:H14)+Rules!$B$5*HS!H15+HS!H39+H33)/(9+Rules!$B$5))</f>
        <v>-0.2690878572927709</v>
      </c>
      <c r="I20" s="1">
        <f>2*(IF(Rules!$B$9=Rules!$E$9,SUM(HSD!I8:I14)+Rules!$B$5*HSD!I15+HSD!I39+I33,SUM(HS!I8:I14)+Rules!$B$5*HS!I15+HS!I39+I33)/(9+Rules!$B$5))</f>
        <v>-0.40557983367891848</v>
      </c>
      <c r="J20" s="1">
        <f>2*(IF(Rules!$B$9=Rules!$E$9,SUM(HSD!J8:J14)+Rules!$B$5*HSD!J15+HSD!J39+J33,SUM(HS!J8:J14)+Rules!$B$5*HS!J15+HS!J39+J33)/(9+Rules!$B$5))</f>
        <v>-0.5772297516086472</v>
      </c>
      <c r="K20" s="9">
        <f>2*(IF(Rules!$B$9=Rules!$E$9,SUM(HSD!K8:K14)+Rules!$B$5*HSD!K15+HSD!K39+K33,SUM(HS!K8:K14)+Rules!$B$5*HS!K15+HS!K39+K33)/(9+Rules!$B$5))</f>
        <v>-0.77768968728271581</v>
      </c>
    </row>
    <row r="21" spans="1:11" x14ac:dyDescent="0.2">
      <c r="A21" s="98">
        <v>6</v>
      </c>
      <c r="B21" s="93">
        <f>2*(IF(Rules!$B$9=Rules!$E$9,SUM(HSD!B9:B15)+Rules!$B$5*HSD!B16+HSD!B40+B34,SUM(HS!B9:B15)+Rules!$B$5*HS!B16+HS!B40+B34)/(9+Rules!$B$5))</f>
        <v>-0.92973477836533303</v>
      </c>
      <c r="C21" s="1">
        <f>2*(IF(Rules!$B$9=Rules!$E$9,SUM(HSD!C9:C15)+Rules!$B$5*HSD!C16+HSD!C40+C34,SUM(HS!C9:C15)+Rules!$B$5*HS!C16+HS!C40+C34)/(9+Rules!$B$5))</f>
        <v>-0.32762238525931209</v>
      </c>
      <c r="D21" s="1">
        <f>2*(IF(Rules!$B$9=Rules!$E$9,SUM(HSD!D9:D15)+Rules!$B$5*HSD!D16+HSD!D40+D34,SUM(HS!D9:D15)+Rules!$B$5*HS!D16+HS!D40+D34)/(9+Rules!$B$5))</f>
        <v>-0.25409471552275603</v>
      </c>
      <c r="E21" s="1">
        <f>2*(IF(Rules!$B$9=Rules!$E$9,SUM(HSD!E9:E15)+Rules!$B$5*HSD!E16+HSD!E40+E34,SUM(HS!E9:E15)+Rules!$B$5*HS!E16+HS!E40+E34)/(9+Rules!$B$5))</f>
        <v>-0.17860684429004975</v>
      </c>
      <c r="F21" s="1">
        <f>2*(IF(Rules!$B$9=Rules!$E$9,SUM(HSD!F9:F15)+Rules!$B$5*HSD!F16+HSD!F40+F34,SUM(HS!F9:F15)+Rules!$B$5*HS!F16+HS!F40+F34)/(9+Rules!$B$5))</f>
        <v>-9.4797020502199306E-2</v>
      </c>
      <c r="G21" s="1">
        <f>2*(IF(Rules!$B$9=Rules!$E$9,SUM(HSD!G9:G15)+Rules!$B$5*HSD!G16+HSD!G40+G34,SUM(HS!G9:G15)+Rules!$B$5*HS!G16+HS!G40+G34)/(9+Rules!$B$5))</f>
        <v>-5.1036254696903378E-2</v>
      </c>
      <c r="H21" s="1">
        <f>2*(IF(Rules!$B$9=Rules!$E$9,SUM(HSD!H9:H15)+Rules!$B$5*HSD!H16+HSD!H40+H34,SUM(HS!H9:H15)+Rules!$B$5*HS!H16+HS!H40+H34)/(9+Rules!$B$5))</f>
        <v>-0.37239905716638266</v>
      </c>
      <c r="I21" s="1">
        <f>2*(IF(Rules!$B$9=Rules!$E$9,SUM(HSD!I9:I15)+Rules!$B$5*HSD!I16+HSD!I40+I34,SUM(HS!I9:I15)+Rules!$B$5*HS!I16+HS!I40+I34)/(9+Rules!$B$5))</f>
        <v>-0.50097822778646528</v>
      </c>
      <c r="J21" s="1">
        <f>2*(IF(Rules!$B$9=Rules!$E$9,SUM(HSD!J9:J15)+Rules!$B$5*HSD!J16+HSD!J40+J34,SUM(HS!J9:J15)+Rules!$B$5*HS!J16+HS!J40+J34)/(9+Rules!$B$5))</f>
        <v>-0.65186632377957643</v>
      </c>
      <c r="K21" s="9">
        <f>2*(IF(Rules!$B$9=Rules!$E$9,SUM(HSD!K9:K15)+Rules!$B$5*HSD!K16+HSD!K40+K34,SUM(HS!K9:K15)+Rules!$B$5*HS!K16+HS!K40+K34)/(9+Rules!$B$5))</f>
        <v>-0.84253685212049068</v>
      </c>
    </row>
    <row r="22" spans="1:11" x14ac:dyDescent="0.2">
      <c r="A22" s="98">
        <v>7</v>
      </c>
      <c r="B22" s="93">
        <f>2*(IF(Rules!$B$9=Rules!$E$9,SUM(HSD!B10:B16)+Rules!$B$5*HSD!B17+HSD!B41+B35,SUM(HS!B10:B16)+Rules!$B$5*HS!B17+HS!B41+B35)/(9+Rules!$B$5))</f>
        <v>-0.89660940751303764</v>
      </c>
      <c r="C22" s="1">
        <f>2*(IF(Rules!$B$9=Rules!$E$9,SUM(HSD!C10:C16)+Rules!$B$5*HSD!C17+HSD!C41+C35,SUM(HS!C10:C16)+Rules!$B$5*HS!C17+HS!C41+C35)/(9+Rules!$B$5))</f>
        <v>-0.27034547584735807</v>
      </c>
      <c r="D22" s="1">
        <f>2*(IF(Rules!$B$9=Rules!$E$9,SUM(HSD!D10:D16)+Rules!$B$5*HSD!D17+HSD!D41+D35,SUM(HS!D10:D16)+Rules!$B$5*HS!D17+HS!D41+D35)/(9+Rules!$B$5))</f>
        <v>-0.19833117071090423</v>
      </c>
      <c r="E22" s="1">
        <f>2*(IF(Rules!$B$9=Rules!$E$9,SUM(HSD!E10:E16)+Rules!$B$5*HSD!E17+HSD!E41+E35,SUM(HS!E10:E16)+Rules!$B$5*HS!E17+HS!E41+E35)/(9+Rules!$B$5))</f>
        <v>-0.12421361212781255</v>
      </c>
      <c r="F22" s="1">
        <f>2*(IF(Rules!$B$9=Rules!$E$9,SUM(HSD!F10:F16)+Rules!$B$5*HSD!F17+HSD!F41+F35,SUM(HS!F10:F16)+Rules!$B$5*HS!F17+HS!F41+F35)/(9+Rules!$B$5))</f>
        <v>-4.5177262292106474E-2</v>
      </c>
      <c r="G22" s="1">
        <f>2*(IF(Rules!$B$9=Rules!$E$9,SUM(HSD!G10:G16)+Rules!$B$5*HSD!G17+HSD!G41+G35,SUM(HS!G10:G16)+Rules!$B$5*HS!G17+HS!G41+G35)/(9+Rules!$B$5))</f>
        <v>3.3936101059871375E-2</v>
      </c>
      <c r="H22" s="1">
        <f>2*(IF(Rules!$B$9=Rules!$E$9,SUM(HSD!H10:H16)+Rules!$B$5*HSD!H17+HSD!H41+H35,SUM(HS!H10:H16)+Rules!$B$5*HS!H17+HS!H41+H35)/(9+Rules!$B$5))</f>
        <v>-0.19255349130839547</v>
      </c>
      <c r="I22" s="1">
        <f>2*(IF(Rules!$B$9=Rules!$E$9,SUM(HSD!I10:I16)+Rules!$B$5*HSD!I17+HSD!I41+I35,SUM(HS!I10:I16)+Rules!$B$5*HS!I17+HS!I41+I35)/(9+Rules!$B$5))</f>
        <v>-0.51344369512043164</v>
      </c>
      <c r="J22" s="1">
        <f>2*(IF(Rules!$B$9=Rules!$E$9,SUM(HSD!J10:J16)+Rules!$B$5*HSD!J17+HSD!J41+J35,SUM(HS!J10:J16)+Rules!$B$5*HS!J17+HS!J41+J35)/(9+Rules!$B$5))</f>
        <v>-0.66278167875678895</v>
      </c>
      <c r="K22" s="9">
        <f>2*(IF(Rules!$B$9=Rules!$E$9,SUM(HSD!K10:K16)+Rules!$B$5*HSD!K17+HSD!K41+K35,SUM(HS!K10:K16)+Rules!$B$5*HS!K17+HS!K41+K35)/(9+Rules!$B$5))</f>
        <v>-0.82188197145821806</v>
      </c>
    </row>
    <row r="23" spans="1:11" x14ac:dyDescent="0.2">
      <c r="A23" s="98">
        <v>8</v>
      </c>
      <c r="B23" s="93">
        <f>2*(IF(Rules!$B$9=Rules!$E$9,SUM(HSD!B11:B17)+Rules!$B$5*HSD!B18+HSD!B42+B36,SUM(HS!B11:B17)+Rules!$B$5*HS!B18+HS!B42+B36)/(9+Rules!$B$5))</f>
        <v>-0.75192554075850948</v>
      </c>
      <c r="C23" s="1">
        <f>2*(IF(Rules!$B$9=Rules!$E$9,SUM(HSD!C11:C17)+Rules!$B$5*HSD!C18+HSD!C42+C36,SUM(HS!C11:C17)+Rules!$B$5*HS!C18+HS!C42+C36)/(9+Rules!$B$5))</f>
        <v>-8.3731826318201197E-2</v>
      </c>
      <c r="D23" s="1">
        <f>2*(IF(Rules!$B$9=Rules!$E$9,SUM(HSD!D11:D17)+Rules!$B$5*HSD!D18+HSD!D42+D36,SUM(HS!D11:D17)+Rules!$B$5*HS!D18+HS!D42+D36)/(9+Rules!$B$5))</f>
        <v>-1.7731034243891459E-2</v>
      </c>
      <c r="E23" s="1">
        <f>2*(IF(Rules!$B$9=Rules!$E$9,SUM(HSD!E11:E17)+Rules!$B$5*HSD!E18+HSD!E42+E36,SUM(HS!E11:E17)+Rules!$B$5*HS!E18+HS!E42+E36)/(9+Rules!$B$5))</f>
        <v>5.0426726079371584E-2</v>
      </c>
      <c r="F23" s="1">
        <f>2*(IF(Rules!$B$9=Rules!$E$9,SUM(HSD!F11:F17)+Rules!$B$5*HSD!F18+HSD!F42+F36,SUM(HS!F11:F17)+Rules!$B$5*HS!F18+HS!F42+F36)/(9+Rules!$B$5))</f>
        <v>0.12125732832070087</v>
      </c>
      <c r="G23" s="1">
        <f>2*(IF(Rules!$B$9=Rules!$E$9,SUM(HSD!G11:G17)+Rules!$B$5*HSD!G18+HSD!G42+G36,SUM(HS!G11:G17)+Rules!$B$5*HS!G18+HS!G42+G36)/(9+Rules!$B$5))</f>
        <v>0.21964666987769416</v>
      </c>
      <c r="H23" s="1">
        <f>2*(IF(Rules!$B$9=Rules!$E$9,SUM(HSD!H11:H17)+Rules!$B$5*HSD!H18+HSD!H42+H36,SUM(HS!H11:H17)+Rules!$B$5*HS!H18+HS!H42+H36)/(9+Rules!$B$5))</f>
        <v>0.14799584932950927</v>
      </c>
      <c r="I23" s="1">
        <f>2*(IF(Rules!$B$9=Rules!$E$9,SUM(HSD!I11:I17)+Rules!$B$5*HSD!I18+HSD!I42+I36,SUM(HS!I11:I17)+Rules!$B$5*HS!I18+HS!I42+I36)/(9+Rules!$B$5))</f>
        <v>-0.17620192285268921</v>
      </c>
      <c r="J23" s="1">
        <f>2*(IF(Rules!$B$9=Rules!$E$9,SUM(HSD!J11:J17)+Rules!$B$5*HSD!J18+HSD!J42+J36,SUM(HS!J11:J17)+Rules!$B$5*HS!J18+HS!J42+J36)/(9+Rules!$B$5))</f>
        <v>-0.51568075661165147</v>
      </c>
      <c r="K23" s="9">
        <f>2*(IF(Rules!$B$9=Rules!$E$9,SUM(HSD!K11:K17)+Rules!$B$5*HSD!K18+HSD!K42+K36,SUM(HS!K11:K17)+Rules!$B$5*HS!K18+HS!K42+K36)/(9+Rules!$B$5))</f>
        <v>-0.70270823593098497</v>
      </c>
    </row>
    <row r="24" spans="1:11" x14ac:dyDescent="0.2">
      <c r="A24" s="98">
        <v>9</v>
      </c>
      <c r="B24" s="93">
        <f>2*(IF(Rules!$B$9=Rules!$E$9,SUM(HSD!B12:B18)+Rules!$B$5*HSD!B19+HSD!B43+B37,SUM(HS!B12:B18)+Rules!$B$5*HS!B19+HS!B43+B37)/(9+Rules!$B$5))</f>
        <v>-0.58583698269420603</v>
      </c>
      <c r="C24" s="1">
        <f>2*(IF(Rules!$B$9=Rules!$E$9,SUM(HSD!C12:C18)+Rules!$B$5*HSD!C19+HSD!C43+C37,SUM(HS!C12:C18)+Rules!$B$5*HS!C19+HS!C43+C37)/(9+Rules!$B$5))</f>
        <v>0.13301183711038242</v>
      </c>
      <c r="D24" s="1">
        <f>2*(IF(Rules!$B$9=Rules!$E$9,SUM(HSD!D12:D18)+Rules!$B$5*HSD!D19+HSD!D43+D37,SUM(HS!D12:D18)+Rules!$B$5*HS!D19+HS!D43+D37)/(9+Rules!$B$5))</f>
        <v>0.19226978268319866</v>
      </c>
      <c r="E24" s="1">
        <f>2*(IF(Rules!$B$9=Rules!$E$9,SUM(HSD!E12:E18)+Rules!$B$5*HSD!E19+HSD!E43+E37,SUM(HS!E12:E18)+Rules!$B$5*HS!E19+HS!E43+E37)/(9+Rules!$B$5))</f>
        <v>0.25351350567831704</v>
      </c>
      <c r="F24" s="1">
        <f>2*(IF(Rules!$B$9=Rules!$E$9,SUM(HSD!F12:F18)+Rules!$B$5*HSD!F19+HSD!F43+F37,SUM(HS!F12:F18)+Rules!$B$5*HS!F19+HS!F43+F37)/(9+Rules!$B$5))</f>
        <v>0.31761061257655909</v>
      </c>
      <c r="G24" s="1">
        <f>2*(IF(Rules!$B$9=Rules!$E$9,SUM(HSD!G12:G18)+Rules!$B$5*HSD!G19+HSD!G43+G37,SUM(HS!G12:G18)+Rules!$B$5*HS!G19+HS!G43+G37)/(9+Rules!$B$5))</f>
        <v>0.40239524615848171</v>
      </c>
      <c r="H24" s="1">
        <f>2*(IF(Rules!$B$9=Rules!$E$9,SUM(HSD!H12:H18)+Rules!$B$5*HSD!H19+HSD!H43+H37,SUM(HS!H12:H18)+Rules!$B$5*HS!H19+HS!H43+H37)/(9+Rules!$B$5))</f>
        <v>0.35289348237335366</v>
      </c>
      <c r="I24" s="1">
        <f>2*(IF(Rules!$B$9=Rules!$E$9,SUM(HSD!I12:I18)+Rules!$B$5*HSD!I19+HSD!I43+I37,SUM(HS!I12:I18)+Rules!$B$5*HS!I19+HS!I43+I37)/(9+Rules!$B$5))</f>
        <v>0.19085366970157686</v>
      </c>
      <c r="J24" s="1">
        <f>2*(IF(Rules!$B$9=Rules!$E$9,SUM(HSD!J12:J18)+Rules!$B$5*HSD!J19+HSD!J43+J37,SUM(HS!J12:J18)+Rules!$B$5*HS!J19+HS!J43+J37)/(9+Rules!$B$5))</f>
        <v>-0.15097383924135593</v>
      </c>
      <c r="K24" s="9">
        <f>2*(IF(Rules!$B$9=Rules!$E$9,SUM(HSD!K12:K18)+Rules!$B$5*HSD!K19+HSD!K43+K37,SUM(HS!K12:K18)+Rules!$B$5*HS!K19+HS!K43+K37)/(9+Rules!$B$5))</f>
        <v>-0.51323394449756488</v>
      </c>
    </row>
    <row r="25" spans="1:11" ht="17" thickBot="1" x14ac:dyDescent="0.25">
      <c r="A25" s="99">
        <v>10</v>
      </c>
      <c r="B25" s="94">
        <f>2*(IF(Rules!$B$9=Rules!$E$9,SUM(HSD!B13:B19)+Rules!$B$5*HSD!B20+HSD!B44+B38,SUM(HS!B13:B19)+Rules!$B$5*HS!B20+HS!B44+B38)/(9+Rules!$B$5))</f>
        <v>-0.26274558434069556</v>
      </c>
      <c r="C25" s="110">
        <f>2*(IF(Rules!$B$9=Rules!$E$9,SUM(HSD!C13:C19)+Rules!$B$5*HSD!C20+HSD!C44+C38,SUM(HS!C13:C19)+Rules!$B$5*HS!C20+HS!C44+C38)/(9+Rules!$B$5))</f>
        <v>0.47477335618105915</v>
      </c>
      <c r="D25" s="110">
        <f>2*(IF(Rules!$B$9=Rules!$E$9,SUM(HSD!D13:D19)+Rules!$B$5*HSD!D20+HSD!D44+D38,SUM(HS!D13:D19)+Rules!$B$5*HS!D20+HS!D44+D38)/(9+Rules!$B$5))</f>
        <v>0.52682687199935552</v>
      </c>
      <c r="E25" s="110">
        <f>2*(IF(Rules!$B$9=Rules!$E$9,SUM(HSD!E13:E19)+Rules!$B$5*HSD!E20+HSD!E44+E38,SUM(HS!E13:E19)+Rules!$B$5*HS!E20+HS!E44+E38)/(9+Rules!$B$5))</f>
        <v>0.58023077979244886</v>
      </c>
      <c r="F25" s="110">
        <f>2*(IF(Rules!$B$9=Rules!$E$9,SUM(HSD!F13:F19)+Rules!$B$5*HSD!F20+HSD!F44+F38,SUM(HS!F13:F19)+Rules!$B$5*HS!F20+HS!F44+F38)/(9+Rules!$B$5))</f>
        <v>0.63317564802789661</v>
      </c>
      <c r="G25" s="110">
        <f>2*(IF(Rules!$B$9=Rules!$E$9,SUM(HSD!G13:G19)+Rules!$B$5*HSD!G20+HSD!G44+G38,SUM(HS!G13:G19)+Rules!$B$5*HS!G20+HS!G44+G38)/(9+Rules!$B$5))</f>
        <v>0.70504978713524302</v>
      </c>
      <c r="H25" s="110">
        <f>2*(IF(Rules!$B$9=Rules!$E$9,SUM(HSD!H13:H19)+Rules!$B$5*HSD!H20+HSD!H44+H38,SUM(HS!H13:H19)+Rules!$B$5*HS!H20+HS!H44+H38)/(9+Rules!$B$5))</f>
        <v>0.64281131172356143</v>
      </c>
      <c r="I25" s="110">
        <f>2*(IF(Rules!$B$9=Rules!$E$9,SUM(HSD!I13:I19)+Rules!$B$5*HSD!I20+HSD!I44+I38,SUM(HS!I13:I19)+Rules!$B$5*HS!I20+HS!I44+I38)/(9+Rules!$B$5))</f>
        <v>0.5143953850109767</v>
      </c>
      <c r="J25" s="110">
        <f>2*(IF(Rules!$B$9=Rules!$E$9,SUM(HSD!J13:J19)+Rules!$B$5*HSD!J20+HSD!J44+J38,SUM(HS!J13:J19)+Rules!$B$5*HS!J20+HS!J44+J38)/(9+Rules!$B$5))</f>
        <v>0.33478802167954469</v>
      </c>
      <c r="K25" s="10">
        <f>2*(IF(Rules!$B$9=Rules!$E$9,SUM(HSD!K13:K19)+Rules!$B$5*HSD!K20+HSD!K44+K38,SUM(HS!K13:K19)+Rules!$B$5*HS!K20+HS!K44+K38)/(9+Rules!$B$5))</f>
        <v>-3.1273597412603153E-2</v>
      </c>
    </row>
    <row r="26" spans="1:11" ht="17" thickBot="1" x14ac:dyDescent="0.25"/>
    <row r="27" spans="1:11" ht="17" thickBot="1" x14ac:dyDescent="0.25">
      <c r="A27" s="298" t="s">
        <v>77</v>
      </c>
      <c r="B27" s="303"/>
      <c r="C27" s="303"/>
      <c r="D27" s="303"/>
      <c r="E27" s="303"/>
      <c r="F27" s="303"/>
      <c r="G27" s="303"/>
      <c r="H27" s="303"/>
      <c r="I27" s="303"/>
      <c r="J27" s="303"/>
      <c r="K27" s="299"/>
    </row>
    <row r="28" spans="1:11" ht="17" thickBot="1" x14ac:dyDescent="0.25">
      <c r="A28" s="105" t="s">
        <v>7</v>
      </c>
      <c r="B28" s="116">
        <v>1</v>
      </c>
      <c r="C28" s="117">
        <v>2</v>
      </c>
      <c r="D28" s="117">
        <v>3</v>
      </c>
      <c r="E28" s="117">
        <v>4</v>
      </c>
      <c r="F28" s="117">
        <v>5</v>
      </c>
      <c r="G28" s="117">
        <v>6</v>
      </c>
      <c r="H28" s="117">
        <v>7</v>
      </c>
      <c r="I28" s="117">
        <v>8</v>
      </c>
      <c r="J28" s="117">
        <v>9</v>
      </c>
      <c r="K28" s="104">
        <v>10</v>
      </c>
    </row>
    <row r="29" spans="1:11" x14ac:dyDescent="0.2">
      <c r="A29" s="100">
        <v>1</v>
      </c>
      <c r="B29" s="108">
        <f>2*(IF(Rules!$B$12=Rules!$F$12,SUM(Stand!B36:B43)+Rules!$B$5*Stand!B44+B42,SUM(HSD!B36:B43)+Rules!$B$5*HSD!B44+B42)/(9+Rules!$B$5))</f>
        <v>-4.7753351684789599E-2</v>
      </c>
      <c r="C29" s="109">
        <f>2*(IF(Rules!$B$12=Rules!$F$12,SUM(Stand!C36:C43)+Rules!$B$5*Stand!C44+C42,SUM(HSD!C36:C43)+Rules!$B$5*HSD!C44+C42)/(9+Rules!$B$5))</f>
        <v>0.58809086957773749</v>
      </c>
      <c r="D29" s="109">
        <f>2*(IF(Rules!$B$12=Rules!$F$12,SUM(Stand!D36:D43)+Rules!$B$5*Stand!D44+D42,SUM(HSD!D36:D43)+Rules!$B$5*HSD!D44+D42)/(9+Rules!$B$5))</f>
        <v>0.63626378886959067</v>
      </c>
      <c r="E29" s="109">
        <f>2*(IF(Rules!$B$12=Rules!$F$12,SUM(Stand!E36:E43)+Rules!$B$5*Stand!E44+E42,SUM(HSD!E36:E43)+Rules!$B$5*HSD!E44+E42)/(9+Rules!$B$5))</f>
        <v>0.68559495955842076</v>
      </c>
      <c r="F29" s="109">
        <f>2*(IF(Rules!$B$12=Rules!$F$12,SUM(Stand!F36:F43)+Rules!$B$5*Stand!F44+F42,SUM(HSD!F36:F43)+Rules!$B$5*HSD!F44+F42)/(9+Rules!$B$5))</f>
        <v>0.73499004540818236</v>
      </c>
      <c r="G29" s="109">
        <f>2*(IF(Rules!$B$12=Rules!$F$12,SUM(Stand!G36:G43)+Rules!$B$5*Stand!G44+G42,SUM(HSD!G36:G43)+Rules!$B$5*HSD!G44+G42)/(9+Rules!$B$5))</f>
        <v>0.79369995809796545</v>
      </c>
      <c r="H29" s="109">
        <f>2*(IF(Rules!$B$12=Rules!$F$12,SUM(Stand!H36:H43)+Rules!$B$5*Stand!H44+H42,SUM(HSD!H36:H43)+Rules!$B$5*HSD!H44+H42)/(9+Rules!$B$5))</f>
        <v>0.60723727688601759</v>
      </c>
      <c r="I29" s="109">
        <f>2*(IF(Rules!$B$12=Rules!$F$12,SUM(Stand!I36:I43)+Rules!$B$5*Stand!I44+I42,SUM(HSD!I36:I43)+Rules!$B$5*HSD!I44+I42)/(9+Rules!$B$5))</f>
        <v>0.48318645338845856</v>
      </c>
      <c r="J29" s="109">
        <f>2*(IF(Rules!$B$12=Rules!$F$12,SUM(Stand!J36:J43)+Rules!$B$5*Stand!J44+J42,SUM(HSD!J36:J43)+Rules!$B$5*HSD!J44+J42)/(9+Rules!$B$5))</f>
        <v>0.34638851611915705</v>
      </c>
      <c r="K29" s="57">
        <f>2*(IF(Rules!$B$12=Rules!$F$12,SUM(Stand!K36:K43)+Rules!$B$5*Stand!K44+K42,SUM(HSD!K36:K43)+Rules!$B$5*HSD!K44+K42)/(9+Rules!$B$5))</f>
        <v>0.15707140935298916</v>
      </c>
    </row>
    <row r="30" spans="1:11" x14ac:dyDescent="0.2">
      <c r="A30" s="98">
        <v>2</v>
      </c>
      <c r="B30" s="93">
        <f>2*(IF(Rules!$B$9=Rules!$E$9,SUM(HSD!B5:B11)+Rules!$B$5*HSD!B12+HSD!B36+B43,SUM(HS!B5:B11)+Rules!$B$5*HS!B12+HS!B36+B43)/(9+Rules!$B$5))</f>
        <v>-0.73586773419434748</v>
      </c>
      <c r="C30" s="1">
        <f>2*(IF(Rules!$B$9=Rules!$E$9,SUM(HSD!C5:C11)+Rules!$B$5*HSD!C12+HSD!C36+C43,SUM(HS!C5:C11)+Rules!$B$5*HS!C12+HS!C36+C43)/(9+Rules!$B$5))</f>
        <v>-0.15743877648697158</v>
      </c>
      <c r="D30" s="1">
        <f>2*(IF(Rules!$B$9=Rules!$E$9,SUM(HSD!D5:D11)+Rules!$B$5*HSD!D12+HSD!D36+D43,SUM(HS!D5:D11)+Rules!$B$5*HS!D12+HS!D36+D43)/(9+Rules!$B$5))</f>
        <v>-0.10209958121483634</v>
      </c>
      <c r="E30" s="1">
        <f>2*(IF(Rules!$B$9=Rules!$E$9,SUM(HSD!E5:E11)+Rules!$B$5*HSD!E12+HSD!E36+E43,SUM(HS!E5:E11)+Rules!$B$5*HS!E12+HS!E36+E43)/(9+Rules!$B$5))</f>
        <v>-4.3405963373938289E-2</v>
      </c>
      <c r="F30" s="1">
        <f>2*(IF(Rules!$B$9=Rules!$E$9,SUM(HSD!F5:F11)+Rules!$B$5*HSD!F12+HSD!F36+F43,SUM(HS!F5:F11)+Rules!$B$5*HS!F12+HS!F36+F43)/(9+Rules!$B$5))</f>
        <v>3.3589293967950747E-2</v>
      </c>
      <c r="G30" s="1">
        <f>2*(IF(Rules!$B$9=Rules!$E$9,SUM(HSD!G5:G11)+Rules!$B$5*HSD!G12+HSD!G36+G43,SUM(HS!G5:G11)+Rules!$B$5*HS!G12+HS!G36+G43)/(9+Rules!$B$5))</f>
        <v>8.8018578755929028E-2</v>
      </c>
      <c r="H30" s="1">
        <f>2*(IF(Rules!$B$9=Rules!$E$9,SUM(HSD!H5:H11)+Rules!$B$5*HSD!H12+HSD!H36+H43,SUM(HS!H5:H11)+Rules!$B$5*HS!H12+HS!H36+H43)/(9+Rules!$B$5))</f>
        <v>-4.9319403012226162E-2</v>
      </c>
      <c r="I30" s="1">
        <f>2*(IF(Rules!$B$9=Rules!$E$9,SUM(HSD!I5:I11)+Rules!$B$5*HSD!I12+HSD!I36+I43,SUM(HS!I5:I11)+Rules!$B$5*HS!I12+HS!I36+I43)/(9+Rules!$B$5))</f>
        <v>-0.2135525790718005</v>
      </c>
      <c r="J30" s="1">
        <f>2*(IF(Rules!$B$9=Rules!$E$9,SUM(HSD!J5:J11)+Rules!$B$5*HSD!J12+HSD!J36+J43,SUM(HS!J5:J11)+Rules!$B$5*HS!J12+HS!J36+J43)/(9+Rules!$B$5))</f>
        <v>-0.40154476409988626</v>
      </c>
      <c r="K30" s="9">
        <f>2*(IF(Rules!$B$9=Rules!$E$9,SUM(HSD!K5:K11)+Rules!$B$5*HSD!K12+HSD!K36+K43,SUM(HS!K5:K11)+Rules!$B$5*HS!K12+HS!K36+K43)/(9+Rules!$B$5))</f>
        <v>-0.61990093103586186</v>
      </c>
    </row>
    <row r="31" spans="1:11" x14ac:dyDescent="0.2">
      <c r="A31" s="98">
        <v>3</v>
      </c>
      <c r="B31" s="93">
        <f>2*(IF(Rules!$B$9=Rules!$E$9,SUM(HSD!B6:B12)+Rules!$B$5*HSD!B13+HSD!B37+B44,SUM(HS!B6:B12)+Rules!$B$5*HS!B13+HS!B37+B44)/(9+Rules!$B$5))</f>
        <v>-0.77920727889383246</v>
      </c>
      <c r="C31" s="1">
        <f>2*(IF(Rules!$B$9=Rules!$E$9,SUM(HSD!C6:C12)+Rules!$B$5*HSD!C13+HSD!C37+C44,SUM(HS!C6:C12)+Rules!$B$5*HS!C13+HS!C37+C44)/(9+Rules!$B$5))</f>
        <v>-0.21224953829292914</v>
      </c>
      <c r="D31" s="1">
        <f>2*(IF(Rules!$B$9=Rules!$E$9,SUM(HSD!D6:D12)+Rules!$B$5*HSD!D13+HSD!D37+D44,SUM(HS!D6:D12)+Rules!$B$5*HS!D13+HS!D37+D44)/(9+Rules!$B$5))</f>
        <v>-0.14428117644953428</v>
      </c>
      <c r="E31" s="1">
        <f>2*(IF(Rules!$B$9=Rules!$E$9,SUM(HSD!E6:E12)+Rules!$B$5*HSD!E13+HSD!E37+E44,SUM(HS!E6:E12)+Rules!$B$5*HS!E13+HS!E37+E44)/(9+Rules!$B$5))</f>
        <v>-7.4221522528290146E-2</v>
      </c>
      <c r="F31" s="1">
        <f>2*(IF(Rules!$B$9=Rules!$E$9,SUM(HSD!F6:F12)+Rules!$B$5*HSD!F13+HSD!F37+F44,SUM(HS!F6:F12)+Rules!$B$5*HS!F13+HS!F37+F44)/(9+Rules!$B$5))</f>
        <v>4.0812811096635013E-3</v>
      </c>
      <c r="G31" s="1">
        <f>2*(IF(Rules!$B$9=Rules!$E$9,SUM(HSD!G6:G12)+Rules!$B$5*HSD!G13+HSD!G37+G44,SUM(HS!G6:G12)+Rules!$B$5*HS!G13+HS!G37+G44)/(9+Rules!$B$5))</f>
        <v>5.6654751682589329E-2</v>
      </c>
      <c r="H31" s="1">
        <f>2*(IF(Rules!$B$9=Rules!$E$9,SUM(HSD!H6:H12)+Rules!$B$5*HSD!H13+HSD!H37+H44,SUM(HS!H6:H12)+Rules!$B$5*HS!H13+HS!H37+H44)/(9+Rules!$B$5))</f>
        <v>-0.1141717517263387</v>
      </c>
      <c r="I31" s="1">
        <f>2*(IF(Rules!$B$9=Rules!$E$9,SUM(HSD!I6:I12)+Rules!$B$5*HSD!I13+HSD!I37+I44,SUM(HS!I6:I12)+Rules!$B$5*HS!I13+HS!I37+I44)/(9+Rules!$B$5))</f>
        <v>-0.27323613936151231</v>
      </c>
      <c r="J31" s="1">
        <f>2*(IF(Rules!$B$9=Rules!$E$9,SUM(HSD!J6:J12)+Rules!$B$5*HSD!J13+HSD!J37+J44,SUM(HS!J6:J12)+Rules!$B$5*HS!J13+HS!J37+J44)/(9+Rules!$B$5))</f>
        <v>-0.45531296751483163</v>
      </c>
      <c r="K31" s="9">
        <f>2*(IF(Rules!$B$9=Rules!$E$9,SUM(HSD!K6:K12)+Rules!$B$5*HSD!K13+HSD!K37+K44,SUM(HS!K6:K12)+Rules!$B$5*HS!K13+HS!K37+K44)/(9+Rules!$B$5))</f>
        <v>-0.66676208717816499</v>
      </c>
    </row>
    <row r="32" spans="1:11" x14ac:dyDescent="0.2">
      <c r="A32" s="98">
        <v>4</v>
      </c>
      <c r="B32" s="93">
        <f>2*(IF(Rules!$B$9=Rules!$E$9,SUM(HSD!B7:B13)+Rules!$B$5*HSD!B14+HSD!B38+B45,SUM(HS!B7:B13)+Rules!$B$5*HS!B14+HS!B38+B45)/(9+Rules!$B$5))</f>
        <v>-0.82478349165876641</v>
      </c>
      <c r="C32" s="1">
        <f>2*(IF(Rules!$B$9=Rules!$E$9,SUM(HSD!C7:C13)+Rules!$B$5*HSD!C14+HSD!C38+C45,SUM(HS!C7:C13)+Rules!$B$5*HS!C14+HS!C38+C45)/(9+Rules!$B$5))</f>
        <v>-0.24352935335750775</v>
      </c>
      <c r="D32" s="1">
        <f>2*(IF(Rules!$B$9=Rules!$E$9,SUM(HSD!D7:D13)+Rules!$B$5*HSD!D14+HSD!D38+D45,SUM(HS!D7:D13)+Rules!$B$5*HS!D14+HS!D38+D45)/(9+Rules!$B$5))</f>
        <v>-0.17413979022885492</v>
      </c>
      <c r="E32" s="1">
        <f>2*(IF(Rules!$B$9=Rules!$E$9,SUM(HSD!E7:E13)+Rules!$B$5*HSD!E14+HSD!E38+E45,SUM(HS!E7:E13)+Rules!$B$5*HS!E14+HS!E38+E45)/(9+Rules!$B$5))</f>
        <v>-0.1027067937965179</v>
      </c>
      <c r="F32" s="1">
        <f>2*(IF(Rules!$B$9=Rules!$E$9,SUM(HSD!F7:F13)+Rules!$B$5*HSD!F14+HSD!F38+F45,SUM(HS!F7:F13)+Rules!$B$5*HS!F14+HS!F38+F45)/(9+Rules!$B$5))</f>
        <v>-2.319737299519899E-2</v>
      </c>
      <c r="G32" s="1">
        <f>2*(IF(Rules!$B$9=Rules!$E$9,SUM(HSD!G7:G13)+Rules!$B$5*HSD!G14+HSD!G38+G45,SUM(HS!G7:G13)+Rules!$B$5*HS!G14+HS!G38+G45)/(9+Rules!$B$5))</f>
        <v>2.7686476114549427E-2</v>
      </c>
      <c r="H32" s="1">
        <f>2*(IF(Rules!$B$9=Rules!$E$9,SUM(HSD!H7:H13)+Rules!$B$5*HSD!H14+HSD!H38+H45,SUM(HS!H7:H13)+Rules!$B$5*HS!H14+HS!H38+H45)/(9+Rules!$B$5))</f>
        <v>-0.1803469705600394</v>
      </c>
      <c r="I32" s="1">
        <f>2*(IF(Rules!$B$9=Rules!$E$9,SUM(HSD!I7:I13)+Rules!$B$5*HSD!I14+HSD!I38+I45,SUM(HS!I7:I13)+Rules!$B$5*HS!I14+HS!I38+I45)/(9+Rules!$B$5))</f>
        <v>-0.33427237055112191</v>
      </c>
      <c r="J32" s="1">
        <f>2*(IF(Rules!$B$9=Rules!$E$9,SUM(HSD!J7:J13)+Rules!$B$5*HSD!J14+HSD!J38+J45,SUM(HS!J7:J13)+Rules!$B$5*HS!J14+HS!J38+J45)/(9+Rules!$B$5))</f>
        <v>-0.5103618441696548</v>
      </c>
      <c r="K32" s="9">
        <f>2*(IF(Rules!$B$9=Rules!$E$9,SUM(HSD!K7:K13)+Rules!$B$5*HSD!K14+HSD!K38+K45,SUM(HS!K7:K13)+Rules!$B$5*HS!K14+HS!K38+K45)/(9+Rules!$B$5))</f>
        <v>-0.71476773894765677</v>
      </c>
    </row>
    <row r="33" spans="1:11" x14ac:dyDescent="0.2">
      <c r="A33" s="98">
        <v>5</v>
      </c>
      <c r="B33" s="93">
        <f>2*(IF(Rules!$B$9=Rules!$E$9,SUM(HSD!B8:B14)+Rules!$B$5*HSD!B15+HSD!B39+B46,SUM(HS!B8:B14)+Rules!$B$5*HS!B15+HS!B39+B46)/(9+Rules!$B$5))</f>
        <v>-0.87617294583778405</v>
      </c>
      <c r="C33" s="1">
        <f>2*(IF(Rules!$B$9=Rules!$E$9,SUM(HSD!C8:C14)+Rules!$B$5*HSD!C15+HSD!C39+C46,SUM(HS!C8:C14)+Rules!$B$5*HS!C15+HS!C39+C46)/(9+Rules!$B$5))</f>
        <v>-0.27908462739839934</v>
      </c>
      <c r="D33" s="1">
        <f>2*(IF(Rules!$B$9=Rules!$E$9,SUM(HSD!D8:D14)+Rules!$B$5*HSD!D15+HSD!D39+D46,SUM(HS!D8:D14)+Rules!$B$5*HS!D15+HS!D39+D46)/(9+Rules!$B$5))</f>
        <v>-0.20816468107967456</v>
      </c>
      <c r="E33" s="1">
        <f>2*(IF(Rules!$B$9=Rules!$E$9,SUM(HSD!E8:E14)+Rules!$B$5*HSD!E15+HSD!E39+E46,SUM(HS!E8:E14)+Rules!$B$5*HS!E15+HS!E39+E46)/(9+Rules!$B$5))</f>
        <v>-0.1352569490755495</v>
      </c>
      <c r="F33" s="1">
        <f>2*(IF(Rules!$B$9=Rules!$E$9,SUM(HSD!F8:F14)+Rules!$B$5*HSD!F15+HSD!F39+F46,SUM(HS!F8:F14)+Rules!$B$5*HS!F15+HS!F39+F46)/(9+Rules!$B$5))</f>
        <v>-5.4217414611531289E-2</v>
      </c>
      <c r="G33" s="1">
        <f>2*(IF(Rules!$B$9=Rules!$E$9,SUM(HSD!G8:G14)+Rules!$B$5*HSD!G15+HSD!G39+G46,SUM(HS!G8:G14)+Rules!$B$5*HS!G15+HS!G39+G46)/(9+Rules!$B$5))</f>
        <v>-7.227755373917435E-3</v>
      </c>
      <c r="H33" s="1">
        <f>2*(IF(Rules!$B$9=Rules!$E$9,SUM(HSD!H8:H14)+Rules!$B$5*HSD!H15+HSD!H39+H46,SUM(HS!H8:H14)+Rules!$B$5*HS!H15+HS!H39+H46)/(9+Rules!$B$5))</f>
        <v>-0.26506212748950769</v>
      </c>
      <c r="I33" s="1">
        <f>2*(IF(Rules!$B$9=Rules!$E$9,SUM(HSD!I8:I14)+Rules!$B$5*HSD!I15+HSD!I39+I46,SUM(HS!I8:I14)+Rules!$B$5*HS!I15+HS!I39+I46)/(9+Rules!$B$5))</f>
        <v>-0.40166073689591203</v>
      </c>
      <c r="J33" s="1">
        <f>2*(IF(Rules!$B$9=Rules!$E$9,SUM(HSD!J8:J14)+Rules!$B$5*HSD!J15+HSD!J39+J46,SUM(HS!J8:J14)+Rules!$B$5*HS!J15+HS!J39+J46)/(9+Rules!$B$5))</f>
        <v>-0.57136313228961666</v>
      </c>
      <c r="K33" s="9">
        <f>2*(IF(Rules!$B$9=Rules!$E$9,SUM(HSD!K8:K14)+Rules!$B$5*HSD!K15+HSD!K39+K46,SUM(HS!K8:K14)+Rules!$B$5*HS!K15+HS!K39+K46)/(9+Rules!$B$5))</f>
        <v>-0.7693959829999264</v>
      </c>
    </row>
    <row r="34" spans="1:11" x14ac:dyDescent="0.2">
      <c r="A34" s="98">
        <v>6</v>
      </c>
      <c r="B34" s="93">
        <f>2*(IF(Rules!$B$9=Rules!$E$9,SUM(HSD!B9:B15)+Rules!$B$5*HSD!B16+HSD!B40+B47,SUM(HS!B9:B15)+Rules!$B$5*HS!B16+HS!B40+B47)/(9+Rules!$B$5))</f>
        <v>-0.91768664884222484</v>
      </c>
      <c r="C34" s="1">
        <f>2*(IF(Rules!$B$9=Rules!$E$9,SUM(HSD!C9:C15)+Rules!$B$5*HSD!C16+HSD!C40+C47,SUM(HS!C9:C15)+Rules!$B$5*HS!C16+HS!C40+C47)/(9+Rules!$B$5))</f>
        <v>-0.32147516521407576</v>
      </c>
      <c r="D34" s="1">
        <f>2*(IF(Rules!$B$9=Rules!$E$9,SUM(HSD!D9:D15)+Rules!$B$5*HSD!D16+HSD!D40+D47,SUM(HS!D9:D15)+Rules!$B$5*HS!D16+HS!D40+D47)/(9+Rules!$B$5))</f>
        <v>-0.24882637425535079</v>
      </c>
      <c r="E34" s="1">
        <f>2*(IF(Rules!$B$9=Rules!$E$9,SUM(HSD!E9:E15)+Rules!$B$5*HSD!E16+HSD!E40+E47,SUM(HS!E9:E15)+Rules!$B$5*HS!E16+HS!E40+E47)/(9+Rules!$B$5))</f>
        <v>-0.17423716956507976</v>
      </c>
      <c r="F34" s="1">
        <f>2*(IF(Rules!$B$9=Rules!$E$9,SUM(HSD!F9:F15)+Rules!$B$5*HSD!F16+HSD!F40+F47,SUM(HS!F9:F15)+Rules!$B$5*HS!F16+HS!F40+F47)/(9+Rules!$B$5))</f>
        <v>-9.146834398993331E-2</v>
      </c>
      <c r="G34" s="1">
        <f>2*(IF(Rules!$B$9=Rules!$E$9,SUM(HSD!G9:G15)+Rules!$B$5*HSD!G16+HSD!G40+G47,SUM(HS!G9:G15)+Rules!$B$5*HS!G16+HS!G40+G47)/(9+Rules!$B$5))</f>
        <v>-4.7699643545282742E-2</v>
      </c>
      <c r="H34" s="1">
        <f>2*(IF(Rules!$B$9=Rules!$E$9,SUM(HSD!H9:H15)+Rules!$B$5*HSD!H16+HSD!H40+H47,SUM(HS!H9:H15)+Rules!$B$5*HS!H16+HS!H40+H47)/(9+Rules!$B$5))</f>
        <v>-0.36326123814065148</v>
      </c>
      <c r="I34" s="1">
        <f>2*(IF(Rules!$B$9=Rules!$E$9,SUM(HSD!I9:I15)+Rules!$B$5*HSD!I16+HSD!I40+I47,SUM(HS!I9:I15)+Rules!$B$5*HS!I16+HS!I40+I47)/(9+Rules!$B$5))</f>
        <v>-0.49211229910047921</v>
      </c>
      <c r="J34" s="1">
        <f>2*(IF(Rules!$B$9=Rules!$E$9,SUM(HSD!J9:J15)+Rules!$B$5*HSD!J16+HSD!J40+J47,SUM(HS!J9:J15)+Rules!$B$5*HS!J16+HS!J40+J47)/(9+Rules!$B$5))</f>
        <v>-0.64298833399502642</v>
      </c>
      <c r="K34" s="9">
        <f>2*(IF(Rules!$B$9=Rules!$E$9,SUM(HSD!K9:K15)+Rules!$B$5*HSD!K16+HSD!K40+K47,SUM(HS!K9:K15)+Rules!$B$5*HS!K16+HS!K40+K47)/(9+Rules!$B$5))</f>
        <v>-0.831667315115864</v>
      </c>
    </row>
    <row r="35" spans="1:11" x14ac:dyDescent="0.2">
      <c r="A35" s="98">
        <v>7</v>
      </c>
      <c r="B35" s="93">
        <f>2*(IF(Rules!$B$9=Rules!$E$9,SUM(HSD!B10:B16)+Rules!$B$5*HSD!B17+HSD!B41+B48,SUM(HS!B10:B16)+Rules!$B$5*HS!B17+HS!B41+B48)/(9+Rules!$B$5))</f>
        <v>-0.88365092217148355</v>
      </c>
      <c r="C35" s="1">
        <f>2*(IF(Rules!$B$9=Rules!$E$9,SUM(HSD!C10:C16)+Rules!$B$5*HSD!C17+HSD!C41+C48,SUM(HS!C10:C16)+Rules!$B$5*HS!C17+HS!C41+C48)/(9+Rules!$B$5))</f>
        <v>-0.26341499316547468</v>
      </c>
      <c r="D35" s="1">
        <f>2*(IF(Rules!$B$9=Rules!$E$9,SUM(HSD!D10:D16)+Rules!$B$5*HSD!D17+HSD!D41+D48,SUM(HS!D10:D16)+Rules!$B$5*HS!D17+HS!D41+D48)/(9+Rules!$B$5))</f>
        <v>-0.19230914312397396</v>
      </c>
      <c r="E35" s="1">
        <f>2*(IF(Rules!$B$9=Rules!$E$9,SUM(HSD!E10:E16)+Rules!$B$5*HSD!E17+HSD!E41+E48,SUM(HS!E10:E16)+Rules!$B$5*HS!E17+HS!E41+E48)/(9+Rules!$B$5))</f>
        <v>-0.11912427557859537</v>
      </c>
      <c r="F35" s="1">
        <f>2*(IF(Rules!$B$9=Rules!$E$9,SUM(HSD!F10:F16)+Rules!$B$5*HSD!F17+HSD!F41+F48,SUM(HS!F10:F16)+Rules!$B$5*HS!F17+HS!F41+F48)/(9+Rules!$B$5))</f>
        <v>-4.1092656893943182E-2</v>
      </c>
      <c r="G35" s="1">
        <f>2*(IF(Rules!$B$9=Rules!$E$9,SUM(HSD!G10:G16)+Rules!$B$5*HSD!G17+HSD!G41+G48,SUM(HS!G10:G16)+Rules!$B$5*HS!G17+HS!G41+G48)/(9+Rules!$B$5))</f>
        <v>3.7194045546251421E-2</v>
      </c>
      <c r="H35" s="1">
        <f>2*(IF(Rules!$B$9=Rules!$E$9,SUM(HSD!H10:H16)+Rules!$B$5*HSD!H17+HSD!H41+H48,SUM(HS!H10:H16)+Rules!$B$5*HS!H17+HS!H41+H48)/(9+Rules!$B$5))</f>
        <v>-0.18522843902205677</v>
      </c>
      <c r="I35" s="1">
        <f>2*(IF(Rules!$B$9=Rules!$E$9,SUM(HSD!I10:I16)+Rules!$B$5*HSD!I17+HSD!I41+I48,SUM(HS!I10:I16)+Rules!$B$5*HS!I17+HS!I41+I48)/(9+Rules!$B$5))</f>
        <v>-0.50114580743086734</v>
      </c>
      <c r="J35" s="1">
        <f>2*(IF(Rules!$B$9=Rules!$E$9,SUM(HSD!J10:J16)+Rules!$B$5*HSD!J17+HSD!J41+J48,SUM(HS!J10:J16)+Rules!$B$5*HS!J17+HS!J41+J48)/(9+Rules!$B$5))</f>
        <v>-0.6505082390523842</v>
      </c>
      <c r="K35" s="9">
        <f>2*(IF(Rules!$B$9=Rules!$E$9,SUM(HSD!K10:K16)+Rules!$B$5*HSD!K17+HSD!K41+K48,SUM(HS!K10:K16)+Rules!$B$5*HS!K17+HS!K41+K48)/(9+Rules!$B$5))</f>
        <v>-0.80965181505417472</v>
      </c>
    </row>
    <row r="36" spans="1:11" x14ac:dyDescent="0.2">
      <c r="A36" s="98">
        <v>8</v>
      </c>
      <c r="B36" s="93">
        <f>2*(IF(Rules!$B$9=Rules!$E$9,SUM(HSD!B11:B17)+Rules!$B$5*HSD!B18+HSD!B42+B49,SUM(HS!B11:B17)+Rules!$B$5*HS!B18+HS!B42+B49)/(9+Rules!$B$5))</f>
        <v>-0.73975955788156178</v>
      </c>
      <c r="C36" s="1">
        <f>2*(IF(Rules!$B$9=Rules!$E$9,SUM(HSD!C11:C17)+Rules!$B$5*HSD!C18+HSD!C42+C49,SUM(HS!C11:C17)+Rules!$B$5*HS!C18+HS!C42+C49)/(9+Rules!$B$5))</f>
        <v>-7.8380432944789219E-2</v>
      </c>
      <c r="D36" s="1">
        <f>2*(IF(Rules!$B$9=Rules!$E$9,SUM(HSD!D11:D17)+Rules!$B$5*HSD!D18+HSD!D42+D49,SUM(HS!D11:D17)+Rules!$B$5*HS!D18+HS!D42+D49)/(9+Rules!$B$5))</f>
        <v>-1.3232159669864678E-2</v>
      </c>
      <c r="E36" s="1">
        <f>2*(IF(Rules!$B$9=Rules!$E$9,SUM(HSD!E11:E17)+Rules!$B$5*HSD!E18+HSD!E42+E49,SUM(HS!E11:E17)+Rules!$B$5*HS!E18+HS!E42+E49)/(9+Rules!$B$5))</f>
        <v>5.4045688809377719E-2</v>
      </c>
      <c r="F36" s="1">
        <f>2*(IF(Rules!$B$9=Rules!$E$9,SUM(HSD!F11:F17)+Rules!$B$5*HSD!F18+HSD!F42+F49,SUM(HS!F11:F17)+Rules!$B$5*HS!F18+HS!F42+F49)/(9+Rules!$B$5))</f>
        <v>0.12397092080674978</v>
      </c>
      <c r="G36" s="1">
        <f>2*(IF(Rules!$B$9=Rules!$E$9,SUM(HSD!G11:G17)+Rules!$B$5*HSD!G18+HSD!G42+G49,SUM(HS!G11:G17)+Rules!$B$5*HS!G18+HS!G42+G49)/(9+Rules!$B$5))</f>
        <v>0.22101648725299444</v>
      </c>
      <c r="H36" s="1">
        <f>2*(IF(Rules!$B$9=Rules!$E$9,SUM(HSD!H11:H17)+Rules!$B$5*HSD!H18+HSD!H42+H49,SUM(HS!H11:H17)+Rules!$B$5*HS!H18+HS!H42+H49)/(9+Rules!$B$5))</f>
        <v>0.15018505324923945</v>
      </c>
      <c r="I36" s="1">
        <f>2*(IF(Rules!$B$9=Rules!$E$9,SUM(HSD!I11:I17)+Rules!$B$5*HSD!I18+HSD!I42+I49,SUM(HS!I11:I17)+Rules!$B$5*HS!I18+HS!I42+I49)/(9+Rules!$B$5))</f>
        <v>-0.16868120664797234</v>
      </c>
      <c r="J36" s="1">
        <f>2*(IF(Rules!$B$9=Rules!$E$9,SUM(HSD!J11:J17)+Rules!$B$5*HSD!J18+HSD!J42+J49,SUM(HS!J11:J17)+Rules!$B$5*HS!J18+HS!J42+J49)/(9+Rules!$B$5))</f>
        <v>-0.50297301092962265</v>
      </c>
      <c r="K36" s="9">
        <f>2*(IF(Rules!$B$9=Rules!$E$9,SUM(HSD!K11:K17)+Rules!$B$5*HSD!K18+HSD!K42+K49,SUM(HS!K11:K17)+Rules!$B$5*HS!K18+HS!K42+K49)/(9+Rules!$B$5))</f>
        <v>-0.68948777411093731</v>
      </c>
    </row>
    <row r="37" spans="1:11" x14ac:dyDescent="0.2">
      <c r="A37" s="98">
        <v>9</v>
      </c>
      <c r="B37" s="93">
        <f>2*(IF(Rules!$B$9=Rules!$E$9,SUM(HSD!B12:B18)+Rules!$B$5*HSD!B19+HSD!B43+B50,SUM(HS!B12:B18)+Rules!$B$5*HS!B19+HS!B43+B50)/(9+Rules!$B$5))</f>
        <v>-0.57490532147383744</v>
      </c>
      <c r="C37" s="1">
        <f>2*(IF(Rules!$B$9=Rules!$E$9,SUM(HSD!C12:C18)+Rules!$B$5*HSD!C19+HSD!C43+C50,SUM(HS!C12:C18)+Rules!$B$5*HS!C19+HS!C43+C50)/(9+Rules!$B$5))</f>
        <v>0.1351292021826889</v>
      </c>
      <c r="D37" s="1">
        <f>2*(IF(Rules!$B$9=Rules!$E$9,SUM(HSD!D12:D18)+Rules!$B$5*HSD!D19+HSD!D43+D50,SUM(HS!D12:D18)+Rules!$B$5*HS!D19+HS!D43+D50)/(9+Rules!$B$5))</f>
        <v>0.19363773212247265</v>
      </c>
      <c r="E37" s="1">
        <f>2*(IF(Rules!$B$9=Rules!$E$9,SUM(HSD!E12:E18)+Rules!$B$5*HSD!E19+HSD!E43+E50,SUM(HS!E12:E18)+Rules!$B$5*HS!E19+HS!E43+E50)/(9+Rules!$B$5))</f>
        <v>0.25410660657340595</v>
      </c>
      <c r="F37" s="1">
        <f>2*(IF(Rules!$B$9=Rules!$E$9,SUM(HSD!F12:F18)+Rules!$B$5*HSD!F19+HSD!F43+F50,SUM(HS!F12:F18)+Rules!$B$5*HS!F19+HS!F43+F50)/(9+Rules!$B$5))</f>
        <v>0.3174043592374225</v>
      </c>
      <c r="G37" s="1">
        <f>2*(IF(Rules!$B$9=Rules!$E$9,SUM(HSD!G12:G18)+Rules!$B$5*HSD!G19+HSD!G43+G50,SUM(HS!G12:G18)+Rules!$B$5*HS!G19+HS!G43+G50)/(9+Rules!$B$5))</f>
        <v>0.40101423713929185</v>
      </c>
      <c r="H37" s="1">
        <f>2*(IF(Rules!$B$9=Rules!$E$9,SUM(HSD!H12:H18)+Rules!$B$5*HSD!H19+HSD!H43+H50,SUM(HS!H12:H18)+Rules!$B$5*HS!H19+HS!H43+H50)/(9+Rules!$B$5))</f>
        <v>0.35167244737342723</v>
      </c>
      <c r="I37" s="1">
        <f>2*(IF(Rules!$B$9=Rules!$E$9,SUM(HSD!I12:I18)+Rules!$B$5*HSD!I19+HSD!I43+I50,SUM(HS!I12:I18)+Rules!$B$5*HS!I19+HS!I43+I50)/(9+Rules!$B$5))</f>
        <v>0.19164017172413794</v>
      </c>
      <c r="J37" s="1">
        <f>2*(IF(Rules!$B$9=Rules!$E$9,SUM(HSD!J12:J18)+Rules!$B$5*HSD!J19+HSD!J43+J50,SUM(HS!J12:J18)+Rules!$B$5*HS!J19+HS!J43+J50)/(9+Rules!$B$5))</f>
        <v>-0.1447581415992156</v>
      </c>
      <c r="K37" s="9">
        <f>2*(IF(Rules!$B$9=Rules!$E$9,SUM(HSD!K12:K18)+Rules!$B$5*HSD!K19+HSD!K43+K50,SUM(HS!K12:K18)+Rules!$B$5*HS!K19+HS!K43+K50)/(9+Rules!$B$5))</f>
        <v>-0.50171786932644047</v>
      </c>
    </row>
    <row r="38" spans="1:11" ht="17" thickBot="1" x14ac:dyDescent="0.25">
      <c r="A38" s="99">
        <v>10</v>
      </c>
      <c r="B38" s="94">
        <f>2*(IF(Rules!$B$9=Rules!$E$9,SUM(HSD!B13:B19)+Rules!$B$5*HSD!B20+HSD!B44+B51,SUM(HS!B13:B19)+Rules!$B$5*HS!B20+HS!B44+B51)/(9+Rules!$B$5))</f>
        <v>-0.26682427779669848</v>
      </c>
      <c r="C38" s="110">
        <f>2*(IF(Rules!$B$9=Rules!$E$9,SUM(HSD!C13:C19)+Rules!$B$5*HSD!C20+HSD!C44+C51,SUM(HS!C13:C19)+Rules!$B$5*HS!C20+HS!C44+C51)/(9+Rules!$B$5))</f>
        <v>0.46013690709266325</v>
      </c>
      <c r="D38" s="110">
        <f>2*(IF(Rules!$B$9=Rules!$E$9,SUM(HSD!D13:D19)+Rules!$B$5*HSD!D20+HSD!D44+D51,SUM(HS!D13:D19)+Rules!$B$5*HS!D20+HS!D44+D51)/(9+Rules!$B$5))</f>
        <v>0.51154008261649231</v>
      </c>
      <c r="E38" s="110">
        <f>2*(IF(Rules!$B$9=Rules!$E$9,SUM(HSD!E13:E19)+Rules!$B$5*HSD!E20+HSD!E44+E51,SUM(HS!E13:E19)+Rules!$B$5*HS!E20+HS!E44+E51)/(9+Rules!$B$5))</f>
        <v>0.56432537499270297</v>
      </c>
      <c r="F38" s="110">
        <f>2*(IF(Rules!$B$9=Rules!$E$9,SUM(HSD!F13:F19)+Rules!$B$5*HSD!F20+HSD!F44+F51,SUM(HS!F13:F19)+Rules!$B$5*HS!F20+HS!F44+F51)/(9+Rules!$B$5))</f>
        <v>0.61708784282461282</v>
      </c>
      <c r="G38" s="110">
        <f>2*(IF(Rules!$B$9=Rules!$E$9,SUM(HSD!G13:G19)+Rules!$B$5*HSD!G20+HSD!G44+G51,SUM(HS!G13:G19)+Rules!$B$5*HS!G20+HS!G44+G51)/(9+Rules!$B$5))</f>
        <v>0.68778850466357977</v>
      </c>
      <c r="H38" s="110">
        <f>2*(IF(Rules!$B$9=Rules!$E$9,SUM(HSD!H13:H19)+Rules!$B$5*HSD!H20+HSD!H44+H51,SUM(HS!H13:H19)+Rules!$B$5*HS!H20+HS!H44+H51)/(9+Rules!$B$5))</f>
        <v>0.62561213531670967</v>
      </c>
      <c r="I38" s="110">
        <f>2*(IF(Rules!$B$9=Rules!$E$9,SUM(HSD!I13:I19)+Rules!$B$5*HSD!I20+HSD!I44+I51,SUM(HS!I13:I19)+Rules!$B$5*HS!I20+HS!I44+I51)/(9+Rules!$B$5))</f>
        <v>0.49859698923137341</v>
      </c>
      <c r="J38" s="110">
        <f>2*(IF(Rules!$B$9=Rules!$E$9,SUM(HSD!J13:J19)+Rules!$B$5*HSD!J20+HSD!J44+J51,SUM(HS!J13:J19)+Rules!$B$5*HS!J20+HS!J44+J51)/(9+Rules!$B$5))</f>
        <v>0.32122417640741446</v>
      </c>
      <c r="K38" s="10">
        <f>2*(IF(Rules!$B$9=Rules!$E$9,SUM(HSD!K13:K19)+Rules!$B$5*HSD!K20+HSD!K44+K51,SUM(HS!K13:K19)+Rules!$B$5*HS!K20+HS!K44+K51)/(9+Rules!$B$5))</f>
        <v>-3.9101187193219533E-2</v>
      </c>
    </row>
    <row r="39" spans="1:11" ht="17" thickBot="1" x14ac:dyDescent="0.25"/>
    <row r="40" spans="1:11" ht="17" thickBot="1" x14ac:dyDescent="0.25">
      <c r="A40" s="304" t="s">
        <v>78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6"/>
    </row>
    <row r="41" spans="1:11" ht="17" thickBot="1" x14ac:dyDescent="0.25">
      <c r="A41" s="105" t="s">
        <v>7</v>
      </c>
      <c r="B41" s="118">
        <v>1</v>
      </c>
      <c r="C41" s="119">
        <v>2</v>
      </c>
      <c r="D41" s="119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01">
        <v>10</v>
      </c>
    </row>
    <row r="42" spans="1:11" x14ac:dyDescent="0.2">
      <c r="A42" s="100">
        <v>1</v>
      </c>
      <c r="B42" s="108">
        <f>2*(IF(Rules!$B$12=Rules!$F$12,SUM(Stand!B35:B43)+Rules!$B$5*Stand!B44,SUM(HSD!B35:B43)+Rules!$B$5*HSD!B44)/(9+Rules!$B$5))</f>
        <v>-0.11815715102876453</v>
      </c>
      <c r="C42" s="109">
        <f>2*(IF(Rules!$B$12=Rules!$F$12,SUM(Stand!C35:C43)+Rules!$B$5*Stand!C44,SUM(HSD!C35:C43)+Rules!$B$5*HSD!C44)/(9+Rules!$B$5))</f>
        <v>0.47064092333946894</v>
      </c>
      <c r="D42" s="109">
        <f>2*(IF(Rules!$B$12=Rules!$F$12,SUM(Stand!D35:D43)+Rules!$B$5*Stand!D44,SUM(HSD!D35:D43)+Rules!$B$5*HSD!D44)/(9+Rules!$B$5))</f>
        <v>0.51779525312221664</v>
      </c>
      <c r="E42" s="109">
        <f>2*(IF(Rules!$B$12=Rules!$F$12,SUM(Stand!E35:E43)+Rules!$B$5*Stand!E44,SUM(HSD!E35:E43)+Rules!$B$5*HSD!E44)/(9+Rules!$B$5))</f>
        <v>0.56604055041797596</v>
      </c>
      <c r="F42" s="109">
        <f>2*(IF(Rules!$B$12=Rules!$F$12,SUM(Stand!F35:F43)+Rules!$B$5*Stand!F44,SUM(HSD!F35:F43)+Rules!$B$5*HSD!F44)/(9+Rules!$B$5))</f>
        <v>0.61469901790902803</v>
      </c>
      <c r="G42" s="109">
        <f>2*(IF(Rules!$B$12=Rules!$F$12,SUM(Stand!G35:G43)+Rules!$B$5*Stand!G44,SUM(HSD!G35:G43)+Rules!$B$5*HSD!G44)/(9+Rules!$B$5))</f>
        <v>0.66738009490756944</v>
      </c>
      <c r="H42" s="109">
        <f>2*(IF(Rules!$B$12=Rules!$F$12,SUM(Stand!H35:H43)+Rules!$B$5*Stand!H44,SUM(HSD!H35:H43)+Rules!$B$5*HSD!H44)/(9+Rules!$B$5))</f>
        <v>0.46288894886429088</v>
      </c>
      <c r="I42" s="109">
        <f>2*(IF(Rules!$B$12=Rules!$F$12,SUM(Stand!I35:I43)+Rules!$B$5*Stand!I44,SUM(HSD!I35:I43)+Rules!$B$5*HSD!I44)/(9+Rules!$B$5))</f>
        <v>0.35069259087031512</v>
      </c>
      <c r="J42" s="109">
        <f>2*(IF(Rules!$B$12=Rules!$F$12,SUM(Stand!J35:J43)+Rules!$B$5*Stand!J44,SUM(HSD!J35:J43)+Rules!$B$5*HSD!J44)/(9+Rules!$B$5))</f>
        <v>0.22778342315245487</v>
      </c>
      <c r="K42" s="57">
        <f>2*(IF(Rules!$B$12=Rules!$F$12,SUM(Stand!K35:K43)+Rules!$B$5*Stand!K44,SUM(HSD!K35:K43)+Rules!$B$5*HSD!K44)/(9+Rules!$B$5))</f>
        <v>5.9357641870643733E-2</v>
      </c>
    </row>
    <row r="43" spans="1:11" x14ac:dyDescent="0.2">
      <c r="A43" s="98">
        <v>2</v>
      </c>
      <c r="B43" s="93">
        <f>2*(IF(Rules!$B$9=Rules!$E$9,SUM(HSD!B4:B11)+Rules!$B$5*HSD!B12+HSD!B36,SUM(HS!B4:B11)+Rules!$B$5*HS!B12+HS!B36)/(9+Rules!$B$5))</f>
        <v>-0.68913674385068324</v>
      </c>
      <c r="C43" s="1">
        <f>2*(IF(Rules!$B$9=Rules!$E$9,SUM(HSD!C4:C11)+Rules!$B$5*HSD!C12+HSD!C36,SUM(HS!C4:C11)+Rules!$B$5*HS!C12+HS!C36)/(9+Rules!$B$5))</f>
        <v>-0.1517687166378982</v>
      </c>
      <c r="D43" s="1">
        <f>2*(IF(Rules!$B$9=Rules!$E$9,SUM(HSD!D4:D11)+Rules!$B$5*HSD!D12+HSD!D36,SUM(HS!D4:D11)+Rules!$B$5*HS!D12+HS!D36)/(9+Rules!$B$5))</f>
        <v>-9.9501412292824082E-2</v>
      </c>
      <c r="E43" s="1">
        <f>2*(IF(Rules!$B$9=Rules!$E$9,SUM(HSD!E4:E11)+Rules!$B$5*HSD!E12+HSD!E36,SUM(HS!E4:E11)+Rules!$B$5*HS!E12+HS!E36)/(9+Rules!$B$5))</f>
        <v>-4.4200824271668777E-2</v>
      </c>
      <c r="F43" s="1">
        <f>2*(IF(Rules!$B$9=Rules!$E$9,SUM(HSD!F4:F11)+Rules!$B$5*HSD!F12+HSD!F36,SUM(HS!F4:F11)+Rules!$B$5*HS!F12+HS!F36)/(9+Rules!$B$5))</f>
        <v>2.7460064569567143E-2</v>
      </c>
      <c r="G43" s="1">
        <f>2*(IF(Rules!$B$9=Rules!$E$9,SUM(HSD!G4:G11)+Rules!$B$5*HSD!G12+HSD!G36,SUM(HS!G4:G11)+Rules!$B$5*HS!G12+HS!G36)/(9+Rules!$B$5))</f>
        <v>7.7766823892602463E-2</v>
      </c>
      <c r="H43" s="1">
        <f>2*(IF(Rules!$B$9=Rules!$E$9,SUM(HSD!H4:H11)+Rules!$B$5*HSD!H12+HSD!H36,SUM(HS!H4:H11)+Rules!$B$5*HS!H12+HS!H36)/(9+Rules!$B$5))</f>
        <v>-5.4514042751724494E-2</v>
      </c>
      <c r="I43" s="1">
        <f>2*(IF(Rules!$B$9=Rules!$E$9,SUM(HSD!I4:I11)+Rules!$B$5*HSD!I12+HSD!I36,SUM(HS!I4:I11)+Rules!$B$5*HS!I12+HS!I36)/(9+Rules!$B$5))</f>
        <v>-0.20632345555025447</v>
      </c>
      <c r="J43" s="1">
        <f>2*(IF(Rules!$B$9=Rules!$E$9,SUM(HSD!J4:J11)+Rules!$B$5*HSD!J12+HSD!J36,SUM(HS!J4:J11)+Rules!$B$5*HS!J12+HS!J36)/(9+Rules!$B$5))</f>
        <v>-0.38009428610701684</v>
      </c>
      <c r="K43" s="9">
        <f>2*(IF(Rules!$B$9=Rules!$E$9,SUM(HSD!K4:K11)+Rules!$B$5*HSD!K12+HSD!K36,SUM(HS!K4:K11)+Rules!$B$5*HS!K12+HS!K36)/(9+Rules!$B$5))</f>
        <v>-0.58192745547954849</v>
      </c>
    </row>
    <row r="44" spans="1:11" x14ac:dyDescent="0.2">
      <c r="A44" s="98">
        <v>3</v>
      </c>
      <c r="B44" s="93">
        <f>2*(IF(Rules!$B$9=Rules!$E$9,SUM(HSD!B5:B12)+Rules!$B$5*HSD!B13+HSD!B37,SUM(HS!B5:B12)+Rules!$B$5*HS!B13+HS!B37)/(9+Rules!$B$5))</f>
        <v>-0.72948928198951057</v>
      </c>
      <c r="C44" s="1">
        <f>2*(IF(Rules!$B$9=Rules!$E$9,SUM(HSD!C5:C12)+Rules!$B$5*HSD!C13+HSD!C37,SUM(HS!C5:C12)+Rules!$B$5*HS!C13+HS!C37)/(9+Rules!$B$5))</f>
        <v>-0.20104500879570492</v>
      </c>
      <c r="D44" s="1">
        <f>2*(IF(Rules!$B$9=Rules!$E$9,SUM(HSD!D5:D12)+Rules!$B$5*HSD!D13+HSD!D37,SUM(HS!D5:D12)+Rules!$B$5*HS!D13+HS!D37)/(9+Rules!$B$5))</f>
        <v>-0.13775171655779503</v>
      </c>
      <c r="E44" s="1">
        <f>2*(IF(Rules!$B$9=Rules!$E$9,SUM(HSD!E5:E12)+Rules!$B$5*HSD!E13+HSD!E37,SUM(HS!E5:E12)+Rules!$B$5*HS!E13+HS!E37)/(9+Rules!$B$5))</f>
        <v>-7.2522581417810678E-2</v>
      </c>
      <c r="F44" s="1">
        <f>2*(IF(Rules!$B$9=Rules!$E$9,SUM(HSD!F5:F12)+Rules!$B$5*HSD!F13+HSD!F37,SUM(HS!F5:F12)+Rules!$B$5*HS!F13+HS!F37)/(9+Rules!$B$5))</f>
        <v>3.3991424279375615E-4</v>
      </c>
      <c r="G44" s="1">
        <f>2*(IF(Rules!$B$9=Rules!$E$9,SUM(HSD!G5:G12)+Rules!$B$5*HSD!G13+HSD!G37,SUM(HS!G5:G12)+Rules!$B$5*HS!G13+HS!G37)/(9+Rules!$B$5))</f>
        <v>4.8942606413118719E-2</v>
      </c>
      <c r="H44" s="1">
        <f>2*(IF(Rules!$B$9=Rules!$E$9,SUM(HSD!H5:H12)+Rules!$B$5*HSD!H13+HSD!H37,SUM(HS!H5:H12)+Rules!$B$5*HS!H13+HS!H37)/(9+Rules!$B$5))</f>
        <v>-0.11487517708071333</v>
      </c>
      <c r="I44" s="1">
        <f>2*(IF(Rules!$B$9=Rules!$E$9,SUM(HSD!I5:I12)+Rules!$B$5*HSD!I13+HSD!I37,SUM(HS!I5:I12)+Rules!$B$5*HS!I13+HS!I37)/(9+Rules!$B$5))</f>
        <v>-0.26188376130040197</v>
      </c>
      <c r="J44" s="1">
        <f>2*(IF(Rules!$B$9=Rules!$E$9,SUM(HSD!J5:J12)+Rules!$B$5*HSD!J13+HSD!J37,SUM(HS!J5:J12)+Rules!$B$5*HS!J13+HS!J37)/(9+Rules!$B$5))</f>
        <v>-0.43015324562724866</v>
      </c>
      <c r="K44" s="9">
        <f>2*(IF(Rules!$B$9=Rules!$E$9,SUM(HSD!K5:K12)+Rules!$B$5*HSD!K13+HSD!K37,SUM(HS!K5:K12)+Rules!$B$5*HS!K13+HS!K37)/(9+Rules!$B$5))</f>
        <v>-0.62555960256519616</v>
      </c>
    </row>
    <row r="45" spans="1:11" x14ac:dyDescent="0.2">
      <c r="A45" s="98">
        <v>4</v>
      </c>
      <c r="B45" s="93">
        <f>2*(IF(Rules!$B$9=Rules!$E$9,SUM(HSD!B6:B13)+Rules!$B$5*HSD!B14+HSD!B38,SUM(HS!B6:B13)+Rules!$B$5*HS!B14+HS!B38)/(9+Rules!$B$5))</f>
        <v>-0.7707706132337323</v>
      </c>
      <c r="C45" s="1">
        <f>2*(IF(Rules!$B$9=Rules!$E$9,SUM(HSD!C6:C13)+Rules!$B$5*HSD!C14+HSD!C38,SUM(HS!C6:C13)+Rules!$B$5*HS!C14+HS!C38)/(9+Rules!$B$5))</f>
        <v>-0.22982665523784268</v>
      </c>
      <c r="D45" s="1">
        <f>2*(IF(Rules!$B$9=Rules!$E$9,SUM(HSD!D6:D13)+Rules!$B$5*HSD!D14+HSD!D38,SUM(HS!D6:D13)+Rules!$B$5*HS!D14+HS!D38)/(9+Rules!$B$5))</f>
        <v>-0.1652266285994887</v>
      </c>
      <c r="E45" s="1">
        <f>2*(IF(Rules!$B$9=Rules!$E$9,SUM(HSD!E6:E13)+Rules!$B$5*HSD!E14+HSD!E38,SUM(HS!E6:E13)+Rules!$B$5*HS!E14+HS!E38)/(9+Rules!$B$5))</f>
        <v>-9.8734840213833844E-2</v>
      </c>
      <c r="F45" s="1">
        <f>2*(IF(Rules!$B$9=Rules!$E$9,SUM(HSD!F6:F13)+Rules!$B$5*HSD!F14+HSD!F38,SUM(HS!F6:F13)+Rules!$B$5*HS!F14+HS!F38)/(9+Rules!$B$5))</f>
        <v>-2.4759853039852769E-2</v>
      </c>
      <c r="G45" s="1">
        <f>2*(IF(Rules!$B$9=Rules!$E$9,SUM(HSD!G6:G13)+Rules!$B$5*HSD!G14+HSD!G38,SUM(HS!G6:G13)+Rules!$B$5*HS!G14+HS!G38)/(9+Rules!$B$5))</f>
        <v>2.2260834561959594E-2</v>
      </c>
      <c r="H45" s="1">
        <f>2*(IF(Rules!$B$9=Rules!$E$9,SUM(HSD!H6:H13)+Rules!$B$5*HSD!H14+HSD!H38,SUM(HS!H6:H13)+Rules!$B$5*HS!H14+HS!H38)/(9+Rules!$B$5))</f>
        <v>-0.17655840211692744</v>
      </c>
      <c r="I45" s="1">
        <f>2*(IF(Rules!$B$9=Rules!$E$9,SUM(HSD!I6:I13)+Rules!$B$5*HSD!I14+HSD!I38,SUM(HS!I6:I13)+Rules!$B$5*HS!I14+HS!I38)/(9+Rules!$B$5))</f>
        <v>-0.31866830532041024</v>
      </c>
      <c r="J45" s="1">
        <f>2*(IF(Rules!$B$9=Rules!$E$9,SUM(HSD!J6:J13)+Rules!$B$5*HSD!J14+HSD!J38,SUM(HS!J6:J13)+Rules!$B$5*HS!J14+HS!J38)/(9+Rules!$B$5))</f>
        <v>-0.48133235830673093</v>
      </c>
      <c r="K45" s="9">
        <f>2*(IF(Rules!$B$9=Rules!$E$9,SUM(HSD!K6:K13)+Rules!$B$5*HSD!K14+HSD!K38,SUM(HS!K6:K13)+Rules!$B$5*HS!K14+HS!K38)/(9+Rules!$B$5))</f>
        <v>-0.67019972872702194</v>
      </c>
    </row>
    <row r="46" spans="1:11" x14ac:dyDescent="0.2">
      <c r="A46" s="98">
        <v>5</v>
      </c>
      <c r="B46" s="93">
        <f>2*(IF(Rules!$B$9=Rules!$E$9,SUM(HSD!B7:B14)+Rules!$B$5*HSD!B15+HSD!B39,SUM(HS!B7:B14)+Rules!$B$5*HS!B15+HS!B39)/(9+Rules!$B$5))</f>
        <v>-0.81264460422283824</v>
      </c>
      <c r="C46" s="1">
        <f>2*(IF(Rules!$B$9=Rules!$E$9,SUM(HSD!C7:C14)+Rules!$B$5*HSD!C15+HSD!C39,SUM(HS!C7:C14)+Rules!$B$5*HS!C15+HS!C39)/(9+Rules!$B$5))</f>
        <v>-0.25643113412749491</v>
      </c>
      <c r="D46" s="1">
        <f>2*(IF(Rules!$B$9=Rules!$E$9,SUM(HSD!D7:D14)+Rules!$B$5*HSD!D15+HSD!D39,SUM(HS!D7:D14)+Rules!$B$5*HS!D15+HS!D39)/(9+Rules!$B$5))</f>
        <v>-0.19062045452297977</v>
      </c>
      <c r="E46" s="1">
        <f>2*(IF(Rules!$B$9=Rules!$E$9,SUM(HSD!E7:E14)+Rules!$B$5*HSD!E15+HSD!E39,SUM(HS!E7:E14)+Rules!$B$5*HS!E15+HS!E39)/(9+Rules!$B$5))</f>
        <v>-0.12295892839938848</v>
      </c>
      <c r="F46" s="1">
        <f>2*(IF(Rules!$B$9=Rules!$E$9,SUM(HSD!F7:F14)+Rules!$B$5*HSD!F15+HSD!F39,SUM(HS!F7:F14)+Rules!$B$5*HS!F15+HS!F39)/(9+Rules!$B$5))</f>
        <v>-4.795794078371924E-2</v>
      </c>
      <c r="G46" s="1">
        <f>2*(IF(Rules!$B$9=Rules!$E$9,SUM(HSD!G7:G14)+Rules!$B$5*HSD!G15+HSD!G39,SUM(HS!G7:G14)+Rules!$B$5*HS!G15+HS!G39)/(9+Rules!$B$5))</f>
        <v>-2.3726756768803247E-3</v>
      </c>
      <c r="H46" s="1">
        <f>2*(IF(Rules!$B$9=Rules!$E$9,SUM(HSD!H7:H14)+Rules!$B$5*HSD!H15+HSD!H39,SUM(HS!H7:H14)+Rules!$B$5*HS!H15+HS!H39)/(9+Rules!$B$5))</f>
        <v>-0.23889488376829704</v>
      </c>
      <c r="I46" s="1">
        <f>2*(IF(Rules!$B$9=Rules!$E$9,SUM(HSD!I7:I14)+Rules!$B$5*HSD!I15+HSD!I39,SUM(HS!I7:I14)+Rules!$B$5*HS!I15+HS!I39)/(9+Rules!$B$5))</f>
        <v>-0.37618660780637037</v>
      </c>
      <c r="J46" s="1">
        <f>2*(IF(Rules!$B$9=Rules!$E$9,SUM(HSD!J7:J14)+Rules!$B$5*HSD!J15+HSD!J39,SUM(HS!J7:J14)+Rules!$B$5*HS!J15+HS!J39)/(9+Rules!$B$5))</f>
        <v>-0.53323010671591797</v>
      </c>
      <c r="K46" s="9">
        <f>2*(IF(Rules!$B$9=Rules!$E$9,SUM(HSD!K7:K14)+Rules!$B$5*HSD!K15+HSD!K39,SUM(HS!K7:K14)+Rules!$B$5*HS!K15+HS!K39)/(9+Rules!$B$5))</f>
        <v>-0.71548690516179581</v>
      </c>
    </row>
    <row r="47" spans="1:11" x14ac:dyDescent="0.2">
      <c r="A47" s="98">
        <v>6</v>
      </c>
      <c r="B47" s="93">
        <f>2*(IF(Rules!$B$9=Rules!$E$9,SUM(HSD!B8:B15)+Rules!$B$5*HSD!B16+HSD!B40,SUM(HS!B8:B15)+Rules!$B$5*HS!B16+HS!B40)/(9+Rules!$B$5))</f>
        <v>-0.83937380694202157</v>
      </c>
      <c r="C47" s="1">
        <f>2*(IF(Rules!$B$9=Rules!$E$9,SUM(HSD!C8:C15)+Rules!$B$5*HSD!C16+HSD!C40,SUM(HS!C8:C15)+Rules!$B$5*HS!C16+HS!C40)/(9+Rules!$B$5))</f>
        <v>-0.28151823492003974</v>
      </c>
      <c r="D47" s="1">
        <f>2*(IF(Rules!$B$9=Rules!$E$9,SUM(HSD!D8:D15)+Rules!$B$5*HSD!D16+HSD!D40,SUM(HS!D8:D15)+Rules!$B$5*HS!D16+HS!D40)/(9+Rules!$B$5))</f>
        <v>-0.2145821560172167</v>
      </c>
      <c r="E47" s="1">
        <f>2*(IF(Rules!$B$9=Rules!$E$9,SUM(HSD!E8:E15)+Rules!$B$5*HSD!E16+HSD!E40,SUM(HS!E8:E15)+Rules!$B$5*HS!E16+HS!E40)/(9+Rules!$B$5))</f>
        <v>-0.14583428385277461</v>
      </c>
      <c r="F47" s="1">
        <f>2*(IF(Rules!$B$9=Rules!$E$9,SUM(HSD!F8:F15)+Rules!$B$5*HSD!F16+HSD!F40,SUM(HS!F8:F15)+Rules!$B$5*HS!F16+HS!F40)/(9+Rules!$B$5))</f>
        <v>-6.9831946660204355E-2</v>
      </c>
      <c r="G47" s="1">
        <f>2*(IF(Rules!$B$9=Rules!$E$9,SUM(HSD!G8:G15)+Rules!$B$5*HSD!G16+HSD!G40,SUM(HS!G8:G15)+Rules!$B$5*HS!G16+HS!G40)/(9+Rules!$B$5))</f>
        <v>-2.6011671059748588E-2</v>
      </c>
      <c r="H47" s="1">
        <f>2*(IF(Rules!$B$9=Rules!$E$9,SUM(HSD!H8:H15)+Rules!$B$5*HSD!H16+HSD!H40,SUM(HS!H8:H15)+Rules!$B$5*HS!H16+HS!H40)/(9+Rules!$B$5))</f>
        <v>-0.30386541447339888</v>
      </c>
      <c r="I47" s="1">
        <f>2*(IF(Rules!$B$9=Rules!$E$9,SUM(HSD!I8:I15)+Rules!$B$5*HSD!I16+HSD!I40,SUM(HS!I8:I15)+Rules!$B$5*HS!I16+HS!I40)/(9+Rules!$B$5))</f>
        <v>-0.43448376264156952</v>
      </c>
      <c r="J47" s="1">
        <f>2*(IF(Rules!$B$9=Rules!$E$9,SUM(HSD!J8:J15)+Rules!$B$5*HSD!J16+HSD!J40,SUM(HS!J8:J15)+Rules!$B$5*HS!J16+HS!J40)/(9+Rules!$B$5))</f>
        <v>-0.58528140039545196</v>
      </c>
      <c r="K47" s="9">
        <f>2*(IF(Rules!$B$9=Rules!$E$9,SUM(HSD!K8:K15)+Rules!$B$5*HSD!K16+HSD!K40,SUM(HS!K8:K15)+Rules!$B$5*HS!K16+HS!K40)/(9+Rules!$B$5))</f>
        <v>-0.76101532458579058</v>
      </c>
    </row>
    <row r="48" spans="1:11" x14ac:dyDescent="0.2">
      <c r="A48" s="98">
        <v>7</v>
      </c>
      <c r="B48" s="93">
        <f>2*(IF(Rules!$B$9=Rules!$E$9,SUM(HSD!B9:B16)+Rules!$B$5*HSD!B17+HSD!B41,SUM(HS!B9:B16)+Rules!$B$5*HS!B17+HS!B41)/(9+Rules!$B$5))</f>
        <v>-0.79942076745138191</v>
      </c>
      <c r="C48" s="1">
        <f>2*(IF(Rules!$B$9=Rules!$E$9,SUM(HSD!C9:C16)+Rules!$B$5*HSD!C17+HSD!C41,SUM(HS!C9:C16)+Rules!$B$5*HS!C17+HS!C41)/(9+Rules!$B$5))</f>
        <v>-0.21836685573323267</v>
      </c>
      <c r="D48" s="1">
        <f>2*(IF(Rules!$B$9=Rules!$E$9,SUM(HSD!D9:D16)+Rules!$B$5*HSD!D17+HSD!D41,SUM(HS!D9:D16)+Rules!$B$5*HS!D17+HS!D41)/(9+Rules!$B$5))</f>
        <v>-0.15316596380892716</v>
      </c>
      <c r="E48" s="1">
        <f>2*(IF(Rules!$B$9=Rules!$E$9,SUM(HSD!E9:E16)+Rules!$B$5*HSD!E17+HSD!E41,SUM(HS!E9:E16)+Rules!$B$5*HS!E17+HS!E41)/(9+Rules!$B$5))</f>
        <v>-8.6043588008683752E-2</v>
      </c>
      <c r="F48" s="1">
        <f>2*(IF(Rules!$B$9=Rules!$E$9,SUM(HSD!F9:F16)+Rules!$B$5*HSD!F17+HSD!F41,SUM(HS!F9:F16)+Rules!$B$5*HS!F17+HS!F41)/(9+Rules!$B$5))</f>
        <v>-1.4542721805881769E-2</v>
      </c>
      <c r="G48" s="1">
        <f>2*(IF(Rules!$B$9=Rules!$E$9,SUM(HSD!G9:G16)+Rules!$B$5*HSD!G17+HSD!G41,SUM(HS!G9:G16)+Rules!$B$5*HS!G17+HS!G41)/(9+Rules!$B$5))</f>
        <v>5.8370684707721728E-2</v>
      </c>
      <c r="H48" s="1">
        <f>2*(IF(Rules!$B$9=Rules!$E$9,SUM(HSD!H9:H16)+Rules!$B$5*HSD!H17+HSD!H41,SUM(HS!H9:H16)+Rules!$B$5*HS!H17+HS!H41)/(9+Rules!$B$5))</f>
        <v>-0.13761559916085553</v>
      </c>
      <c r="I48" s="1">
        <f>2*(IF(Rules!$B$9=Rules!$E$9,SUM(HSD!I9:I16)+Rules!$B$5*HSD!I17+HSD!I41,SUM(HS!I9:I16)+Rules!$B$5*HS!I17+HS!I41)/(9+Rules!$B$5))</f>
        <v>-0.42120953744869932</v>
      </c>
      <c r="J48" s="1">
        <f>2*(IF(Rules!$B$9=Rules!$E$9,SUM(HSD!J9:J16)+Rules!$B$5*HSD!J17+HSD!J41,SUM(HS!J9:J16)+Rules!$B$5*HS!J17+HS!J41)/(9+Rules!$B$5))</f>
        <v>-0.57073088097375324</v>
      </c>
      <c r="K48" s="9">
        <f>2*(IF(Rules!$B$9=Rules!$E$9,SUM(HSD!K9:K16)+Rules!$B$5*HSD!K17+HSD!K41,SUM(HS!K9:K16)+Rules!$B$5*HS!K17+HS!K41)/(9+Rules!$B$5))</f>
        <v>-0.73015579842789358</v>
      </c>
    </row>
    <row r="49" spans="1:11" x14ac:dyDescent="0.2">
      <c r="A49" s="98">
        <v>8</v>
      </c>
      <c r="B49" s="93">
        <f>2*(IF(Rules!$B$9=Rules!$E$9,SUM(HSD!B10:B17)+Rules!$B$5*HSD!B18+HSD!B42,SUM(HS!B10:B17)+Rules!$B$5*HS!B18+HS!B42)/(9+Rules!$B$5))</f>
        <v>-0.66068066918140123</v>
      </c>
      <c r="C49" s="1">
        <f>2*(IF(Rules!$B$9=Rules!$E$9,SUM(HSD!C10:C17)+Rules!$B$5*HSD!C18+HSD!C42,SUM(HS!C10:C17)+Rules!$B$5*HS!C18+HS!C42)/(9+Rules!$B$5))</f>
        <v>-4.3596376017611342E-2</v>
      </c>
      <c r="D49" s="1">
        <f>2*(IF(Rules!$B$9=Rules!$E$9,SUM(HSD!D10:D17)+Rules!$B$5*HSD!D18+HSD!D42,SUM(HS!D10:D17)+Rules!$B$5*HS!D18+HS!D42)/(9+Rules!$B$5))</f>
        <v>1.6010525061309382E-2</v>
      </c>
      <c r="E49" s="1">
        <f>2*(IF(Rules!$B$9=Rules!$E$9,SUM(HSD!E10:E17)+Rules!$B$5*HSD!E18+HSD!E42,SUM(HS!E10:E17)+Rules!$B$5*HS!E18+HS!E42)/(9+Rules!$B$5))</f>
        <v>7.7568946554417609E-2</v>
      </c>
      <c r="F49" s="1">
        <f>2*(IF(Rules!$B$9=Rules!$E$9,SUM(HSD!F10:F17)+Rules!$B$5*HSD!F18+HSD!F42,SUM(HS!F10:F17)+Rules!$B$5*HS!F18+HS!F42)/(9+Rules!$B$5))</f>
        <v>0.14160927196606765</v>
      </c>
      <c r="G49" s="1">
        <f>2*(IF(Rules!$B$9=Rules!$E$9,SUM(HSD!G10:G17)+Rules!$B$5*HSD!G18+HSD!G42,SUM(HS!G10:G17)+Rules!$B$5*HS!G18+HS!G42)/(9+Rules!$B$5))</f>
        <v>0.22992030019244641</v>
      </c>
      <c r="H49" s="1">
        <f>2*(IF(Rules!$B$9=Rules!$E$9,SUM(HSD!H10:H17)+Rules!$B$5*HSD!H18+HSD!H42,SUM(HS!H10:H17)+Rules!$B$5*HS!H18+HS!H42)/(9+Rules!$B$5))</f>
        <v>0.16441487872748572</v>
      </c>
      <c r="I49" s="1">
        <f>2*(IF(Rules!$B$9=Rules!$E$9,SUM(HSD!I10:I17)+Rules!$B$5*HSD!I18+HSD!I42,SUM(HS!I10:I17)+Rules!$B$5*HS!I18+HS!I42)/(9+Rules!$B$5))</f>
        <v>-0.11979655131731258</v>
      </c>
      <c r="J49" s="1">
        <f>2*(IF(Rules!$B$9=Rules!$E$9,SUM(HSD!J10:J17)+Rules!$B$5*HSD!J18+HSD!J42,SUM(HS!J10:J17)+Rules!$B$5*HS!J18+HS!J42)/(9+Rules!$B$5))</f>
        <v>-0.42037266399643519</v>
      </c>
      <c r="K49" s="9">
        <f>2*(IF(Rules!$B$9=Rules!$E$9,SUM(HSD!K10:K17)+Rules!$B$5*HSD!K18+HSD!K42,SUM(HS!K10:K17)+Rules!$B$5*HS!K18+HS!K42)/(9+Rules!$B$5))</f>
        <v>-0.60355477228062737</v>
      </c>
    </row>
    <row r="50" spans="1:11" x14ac:dyDescent="0.2">
      <c r="A50" s="98">
        <v>9</v>
      </c>
      <c r="B50" s="93">
        <f>2*(IF(Rules!$B$9=Rules!$E$9,SUM(HSD!B11:B18)+Rules!$B$5*HSD!B19+HSD!B43,SUM(HS!B11:B18)+Rules!$B$5*HS!B19+HS!B43)/(9+Rules!$B$5))</f>
        <v>-0.50384952354144152</v>
      </c>
      <c r="C50" s="1">
        <f>2*(IF(Rules!$B$9=Rules!$E$9,SUM(HSD!C11:C18)+Rules!$B$5*HSD!C19+HSD!C43,SUM(HS!C11:C18)+Rules!$B$5*HS!C19+HS!C43)/(9+Rules!$B$5))</f>
        <v>0.14889207515268102</v>
      </c>
      <c r="D50" s="1">
        <f>2*(IF(Rules!$B$9=Rules!$E$9,SUM(HSD!D11:D18)+Rules!$B$5*HSD!D19+HSD!D43,SUM(HS!D11:D18)+Rules!$B$5*HS!D19+HS!D43)/(9+Rules!$B$5))</f>
        <v>0.20252940347775356</v>
      </c>
      <c r="E50" s="1">
        <f>2*(IF(Rules!$B$9=Rules!$E$9,SUM(HSD!E11:E18)+Rules!$B$5*HSD!E19+HSD!E43,SUM(HS!E11:E18)+Rules!$B$5*HS!E19+HS!E43)/(9+Rules!$B$5))</f>
        <v>0.25796176239148355</v>
      </c>
      <c r="F50" s="1">
        <f>2*(IF(Rules!$B$9=Rules!$E$9,SUM(HSD!F11:F18)+Rules!$B$5*HSD!F19+HSD!F43,SUM(HS!F11:F18)+Rules!$B$5*HS!F19+HS!F43)/(9+Rules!$B$5))</f>
        <v>0.31606371253303472</v>
      </c>
      <c r="G50" s="1">
        <f>2*(IF(Rules!$B$9=Rules!$E$9,SUM(HSD!G11:G18)+Rules!$B$5*HSD!G19+HSD!G43,SUM(HS!G11:G18)+Rules!$B$5*HS!G19+HS!G43)/(9+Rules!$B$5))</f>
        <v>0.39203767851455751</v>
      </c>
      <c r="H50" s="1">
        <f>2*(IF(Rules!$B$9=Rules!$E$9,SUM(HSD!H11:H18)+Rules!$B$5*HSD!H19+HSD!H43,SUM(HS!H11:H18)+Rules!$B$5*HS!H19+HS!H43)/(9+Rules!$B$5))</f>
        <v>0.34373571987390533</v>
      </c>
      <c r="I50" s="1">
        <f>2*(IF(Rules!$B$9=Rules!$E$9,SUM(HSD!I11:I18)+Rules!$B$5*HSD!I19+HSD!I43,SUM(HS!I11:I18)+Rules!$B$5*HS!I19+HS!I43)/(9+Rules!$B$5))</f>
        <v>0.19675243487078517</v>
      </c>
      <c r="J50" s="1">
        <f>2*(IF(Rules!$B$9=Rules!$E$9,SUM(HSD!J11:J18)+Rules!$B$5*HSD!J19+HSD!J43,SUM(HS!J11:J18)+Rules!$B$5*HS!J19+HS!J43)/(9+Rules!$B$5))</f>
        <v>-0.10435610692530338</v>
      </c>
      <c r="K50" s="9">
        <f>2*(IF(Rules!$B$9=Rules!$E$9,SUM(HSD!K11:K18)+Rules!$B$5*HSD!K19+HSD!K43,SUM(HS!K11:K18)+Rules!$B$5*HS!K19+HS!K43)/(9+Rules!$B$5))</f>
        <v>-0.42686338071413132</v>
      </c>
    </row>
    <row r="51" spans="1:11" ht="17" thickBot="1" x14ac:dyDescent="0.25">
      <c r="A51" s="99">
        <v>10</v>
      </c>
      <c r="B51" s="94">
        <f>2*(IF(Rules!$B$9=Rules!$E$9,SUM(HSD!B12:B19)+Rules!$B$5*HSD!B20+HSD!B44,SUM(HS!B12:B19)+Rules!$B$5*HS!B20+HS!B44)/(9+Rules!$B$5))</f>
        <v>-0.29333578526071735</v>
      </c>
      <c r="C51" s="110">
        <f>2*(IF(Rules!$B$9=Rules!$E$9,SUM(HSD!C12:C19)+Rules!$B$5*HSD!C20+HSD!C44,SUM(HS!C12:C19)+Rules!$B$5*HS!C20+HS!C44)/(9+Rules!$B$5))</f>
        <v>0.36499998801808975</v>
      </c>
      <c r="D51" s="110">
        <f>2*(IF(Rules!$B$9=Rules!$E$9,SUM(HSD!D12:D19)+Rules!$B$5*HSD!D20+HSD!D44,SUM(HS!D12:D19)+Rules!$B$5*HS!D20+HS!D44)/(9+Rules!$B$5))</f>
        <v>0.41217595162788179</v>
      </c>
      <c r="E51" s="110">
        <f>2*(IF(Rules!$B$9=Rules!$E$9,SUM(HSD!E12:E19)+Rules!$B$5*HSD!E20+HSD!E44,SUM(HS!E12:E19)+Rules!$B$5*HS!E20+HS!E44)/(9+Rules!$B$5))</f>
        <v>0.460940243794354</v>
      </c>
      <c r="F51" s="110">
        <f>2*(IF(Rules!$B$9=Rules!$E$9,SUM(HSD!F12:F19)+Rules!$B$5*HSD!F20+HSD!F44,SUM(HS!F12:F19)+Rules!$B$5*HS!F20+HS!F44)/(9+Rules!$B$5))</f>
        <v>0.51251710900326775</v>
      </c>
      <c r="G51" s="110">
        <f>2*(IF(Rules!$B$9=Rules!$E$9,SUM(HSD!G12:G19)+Rules!$B$5*HSD!G20+HSD!G44,SUM(HS!G12:G19)+Rules!$B$5*HS!G20+HS!G44)/(9+Rules!$B$5))</f>
        <v>0.57559016859776857</v>
      </c>
      <c r="H51" s="110">
        <f>2*(IF(Rules!$B$9=Rules!$E$9,SUM(HSD!H12:H19)+Rules!$B$5*HSD!H20+HSD!H44,SUM(HS!H12:H19)+Rules!$B$5*HS!H20+HS!H44)/(9+Rules!$B$5))</f>
        <v>0.51381748867217314</v>
      </c>
      <c r="I51" s="110">
        <f>2*(IF(Rules!$B$9=Rules!$E$9,SUM(HSD!I12:I19)+Rules!$B$5*HSD!I20+HSD!I44,SUM(HS!I12:I19)+Rules!$B$5*HS!I20+HS!I44)/(9+Rules!$B$5))</f>
        <v>0.39590741666395218</v>
      </c>
      <c r="J51" s="110">
        <f>2*(IF(Rules!$B$9=Rules!$E$9,SUM(HSD!J12:J19)+Rules!$B$5*HSD!J20+HSD!J44,SUM(HS!J12:J19)+Rules!$B$5*HS!J20+HS!J44)/(9+Rules!$B$5))</f>
        <v>0.2330591821385678</v>
      </c>
      <c r="K51" s="10">
        <f>2*(IF(Rules!$B$9=Rules!$E$9,SUM(HSD!K12:K19)+Rules!$B$5*HSD!K20+HSD!K44,SUM(HS!K12:K19)+Rules!$B$5*HS!K20+HS!K44)/(9+Rules!$B$5))</f>
        <v>-8.9980520767226013E-2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-0.11815715102876453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5.9357641870643733E-2</v>
      </c>
    </row>
    <row r="55" spans="1:11" x14ac:dyDescent="0.2">
      <c r="A55" s="1">
        <v>2</v>
      </c>
      <c r="B55" s="1">
        <f>MAX(IF(Rules!$B$11=2,B43,IF(Rules!$B$11=3,B30,IF(Rules!$B$11=4,B17,B4))),HSDR!B4)</f>
        <v>-0.38538530661686615</v>
      </c>
      <c r="C55" s="1">
        <f>MAX(IF(Rules!$B$11=2,C43,IF(Rules!$B$11=3,C30,IF(Rules!$B$11=4,C17,C4))),HSDR!C4)</f>
        <v>-0.11491332761892134</v>
      </c>
      <c r="D55" s="1">
        <f>MAX(IF(Rules!$B$11=2,D43,IF(Rules!$B$11=3,D30,IF(Rules!$B$11=4,D17,D4))),HSDR!D4)</f>
        <v>-8.2613314299744348E-2</v>
      </c>
      <c r="E55" s="1">
        <f>MAX(IF(Rules!$B$11=2,E43,IF(Rules!$B$11=3,E30,IF(Rules!$B$11=4,E17,E4))),HSDR!E4)</f>
        <v>-4.4200824271668777E-2</v>
      </c>
      <c r="F55" s="1">
        <f>MAX(IF(Rules!$B$11=2,F43,IF(Rules!$B$11=3,F30,IF(Rules!$B$11=4,F17,F4))),HSDR!F4)</f>
        <v>2.7460064569567143E-2</v>
      </c>
      <c r="G55" s="1">
        <f>MAX(IF(Rules!$B$11=2,G43,IF(Rules!$B$11=3,G30,IF(Rules!$B$11=4,G17,G4))),HSDR!G4)</f>
        <v>7.7766823892602463E-2</v>
      </c>
      <c r="H55" s="1">
        <f>MAX(IF(Rules!$B$11=2,H43,IF(Rules!$B$11=3,H30,IF(Rules!$B$11=4,H17,H4))),HSDR!H4)</f>
        <v>-5.4514042751724494E-2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-0.33509986436351097</v>
      </c>
    </row>
    <row r="56" spans="1:11" x14ac:dyDescent="0.2">
      <c r="A56" s="1">
        <v>3</v>
      </c>
      <c r="B56" s="1">
        <f>MAX(IF(Rules!$B$11=2,B44,IF(Rules!$B$11=3,B31,IF(Rules!$B$11=4,B18,B5))),HSDR!B6)</f>
        <v>-0.41968690347101079</v>
      </c>
      <c r="C56" s="1">
        <f>MAX(IF(Rules!$B$11=2,C44,IF(Rules!$B$11=3,C31,IF(Rules!$B$11=4,C18,C5))),HSDR!C6)</f>
        <v>-0.14075911746001987</v>
      </c>
      <c r="D56" s="1">
        <f>MAX(IF(Rules!$B$11=2,D44,IF(Rules!$B$11=3,D31,IF(Rules!$B$11=4,D18,D5))),HSDR!D6)</f>
        <v>-0.10729107800860835</v>
      </c>
      <c r="E56" s="1">
        <f>MAX(IF(Rules!$B$11=2,E44,IF(Rules!$B$11=3,E31,IF(Rules!$B$11=4,E18,E5))),HSDR!E6)</f>
        <v>-7.2522581417810678E-2</v>
      </c>
      <c r="F56" s="1">
        <f>MAX(IF(Rules!$B$11=2,F44,IF(Rules!$B$11=3,F31,IF(Rules!$B$11=4,F18,F5))),HSDR!F6)</f>
        <v>3.3991424279375615E-4</v>
      </c>
      <c r="G56" s="1">
        <f>MAX(IF(Rules!$B$11=2,G44,IF(Rules!$B$11=3,G31,IF(Rules!$B$11=4,G18,G5))),HSDR!G6)</f>
        <v>4.8942606413118719E-2</v>
      </c>
      <c r="H56" s="1">
        <f>MAX(IF(Rules!$B$11=2,H44,IF(Rules!$B$11=3,H31,IF(Rules!$B$11=4,H18,H5))),HSDR!H6)</f>
        <v>-0.11487517708071333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-0.38050766229289529</v>
      </c>
    </row>
    <row r="57" spans="1:11" x14ac:dyDescent="0.2">
      <c r="A57" s="1">
        <v>4</v>
      </c>
      <c r="B57" s="1">
        <f>MAX(IF(Rules!$B$11=2,B45,IF(Rules!$B$11=3,B32,IF(Rules!$B$11=4,B19,B6))),HSDR!B8)</f>
        <v>-0.33034033459070061</v>
      </c>
      <c r="C57" s="1">
        <f>MAX(IF(Rules!$B$11=2,C45,IF(Rules!$B$11=3,C32,IF(Rules!$B$11=4,C19,C6))),HSDR!C8)</f>
        <v>-2.1798188008805671E-2</v>
      </c>
      <c r="D57" s="1">
        <f>MAX(IF(Rules!$B$11=2,D45,IF(Rules!$B$11=3,D32,IF(Rules!$B$11=4,D19,D6))),HSDR!D8)</f>
        <v>8.0052625306546912E-3</v>
      </c>
      <c r="E57" s="1">
        <f>MAX(IF(Rules!$B$11=2,E45,IF(Rules!$B$11=3,E32,IF(Rules!$B$11=4,E19,E6))),HSDR!E8)</f>
        <v>3.8784473277208804E-2</v>
      </c>
      <c r="F57" s="1">
        <f>MAX(IF(Rules!$B$11=2,F45,IF(Rules!$B$11=3,F32,IF(Rules!$B$11=4,F19,F6))),HSDR!F8)</f>
        <v>7.0804635983033826E-2</v>
      </c>
      <c r="G57" s="1">
        <f>MAX(IF(Rules!$B$11=2,G45,IF(Rules!$B$11=3,G32,IF(Rules!$B$11=4,G19,G6))),HSDR!G8)</f>
        <v>0.11496015009622321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-5.989827565865629E-2</v>
      </c>
      <c r="J57" s="1">
        <f>MAX(IF(Rules!$B$11=2,J45,IF(Rules!$B$11=3,J32,IF(Rules!$B$11=4,J19,J6))),HSDR!J8)</f>
        <v>-0.2101863319982176</v>
      </c>
      <c r="K57" s="1">
        <f>MAX(IF(Rules!$B$11=2,K45,IF(Rules!$B$11=3,K32,IF(Rules!$B$11=4,K19,K6))),HSDR!K8)</f>
        <v>-0.30177738614031369</v>
      </c>
    </row>
    <row r="58" spans="1:11" x14ac:dyDescent="0.2">
      <c r="A58" s="1">
        <v>5</v>
      </c>
      <c r="B58" s="1">
        <f>MAX(IF(Rules!$B$11=2,B46,IF(Rules!$B$11=3,B33,IF(Rules!$B$11=4,B20,B7))),HSDR!B10)</f>
        <v>-0.14666789263035868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-4.4990260383613007E-2</v>
      </c>
    </row>
    <row r="59" spans="1:11" x14ac:dyDescent="0.2">
      <c r="A59" s="1">
        <v>6</v>
      </c>
      <c r="B59" s="1">
        <f>MAX(IF(Rules!$B$11=2,B47,IF(Rules!$B$11=3,B34,IF(Rules!$B$11=4,B21,B8))),HSDR!B12)</f>
        <v>-0.46566058377683939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-0.2145821560172167</v>
      </c>
      <c r="E59" s="1">
        <f>MAX(IF(Rules!$B$11=2,E47,IF(Rules!$B$11=3,E34,IF(Rules!$B$11=4,E21,E8))),HSDR!E12)</f>
        <v>-0.14583428385277461</v>
      </c>
      <c r="F59" s="1">
        <f>MAX(IF(Rules!$B$11=2,F47,IF(Rules!$B$11=3,F34,IF(Rules!$B$11=4,F21,F8))),HSDR!F12)</f>
        <v>-6.9831946660204355E-2</v>
      </c>
      <c r="G59" s="1">
        <f>MAX(IF(Rules!$B$11=2,G47,IF(Rules!$B$11=3,G34,IF(Rules!$B$11=4,G21,G8))),HSDR!G12)</f>
        <v>-2.6011671059748588E-2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-0.42069618899826788</v>
      </c>
    </row>
    <row r="60" spans="1:11" x14ac:dyDescent="0.2">
      <c r="A60" s="1">
        <v>7</v>
      </c>
      <c r="B60" s="1">
        <f>MAX(IF(Rules!$B$11=2,B48,IF(Rules!$B$11=3,B35,IF(Rules!$B$11=4,B22,B9))),HSDR!B14)</f>
        <v>-0.53926856458309114</v>
      </c>
      <c r="C60" s="1">
        <f>MAX(IF(Rules!$B$11=2,C48,IF(Rules!$B$11=3,C35,IF(Rules!$B$11=4,C22,C9))),HSDR!C14)</f>
        <v>-0.21836685573323267</v>
      </c>
      <c r="D60" s="1">
        <f>MAX(IF(Rules!$B$11=2,D48,IF(Rules!$B$11=3,D35,IF(Rules!$B$11=4,D22,D9))),HSDR!D14)</f>
        <v>-0.15316596380892716</v>
      </c>
      <c r="E60" s="1">
        <f>MAX(IF(Rules!$B$11=2,E48,IF(Rules!$B$11=3,E35,IF(Rules!$B$11=4,E22,E9))),HSDR!E14)</f>
        <v>-8.6043588008683752E-2</v>
      </c>
      <c r="F60" s="1">
        <f>MAX(IF(Rules!$B$11=2,F48,IF(Rules!$B$11=3,F35,IF(Rules!$B$11=4,F22,F9))),HSDR!F14)</f>
        <v>-1.4542721805881769E-2</v>
      </c>
      <c r="G60" s="1">
        <f>MAX(IF(Rules!$B$11=2,G48,IF(Rules!$B$11=3,G35,IF(Rules!$B$11=4,G22,G9))),HSDR!G14)</f>
        <v>5.8370684707721728E-2</v>
      </c>
      <c r="H60" s="1">
        <f>MAX(IF(Rules!$B$11=2,H48,IF(Rules!$B$11=3,H35,IF(Rules!$B$11=4,H22,H9))),HSDR!H14)</f>
        <v>-0.13761559916085553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-0.50049824459544523</v>
      </c>
    </row>
    <row r="61" spans="1:11" x14ac:dyDescent="0.2">
      <c r="A61" s="1">
        <v>8</v>
      </c>
      <c r="B61" s="1">
        <f>MAX(IF(Rules!$B$11=2,B49,IF(Rules!$B$11=3,B36,IF(Rules!$B$11=4,B23,B10))),HSDR!B16)</f>
        <v>-0.57578184676460165</v>
      </c>
      <c r="C61" s="1">
        <f>MAX(IF(Rules!$B$11=2,C49,IF(Rules!$B$11=3,C36,IF(Rules!$B$11=4,C23,C10))),HSDR!C16)</f>
        <v>-4.3596376017611342E-2</v>
      </c>
      <c r="D61" s="1">
        <f>MAX(IF(Rules!$B$11=2,D49,IF(Rules!$B$11=3,D36,IF(Rules!$B$11=4,D23,D10))),HSDR!D16)</f>
        <v>1.6010525061309382E-2</v>
      </c>
      <c r="E61" s="1">
        <f>MAX(IF(Rules!$B$11=2,E49,IF(Rules!$B$11=3,E36,IF(Rules!$B$11=4,E23,E10))),HSDR!E16)</f>
        <v>7.7568946554417609E-2</v>
      </c>
      <c r="F61" s="1">
        <f>MAX(IF(Rules!$B$11=2,F49,IF(Rules!$B$11=3,F36,IF(Rules!$B$11=4,F23,F10))),HSDR!F16)</f>
        <v>0.14160927196606765</v>
      </c>
      <c r="G61" s="1">
        <f>MAX(IF(Rules!$B$11=2,G49,IF(Rules!$B$11=3,G36,IF(Rules!$B$11=4,G23,G10))),HSDR!G16)</f>
        <v>0.22992030019244641</v>
      </c>
      <c r="H61" s="1">
        <f>MAX(IF(Rules!$B$11=2,H49,IF(Rules!$B$11=3,H36,IF(Rules!$B$11=4,H23,H10))),HSDR!H16)</f>
        <v>0.16441487872748572</v>
      </c>
      <c r="I61" s="1">
        <f>MAX(IF(Rules!$B$11=2,I49,IF(Rules!$B$11=3,I36,IF(Rules!$B$11=4,I23,I10))),HSDR!I16)</f>
        <v>-0.11979655131731258</v>
      </c>
      <c r="J61" s="1">
        <f>MAX(IF(Rules!$B$11=2,J49,IF(Rules!$B$11=3,J36,IF(Rules!$B$11=4,J23,J10))),HSDR!J16)</f>
        <v>-0.42037266399643519</v>
      </c>
      <c r="K61" s="1">
        <f>MAX(IF(Rules!$B$11=2,K49,IF(Rules!$B$11=3,K36,IF(Rules!$B$11=4,K23,K10))),HSDR!K16)</f>
        <v>-0.56930715988076652</v>
      </c>
    </row>
    <row r="62" spans="1:11" x14ac:dyDescent="0.2">
      <c r="A62" s="1">
        <v>9</v>
      </c>
      <c r="B62" s="1">
        <f>MAX(IF(Rules!$B$11=2,B50,IF(Rules!$B$11=3,B37,IF(Rules!$B$11=4,B24,B11))),HSDR!B18)</f>
        <v>-0.24150883119675959</v>
      </c>
      <c r="C62" s="1">
        <f>MAX(IF(Rules!$B$11=2,C50,IF(Rules!$B$11=3,C37,IF(Rules!$B$11=4,C24,C11))),HSDR!C18)</f>
        <v>0.14889207515268102</v>
      </c>
      <c r="D62" s="1">
        <f>MAX(IF(Rules!$B$11=2,D50,IF(Rules!$B$11=3,D37,IF(Rules!$B$11=4,D24,D11))),HSDR!D18)</f>
        <v>0.20252940347775356</v>
      </c>
      <c r="E62" s="1">
        <f>MAX(IF(Rules!$B$11=2,E50,IF(Rules!$B$11=3,E37,IF(Rules!$B$11=4,E24,E11))),HSDR!E18)</f>
        <v>0.25796176239148355</v>
      </c>
      <c r="F62" s="1">
        <f>MAX(IF(Rules!$B$11=2,F50,IF(Rules!$B$11=3,F37,IF(Rules!$B$11=4,F24,F11))),HSDR!F18)</f>
        <v>0.31606371253303472</v>
      </c>
      <c r="G62" s="1">
        <f>MAX(IF(Rules!$B$11=2,G50,IF(Rules!$B$11=3,G37,IF(Rules!$B$11=4,G24,G11))),HSDR!G18)</f>
        <v>0.39203767851455751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0.19675243487078517</v>
      </c>
      <c r="J62" s="1">
        <f>MAX(IF(Rules!$B$11=2,J50,IF(Rules!$B$11=3,J37,IF(Rules!$B$11=4,J24,J11))),HSDR!J18)</f>
        <v>-0.10435610692530338</v>
      </c>
      <c r="K62" s="1">
        <f>MAX(IF(Rules!$B$11=2,K50,IF(Rules!$B$11=3,K37,IF(Rules!$B$11=4,K24,K11))),HSDR!K18)</f>
        <v>-0.24150883119675959</v>
      </c>
    </row>
    <row r="63" spans="1:11" x14ac:dyDescent="0.2">
      <c r="A63" s="1">
        <v>10</v>
      </c>
      <c r="B63" s="1">
        <f>MAX(IF(Rules!$B$11=2,B51,IF(Rules!$B$11=3,B38,IF(Rules!$B$11=4,B25,B12))),HSDR!B20)</f>
        <v>0.20418852289369649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0.70395857017134467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0.43495775366292722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6" type="noConversion"/>
  <conditionalFormatting sqref="O2:X11">
    <cfRule type="containsText" dxfId="1089" priority="5" operator="containsText" text="S">
      <formula>NOT(ISERROR(SEARCH("S",O2)))</formula>
    </cfRule>
    <cfRule type="containsText" dxfId="1088" priority="6" operator="containsText" text="H">
      <formula>NOT(ISERROR(SEARCH("H",O2)))</formula>
    </cfRule>
  </conditionalFormatting>
  <conditionalFormatting sqref="O2:X11">
    <cfRule type="containsText" dxfId="1087" priority="4" operator="containsText" text="D">
      <formula>NOT(ISERROR(SEARCH("D",O2)))</formula>
    </cfRule>
  </conditionalFormatting>
  <conditionalFormatting sqref="O2:X11">
    <cfRule type="containsText" dxfId="1086" priority="3" operator="containsText" text="R">
      <formula>NOT(ISERROR(SEARCH("R",O2)))</formula>
    </cfRule>
  </conditionalFormatting>
  <conditionalFormatting sqref="O2:X11">
    <cfRule type="containsText" dxfId="1085" priority="2" operator="containsText" text="P">
      <formula>NOT(ISERROR(SEARCH("P",O2)))</formula>
    </cfRule>
  </conditionalFormatting>
  <conditionalFormatting sqref="O3:X11">
    <cfRule type="containsText" dxfId="1084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2" t="s">
        <v>31</v>
      </c>
      <c r="C1" s="1">
        <f>Dealer!J33</f>
        <v>4.7337278106508882E-2</v>
      </c>
    </row>
    <row r="2" spans="2:3" x14ac:dyDescent="0.2">
      <c r="B2" s="52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07" t="s">
        <v>132</v>
      </c>
      <c r="B1" s="308"/>
      <c r="C1" s="308"/>
      <c r="D1" s="308"/>
      <c r="E1" s="308"/>
      <c r="F1" s="308"/>
      <c r="G1" s="308"/>
      <c r="H1" s="308"/>
      <c r="I1" s="308"/>
      <c r="J1" s="308"/>
      <c r="K1" s="309"/>
    </row>
    <row r="2" spans="1:13" x14ac:dyDescent="0.2">
      <c r="A2" s="149" t="s">
        <v>9</v>
      </c>
      <c r="B2" s="149" t="s">
        <v>1</v>
      </c>
      <c r="C2" s="149">
        <v>2</v>
      </c>
      <c r="D2" s="149">
        <v>3</v>
      </c>
      <c r="E2" s="149">
        <v>4</v>
      </c>
      <c r="F2" s="149">
        <v>5</v>
      </c>
      <c r="G2" s="149">
        <v>6</v>
      </c>
      <c r="H2" s="149">
        <v>7</v>
      </c>
      <c r="I2" s="149">
        <v>8</v>
      </c>
      <c r="J2" s="149">
        <v>9</v>
      </c>
      <c r="K2" s="149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24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36" t="s">
        <v>12</v>
      </c>
    </row>
    <row r="44" spans="1:13" x14ac:dyDescent="0.2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0" t="s">
        <v>1</v>
      </c>
      <c r="B54" s="40"/>
    </row>
    <row r="56" spans="1:11" x14ac:dyDescent="0.2">
      <c r="C56" s="36" t="s">
        <v>12</v>
      </c>
    </row>
    <row r="57" spans="1:11" x14ac:dyDescent="0.2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0" t="s">
        <v>1</v>
      </c>
      <c r="B67" s="40"/>
    </row>
    <row r="69" spans="1:11" x14ac:dyDescent="0.2">
      <c r="A69" s="40"/>
      <c r="B69" s="40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1083" priority="15" operator="containsText" text="R">
      <formula>NOT(ISERROR(SEARCH("R",B3)))</formula>
    </cfRule>
    <cfRule type="containsText" dxfId="1082" priority="16" operator="containsText" text="D">
      <formula>NOT(ISERROR(SEARCH("D",B3)))</formula>
    </cfRule>
    <cfRule type="containsText" dxfId="1081" priority="17" operator="containsText" text="S">
      <formula>NOT(ISERROR(SEARCH("S",B3)))</formula>
    </cfRule>
    <cfRule type="containsText" dxfId="1080" priority="18" operator="containsText" text="H">
      <formula>NOT(ISERROR(SEARCH("H",B3)))</formula>
    </cfRule>
  </conditionalFormatting>
  <conditionalFormatting sqref="B19:K27 B29:K39 B3:K17">
    <cfRule type="containsText" dxfId="1079" priority="14" operator="containsText" text="P">
      <formula>NOT(ISERROR(SEARCH("P",B3)))</formula>
    </cfRule>
  </conditionalFormatting>
  <conditionalFormatting sqref="C43">
    <cfRule type="containsText" dxfId="1078" priority="10" operator="containsText" text="R">
      <formula>NOT(ISERROR(SEARCH("R",C43)))</formula>
    </cfRule>
    <cfRule type="containsText" dxfId="1077" priority="11" operator="containsText" text="D">
      <formula>NOT(ISERROR(SEARCH("D",C43)))</formula>
    </cfRule>
    <cfRule type="containsText" dxfId="1076" priority="12" operator="containsText" text="S">
      <formula>NOT(ISERROR(SEARCH("S",C43)))</formula>
    </cfRule>
    <cfRule type="containsText" dxfId="1075" priority="13" operator="containsText" text="H">
      <formula>NOT(ISERROR(SEARCH("H",C43)))</formula>
    </cfRule>
  </conditionalFormatting>
  <conditionalFormatting sqref="C43">
    <cfRule type="containsText" dxfId="1074" priority="9" operator="containsText" text="P">
      <formula>NOT(ISERROR(SEARCH("P",C43)))</formula>
    </cfRule>
  </conditionalFormatting>
  <conditionalFormatting sqref="C56">
    <cfRule type="containsText" dxfId="1073" priority="5" operator="containsText" text="R">
      <formula>NOT(ISERROR(SEARCH("R",C56)))</formula>
    </cfRule>
    <cfRule type="containsText" dxfId="1072" priority="6" operator="containsText" text="D">
      <formula>NOT(ISERROR(SEARCH("D",C56)))</formula>
    </cfRule>
    <cfRule type="containsText" dxfId="1071" priority="7" operator="containsText" text="S">
      <formula>NOT(ISERROR(SEARCH("S",C56)))</formula>
    </cfRule>
    <cfRule type="containsText" dxfId="1070" priority="8" operator="containsText" text="H">
      <formula>NOT(ISERROR(SEARCH("H",C56)))</formula>
    </cfRule>
  </conditionalFormatting>
  <conditionalFormatting sqref="C56">
    <cfRule type="containsText" dxfId="1069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91</v>
      </c>
      <c r="O2" t="s">
        <v>14</v>
      </c>
      <c r="Q2" t="s">
        <v>92</v>
      </c>
      <c r="R2" t="s">
        <v>14</v>
      </c>
    </row>
    <row r="3" spans="1:18" x14ac:dyDescent="0.2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 x14ac:dyDescent="0.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 x14ac:dyDescent="0.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 x14ac:dyDescent="0.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98</v>
      </c>
      <c r="T23">
        <f>SUM(O16:O19,R10:R12)</f>
        <v>0.32544378698224863</v>
      </c>
    </row>
    <row r="24" spans="1:32" x14ac:dyDescent="0.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97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93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89</v>
      </c>
      <c r="U55" t="s">
        <v>2</v>
      </c>
      <c r="V55" t="s">
        <v>98</v>
      </c>
      <c r="W55" t="s">
        <v>111</v>
      </c>
    </row>
    <row r="56" spans="1:30" x14ac:dyDescent="0.2">
      <c r="B56" t="s">
        <v>99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100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96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94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89</v>
      </c>
      <c r="T84" t="s">
        <v>2</v>
      </c>
      <c r="U84" t="s">
        <v>98</v>
      </c>
      <c r="V84" t="s">
        <v>111</v>
      </c>
      <c r="W84" t="s">
        <v>101</v>
      </c>
    </row>
    <row r="85" spans="1:30" x14ac:dyDescent="0.2">
      <c r="B85" t="s">
        <v>99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100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95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96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103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89</v>
      </c>
      <c r="S112" t="s">
        <v>2</v>
      </c>
      <c r="T112" t="s">
        <v>98</v>
      </c>
      <c r="U112" t="s">
        <v>111</v>
      </c>
      <c r="V112" t="s">
        <v>101</v>
      </c>
      <c r="W112" t="s">
        <v>102</v>
      </c>
    </row>
    <row r="113" spans="2:24" x14ac:dyDescent="0.2">
      <c r="B113" t="s">
        <v>99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100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95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03"/>
      <c r="E117" s="21" t="s">
        <v>109</v>
      </c>
      <c r="F117" s="19" t="s">
        <v>108</v>
      </c>
      <c r="G117" s="19" t="s">
        <v>110</v>
      </c>
      <c r="H117" s="20" t="s">
        <v>95</v>
      </c>
    </row>
    <row r="118" spans="2:24" x14ac:dyDescent="0.2">
      <c r="D118" s="96" t="s">
        <v>104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97" t="s">
        <v>105</v>
      </c>
      <c r="E119" s="130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97" t="s">
        <v>106</v>
      </c>
      <c r="E120" s="130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97" t="s">
        <v>107</v>
      </c>
      <c r="E121" s="130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131" t="s">
        <v>2</v>
      </c>
      <c r="E122" s="132">
        <f ca="1">SUM(E118:E121)</f>
        <v>0.68327439515423138</v>
      </c>
      <c r="F122" s="110">
        <f ca="1">SUM(F118:F121)</f>
        <v>0.28758419900186649</v>
      </c>
      <c r="G122" s="110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1068" priority="7" operator="containsText" text="R">
      <formula>NOT(ISERROR(SEARCH("R",C2)))</formula>
    </cfRule>
    <cfRule type="containsText" dxfId="1067" priority="8" operator="containsText" text="D">
      <formula>NOT(ISERROR(SEARCH("D",C2)))</formula>
    </cfRule>
    <cfRule type="containsText" dxfId="1066" priority="9" operator="containsText" text="S">
      <formula>NOT(ISERROR(SEARCH("S",C2)))</formula>
    </cfRule>
    <cfRule type="containsText" dxfId="1065" priority="10" operator="containsText" text="H">
      <formula>NOT(ISERROR(SEARCH("H",C2)))</formula>
    </cfRule>
  </conditionalFormatting>
  <conditionalFormatting sqref="C2">
    <cfRule type="containsText" dxfId="1064" priority="6" operator="containsText" text="P">
      <formula>NOT(ISERROR(SEARCH("P",C2)))</formula>
    </cfRule>
  </conditionalFormatting>
  <conditionalFormatting sqref="C15">
    <cfRule type="containsText" dxfId="1063" priority="2" operator="containsText" text="R">
      <formula>NOT(ISERROR(SEARCH("R",C15)))</formula>
    </cfRule>
    <cfRule type="containsText" dxfId="1062" priority="3" operator="containsText" text="D">
      <formula>NOT(ISERROR(SEARCH("D",C15)))</formula>
    </cfRule>
    <cfRule type="containsText" dxfId="1061" priority="4" operator="containsText" text="S">
      <formula>NOT(ISERROR(SEARCH("S",C15)))</formula>
    </cfRule>
    <cfRule type="containsText" dxfId="1060" priority="5" operator="containsText" text="H">
      <formula>NOT(ISERROR(SEARCH("H",C15)))</formula>
    </cfRule>
  </conditionalFormatting>
  <conditionalFormatting sqref="C15">
    <cfRule type="containsText" dxfId="1059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119</v>
      </c>
      <c r="C1" t="s">
        <v>116</v>
      </c>
      <c r="D1" t="s">
        <v>117</v>
      </c>
    </row>
    <row r="2" spans="1:4" x14ac:dyDescent="0.2">
      <c r="A2" t="s">
        <v>118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N4" sqref="N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 x14ac:dyDescent="0.35">
      <c r="A1" s="307" t="s">
        <v>133</v>
      </c>
      <c r="B1" s="308"/>
      <c r="C1" s="308"/>
      <c r="D1" s="308"/>
      <c r="E1" s="308"/>
      <c r="F1" s="308"/>
      <c r="G1" s="308"/>
      <c r="H1" s="308"/>
      <c r="I1" s="308"/>
      <c r="J1" s="308"/>
      <c r="K1" s="309"/>
    </row>
    <row r="2" spans="1:17" ht="16" thickBot="1" x14ac:dyDescent="0.25">
      <c r="A2" s="149" t="s">
        <v>9</v>
      </c>
      <c r="B2" s="149" t="s">
        <v>1</v>
      </c>
      <c r="C2" s="149">
        <v>2</v>
      </c>
      <c r="D2" s="149">
        <v>3</v>
      </c>
      <c r="E2" s="149">
        <v>4</v>
      </c>
      <c r="F2" s="149">
        <v>5</v>
      </c>
      <c r="G2" s="149">
        <v>6</v>
      </c>
      <c r="H2" s="149">
        <v>7</v>
      </c>
      <c r="I2" s="149">
        <v>8</v>
      </c>
      <c r="J2" s="149">
        <v>9</v>
      </c>
      <c r="K2" s="149">
        <v>10</v>
      </c>
      <c r="M2" s="201"/>
      <c r="N2" s="210" t="s">
        <v>183</v>
      </c>
      <c r="O2" s="184" t="s">
        <v>38</v>
      </c>
      <c r="P2" s="184" t="s">
        <v>182</v>
      </c>
      <c r="Q2" s="197" t="s">
        <v>37</v>
      </c>
    </row>
    <row r="3" spans="1:17" x14ac:dyDescent="0.2">
      <c r="A3" s="32">
        <v>5</v>
      </c>
      <c r="B3" s="34">
        <f>HSDR!B5</f>
        <v>-0.40632230211141912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-0.18809330390318518</v>
      </c>
      <c r="J3" s="34">
        <f>HSDR!J5</f>
        <v>-0.26661505335795899</v>
      </c>
      <c r="K3" s="34">
        <f>HSDR!K5</f>
        <v>-0.3577434525808979</v>
      </c>
      <c r="M3" s="209" t="s">
        <v>47</v>
      </c>
      <c r="N3" s="199">
        <f>SUM(SUMIF($B$3:$K$17,"&gt;0",B3:K17),SUMIF($B$19:$K$27,"&gt;0",B19:K27),SUMIF($B$29:$K$38,"&gt;0",B29:K38))</f>
        <v>58.639357099169686</v>
      </c>
      <c r="O3" s="181">
        <f>COUNTIF($B$3:$K$17,"&gt;0")+COUNTIF($B$19:$K$27,"&gt;0")+COUNTIF($B$29:$K$38,"&gt;0")</f>
        <v>158</v>
      </c>
      <c r="P3" s="181">
        <f>AVERAGE(AVERAGEIF($B$3:$K$17,"&gt;0"),AVERAGEIF($B$19:$K$27,"&gt;0"),AVERAGEIF($B$29:$K$38,"&gt;0"))</f>
        <v>0.3619423750920176</v>
      </c>
      <c r="Q3" s="182">
        <f>N3/N5</f>
        <v>0.58222270023176503</v>
      </c>
    </row>
    <row r="4" spans="1:17" ht="16" thickBot="1" x14ac:dyDescent="0.25">
      <c r="A4" s="32">
        <v>6</v>
      </c>
      <c r="B4" s="34">
        <f>HSDR!B6</f>
        <v>-0.41968690347101079</v>
      </c>
      <c r="C4" s="34">
        <f>HSDR!C6</f>
        <v>-0.14075911746001987</v>
      </c>
      <c r="D4" s="34">
        <f>HSDR!D6</f>
        <v>-0.10729107800860835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-0.38050766229289529</v>
      </c>
      <c r="M4" s="208" t="s">
        <v>155</v>
      </c>
      <c r="N4" s="203">
        <f>SUM(SUMIF($B$3:$K$17,"&lt;0"),SUMIF($B$19:$K$27,"&lt;0"),SUMIF($B$29:$K$38,"&lt;0"),C40)</f>
        <v>-42.077013244733351</v>
      </c>
      <c r="O4" s="204">
        <f>COUNTIF($B$3:$K$17,"&lt;0")+COUNTIF($B$19:$K$27,"&lt;0")+COUNTIF($B$29:$K$38,"&lt;0")</f>
        <v>182</v>
      </c>
      <c r="P4" s="204">
        <f>AVERAGE(AVERAGEIF($B$3:$K$17,"&lt;0"),AVERAGEIF($B$19:$K$27,"&lt;0"),AVERAGEIF($B$29:$K$38,"&lt;0"))</f>
        <v>-0.20489189233950869</v>
      </c>
      <c r="Q4" s="72">
        <f>1-Q3</f>
        <v>0.41777729976823497</v>
      </c>
    </row>
    <row r="5" spans="1:17" x14ac:dyDescent="0.2">
      <c r="A5" s="32">
        <v>7</v>
      </c>
      <c r="B5" s="34">
        <f>HSDR!B7</f>
        <v>-0.39971038372569095</v>
      </c>
      <c r="C5" s="34">
        <f>HSDR!C7</f>
        <v>-0.10918342786661633</v>
      </c>
      <c r="D5" s="34">
        <f>HSDR!D7</f>
        <v>-7.6582981904463582E-2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-0.21060476872434966</v>
      </c>
      <c r="J5" s="34">
        <f>HSDR!J7</f>
        <v>-0.28536544048687662</v>
      </c>
      <c r="K5" s="34">
        <f>HSDR!K7</f>
        <v>-0.36507789921394679</v>
      </c>
      <c r="M5" s="190" t="s">
        <v>46</v>
      </c>
      <c r="N5" s="205">
        <f>N3-N4</f>
        <v>100.71637034390304</v>
      </c>
      <c r="O5" s="195">
        <f>COUNT($B$3:$K$17,$B$19:$K$27,$B$29:$K$38)</f>
        <v>340</v>
      </c>
      <c r="P5" s="195">
        <f>AVERAGE($B$3:$K$17,$B$19:$K$27,$B$29:$K$38)</f>
        <v>5.1653952513048079E-2</v>
      </c>
      <c r="Q5" s="71">
        <f>Q3+Q4</f>
        <v>1</v>
      </c>
    </row>
    <row r="6" spans="1:17" ht="16" thickBot="1" x14ac:dyDescent="0.25">
      <c r="A6" s="32">
        <v>8</v>
      </c>
      <c r="B6" s="34">
        <f>HSDR!B8</f>
        <v>-0.33034033459070061</v>
      </c>
      <c r="C6" s="34">
        <f>HSDR!C8</f>
        <v>-2.1798188008805671E-2</v>
      </c>
      <c r="D6" s="34">
        <f>HSDR!D8</f>
        <v>8.0052625306546912E-3</v>
      </c>
      <c r="E6" s="34">
        <f>HSDR!E8</f>
        <v>3.8784473277208804E-2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-5.989827565865629E-2</v>
      </c>
      <c r="J6" s="34">
        <f>HSDR!J8</f>
        <v>-0.2101863319982176</v>
      </c>
      <c r="K6" s="34">
        <f>HSDR!K8</f>
        <v>-0.30177738614031369</v>
      </c>
      <c r="M6" s="202"/>
      <c r="N6" s="200"/>
      <c r="O6" s="180"/>
      <c r="P6" s="180"/>
      <c r="Q6" s="196"/>
    </row>
    <row r="7" spans="1:17" ht="16" thickBot="1" x14ac:dyDescent="0.25">
      <c r="A7" s="32">
        <v>9</v>
      </c>
      <c r="B7" s="34">
        <f>HSDR!B9</f>
        <v>-0.25192476177072076</v>
      </c>
      <c r="C7" s="34">
        <f>HSDR!C9</f>
        <v>7.444603757634051E-2</v>
      </c>
      <c r="D7" s="34">
        <f>HSDR!D9</f>
        <v>0.12081635332999656</v>
      </c>
      <c r="E7" s="34">
        <f>HSDR!E9</f>
        <v>0.1819489340524216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9.8376217435392585E-2</v>
      </c>
      <c r="J7" s="34">
        <f>HSDR!J9</f>
        <v>-5.217805346265169E-2</v>
      </c>
      <c r="K7" s="34">
        <f>HSDR!K9</f>
        <v>-0.21343169035706566</v>
      </c>
    </row>
    <row r="8" spans="1:17" ht="16" thickBot="1" x14ac:dyDescent="0.25">
      <c r="A8" s="32">
        <v>10</v>
      </c>
      <c r="B8" s="34">
        <f>HSDR!B10</f>
        <v>-0.14666789263035868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-4.4990260383613007E-2</v>
      </c>
      <c r="M8" s="201"/>
      <c r="N8" s="210" t="s">
        <v>155</v>
      </c>
      <c r="O8" s="211" t="s">
        <v>47</v>
      </c>
      <c r="P8" s="194" t="s">
        <v>2</v>
      </c>
    </row>
    <row r="9" spans="1:17" x14ac:dyDescent="0.2">
      <c r="A9" s="32">
        <v>11</v>
      </c>
      <c r="B9" s="34">
        <f>HSDR!B11</f>
        <v>-4.1986836980868178E-2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0.35069259087031512</v>
      </c>
      <c r="J9" s="34">
        <f>HSDR!J11</f>
        <v>0.22778342315245487</v>
      </c>
      <c r="K9" s="34">
        <f>HSDR!K11</f>
        <v>5.9690795265877464E-2</v>
      </c>
      <c r="M9" s="209" t="s">
        <v>9</v>
      </c>
      <c r="N9" s="199">
        <f>SUMIF(B3:K17,"&lt;0",B3:K17)</f>
        <v>-25.701456796379546</v>
      </c>
      <c r="O9" s="186">
        <f>SUMIF(B3:K17,"&gt;0",B3:K17)</f>
        <v>13.722719265336384</v>
      </c>
      <c r="P9" s="193">
        <f>SUM(N9:O9)</f>
        <v>-11.978737531043162</v>
      </c>
    </row>
    <row r="10" spans="1:17" x14ac:dyDescent="0.2">
      <c r="A10" s="32">
        <v>12</v>
      </c>
      <c r="B10" s="34">
        <f>HSDR!B12</f>
        <v>-0.46566058377683939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-0.42069618899826788</v>
      </c>
      <c r="M10" s="191" t="s">
        <v>4</v>
      </c>
      <c r="N10" s="39">
        <f>SUMIF(B19:K27,"&lt;0",B19:K27)</f>
        <v>-3.7904670828834028</v>
      </c>
      <c r="O10" s="187">
        <f>SUMIF(B19:K27,"&gt;0",B19:K27)</f>
        <v>28.479545607286155</v>
      </c>
      <c r="P10" s="189">
        <f>SUM(N10:O10)</f>
        <v>24.689078524402753</v>
      </c>
    </row>
    <row r="11" spans="1:17" ht="16" thickBot="1" x14ac:dyDescent="0.25">
      <c r="A11" s="32">
        <v>13</v>
      </c>
      <c r="B11" s="34">
        <f>HSDR!B13</f>
        <v>-0.50382768493563657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-0.46207503264124877</v>
      </c>
      <c r="M11" s="208" t="s">
        <v>10</v>
      </c>
      <c r="N11" s="203">
        <f>SUMIF(B29:K38,"&lt;0",B29:K38)</f>
        <v>-11.585089365470401</v>
      </c>
      <c r="O11" s="212">
        <f>SUMIF(B29:K38,"&gt;0",B29:K38)</f>
        <v>16.437092226547154</v>
      </c>
      <c r="P11" s="192">
        <f>SUM(N11:O11)</f>
        <v>4.8520028610767536</v>
      </c>
    </row>
    <row r="12" spans="1:17" ht="16" thickBot="1" x14ac:dyDescent="0.25">
      <c r="A12" s="32">
        <v>14</v>
      </c>
      <c r="B12" s="34">
        <f>HSDR!B14</f>
        <v>-0.53926856458309114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-0.50049824459544523</v>
      </c>
      <c r="M12" s="194" t="s">
        <v>2</v>
      </c>
      <c r="N12" s="198">
        <f>SUM(N9:N11)+C40</f>
        <v>-42.077013244733351</v>
      </c>
      <c r="O12" s="185">
        <f>SUM(O9:O11)</f>
        <v>58.639357099169686</v>
      </c>
      <c r="P12" s="201">
        <f>SUM(P9:P11)</f>
        <v>17.562343854436342</v>
      </c>
    </row>
    <row r="13" spans="1:17" x14ac:dyDescent="0.2">
      <c r="A13" s="32">
        <v>15</v>
      </c>
      <c r="B13" s="34">
        <f>HSDR!B15</f>
        <v>-0.572177952827156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-0.53617694141005634</v>
      </c>
    </row>
    <row r="14" spans="1:17" x14ac:dyDescent="0.2">
      <c r="A14" s="32">
        <v>16</v>
      </c>
      <c r="B14" s="34">
        <f>HSDR!B16</f>
        <v>-0.57578184676460165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-0.50932213940732529</v>
      </c>
      <c r="K14" s="34">
        <f>HSDR!K16</f>
        <v>-0.56930715988076652</v>
      </c>
    </row>
    <row r="15" spans="1:17" x14ac:dyDescent="0.2">
      <c r="A15" s="32">
        <v>17</v>
      </c>
      <c r="B15" s="34">
        <f>HSDR!B17</f>
        <v>-0.46435750824198752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-0.46435750824198763</v>
      </c>
    </row>
    <row r="16" spans="1:17" x14ac:dyDescent="0.2">
      <c r="A16" s="32">
        <v>18</v>
      </c>
      <c r="B16" s="34">
        <f>HSDR!B18</f>
        <v>-0.24150883119675959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-0.24150883119675959</v>
      </c>
    </row>
    <row r="17" spans="1:11" x14ac:dyDescent="0.2">
      <c r="A17" s="32">
        <v>19</v>
      </c>
      <c r="B17" s="34">
        <f>HSDR!B19</f>
        <v>-1.8660154151531549E-2</v>
      </c>
      <c r="C17" s="34">
        <f>HSDR!C19</f>
        <v>0.38630468602058987</v>
      </c>
      <c r="D17" s="34">
        <f>HSDR!D19</f>
        <v>0.40436293659776001</v>
      </c>
      <c r="E17" s="34">
        <f>HSDR!E19</f>
        <v>0.42317892482749647</v>
      </c>
      <c r="F17" s="34">
        <f>HSDR!F19</f>
        <v>0.43951210416088371</v>
      </c>
      <c r="G17" s="34">
        <f>HSDR!G19</f>
        <v>0.49597707378731909</v>
      </c>
      <c r="H17" s="34">
        <f>HSDR!H19</f>
        <v>0.6159764957534315</v>
      </c>
      <c r="I17" s="34">
        <f>HSDR!I19</f>
        <v>0.5938536682866945</v>
      </c>
      <c r="J17" s="34">
        <f>HSDR!J19</f>
        <v>0.28759675706758142</v>
      </c>
      <c r="K17" s="34">
        <f>HSDR!K19</f>
        <v>-1.8660154151531536E-2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-0.23472177802444921</v>
      </c>
      <c r="C19" s="34">
        <f>HSDR!C36</f>
        <v>4.6636132695309543E-2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0.16169271124923693</v>
      </c>
      <c r="H19" s="34">
        <f>HSDR!H36</f>
        <v>0.12238569517899196</v>
      </c>
      <c r="I19" s="34">
        <f>HSDR!I36</f>
        <v>5.4057070196311334E-2</v>
      </c>
      <c r="J19" s="34">
        <f>HSDR!J36</f>
        <v>-3.7694688127479885E-2</v>
      </c>
      <c r="K19" s="34">
        <f>HSDR!K36</f>
        <v>-0.16080628455762785</v>
      </c>
    </row>
    <row r="20" spans="1:11" x14ac:dyDescent="0.2">
      <c r="A20" s="32">
        <v>14</v>
      </c>
      <c r="B20" s="34">
        <f>HSDR!B37</f>
        <v>-0.26406959413166387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0.11189449567473925</v>
      </c>
      <c r="G20" s="34">
        <f>HSDR!G37</f>
        <v>0.1391647307435768</v>
      </c>
      <c r="H20" s="34">
        <f>HSDR!H37</f>
        <v>7.9507488494468148E-2</v>
      </c>
      <c r="I20" s="34">
        <f>HSDR!I37</f>
        <v>1.3277219463208478E-2</v>
      </c>
      <c r="J20" s="34">
        <f>HSDR!J37</f>
        <v>-7.516318944168382E-2</v>
      </c>
      <c r="K20" s="34">
        <f>HSDR!K37</f>
        <v>-0.1933035414076569</v>
      </c>
    </row>
    <row r="21" spans="1:11" x14ac:dyDescent="0.2">
      <c r="A21" s="32">
        <v>15</v>
      </c>
      <c r="B21" s="34">
        <f>HSDR!B38</f>
        <v>-0.29312934580507005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9.1959698781152482E-2</v>
      </c>
      <c r="G21" s="34">
        <f>HSDR!G38</f>
        <v>0.11824589170260671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-0.22543993358238781</v>
      </c>
    </row>
    <row r="22" spans="1:11" x14ac:dyDescent="0.2">
      <c r="A22" s="32">
        <v>16</v>
      </c>
      <c r="B22" s="34">
        <f>HSDR!B39</f>
        <v>-0.31409107314591783</v>
      </c>
      <c r="C22" s="34">
        <f>HSDR!C39</f>
        <v>-2.1025187774008566E-2</v>
      </c>
      <c r="D22" s="34">
        <f>HSDR!D39</f>
        <v>9.0590953469108244E-3</v>
      </c>
      <c r="E22" s="34">
        <f>HSDR!E39</f>
        <v>3.9974770793601705E-2</v>
      </c>
      <c r="F22" s="34">
        <f>HSDR!F39</f>
        <v>7.3448815951393354E-2</v>
      </c>
      <c r="G22" s="34">
        <f>HSDR!G39</f>
        <v>9.8821255450277368E-2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-0.25710121084742421</v>
      </c>
    </row>
    <row r="23" spans="1:11" x14ac:dyDescent="0.2">
      <c r="A23" s="32">
        <v>17</v>
      </c>
      <c r="B23" s="34">
        <f>HSDR!B40</f>
        <v>-0.30094774596936263</v>
      </c>
      <c r="C23" s="34">
        <f>HSDR!C40</f>
        <v>-4.9104358288916297E-4</v>
      </c>
      <c r="D23" s="34">
        <f>HSDR!D40</f>
        <v>2.8975282965620523E-2</v>
      </c>
      <c r="E23" s="34">
        <f>HSDR!E40</f>
        <v>5.9326275337164343E-2</v>
      </c>
      <c r="F23" s="34">
        <f>HSDR!F40</f>
        <v>9.1189077686774395E-2</v>
      </c>
      <c r="G23" s="34">
        <f>HSDR!G40</f>
        <v>0.12805214364549905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-0.14978689218213323</v>
      </c>
      <c r="K23" s="34">
        <f>HSDR!K40</f>
        <v>-0.24941602102444038</v>
      </c>
    </row>
    <row r="24" spans="1:11" x14ac:dyDescent="0.2">
      <c r="A24" s="32">
        <v>18</v>
      </c>
      <c r="B24" s="34">
        <f>HSDR!B41</f>
        <v>-0.24150883119675959</v>
      </c>
      <c r="C24" s="34">
        <f>HSDR!C41</f>
        <v>0.12174190222088771</v>
      </c>
      <c r="D24" s="34">
        <f>HSDR!D41</f>
        <v>0.14830007284131119</v>
      </c>
      <c r="E24" s="34">
        <f>HSDR!E41</f>
        <v>0.17585443719748528</v>
      </c>
      <c r="F24" s="34">
        <f>HSDR!F41</f>
        <v>0.19956119497617719</v>
      </c>
      <c r="G24" s="34">
        <f>HSDR!G41</f>
        <v>0.28344391604689856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-0.20109793381277147</v>
      </c>
    </row>
    <row r="25" spans="1:11" x14ac:dyDescent="0.2">
      <c r="A25" s="32">
        <v>19</v>
      </c>
      <c r="B25" s="34">
        <f>HSDR!B42</f>
        <v>-1.8660154151531549E-2</v>
      </c>
      <c r="C25" s="34">
        <f>HSDR!C42</f>
        <v>0.38630468602058987</v>
      </c>
      <c r="D25" s="34">
        <f>HSDR!D42</f>
        <v>0.40436293659776001</v>
      </c>
      <c r="E25" s="34">
        <f>HSDR!E42</f>
        <v>0.42317892482749647</v>
      </c>
      <c r="F25" s="34">
        <f>HSDR!F42</f>
        <v>0.43951210416088371</v>
      </c>
      <c r="G25" s="34">
        <f>HSDR!G42</f>
        <v>0.49597707378731909</v>
      </c>
      <c r="H25" s="34">
        <f>HSDR!H42</f>
        <v>0.6159764957534315</v>
      </c>
      <c r="I25" s="34">
        <f>HSDR!I42</f>
        <v>0.5938536682866945</v>
      </c>
      <c r="J25" s="34">
        <f>HSDR!J42</f>
        <v>0.28759675706758142</v>
      </c>
      <c r="K25" s="34">
        <f>HSDR!K42</f>
        <v>-1.8660154151531536E-2</v>
      </c>
    </row>
    <row r="26" spans="1:11" x14ac:dyDescent="0.2">
      <c r="A26" s="32">
        <v>20</v>
      </c>
      <c r="B26" s="34">
        <f>HSDR!B43</f>
        <v>0.20418852289369649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0.43495775366292722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-0.11815715102876453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5.9357641870643733E-2</v>
      </c>
    </row>
    <row r="30" spans="1:11" x14ac:dyDescent="0.2">
      <c r="A30" s="32">
        <v>2</v>
      </c>
      <c r="B30" s="34">
        <f>Pair!B55</f>
        <v>-0.38538530661686615</v>
      </c>
      <c r="C30" s="34">
        <f>Pair!C55</f>
        <v>-0.11491332761892134</v>
      </c>
      <c r="D30" s="34">
        <f>Pair!D55</f>
        <v>-8.2613314299744348E-2</v>
      </c>
      <c r="E30" s="34">
        <f>Pair!E55</f>
        <v>-4.4200824271668777E-2</v>
      </c>
      <c r="F30" s="34">
        <f>Pair!F55</f>
        <v>2.7460064569567143E-2</v>
      </c>
      <c r="G30" s="34">
        <f>Pair!G55</f>
        <v>7.7766823892602463E-2</v>
      </c>
      <c r="H30" s="34">
        <f>Pair!H55</f>
        <v>-5.4514042751724494E-2</v>
      </c>
      <c r="I30" s="34">
        <f>Pair!I55</f>
        <v>-0.15933415266020512</v>
      </c>
      <c r="J30" s="34">
        <f>Pair!J55</f>
        <v>-0.24066617915336547</v>
      </c>
      <c r="K30" s="34">
        <f>Pair!K55</f>
        <v>-0.33509986436351097</v>
      </c>
    </row>
    <row r="31" spans="1:11" x14ac:dyDescent="0.2">
      <c r="A31" s="32">
        <v>3</v>
      </c>
      <c r="B31" s="34">
        <f>Pair!B56</f>
        <v>-0.41968690347101079</v>
      </c>
      <c r="C31" s="34">
        <f>Pair!C56</f>
        <v>-0.14075911746001987</v>
      </c>
      <c r="D31" s="34">
        <f>Pair!D56</f>
        <v>-0.10729107800860835</v>
      </c>
      <c r="E31" s="34">
        <f>Pair!E56</f>
        <v>-7.2522581417810678E-2</v>
      </c>
      <c r="F31" s="34">
        <f>Pair!F56</f>
        <v>3.3991424279375615E-4</v>
      </c>
      <c r="G31" s="34">
        <f>Pair!G56</f>
        <v>4.8942606413118719E-2</v>
      </c>
      <c r="H31" s="34">
        <f>Pair!H56</f>
        <v>-0.11487517708071333</v>
      </c>
      <c r="I31" s="34">
        <f>Pair!I56</f>
        <v>-0.21724188132078476</v>
      </c>
      <c r="J31" s="34">
        <f>Pair!J56</f>
        <v>-0.29264070019772598</v>
      </c>
      <c r="K31" s="34">
        <f>Pair!K56</f>
        <v>-0.38050766229289529</v>
      </c>
    </row>
    <row r="32" spans="1:11" x14ac:dyDescent="0.2">
      <c r="A32" s="32">
        <v>4</v>
      </c>
      <c r="B32" s="34">
        <f>Pair!B57</f>
        <v>-0.33034033459070061</v>
      </c>
      <c r="C32" s="34">
        <f>Pair!C57</f>
        <v>-2.1798188008805671E-2</v>
      </c>
      <c r="D32" s="34">
        <f>Pair!D57</f>
        <v>8.0052625306546912E-3</v>
      </c>
      <c r="E32" s="34">
        <f>Pair!E57</f>
        <v>3.8784473277208804E-2</v>
      </c>
      <c r="F32" s="34">
        <f>Pair!F57</f>
        <v>7.0804635983033826E-2</v>
      </c>
      <c r="G32" s="34">
        <f>Pair!G57</f>
        <v>0.11496015009622321</v>
      </c>
      <c r="H32" s="34">
        <f>Pair!H57</f>
        <v>8.2207439363742862E-2</v>
      </c>
      <c r="I32" s="34">
        <f>Pair!I57</f>
        <v>-5.989827565865629E-2</v>
      </c>
      <c r="J32" s="34">
        <f>Pair!J57</f>
        <v>-0.2101863319982176</v>
      </c>
      <c r="K32" s="34">
        <f>Pair!K57</f>
        <v>-0.30177738614031369</v>
      </c>
    </row>
    <row r="33" spans="1:11" x14ac:dyDescent="0.2">
      <c r="A33" s="32">
        <v>5</v>
      </c>
      <c r="B33" s="34">
        <f>Pair!B58</f>
        <v>-0.14666789263035868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-4.4990260383613007E-2</v>
      </c>
    </row>
    <row r="34" spans="1:11" x14ac:dyDescent="0.2">
      <c r="A34" s="32">
        <v>6</v>
      </c>
      <c r="B34" s="34">
        <f>Pair!B59</f>
        <v>-0.46566058377683939</v>
      </c>
      <c r="C34" s="34">
        <f>Pair!C59</f>
        <v>-0.25338998596663809</v>
      </c>
      <c r="D34" s="34">
        <f>Pair!D59</f>
        <v>-0.2145821560172167</v>
      </c>
      <c r="E34" s="34">
        <f>Pair!E59</f>
        <v>-0.14583428385277461</v>
      </c>
      <c r="F34" s="34">
        <f>Pair!F59</f>
        <v>-6.9831946660204355E-2</v>
      </c>
      <c r="G34" s="34">
        <f>Pair!G59</f>
        <v>-2.6011671059748588E-2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-0.42069618899826788</v>
      </c>
    </row>
    <row r="35" spans="1:11" x14ac:dyDescent="0.2">
      <c r="A35" s="32">
        <v>7</v>
      </c>
      <c r="B35" s="34">
        <f>Pair!B60</f>
        <v>-0.53926856458309114</v>
      </c>
      <c r="C35" s="34">
        <f>Pair!C60</f>
        <v>-0.21836685573323267</v>
      </c>
      <c r="D35" s="34">
        <f>Pair!D60</f>
        <v>-0.15316596380892716</v>
      </c>
      <c r="E35" s="34">
        <f>Pair!E60</f>
        <v>-8.6043588008683752E-2</v>
      </c>
      <c r="F35" s="34">
        <f>Pair!F60</f>
        <v>-1.4542721805881769E-2</v>
      </c>
      <c r="G35" s="34">
        <f>Pair!G60</f>
        <v>5.8370684707721728E-2</v>
      </c>
      <c r="H35" s="34">
        <f>Pair!H60</f>
        <v>-0.13761559916085553</v>
      </c>
      <c r="I35" s="34">
        <f>Pair!I60</f>
        <v>-0.37191909208726714</v>
      </c>
      <c r="J35" s="34">
        <f>Pair!J60</f>
        <v>-0.43092981848423528</v>
      </c>
      <c r="K35" s="34">
        <f>Pair!K60</f>
        <v>-0.50049824459544523</v>
      </c>
    </row>
    <row r="36" spans="1:11" x14ac:dyDescent="0.2">
      <c r="A36" s="32">
        <v>8</v>
      </c>
      <c r="B36" s="34">
        <f>Pair!B61</f>
        <v>-0.57578184676460165</v>
      </c>
      <c r="C36" s="34">
        <f>Pair!C61</f>
        <v>-4.3596376017611342E-2</v>
      </c>
      <c r="D36" s="34">
        <f>Pair!D61</f>
        <v>1.6010525061309382E-2</v>
      </c>
      <c r="E36" s="34">
        <f>Pair!E61</f>
        <v>7.7568946554417609E-2</v>
      </c>
      <c r="F36" s="34">
        <f>Pair!F61</f>
        <v>0.14160927196606765</v>
      </c>
      <c r="G36" s="34">
        <f>Pair!G61</f>
        <v>0.22992030019244641</v>
      </c>
      <c r="H36" s="34">
        <f>Pair!H61</f>
        <v>0.16441487872748572</v>
      </c>
      <c r="I36" s="34">
        <f>Pair!I61</f>
        <v>-0.11979655131731258</v>
      </c>
      <c r="J36" s="34">
        <f>Pair!J61</f>
        <v>-0.42037266399643519</v>
      </c>
      <c r="K36" s="34">
        <f>Pair!K61</f>
        <v>-0.56930715988076652</v>
      </c>
    </row>
    <row r="37" spans="1:11" x14ac:dyDescent="0.2">
      <c r="A37" s="32">
        <v>9</v>
      </c>
      <c r="B37" s="34">
        <f>Pair!B62</f>
        <v>-0.24150883119675959</v>
      </c>
      <c r="C37" s="34">
        <f>Pair!C62</f>
        <v>0.14889207515268102</v>
      </c>
      <c r="D37" s="34">
        <f>Pair!D62</f>
        <v>0.20252940347775356</v>
      </c>
      <c r="E37" s="34">
        <f>Pair!E62</f>
        <v>0.25796176239148355</v>
      </c>
      <c r="F37" s="34">
        <f>Pair!F62</f>
        <v>0.31606371253303472</v>
      </c>
      <c r="G37" s="34">
        <f>Pair!G62</f>
        <v>0.39203767851455751</v>
      </c>
      <c r="H37" s="34">
        <f>Pair!H62</f>
        <v>0.3995541673365518</v>
      </c>
      <c r="I37" s="34">
        <f>Pair!I62</f>
        <v>0.19675243487078517</v>
      </c>
      <c r="J37" s="34">
        <f>Pair!J62</f>
        <v>-0.10435610692530338</v>
      </c>
      <c r="K37" s="34">
        <f>Pair!K62</f>
        <v>-0.24150883119675959</v>
      </c>
    </row>
    <row r="38" spans="1:11" x14ac:dyDescent="0.2">
      <c r="A38" s="32">
        <v>10</v>
      </c>
      <c r="B38" s="34">
        <f>Pair!B63</f>
        <v>0.20418852289369649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0.70395857017134467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0.43495775366292722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</sheetData>
  <sheetProtection sheet="1" objects="1" scenarios="1"/>
  <mergeCells count="1">
    <mergeCell ref="A1:K1"/>
  </mergeCells>
  <phoneticPr fontId="16" type="noConversion"/>
  <conditionalFormatting sqref="B39:K39">
    <cfRule type="containsText" dxfId="1058" priority="42" operator="containsText" text="R">
      <formula>NOT(ISERROR(SEARCH("R",B39)))</formula>
    </cfRule>
    <cfRule type="containsText" dxfId="1057" priority="43" operator="containsText" text="D">
      <formula>NOT(ISERROR(SEARCH("D",B39)))</formula>
    </cfRule>
    <cfRule type="containsText" dxfId="1056" priority="44" operator="containsText" text="S">
      <formula>NOT(ISERROR(SEARCH("S",B39)))</formula>
    </cfRule>
    <cfRule type="containsText" dxfId="1055" priority="45" operator="containsText" text="H">
      <formula>NOT(ISERROR(SEARCH("H",B39)))</formula>
    </cfRule>
  </conditionalFormatting>
  <conditionalFormatting sqref="B39:K39">
    <cfRule type="containsText" dxfId="1054" priority="41" operator="containsText" text="P">
      <formula>NOT(ISERROR(SEARCH("P",B39)))</formula>
    </cfRule>
  </conditionalFormatting>
  <conditionalFormatting sqref="B3:K17">
    <cfRule type="containsText" dxfId="1053" priority="27" operator="containsText" text="R">
      <formula>NOT(ISERROR(SEARCH("R",B3)))</formula>
    </cfRule>
    <cfRule type="containsText" dxfId="1052" priority="28" operator="containsText" text="D">
      <formula>NOT(ISERROR(SEARCH("D",B3)))</formula>
    </cfRule>
    <cfRule type="containsText" dxfId="1051" priority="29" operator="containsText" text="S">
      <formula>NOT(ISERROR(SEARCH("S",B3)))</formula>
    </cfRule>
    <cfRule type="containsText" dxfId="1050" priority="30" operator="containsText" text="H">
      <formula>NOT(ISERROR(SEARCH("H",B3)))</formula>
    </cfRule>
  </conditionalFormatting>
  <conditionalFormatting sqref="B3:K17">
    <cfRule type="containsText" dxfId="1049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1048" priority="9" operator="containsText" text="R">
      <formula>NOT(ISERROR(SEARCH("R",B19)))</formula>
    </cfRule>
    <cfRule type="containsText" dxfId="1047" priority="10" operator="containsText" text="D">
      <formula>NOT(ISERROR(SEARCH("D",B19)))</formula>
    </cfRule>
    <cfRule type="containsText" dxfId="1046" priority="11" operator="containsText" text="S">
      <formula>NOT(ISERROR(SEARCH("S",B19)))</formula>
    </cfRule>
    <cfRule type="containsText" dxfId="1045" priority="12" operator="containsText" text="H">
      <formula>NOT(ISERROR(SEARCH("H",B19)))</formula>
    </cfRule>
  </conditionalFormatting>
  <conditionalFormatting sqref="B19:K27">
    <cfRule type="containsText" dxfId="1044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1043" priority="3" operator="containsText" text="R">
      <formula>NOT(ISERROR(SEARCH("R",B29)))</formula>
    </cfRule>
    <cfRule type="containsText" dxfId="1042" priority="4" operator="containsText" text="D">
      <formula>NOT(ISERROR(SEARCH("D",B29)))</formula>
    </cfRule>
    <cfRule type="containsText" dxfId="1041" priority="5" operator="containsText" text="S">
      <formula>NOT(ISERROR(SEARCH("S",B29)))</formula>
    </cfRule>
    <cfRule type="containsText" dxfId="1040" priority="6" operator="containsText" text="H">
      <formula>NOT(ISERROR(SEARCH("H",B29)))</formula>
    </cfRule>
  </conditionalFormatting>
  <conditionalFormatting sqref="B29:K38">
    <cfRule type="containsText" dxfId="1039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workbookViewId="0">
      <selection activeCell="B32" sqref="B32:L38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10" t="s">
        <v>23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</row>
    <row r="2" spans="2:12" x14ac:dyDescent="0.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 x14ac:dyDescent="0.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 x14ac:dyDescent="0.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 x14ac:dyDescent="0.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 x14ac:dyDescent="0.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H</v>
      </c>
    </row>
    <row r="7" spans="2:12" x14ac:dyDescent="0.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 x14ac:dyDescent="0.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 x14ac:dyDescent="0.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 x14ac:dyDescent="0.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H</v>
      </c>
    </row>
    <row r="11" spans="2:12" x14ac:dyDescent="0.2">
      <c r="B11" s="48">
        <v>16</v>
      </c>
      <c r="C11" s="49" t="str">
        <f>HSDR!O16</f>
        <v>S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H</v>
      </c>
      <c r="L11" s="49" t="str">
        <f>HSDR!X16</f>
        <v>H</v>
      </c>
    </row>
    <row r="12" spans="2:12" x14ac:dyDescent="0.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 x14ac:dyDescent="0.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 x14ac:dyDescent="0.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H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 x14ac:dyDescent="0.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H</v>
      </c>
      <c r="H15" s="49" t="str">
        <f>HSDR!T37</f>
        <v>H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 x14ac:dyDescent="0.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H</v>
      </c>
      <c r="H16" s="49" t="str">
        <f>HSDR!T38</f>
        <v>H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 x14ac:dyDescent="0.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H</v>
      </c>
      <c r="G17" s="49" t="str">
        <f>HSDR!S39</f>
        <v>H</v>
      </c>
      <c r="H17" s="49" t="str">
        <f>HSDR!T39</f>
        <v>H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 x14ac:dyDescent="0.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H</v>
      </c>
      <c r="F18" s="49" t="str">
        <f>HSDR!R40</f>
        <v>H</v>
      </c>
      <c r="G18" s="49" t="str">
        <f>HSDR!S40</f>
        <v>H</v>
      </c>
      <c r="H18" s="49" t="str">
        <f>HSDR!T40</f>
        <v>H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 x14ac:dyDescent="0.2">
      <c r="B19" s="48">
        <v>18</v>
      </c>
      <c r="C19" s="49" t="str">
        <f>HSDR!O41</f>
        <v>S</v>
      </c>
      <c r="D19" s="49" t="str">
        <f>HSDR!P41</f>
        <v>S</v>
      </c>
      <c r="E19" s="49" t="str">
        <f>HSDR!Q41</f>
        <v>S</v>
      </c>
      <c r="F19" s="49" t="str">
        <f>HSDR!R41</f>
        <v>S</v>
      </c>
      <c r="G19" s="49" t="str">
        <f>HSDR!S41</f>
        <v>S</v>
      </c>
      <c r="H19" s="49" t="str">
        <f>HSDR!T41</f>
        <v>S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 x14ac:dyDescent="0.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S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 x14ac:dyDescent="0.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 x14ac:dyDescent="0.2">
      <c r="B22" s="48" t="s">
        <v>22</v>
      </c>
      <c r="C22" s="49" t="str">
        <f>Pair!O2</f>
        <v>P</v>
      </c>
      <c r="D22" s="49" t="str">
        <f>Pair!P2</f>
        <v>P</v>
      </c>
      <c r="E22" s="49" t="str">
        <f>Pair!Q2</f>
        <v>P</v>
      </c>
      <c r="F22" s="49" t="str">
        <f>Pair!R2</f>
        <v>P</v>
      </c>
      <c r="G22" s="49" t="str">
        <f>Pair!S2</f>
        <v>P</v>
      </c>
      <c r="H22" s="49" t="str">
        <f>Pair!T2</f>
        <v>P</v>
      </c>
      <c r="I22" s="49" t="str">
        <f>Pair!U2</f>
        <v>P</v>
      </c>
      <c r="J22" s="49" t="str">
        <f>Pair!V2</f>
        <v>P</v>
      </c>
      <c r="K22" s="49" t="str">
        <f>Pair!W2</f>
        <v>P</v>
      </c>
      <c r="L22" s="49" t="str">
        <f>Pair!X2</f>
        <v>P</v>
      </c>
    </row>
    <row r="23" spans="2:12" x14ac:dyDescent="0.2">
      <c r="B23" s="48">
        <v>2</v>
      </c>
      <c r="C23" s="49" t="str">
        <f>Pair!O3</f>
        <v>H</v>
      </c>
      <c r="D23" s="49" t="str">
        <f>Pair!P3</f>
        <v>H</v>
      </c>
      <c r="E23" s="49" t="str">
        <f>Pair!Q3</f>
        <v>H</v>
      </c>
      <c r="F23" s="49" t="str">
        <f>Pair!R3</f>
        <v>P</v>
      </c>
      <c r="G23" s="49" t="str">
        <f>Pair!S3</f>
        <v>P</v>
      </c>
      <c r="H23" s="49" t="str">
        <f>Pair!T3</f>
        <v>P</v>
      </c>
      <c r="I23" s="49" t="str">
        <f>Pair!U3</f>
        <v>P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 x14ac:dyDescent="0.2">
      <c r="B24" s="48">
        <v>3</v>
      </c>
      <c r="C24" s="49" t="str">
        <f>Pair!O4</f>
        <v>H</v>
      </c>
      <c r="D24" s="49" t="str">
        <f>Pair!P4</f>
        <v>H</v>
      </c>
      <c r="E24" s="49" t="str">
        <f>Pair!Q4</f>
        <v>H</v>
      </c>
      <c r="F24" s="49" t="str">
        <f>Pair!R4</f>
        <v>P</v>
      </c>
      <c r="G24" s="49" t="str">
        <f>Pair!S4</f>
        <v>P</v>
      </c>
      <c r="H24" s="49" t="str">
        <f>Pair!T4</f>
        <v>P</v>
      </c>
      <c r="I24" s="49" t="str">
        <f>Pair!U4</f>
        <v>P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 x14ac:dyDescent="0.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H</v>
      </c>
      <c r="H25" s="49" t="str">
        <f>Pair!T5</f>
        <v>H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 x14ac:dyDescent="0.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 x14ac:dyDescent="0.2">
      <c r="B27" s="48">
        <v>6</v>
      </c>
      <c r="C27" s="49" t="str">
        <f>Pair!O7</f>
        <v>H</v>
      </c>
      <c r="D27" s="49" t="str">
        <f>Pair!P7</f>
        <v>H</v>
      </c>
      <c r="E27" s="49" t="str">
        <f>Pair!Q7</f>
        <v>P</v>
      </c>
      <c r="F27" s="49" t="str">
        <f>Pair!R7</f>
        <v>P</v>
      </c>
      <c r="G27" s="49" t="str">
        <f>Pair!S7</f>
        <v>P</v>
      </c>
      <c r="H27" s="49" t="str">
        <f>Pair!T7</f>
        <v>P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 x14ac:dyDescent="0.2">
      <c r="B28" s="48">
        <v>7</v>
      </c>
      <c r="C28" s="49" t="str">
        <f>Pair!O8</f>
        <v>H</v>
      </c>
      <c r="D28" s="49" t="str">
        <f>Pair!P8</f>
        <v>P</v>
      </c>
      <c r="E28" s="49" t="str">
        <f>Pair!Q8</f>
        <v>P</v>
      </c>
      <c r="F28" s="49" t="str">
        <f>Pair!R8</f>
        <v>P</v>
      </c>
      <c r="G28" s="49" t="str">
        <f>Pair!S8</f>
        <v>P</v>
      </c>
      <c r="H28" s="49" t="str">
        <f>Pair!T8</f>
        <v>P</v>
      </c>
      <c r="I28" s="49" t="str">
        <f>Pair!U8</f>
        <v>P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 x14ac:dyDescent="0.2">
      <c r="B29" s="48">
        <v>8</v>
      </c>
      <c r="C29" s="49" t="str">
        <f>Pair!O9</f>
        <v>S</v>
      </c>
      <c r="D29" s="49" t="str">
        <f>Pair!P9</f>
        <v>P</v>
      </c>
      <c r="E29" s="49" t="str">
        <f>Pair!Q9</f>
        <v>P</v>
      </c>
      <c r="F29" s="49" t="str">
        <f>Pair!R9</f>
        <v>P</v>
      </c>
      <c r="G29" s="49" t="str">
        <f>Pair!S9</f>
        <v>P</v>
      </c>
      <c r="H29" s="49" t="str">
        <f>Pair!T9</f>
        <v>P</v>
      </c>
      <c r="I29" s="49" t="str">
        <f>Pair!U9</f>
        <v>P</v>
      </c>
      <c r="J29" s="49" t="str">
        <f>Pair!V9</f>
        <v>P</v>
      </c>
      <c r="K29" s="49" t="str">
        <f>Pair!W9</f>
        <v>P</v>
      </c>
      <c r="L29" s="49" t="str">
        <f>Pair!X9</f>
        <v>H</v>
      </c>
    </row>
    <row r="30" spans="2:12" x14ac:dyDescent="0.2">
      <c r="B30" s="48">
        <v>9</v>
      </c>
      <c r="C30" s="49" t="str">
        <f>Pair!O10</f>
        <v>S</v>
      </c>
      <c r="D30" s="49" t="str">
        <f>Pair!P10</f>
        <v>P</v>
      </c>
      <c r="E30" s="49" t="str">
        <f>Pair!Q10</f>
        <v>P</v>
      </c>
      <c r="F30" s="49" t="str">
        <f>Pair!R10</f>
        <v>P</v>
      </c>
      <c r="G30" s="49" t="str">
        <f>Pair!S10</f>
        <v>P</v>
      </c>
      <c r="H30" s="49" t="str">
        <f>Pair!T10</f>
        <v>P</v>
      </c>
      <c r="I30" s="49" t="str">
        <f>Pair!U10</f>
        <v>S</v>
      </c>
      <c r="J30" s="49" t="str">
        <f>Pair!V10</f>
        <v>P</v>
      </c>
      <c r="K30" s="49" t="str">
        <f>Pair!W10</f>
        <v>P</v>
      </c>
      <c r="L30" s="49" t="str">
        <f>Pair!X10</f>
        <v>S</v>
      </c>
    </row>
    <row r="31" spans="2:12" x14ac:dyDescent="0.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S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 x14ac:dyDescent="0.2">
      <c r="B32" s="284" t="str">
        <f>"EV = " &amp; EV!$H$46</f>
        <v>EV = -0.0322153307097501</v>
      </c>
      <c r="C32" s="284"/>
      <c r="D32" s="284"/>
      <c r="E32" s="284"/>
      <c r="F32" s="284"/>
      <c r="G32" s="284"/>
      <c r="H32" s="284"/>
      <c r="I32" s="284"/>
      <c r="J32" s="284"/>
      <c r="K32" s="284"/>
      <c r="L32" s="284"/>
    </row>
    <row r="33" spans="2:12" x14ac:dyDescent="0.2">
      <c r="B33" s="284" t="str">
        <f>"EV = " &amp; EV!H46*100 &amp; " %"</f>
        <v>EV = -3.22153307097501 %</v>
      </c>
      <c r="C33" s="284"/>
      <c r="D33" s="284"/>
      <c r="E33" s="284"/>
      <c r="F33" s="284"/>
      <c r="G33" s="284"/>
      <c r="H33" s="284"/>
      <c r="I33" s="284"/>
      <c r="J33" s="284"/>
      <c r="K33" s="284"/>
      <c r="L33" s="284"/>
    </row>
    <row r="34" spans="2:12" x14ac:dyDescent="0.2">
      <c r="B34" s="288" t="s">
        <v>24</v>
      </c>
      <c r="C34" s="288"/>
      <c r="D34" s="288"/>
      <c r="E34" s="288"/>
      <c r="F34" s="288"/>
      <c r="G34" s="288"/>
      <c r="H34" s="288"/>
      <c r="I34" s="288"/>
      <c r="J34" s="288"/>
      <c r="K34" s="288"/>
      <c r="L34" s="288"/>
    </row>
    <row r="35" spans="2:12" x14ac:dyDescent="0.2">
      <c r="B35" s="289" t="s">
        <v>25</v>
      </c>
      <c r="C35" s="289"/>
      <c r="D35" s="289"/>
      <c r="E35" s="289"/>
      <c r="F35" s="289"/>
      <c r="G35" s="289"/>
      <c r="H35" s="289"/>
      <c r="I35" s="289"/>
      <c r="J35" s="289"/>
      <c r="K35" s="289"/>
      <c r="L35" s="289"/>
    </row>
    <row r="36" spans="2:12" x14ac:dyDescent="0.2">
      <c r="B36" s="285" t="s">
        <v>26</v>
      </c>
      <c r="C36" s="285"/>
      <c r="D36" s="285"/>
      <c r="E36" s="285"/>
      <c r="F36" s="285"/>
      <c r="G36" s="285"/>
      <c r="H36" s="285"/>
      <c r="I36" s="285"/>
      <c r="J36" s="285"/>
      <c r="K36" s="285"/>
      <c r="L36" s="285"/>
    </row>
    <row r="37" spans="2:12" x14ac:dyDescent="0.2">
      <c r="B37" s="286" t="s">
        <v>27</v>
      </c>
      <c r="C37" s="286"/>
      <c r="D37" s="286"/>
      <c r="E37" s="286"/>
      <c r="F37" s="286"/>
      <c r="G37" s="286"/>
      <c r="H37" s="286"/>
      <c r="I37" s="286"/>
      <c r="J37" s="286"/>
      <c r="K37" s="286"/>
      <c r="L37" s="286"/>
    </row>
    <row r="38" spans="2:12" x14ac:dyDescent="0.2">
      <c r="B38" s="284" t="s">
        <v>28</v>
      </c>
      <c r="C38" s="284"/>
      <c r="D38" s="284"/>
      <c r="E38" s="284"/>
      <c r="F38" s="284"/>
      <c r="G38" s="284"/>
      <c r="H38" s="284"/>
      <c r="I38" s="284"/>
      <c r="J38" s="284"/>
      <c r="K38" s="284"/>
      <c r="L38" s="284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1038" priority="4" operator="containsText" text="S">
      <formula>NOT(ISERROR(SEARCH("S",C3)))</formula>
    </cfRule>
    <cfRule type="containsText" dxfId="1037" priority="5" operator="containsText" text="H">
      <formula>NOT(ISERROR(SEARCH("H",C3)))</formula>
    </cfRule>
  </conditionalFormatting>
  <conditionalFormatting sqref="C3:L12 C22:L31 C14:L20">
    <cfRule type="containsText" dxfId="1036" priority="3" operator="containsText" text="D">
      <formula>NOT(ISERROR(SEARCH("D",C3)))</formula>
    </cfRule>
  </conditionalFormatting>
  <conditionalFormatting sqref="C3:L12 C22:L31 C14:L20">
    <cfRule type="containsText" dxfId="1035" priority="2" operator="containsText" text="R">
      <formula>NOT(ISERROR(SEARCH("R",C3)))</formula>
    </cfRule>
  </conditionalFormatting>
  <conditionalFormatting sqref="C3:L12 C22:L31 C14:L20">
    <cfRule type="containsText" dxfId="1034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21" workbookViewId="0">
      <selection activeCell="L45" sqref="L45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11" t="s">
        <v>131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3"/>
    </row>
    <row r="2" spans="1:12" x14ac:dyDescent="0.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 x14ac:dyDescent="0.2">
      <c r="A3" s="45">
        <v>5</v>
      </c>
      <c r="B3" s="34">
        <f>Prob!B3*ER!B3</f>
        <v>-2.5607651825935876E-4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-1.7122740455456095E-4</v>
      </c>
      <c r="J3" s="34">
        <f>Prob!J3*ER!J3</f>
        <v>-2.4270828708052711E-4</v>
      </c>
      <c r="K3" s="46">
        <f>Prob!K3*ER!K3</f>
        <v>-1.2024568974393825E-3</v>
      </c>
      <c r="L3" s="46">
        <f>SUM(B3:K3)</f>
        <v>-2.2635642449208844E-3</v>
      </c>
    </row>
    <row r="4" spans="1:12" x14ac:dyDescent="0.2">
      <c r="A4" s="45">
        <v>6</v>
      </c>
      <c r="B4" s="34">
        <f>Prob!B4*ER!B4</f>
        <v>-2.6449929142810806E-4</v>
      </c>
      <c r="C4" s="34">
        <f>Prob!C4*ER!C4</f>
        <v>-1.2813756710060984E-4</v>
      </c>
      <c r="D4" s="34">
        <f>Prob!D4*ER!D4</f>
        <v>-9.7670530731550632E-5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6">
        <f>Prob!K4*ER!K4</f>
        <v>-1.2789725702922851E-3</v>
      </c>
      <c r="L4" s="46">
        <f t="shared" ref="L4:L38" si="0">SUM(B4:K4)</f>
        <v>-2.4817553710605863E-3</v>
      </c>
    </row>
    <row r="5" spans="1:12" x14ac:dyDescent="0.2">
      <c r="A5" s="45">
        <v>7</v>
      </c>
      <c r="B5" s="34">
        <f>Prob!B5*ER!B5</f>
        <v>-5.0381897742112934E-4</v>
      </c>
      <c r="C5" s="34">
        <f>Prob!C5*ER!C5</f>
        <v>-1.9878639575169113E-4</v>
      </c>
      <c r="D5" s="34">
        <f>Prob!D5*ER!D5</f>
        <v>-1.3943191971682039E-4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-3.8344063491005858E-4</v>
      </c>
      <c r="J5" s="34">
        <f>Prob!J5*ER!J5</f>
        <v>-5.1955473916591108E-4</v>
      </c>
      <c r="K5" s="46">
        <f>Prob!K5*ER!K5</f>
        <v>-2.4542192727522775E-3</v>
      </c>
      <c r="L5" s="46">
        <f t="shared" si="0"/>
        <v>-4.3629581065523886E-3</v>
      </c>
    </row>
    <row r="6" spans="1:12" x14ac:dyDescent="0.2">
      <c r="A6" s="45">
        <v>8</v>
      </c>
      <c r="B6" s="34">
        <f>Prob!B6*ER!B6</f>
        <v>-4.1638080057649322E-4</v>
      </c>
      <c r="C6" s="34">
        <f>Prob!C6*ER!C6</f>
        <v>-3.96871879996462E-5</v>
      </c>
      <c r="D6" s="34">
        <f>Prob!D6*ER!D6</f>
        <v>1.4574897643431392E-5</v>
      </c>
      <c r="E6" s="34">
        <f>Prob!E6*ER!E6</f>
        <v>7.0613515297603656E-5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-1.0905466665208247E-4</v>
      </c>
      <c r="J6" s="34">
        <f>Prob!J6*ER!J6</f>
        <v>-3.8267880199948588E-4</v>
      </c>
      <c r="K6" s="46">
        <f>Prob!K6*ER!K6</f>
        <v>-2.0286845047071266E-3</v>
      </c>
      <c r="L6" s="46">
        <f t="shared" si="0"/>
        <v>-2.4034100197393615E-3</v>
      </c>
    </row>
    <row r="7" spans="1:12" x14ac:dyDescent="0.2">
      <c r="A7" s="45">
        <v>9</v>
      </c>
      <c r="B7" s="34">
        <f>Prob!B7*ER!B7</f>
        <v>-4.7631165350018988E-4</v>
      </c>
      <c r="C7" s="34">
        <f>Prob!C7*ER!C7</f>
        <v>2.0331189142377929E-4</v>
      </c>
      <c r="D7" s="34">
        <f>Prob!D7*ER!D7</f>
        <v>3.29949076003632E-4</v>
      </c>
      <c r="E7" s="34">
        <f>Prob!E7*ER!E7</f>
        <v>4.9690195917821115E-4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2.6866513637339811E-4</v>
      </c>
      <c r="J7" s="34">
        <f>Prob!J7*ER!J7</f>
        <v>-1.4249809775872108E-4</v>
      </c>
      <c r="K7" s="46">
        <f>Prob!K7*ER!K7</f>
        <v>-2.1521769833981628E-3</v>
      </c>
      <c r="L7" s="46">
        <f t="shared" si="0"/>
        <v>5.268759132422635E-4</v>
      </c>
    </row>
    <row r="8" spans="1:12" x14ac:dyDescent="0.2">
      <c r="A8" s="45">
        <v>10</v>
      </c>
      <c r="B8" s="34">
        <f>Prob!B8*ER!B8</f>
        <v>-2.7730353286087214E-4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6">
        <f>Prob!K8*ER!K8</f>
        <v>-4.5366741327266375E-4</v>
      </c>
      <c r="L8" s="46">
        <f t="shared" si="0"/>
        <v>7.8462274459368923E-3</v>
      </c>
    </row>
    <row r="9" spans="1:12" x14ac:dyDescent="0.2">
      <c r="A9" s="45">
        <v>11</v>
      </c>
      <c r="B9" s="34">
        <f>Prob!B9*ER!B9</f>
        <v>-1.0584546278570462E-4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1.2769871310707882E-3</v>
      </c>
      <c r="J9" s="34">
        <f>Prob!J9*ER!J9</f>
        <v>8.2943440383233475E-4</v>
      </c>
      <c r="K9" s="46">
        <f>Prob!K9*ER!K9</f>
        <v>8.0253721445667006E-4</v>
      </c>
      <c r="L9" s="46">
        <f t="shared" si="0"/>
        <v>1.4817477559894255E-2</v>
      </c>
    </row>
    <row r="10" spans="1:12" x14ac:dyDescent="0.2">
      <c r="A10" s="45">
        <v>12</v>
      </c>
      <c r="B10" s="34">
        <f>Prob!B10*ER!B10</f>
        <v>-2.0543129987003876E-3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6">
        <f>Prob!K10*ER!K10</f>
        <v>-9.8983872765952205E-3</v>
      </c>
      <c r="L10" s="46">
        <f t="shared" si="0"/>
        <v>-2.369990127759837E-2</v>
      </c>
    </row>
    <row r="11" spans="1:12" x14ac:dyDescent="0.2">
      <c r="A11" s="45">
        <v>13</v>
      </c>
      <c r="B11" s="34">
        <f>Prob!B11*ER!B11</f>
        <v>-2.2226913729172723E-3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6">
        <f>Prob!K11*ER!K11</f>
        <v>-1.0871973037881E-2</v>
      </c>
      <c r="L11" s="46">
        <f t="shared" si="0"/>
        <v>-2.6201404416001897E-2</v>
      </c>
    </row>
    <row r="12" spans="1:12" x14ac:dyDescent="0.2">
      <c r="A12" s="45">
        <v>14</v>
      </c>
      <c r="B12" s="34">
        <f>Prob!B12*ER!B12</f>
        <v>-2.0391794746323255E-3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6">
        <f>Prob!K12*ER!K12</f>
        <v>-1.0093728822064232E-2</v>
      </c>
      <c r="L12" s="46">
        <f t="shared" si="0"/>
        <v>-2.4155409583556081E-2</v>
      </c>
    </row>
    <row r="13" spans="1:12" x14ac:dyDescent="0.2">
      <c r="A13" s="45">
        <v>15</v>
      </c>
      <c r="B13" s="34">
        <f>Prob!B13*ER!B13</f>
        <v>-2.1636223838567576E-3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6">
        <f>Prob!K13*ER!K13</f>
        <v>-1.0813273983830836E-2</v>
      </c>
      <c r="L13" s="46">
        <f t="shared" si="0"/>
        <v>-2.5731253743305628E-2</v>
      </c>
    </row>
    <row r="14" spans="1:12" x14ac:dyDescent="0.2">
      <c r="A14" s="45">
        <v>16</v>
      </c>
      <c r="B14" s="34">
        <f>Prob!B14*ER!B14</f>
        <v>-1.8143750642069308E-3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-2.3182618998967928E-3</v>
      </c>
      <c r="K14" s="46">
        <f>Prob!K14*ER!K14</f>
        <v>-9.5678525521784227E-3</v>
      </c>
      <c r="L14" s="46">
        <f t="shared" si="0"/>
        <v>-2.2577175974273035E-2</v>
      </c>
    </row>
    <row r="15" spans="1:12" x14ac:dyDescent="0.2">
      <c r="A15" s="45">
        <v>17</v>
      </c>
      <c r="B15" s="34">
        <f>Prob!B15*ER!B15</f>
        <v>-1.4632602409502076E-3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6">
        <f>Prob!K15*ER!K15</f>
        <v>-7.8040546184011093E-3</v>
      </c>
      <c r="L15" s="46">
        <f t="shared" si="0"/>
        <v>-1.5165724587705317E-2</v>
      </c>
    </row>
    <row r="16" spans="1:12" x14ac:dyDescent="0.2">
      <c r="A16" s="45">
        <v>18</v>
      </c>
      <c r="B16" s="34">
        <f>Prob!B16*ER!B16</f>
        <v>-6.0882447554940974E-4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6">
        <f>Prob!K16*ER!K16</f>
        <v>-3.2470638695968525E-3</v>
      </c>
      <c r="L16" s="46">
        <f t="shared" si="0"/>
        <v>7.0030166874541534E-4</v>
      </c>
    </row>
    <row r="17" spans="1:12" x14ac:dyDescent="0.2">
      <c r="A17" s="45">
        <v>19</v>
      </c>
      <c r="B17" s="34">
        <f>Prob!B17*ER!B17</f>
        <v>-4.7040758338653121E-5</v>
      </c>
      <c r="C17" s="34">
        <f>Prob!C17*ER!C17</f>
        <v>1.4066624889234043E-3</v>
      </c>
      <c r="D17" s="34">
        <f>Prob!D17*ER!D17</f>
        <v>1.472418521976368E-3</v>
      </c>
      <c r="E17" s="34">
        <f>Prob!E17*ER!E17</f>
        <v>1.5409337271825091E-3</v>
      </c>
      <c r="F17" s="34">
        <f>Prob!F17*ER!F17</f>
        <v>1.6004082081415886E-3</v>
      </c>
      <c r="G17" s="34">
        <f>Prob!G17*ER!G17</f>
        <v>1.8060157443325231E-3</v>
      </c>
      <c r="H17" s="34">
        <f>Prob!H17*ER!H17</f>
        <v>2.2429731297348441E-3</v>
      </c>
      <c r="I17" s="34">
        <f>Prob!I17*ER!I17</f>
        <v>2.1624166346352102E-3</v>
      </c>
      <c r="J17" s="34">
        <f>Prob!J17*ER!J17</f>
        <v>1.0472344362952443E-3</v>
      </c>
      <c r="K17" s="46">
        <f>Prob!K17*ER!K17</f>
        <v>-2.5088404447281648E-4</v>
      </c>
      <c r="L17" s="46">
        <f t="shared" si="0"/>
        <v>1.2981138088410222E-2</v>
      </c>
    </row>
    <row r="18" spans="1:12" x14ac:dyDescent="0.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">
      <c r="A19" s="45">
        <v>13</v>
      </c>
      <c r="B19" s="34">
        <f>Prob!B19*ER!B19</f>
        <v>-1.4792871413606267E-4</v>
      </c>
      <c r="C19" s="34">
        <f>Prob!C19*ER!C19</f>
        <v>4.2454376600190761E-5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1.471940930807801E-4</v>
      </c>
      <c r="H19" s="34">
        <f>Prob!H19*ER!H19</f>
        <v>1.114116478643532E-4</v>
      </c>
      <c r="I19" s="34">
        <f>Prob!I19*ER!I19</f>
        <v>4.920989549049735E-5</v>
      </c>
      <c r="J19" s="34">
        <f>Prob!J19*ER!J19</f>
        <v>-3.4314691058242955E-5</v>
      </c>
      <c r="K19" s="46">
        <f>Prob!K19*ER!K19</f>
        <v>-5.405064009499764E-4</v>
      </c>
      <c r="L19" s="46">
        <f t="shared" si="0"/>
        <v>-9.0314386874508316E-5</v>
      </c>
    </row>
    <row r="20" spans="1:12" x14ac:dyDescent="0.2">
      <c r="A20" s="45">
        <v>14</v>
      </c>
      <c r="B20" s="34">
        <f>Prob!B20*ER!B20</f>
        <v>-1.6642458927803474E-4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1.0186117039120552E-4</v>
      </c>
      <c r="G20" s="34">
        <f>Prob!G20*ER!G20</f>
        <v>1.266861454197331E-4</v>
      </c>
      <c r="H20" s="34">
        <f>Prob!H20*ER!H20</f>
        <v>7.2378232584859498E-5</v>
      </c>
      <c r="I20" s="34">
        <f>Prob!I20*ER!I20</f>
        <v>1.2086681350212545E-5</v>
      </c>
      <c r="J20" s="34">
        <f>Prob!J20*ER!J20</f>
        <v>-6.8423476961023064E-5</v>
      </c>
      <c r="K20" s="46">
        <f>Prob!K20*ER!K20</f>
        <v>-6.4973705315412862E-4</v>
      </c>
      <c r="L20" s="46">
        <f t="shared" si="0"/>
        <v>-4.3203714980445191E-4</v>
      </c>
    </row>
    <row r="21" spans="1:12" x14ac:dyDescent="0.2">
      <c r="A21" s="45">
        <v>15</v>
      </c>
      <c r="B21" s="34">
        <f>Prob!B21*ER!B21</f>
        <v>-1.8473891756210431E-4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8.3713881457580784E-5</v>
      </c>
      <c r="G21" s="34">
        <f>Prob!G21*ER!G21</f>
        <v>1.0764305116304663E-4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6">
        <f>Prob!K21*ER!K21</f>
        <v>-7.5775475732324624E-4</v>
      </c>
      <c r="L21" s="46">
        <f t="shared" si="0"/>
        <v>-7.6378195127739892E-4</v>
      </c>
    </row>
    <row r="22" spans="1:12" x14ac:dyDescent="0.2">
      <c r="A22" s="45">
        <v>16</v>
      </c>
      <c r="B22" s="34">
        <f>Prob!B22*ER!B22</f>
        <v>-1.9794962769603732E-4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3.639032389039755E-5</v>
      </c>
      <c r="F22" s="34">
        <f>Prob!F22*ER!F22</f>
        <v>6.6862827447786407E-5</v>
      </c>
      <c r="G22" s="34">
        <f>Prob!G22*ER!G22</f>
        <v>8.9960177924694928E-5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6">
        <f>Prob!K22*ER!K22</f>
        <v>-8.6417549250210877E-4</v>
      </c>
      <c r="L22" s="46">
        <f t="shared" si="0"/>
        <v>-1.0803770910265576E-3</v>
      </c>
    </row>
    <row r="23" spans="1:12" x14ac:dyDescent="0.2">
      <c r="A23" s="45">
        <v>17</v>
      </c>
      <c r="B23" s="34">
        <f>Prob!B23*ER!B23</f>
        <v>-1.8966630816317804E-4</v>
      </c>
      <c r="C23" s="34">
        <f>Prob!C23*ER!C23</f>
        <v>-4.4701282010847796E-7</v>
      </c>
      <c r="D23" s="34">
        <f>Prob!D23*ER!D23</f>
        <v>2.6377135153045539E-5</v>
      </c>
      <c r="E23" s="34">
        <f>Prob!E23*ER!E23</f>
        <v>5.4006622974205145E-5</v>
      </c>
      <c r="F23" s="34">
        <f>Prob!F23*ER!F23</f>
        <v>8.3012360206440058E-5</v>
      </c>
      <c r="G23" s="34">
        <f>Prob!G23*ER!G23</f>
        <v>1.1656999876695408E-4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-1.3635584176798656E-4</v>
      </c>
      <c r="K23" s="46">
        <f>Prob!K23*ER!K23</f>
        <v>-8.3834382613866049E-4</v>
      </c>
      <c r="L23" s="46">
        <f t="shared" si="0"/>
        <v>-9.0222687635326275E-4</v>
      </c>
    </row>
    <row r="24" spans="1:12" x14ac:dyDescent="0.2">
      <c r="A24" s="45">
        <v>18</v>
      </c>
      <c r="B24" s="34">
        <f>Prob!B24*ER!B24</f>
        <v>-1.5220611888735244E-4</v>
      </c>
      <c r="C24" s="34">
        <f>Prob!C24*ER!C24</f>
        <v>1.1082558235856871E-4</v>
      </c>
      <c r="D24" s="34">
        <f>Prob!D24*ER!D24</f>
        <v>1.3500234214047449E-4</v>
      </c>
      <c r="E24" s="34">
        <f>Prob!E24*ER!E24</f>
        <v>1.6008596922848002E-4</v>
      </c>
      <c r="F24" s="34">
        <f>Prob!F24*ER!F24</f>
        <v>1.8166699588181812E-4</v>
      </c>
      <c r="G24" s="34">
        <f>Prob!G24*ER!G24</f>
        <v>2.5802814387519219E-4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6">
        <f>Prob!K24*ER!K24</f>
        <v>-6.7593577416848378E-4</v>
      </c>
      <c r="L24" s="46">
        <f t="shared" si="0"/>
        <v>3.8593433057458734E-4</v>
      </c>
    </row>
    <row r="25" spans="1:12" x14ac:dyDescent="0.2">
      <c r="A25" s="45">
        <v>19</v>
      </c>
      <c r="B25" s="34">
        <f>Prob!B25*ER!B25</f>
        <v>-1.176018958466328E-5</v>
      </c>
      <c r="C25" s="34">
        <f>Prob!C25*ER!C25</f>
        <v>3.5166562223085107E-4</v>
      </c>
      <c r="D25" s="34">
        <f>Prob!D25*ER!D25</f>
        <v>3.6810463049409201E-4</v>
      </c>
      <c r="E25" s="34">
        <f>Prob!E25*ER!E25</f>
        <v>3.8523343179562726E-4</v>
      </c>
      <c r="F25" s="34">
        <f>Prob!F25*ER!F25</f>
        <v>4.0010205203539715E-4</v>
      </c>
      <c r="G25" s="34">
        <f>Prob!G25*ER!G25</f>
        <v>4.5150393608313079E-4</v>
      </c>
      <c r="H25" s="34">
        <f>Prob!H25*ER!H25</f>
        <v>5.6074328243371102E-4</v>
      </c>
      <c r="I25" s="34">
        <f>Prob!I25*ER!I25</f>
        <v>5.4060415865880254E-4</v>
      </c>
      <c r="J25" s="34">
        <f>Prob!J25*ER!J25</f>
        <v>2.6180860907381106E-4</v>
      </c>
      <c r="K25" s="46">
        <f>Prob!K25*ER!K25</f>
        <v>-6.272101111820412E-5</v>
      </c>
      <c r="L25" s="46">
        <f t="shared" si="0"/>
        <v>3.2452845221025554E-3</v>
      </c>
    </row>
    <row r="26" spans="1:12" x14ac:dyDescent="0.2">
      <c r="A26" s="45">
        <v>20</v>
      </c>
      <c r="B26" s="34">
        <f>Prob!B26*ER!B26</f>
        <v>1.2868573971802589E-4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6">
        <f>Prob!K26*ER!K26</f>
        <v>1.4619916792703695E-3</v>
      </c>
      <c r="L26" s="46">
        <f t="shared" si="0"/>
        <v>6.7331682238297311E-3</v>
      </c>
    </row>
    <row r="27" spans="1:12" x14ac:dyDescent="0.2">
      <c r="A27" s="45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6">
        <f>Prob!K27*ER!K27</f>
        <v>2.0167361086796686E-2</v>
      </c>
      <c r="L27" s="46">
        <f t="shared" si="0"/>
        <v>6.7644690311963893E-2</v>
      </c>
    </row>
    <row r="28" spans="1:12" x14ac:dyDescent="0.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">
      <c r="A29" s="45" t="s">
        <v>1</v>
      </c>
      <c r="B29" s="34">
        <f>Prob!B29*ER!B29</f>
        <v>-3.7233092652879131E-5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6">
        <f>Prob!K29*ER!K29</f>
        <v>9.9757249738836165E-5</v>
      </c>
      <c r="L29" s="46">
        <f t="shared" si="0"/>
        <v>1.827622383113868E-3</v>
      </c>
    </row>
    <row r="30" spans="1:12" x14ac:dyDescent="0.2">
      <c r="A30" s="45">
        <v>2</v>
      </c>
      <c r="B30" s="34">
        <f>Prob!B30*ER!B30</f>
        <v>-1.2144069743887804E-4</v>
      </c>
      <c r="C30" s="34">
        <f>Prob!C30*ER!C30</f>
        <v>-5.230465526578123E-5</v>
      </c>
      <c r="D30" s="34">
        <f>Prob!D30*ER!D30</f>
        <v>-3.760278302218678E-5</v>
      </c>
      <c r="E30" s="34">
        <f>Prob!E30*ER!E30</f>
        <v>-2.0118718375816471E-5</v>
      </c>
      <c r="F30" s="34">
        <f>Prob!F30*ER!F30</f>
        <v>1.2498891474541259E-5</v>
      </c>
      <c r="G30" s="34">
        <f>Prob!G30*ER!G30</f>
        <v>3.5396824712154062E-5</v>
      </c>
      <c r="H30" s="34">
        <f>Prob!H30*ER!H30</f>
        <v>-2.4812946177389394E-5</v>
      </c>
      <c r="I30" s="34">
        <f>Prob!I30*ER!I30</f>
        <v>-7.2523510541741069E-5</v>
      </c>
      <c r="J30" s="34">
        <f>Prob!J30*ER!J30</f>
        <v>-1.0954309474436299E-4</v>
      </c>
      <c r="K30" s="46">
        <f>Prob!K30*ER!K30</f>
        <v>-5.6317333039629315E-4</v>
      </c>
      <c r="L30" s="46">
        <f t="shared" si="0"/>
        <v>-9.5362401977575376E-4</v>
      </c>
    </row>
    <row r="31" spans="1:12" x14ac:dyDescent="0.2">
      <c r="A31" s="45">
        <v>3</v>
      </c>
      <c r="B31" s="34">
        <f>Prob!B31*ER!B31</f>
        <v>-1.3224964571405403E-4</v>
      </c>
      <c r="C31" s="34">
        <f>Prob!C31*ER!C31</f>
        <v>-6.4068783550304918E-5</v>
      </c>
      <c r="D31" s="34">
        <f>Prob!D31*ER!D31</f>
        <v>-4.8835265365775316E-5</v>
      </c>
      <c r="E31" s="34">
        <f>Prob!E31*ER!E31</f>
        <v>-3.3009823130546513E-5</v>
      </c>
      <c r="F31" s="34">
        <f>Prob!F31*ER!F31</f>
        <v>1.5471745234126364E-7</v>
      </c>
      <c r="G31" s="34">
        <f>Prob!G31*ER!G31</f>
        <v>2.2277017029184673E-5</v>
      </c>
      <c r="H31" s="34">
        <f>Prob!H31*ER!H31</f>
        <v>-5.228729043273252E-5</v>
      </c>
      <c r="I31" s="34">
        <f>Prob!I31*ER!I31</f>
        <v>-9.8881147619838314E-5</v>
      </c>
      <c r="J31" s="34">
        <f>Prob!J31*ER!J31</f>
        <v>-1.3320013663983889E-4</v>
      </c>
      <c r="K31" s="46">
        <f>Prob!K31*ER!K31</f>
        <v>-6.3948628514614257E-4</v>
      </c>
      <c r="L31" s="46">
        <f t="shared" si="0"/>
        <v>-1.1795866431177071E-3</v>
      </c>
    </row>
    <row r="32" spans="1:12" x14ac:dyDescent="0.2">
      <c r="A32" s="45">
        <v>4</v>
      </c>
      <c r="B32" s="34">
        <f>Prob!B32*ER!B32</f>
        <v>-1.0409520014412331E-4</v>
      </c>
      <c r="C32" s="34">
        <f>Prob!C32*ER!C32</f>
        <v>-9.92179699991155E-6</v>
      </c>
      <c r="D32" s="34">
        <f>Prob!D32*ER!D32</f>
        <v>3.6437244108578481E-6</v>
      </c>
      <c r="E32" s="34">
        <f>Prob!E32*ER!E32</f>
        <v>1.7653378824400914E-5</v>
      </c>
      <c r="F32" s="34">
        <f>Prob!F32*ER!F32</f>
        <v>3.2227872545759598E-5</v>
      </c>
      <c r="G32" s="34">
        <f>Prob!G32*ER!G32</f>
        <v>5.2325967271835787E-5</v>
      </c>
      <c r="H32" s="34">
        <f>Prob!H32*ER!H32</f>
        <v>3.7418042496014052E-5</v>
      </c>
      <c r="I32" s="34">
        <f>Prob!I32*ER!I32</f>
        <v>-2.7263666663020618E-5</v>
      </c>
      <c r="J32" s="34">
        <f>Prob!J32*ER!J32</f>
        <v>-9.5669700499871469E-5</v>
      </c>
      <c r="K32" s="46">
        <f>Prob!K32*ER!K32</f>
        <v>-5.0717112617678164E-4</v>
      </c>
      <c r="L32" s="46">
        <f t="shared" si="0"/>
        <v>-6.0085250493484039E-4</v>
      </c>
    </row>
    <row r="33" spans="1:12" x14ac:dyDescent="0.2">
      <c r="A33" s="45">
        <v>5</v>
      </c>
      <c r="B33" s="34">
        <f>Prob!B33*ER!B33</f>
        <v>-4.6217255476812023E-5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6">
        <f>Prob!K33*ER!K33</f>
        <v>-7.5611235545443954E-5</v>
      </c>
      <c r="L33" s="46">
        <f t="shared" si="0"/>
        <v>1.3077045743228152E-3</v>
      </c>
    </row>
    <row r="34" spans="1:12" x14ac:dyDescent="0.2">
      <c r="A34" s="45">
        <v>6</v>
      </c>
      <c r="B34" s="34">
        <f>Prob!B34*ER!B34</f>
        <v>-1.4673664276431339E-4</v>
      </c>
      <c r="C34" s="34">
        <f>Prob!C34*ER!C34</f>
        <v>-1.1533454072218394E-4</v>
      </c>
      <c r="D34" s="34">
        <f>Prob!D34*ER!D34</f>
        <v>-9.7670530731550632E-5</v>
      </c>
      <c r="E34" s="34">
        <f>Prob!E34*ER!E34</f>
        <v>-6.6378827425022589E-5</v>
      </c>
      <c r="F34" s="34">
        <f>Prob!F34*ER!F34</f>
        <v>-3.17851373055095E-5</v>
      </c>
      <c r="G34" s="34">
        <f>Prob!G34*ER!G34</f>
        <v>-1.1839631797791804E-5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6">
        <f>Prob!K34*ER!K34</f>
        <v>-7.0702766261394434E-4</v>
      </c>
      <c r="L34" s="46">
        <f t="shared" si="0"/>
        <v>-1.552028230597702E-3</v>
      </c>
    </row>
    <row r="35" spans="1:12" x14ac:dyDescent="0.2">
      <c r="A35" s="45">
        <v>7</v>
      </c>
      <c r="B35" s="34">
        <f>Prob!B35*ER!B35</f>
        <v>-1.6993162288602714E-4</v>
      </c>
      <c r="C35" s="34">
        <f>Prob!C35*ER!C35</f>
        <v>-9.9393197875845567E-5</v>
      </c>
      <c r="D35" s="34">
        <f>Prob!D35*ER!D35</f>
        <v>-6.9715959858410195E-5</v>
      </c>
      <c r="E35" s="34">
        <f>Prob!E35*ER!E35</f>
        <v>-3.9164127450470533E-5</v>
      </c>
      <c r="F35" s="34">
        <f>Prob!F35*ER!F35</f>
        <v>-6.6193544860636189E-6</v>
      </c>
      <c r="G35" s="34">
        <f>Prob!G35*ER!G35</f>
        <v>2.6568358993045852E-5</v>
      </c>
      <c r="H35" s="34">
        <f>Prob!H35*ER!H35</f>
        <v>-6.26379604737622E-5</v>
      </c>
      <c r="I35" s="34">
        <f>Prob!I35*ER!I35</f>
        <v>-1.6928497591591588E-4</v>
      </c>
      <c r="J35" s="34">
        <f>Prob!J35*ER!J35</f>
        <v>-1.961446602113042E-4</v>
      </c>
      <c r="K35" s="46">
        <f>Prob!K35*ER!K35</f>
        <v>-8.4114406850535259E-4</v>
      </c>
      <c r="L35" s="46">
        <f t="shared" si="0"/>
        <v>-1.6274675686701061E-3</v>
      </c>
    </row>
    <row r="36" spans="1:12" x14ac:dyDescent="0.2">
      <c r="A36" s="45">
        <v>8</v>
      </c>
      <c r="B36" s="34">
        <f>Prob!B36*ER!B36</f>
        <v>-1.8143750642069309E-4</v>
      </c>
      <c r="C36" s="34">
        <f>Prob!C36*ER!C36</f>
        <v>-1.98435939998231E-5</v>
      </c>
      <c r="D36" s="34">
        <f>Prob!D36*ER!D36</f>
        <v>7.2874488217156961E-6</v>
      </c>
      <c r="E36" s="34">
        <f>Prob!E36*ER!E36</f>
        <v>3.5306757648801828E-5</v>
      </c>
      <c r="F36" s="34">
        <f>Prob!F36*ER!F36</f>
        <v>6.4455745091519196E-5</v>
      </c>
      <c r="G36" s="34">
        <f>Prob!G36*ER!G36</f>
        <v>1.0465193454367157E-4</v>
      </c>
      <c r="H36" s="34">
        <f>Prob!H36*ER!H36</f>
        <v>7.4836084992028104E-5</v>
      </c>
      <c r="I36" s="34">
        <f>Prob!I36*ER!I36</f>
        <v>-5.4527333326041236E-5</v>
      </c>
      <c r="J36" s="34">
        <f>Prob!J36*ER!J36</f>
        <v>-1.9133940099974294E-4</v>
      </c>
      <c r="K36" s="46">
        <f>Prob!K36*ER!K36</f>
        <v>-9.5678525521784245E-4</v>
      </c>
      <c r="L36" s="46">
        <f t="shared" si="0"/>
        <v>-1.1173951188664065E-3</v>
      </c>
    </row>
    <row r="37" spans="1:12" x14ac:dyDescent="0.2">
      <c r="A37" s="45">
        <v>9</v>
      </c>
      <c r="B37" s="34">
        <f>Prob!B37*ER!B37</f>
        <v>-7.6103059443676218E-5</v>
      </c>
      <c r="C37" s="34">
        <f>Prob!C37*ER!C37</f>
        <v>6.7770630474593102E-5</v>
      </c>
      <c r="D37" s="34">
        <f>Prob!D37*ER!D37</f>
        <v>9.2184525934343911E-5</v>
      </c>
      <c r="E37" s="34">
        <f>Prob!E37*ER!E37</f>
        <v>1.1741545853048866E-4</v>
      </c>
      <c r="F37" s="34">
        <f>Prob!F37*ER!F37</f>
        <v>1.438614986495379E-4</v>
      </c>
      <c r="G37" s="34">
        <f>Prob!G37*ER!G37</f>
        <v>1.784422751545551E-4</v>
      </c>
      <c r="H37" s="34">
        <f>Prob!H37*ER!H37</f>
        <v>1.8186352632523981E-4</v>
      </c>
      <c r="I37" s="34">
        <f>Prob!I37*ER!I37</f>
        <v>8.9555045457799355E-5</v>
      </c>
      <c r="J37" s="34">
        <f>Prob!J37*ER!J37</f>
        <v>-4.7499365919573688E-5</v>
      </c>
      <c r="K37" s="46">
        <f>Prob!K37*ER!K37</f>
        <v>-4.0588298369960657E-4</v>
      </c>
      <c r="L37" s="46">
        <f t="shared" si="0"/>
        <v>3.4160755146370127E-4</v>
      </c>
    </row>
    <row r="38" spans="1:12" ht="16" thickBot="1" x14ac:dyDescent="0.25">
      <c r="A38" s="67">
        <v>10</v>
      </c>
      <c r="B38" s="68">
        <f>Prob!B38*ER!B38</f>
        <v>1.0294859177442071E-3</v>
      </c>
      <c r="C38" s="68">
        <f>Prob!C38*ER!C38</f>
        <v>4.6608034608417942E-3</v>
      </c>
      <c r="D38" s="68">
        <f>Prob!D38*ER!D38</f>
        <v>4.7357093800745121E-3</v>
      </c>
      <c r="E38" s="68">
        <f>Prob!E38*ER!E38</f>
        <v>4.8142009063127681E-3</v>
      </c>
      <c r="F38" s="68">
        <f>Prob!F38*ER!F38</f>
        <v>4.8820004779812475E-3</v>
      </c>
      <c r="G38" s="68">
        <f>Prob!G38*ER!G38</f>
        <v>5.1266896325632754E-3</v>
      </c>
      <c r="H38" s="68">
        <f>Prob!H38*ER!H38</f>
        <v>5.631149578786891E-3</v>
      </c>
      <c r="I38" s="68">
        <f>Prob!I38*ER!I38</f>
        <v>5.766519141024295E-3</v>
      </c>
      <c r="J38" s="68">
        <f>Prob!J38*ER!J38</f>
        <v>5.5228538611458997E-3</v>
      </c>
      <c r="K38" s="147">
        <f>Prob!K38*ER!K38</f>
        <v>1.1695933434162956E-2</v>
      </c>
      <c r="L38" s="147">
        <f t="shared" si="0"/>
        <v>5.3865345790637849E-2</v>
      </c>
    </row>
    <row r="39" spans="1:12" ht="16" thickBot="1" x14ac:dyDescent="0.25">
      <c r="A39" s="148" t="s">
        <v>2</v>
      </c>
      <c r="B39" s="69">
        <f>SUM(B3:B17,B19:B27,B29:B38)</f>
        <v>-1.1840110332996083E-2</v>
      </c>
      <c r="C39" s="69">
        <f t="shared" ref="C39:K39" si="1">SUM(C3:C17,C19:C27,C29:C38)</f>
        <v>6.851795453574532E-3</v>
      </c>
      <c r="D39" s="69">
        <f t="shared" si="1"/>
        <v>9.2415113986752777E-3</v>
      </c>
      <c r="E39" s="69">
        <f t="shared" si="1"/>
        <v>1.1758073777338968E-2</v>
      </c>
      <c r="F39" s="69">
        <f t="shared" si="1"/>
        <v>1.4488875177794293E-2</v>
      </c>
      <c r="G39" s="69">
        <f t="shared" si="1"/>
        <v>1.7172296293429704E-2</v>
      </c>
      <c r="H39" s="69">
        <f t="shared" si="1"/>
        <v>1.0912640666032539E-2</v>
      </c>
      <c r="I39" s="69">
        <f t="shared" si="1"/>
        <v>4.418871278493882E-3</v>
      </c>
      <c r="J39" s="69">
        <f t="shared" si="1"/>
        <v>-3.1475527690042445E-3</v>
      </c>
      <c r="K39" s="70">
        <f t="shared" si="1"/>
        <v>-4.6975271445113077E-2</v>
      </c>
      <c r="L39" s="70">
        <f>SUM(L3:L17,L19:L27,L29:L38)</f>
        <v>1.2881129498225806E-2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14" t="s">
        <v>11</v>
      </c>
      <c r="G41" s="315"/>
      <c r="H41" s="39">
        <f>Blackjack!C3*ER!C40</f>
        <v>-4.5096460207975919E-2</v>
      </c>
    </row>
    <row r="42" spans="1:12" ht="16" thickBot="1" x14ac:dyDescent="0.25"/>
    <row r="43" spans="1:12" x14ac:dyDescent="0.2">
      <c r="B43" s="319" t="s">
        <v>16</v>
      </c>
      <c r="C43" s="320"/>
      <c r="D43" s="114">
        <f>SUM(B3:K17)</f>
        <v>-0.11217053664848446</v>
      </c>
      <c r="F43" s="144" t="s">
        <v>29</v>
      </c>
      <c r="G43" s="145"/>
      <c r="H43" s="50">
        <f>H41</f>
        <v>-4.5096460207975919E-2</v>
      </c>
      <c r="J43" s="316">
        <f>SUM(D43:D45)</f>
        <v>1.2881129498225841E-2</v>
      </c>
      <c r="K43" s="111" t="s">
        <v>69</v>
      </c>
      <c r="L43" s="114">
        <f>SUMIF($B$3:$K$17,"&gt;0")+SUMIF($B$19:$K$27,"&gt;0")+ SUMIF($B$29:$K$38,"&gt;0")</f>
        <v>0.18546216804632948</v>
      </c>
    </row>
    <row r="44" spans="1:12" ht="16" thickBot="1" x14ac:dyDescent="0.25">
      <c r="B44" s="321" t="s">
        <v>17</v>
      </c>
      <c r="C44" s="322"/>
      <c r="D44" s="146">
        <f>SUM(B19:K27)</f>
        <v>7.4740339933134586E-2</v>
      </c>
      <c r="F44" s="133" t="s">
        <v>115</v>
      </c>
      <c r="G44" s="134"/>
      <c r="H44" s="50">
        <f>IF(Rules!$B$15=Rules!$E$15,'Three 7 Cards'!$D$2,IF(Rules!$B$15=Rules!$F$15,2*'Three 7 Cards'!$D$2,0))</f>
        <v>0</v>
      </c>
      <c r="J44" s="317"/>
      <c r="K44" s="112" t="s">
        <v>70</v>
      </c>
      <c r="L44" s="115">
        <f>SUMIF($B$3:$K$17,"&lt;0")+SUMIF($B$19:$K$27,"&lt;0")+ SUMIF($B$29:$K$38,"&lt;0")+H41</f>
        <v>-0.2176774987560795</v>
      </c>
    </row>
    <row r="45" spans="1:12" ht="16" thickBot="1" x14ac:dyDescent="0.25">
      <c r="B45" s="323" t="s">
        <v>18</v>
      </c>
      <c r="C45" s="324"/>
      <c r="D45" s="115">
        <f>SUM(B29:K38)</f>
        <v>5.0311326213575716E-2</v>
      </c>
      <c r="F45" s="133" t="s">
        <v>112</v>
      </c>
      <c r="G45" s="134"/>
      <c r="H45" s="50">
        <f>IF(Rules!$B$16=Rules!$E$16,'5 Cards'!$G$122,IF(Rules!$B$16=Rules!$F$16,2*'5 Cards'!$G$122,0))</f>
        <v>0</v>
      </c>
      <c r="J45" s="318"/>
      <c r="K45" s="112" t="s">
        <v>2</v>
      </c>
      <c r="L45" s="115">
        <f>L43+L44</f>
        <v>-3.2215330709750023E-2</v>
      </c>
    </row>
    <row r="46" spans="1:12" ht="16" thickBot="1" x14ac:dyDescent="0.25">
      <c r="F46" s="142" t="s">
        <v>19</v>
      </c>
      <c r="G46" s="143"/>
      <c r="H46" s="51">
        <f>SUM(D43:D45,H43:H45)</f>
        <v>-3.2215330709750079E-2</v>
      </c>
    </row>
    <row r="47" spans="1:12" ht="16" thickBot="1" x14ac:dyDescent="0.25">
      <c r="H47" s="92">
        <f>H46</f>
        <v>-3.2215330709750079E-2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1033" priority="15" operator="containsText" text="R">
      <formula>NOT(ISERROR(SEARCH("R",B3)))</formula>
    </cfRule>
    <cfRule type="containsText" dxfId="1032" priority="16" operator="containsText" text="D">
      <formula>NOT(ISERROR(SEARCH("D",B3)))</formula>
    </cfRule>
    <cfRule type="containsText" dxfId="1031" priority="17" operator="containsText" text="S">
      <formula>NOT(ISERROR(SEARCH("S",B3)))</formula>
    </cfRule>
    <cfRule type="containsText" dxfId="1030" priority="18" operator="containsText" text="H">
      <formula>NOT(ISERROR(SEARCH("H",B3)))</formula>
    </cfRule>
  </conditionalFormatting>
  <conditionalFormatting sqref="B29:K40 B19:L27 L29:L39 B3:L17">
    <cfRule type="containsText" dxfId="1029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P23" sqref="P23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 x14ac:dyDescent="0.25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 x14ac:dyDescent="0.25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29" t="s">
        <v>184</v>
      </c>
      <c r="N2" s="330"/>
      <c r="O2" s="330"/>
      <c r="P2" s="330"/>
      <c r="Q2" s="330"/>
      <c r="R2" s="331"/>
    </row>
    <row r="3" spans="1:19" ht="16" customHeight="1" thickBot="1" x14ac:dyDescent="0.25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35"/>
      <c r="N3" s="336"/>
      <c r="O3" s="213" t="s">
        <v>8</v>
      </c>
      <c r="P3" s="214" t="s">
        <v>37</v>
      </c>
      <c r="Q3" s="214" t="s">
        <v>36</v>
      </c>
      <c r="R3" s="215" t="s">
        <v>38</v>
      </c>
    </row>
    <row r="4" spans="1:19" x14ac:dyDescent="0.2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37" t="s">
        <v>35</v>
      </c>
      <c r="N4" s="338"/>
      <c r="O4" s="216">
        <f>-(SUMIF(B2:K16,"&lt;0")+SUMIF(B18:K26,"&lt;0")+SUMIF(B28:K37,"&lt;0")+C46)</f>
        <v>0.64167921291271257</v>
      </c>
      <c r="P4" s="217">
        <f>O4</f>
        <v>0.64167921291271257</v>
      </c>
      <c r="Q4" s="218">
        <f>O4</f>
        <v>0.64167921291271257</v>
      </c>
      <c r="R4" s="219">
        <f>ROUND(Q4*10,0)</f>
        <v>6</v>
      </c>
    </row>
    <row r="5" spans="1:19" ht="16" thickBot="1" x14ac:dyDescent="0.25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39" t="s">
        <v>34</v>
      </c>
      <c r="N5" s="340"/>
      <c r="O5" s="220">
        <f>SUMIF(B2:K16,"&gt;0")+SUMIF(B18:K26,"&gt;0")+SUMIF(B28:K37,"&gt;0")</f>
        <v>0.35832078708728698</v>
      </c>
      <c r="P5" s="221">
        <f>O5</f>
        <v>0.35832078708728698</v>
      </c>
      <c r="Q5" s="222">
        <f>O5</f>
        <v>0.35832078708728698</v>
      </c>
      <c r="R5" s="223">
        <f>ROUND(Q5*10,0)</f>
        <v>4</v>
      </c>
    </row>
    <row r="6" spans="1:19" ht="16" thickBot="1" x14ac:dyDescent="0.25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25" t="s">
        <v>2</v>
      </c>
      <c r="N6" s="326"/>
      <c r="O6" s="224">
        <f>SUM(O4:O5)</f>
        <v>0.99999999999999956</v>
      </c>
      <c r="P6" s="225">
        <f>O6</f>
        <v>0.99999999999999956</v>
      </c>
      <c r="Q6" s="226">
        <f>O6</f>
        <v>0.99999999999999956</v>
      </c>
      <c r="R6" s="227">
        <f>ROUND(Q6*10,0)</f>
        <v>10</v>
      </c>
    </row>
    <row r="7" spans="1:19" ht="16" thickBot="1" x14ac:dyDescent="0.25">
      <c r="A7" s="45">
        <v>10</v>
      </c>
      <c r="B7" s="34">
        <f>IF(EV!B8&lt;0,-Prob!B8,Prob!B8)</f>
        <v>-1.890690101887189E-3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-1.0083680543398343E-2</v>
      </c>
      <c r="M7" s="327" t="s">
        <v>39</v>
      </c>
      <c r="N7" s="328"/>
      <c r="O7" s="228">
        <f>O5-O4</f>
        <v>-0.28335842582542559</v>
      </c>
      <c r="P7" s="229">
        <f>P5-P4</f>
        <v>-0.28335842582542559</v>
      </c>
      <c r="Q7" s="230"/>
      <c r="R7" s="231"/>
    </row>
    <row r="8" spans="1:19" x14ac:dyDescent="0.2">
      <c r="A8" s="45">
        <v>11</v>
      </c>
      <c r="B8" s="34">
        <f>IF(EV!B9&lt;0,-Prob!B9,Prob!B9)</f>
        <v>-2.5209201358495858E-3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 x14ac:dyDescent="0.2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 x14ac:dyDescent="0.2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 x14ac:dyDescent="0.25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 x14ac:dyDescent="0.25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32" t="s">
        <v>180</v>
      </c>
      <c r="N12" s="333"/>
      <c r="O12" s="333"/>
      <c r="P12" s="333"/>
      <c r="Q12" s="333"/>
      <c r="R12" s="333"/>
      <c r="S12" s="334"/>
    </row>
    <row r="13" spans="1:19" ht="16" thickBot="1" x14ac:dyDescent="0.25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57" t="s">
        <v>19</v>
      </c>
      <c r="N13" s="185">
        <f>P13+R13</f>
        <v>-3.2215330709750023E-2</v>
      </c>
      <c r="O13" s="253" t="s">
        <v>46</v>
      </c>
      <c r="P13" s="258">
        <f>EV!L43</f>
        <v>0.18546216804632948</v>
      </c>
      <c r="Q13" s="253" t="s">
        <v>181</v>
      </c>
      <c r="R13" s="185">
        <f>EV!L44</f>
        <v>-0.2176774987560795</v>
      </c>
      <c r="S13" s="201"/>
    </row>
    <row r="14" spans="1:19" ht="16" thickBot="1" x14ac:dyDescent="0.25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183"/>
      <c r="N14" s="186"/>
      <c r="O14" s="255" t="s">
        <v>47</v>
      </c>
      <c r="P14" s="181">
        <f>ER!N3</f>
        <v>58.639357099169686</v>
      </c>
      <c r="Q14" s="255" t="s">
        <v>155</v>
      </c>
      <c r="R14" s="182">
        <f>ER!N4</f>
        <v>-42.077013244733351</v>
      </c>
      <c r="S14" s="256" t="s">
        <v>2</v>
      </c>
    </row>
    <row r="15" spans="1:19" ht="16" thickBot="1" x14ac:dyDescent="0.25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178"/>
      <c r="N15" s="187"/>
      <c r="O15" s="254" t="s">
        <v>41</v>
      </c>
      <c r="P15" s="251">
        <f>(N13-R14)/(P14-R14)</f>
        <v>0.41745743785701095</v>
      </c>
      <c r="Q15" s="254" t="s">
        <v>42</v>
      </c>
      <c r="R15" s="249">
        <f>(N13-P14)/(R14-P14)</f>
        <v>0.58254256214298905</v>
      </c>
      <c r="S15" s="206">
        <f>P15+R15</f>
        <v>1</v>
      </c>
    </row>
    <row r="16" spans="1:19" ht="16" thickBot="1" x14ac:dyDescent="0.25">
      <c r="A16" s="45">
        <v>19</v>
      </c>
      <c r="B16" s="34">
        <f>IF(EV!B17&lt;0,-Prob!B17,Prob!B17)</f>
        <v>-2.5209201358495853E-3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-1.344490739119779E-2</v>
      </c>
      <c r="M16" s="179"/>
      <c r="N16" s="188"/>
      <c r="O16" s="253" t="s">
        <v>41</v>
      </c>
      <c r="P16" s="252">
        <f>P15</f>
        <v>0.41745743785701095</v>
      </c>
      <c r="Q16" s="253" t="s">
        <v>42</v>
      </c>
      <c r="R16" s="250">
        <f>R15</f>
        <v>0.58254256214298905</v>
      </c>
      <c r="S16" s="207">
        <f>P16+R16</f>
        <v>1</v>
      </c>
    </row>
    <row r="17" spans="1:11" x14ac:dyDescent="0.2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1" x14ac:dyDescent="0.2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5">
        <v>19</v>
      </c>
      <c r="B24" s="34">
        <f>IF(EV!B25&lt;0,-Prob!B25,Prob!B25)</f>
        <v>-6.3023003396239633E-4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-3.3612268477994475E-3</v>
      </c>
    </row>
    <row r="25" spans="1:11" x14ac:dyDescent="0.2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1" x14ac:dyDescent="0.2">
      <c r="A28" s="45" t="s">
        <v>1</v>
      </c>
      <c r="B28" s="34">
        <f>IF(EV!B29&lt;0,-Prob!B29,Prob!B29)</f>
        <v>-3.1511501698119817E-4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-4.5516613563950848E-4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-4.5516613563950848E-4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5">
        <v>5</v>
      </c>
      <c r="B32" s="34">
        <f>IF(EV!B33&lt;0,-Prob!B33,Prob!B33)</f>
        <v>-3.1511501698119817E-4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-1.6806134238997238E-3</v>
      </c>
    </row>
    <row r="33" spans="1:12" x14ac:dyDescent="0.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-4.5516613563950848E-4</v>
      </c>
      <c r="G33" s="34">
        <f>IF(EV!G34&lt;0,-Prob!G34,Prob!G34)</f>
        <v>-4.5516613563950848E-4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-4.5516613563950848E-4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 x14ac:dyDescent="0.25">
      <c r="A38" s="74" t="s">
        <v>40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 x14ac:dyDescent="0.2">
      <c r="A39" s="78" t="s">
        <v>42</v>
      </c>
      <c r="B39" s="82">
        <f>-(SUMIF(B28:B37,"&lt;0")+SUMIF(B18:B26,"&lt;0") +SUMIF(B2:B16,"&lt;0"))</f>
        <v>4.5061447428311328E-2</v>
      </c>
      <c r="C39" s="83">
        <f t="shared" ref="C39:K39" si="0">-(SUMIF(C28:C37,"&lt;0")+SUMIF(C18:C26,"&lt;0") +SUMIF(C2:C16,"&lt;0"))</f>
        <v>4.3695949021392816E-2</v>
      </c>
      <c r="D39" s="83">
        <f t="shared" si="0"/>
        <v>3.823395539371871E-2</v>
      </c>
      <c r="E39" s="83">
        <f t="shared" si="0"/>
        <v>3.823395539371871E-2</v>
      </c>
      <c r="F39" s="83">
        <f t="shared" si="0"/>
        <v>3.7323623122439697E-2</v>
      </c>
      <c r="G39" s="83">
        <f t="shared" si="0"/>
        <v>3.0496131087847073E-2</v>
      </c>
      <c r="H39" s="83">
        <f t="shared" si="0"/>
        <v>3.914428766499773E-2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0.22520219880256301</v>
      </c>
    </row>
    <row r="40" spans="1:12" ht="16" thickBot="1" x14ac:dyDescent="0.25">
      <c r="A40" s="78" t="s">
        <v>43</v>
      </c>
      <c r="B40" s="85">
        <f>B39</f>
        <v>4.5061447428311328E-2</v>
      </c>
      <c r="C40" s="86">
        <f t="shared" ref="C40:K40" si="1">C39</f>
        <v>4.3695949021392816E-2</v>
      </c>
      <c r="D40" s="86">
        <f t="shared" si="1"/>
        <v>3.823395539371871E-2</v>
      </c>
      <c r="E40" s="86">
        <f t="shared" si="1"/>
        <v>3.823395539371871E-2</v>
      </c>
      <c r="F40" s="86">
        <f t="shared" si="1"/>
        <v>3.7323623122439697E-2</v>
      </c>
      <c r="G40" s="86">
        <f t="shared" si="1"/>
        <v>3.0496131087847073E-2</v>
      </c>
      <c r="H40" s="86">
        <f t="shared" si="1"/>
        <v>3.914428766499773E-2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0.22520219880256301</v>
      </c>
    </row>
    <row r="41" spans="1:12" x14ac:dyDescent="0.2">
      <c r="A41" s="78" t="s">
        <v>41</v>
      </c>
      <c r="B41" s="82">
        <f>SUMIF(B28:B37,"&gt;0")+SUMIF(B18:B26,"&gt;0") +SUMIF(B2:B16,"&gt;0")</f>
        <v>8.1929904415111512E-3</v>
      </c>
      <c r="C41" s="83">
        <f t="shared" ref="C41:K41" si="2">SUMIF(C28:C37,"&gt;0")+SUMIF(C18:C26,"&gt;0") +SUMIF(C2:C16,"&gt;0")</f>
        <v>3.3227127901684125E-2</v>
      </c>
      <c r="D41" s="83">
        <f t="shared" si="2"/>
        <v>3.8689121529358217E-2</v>
      </c>
      <c r="E41" s="83">
        <f t="shared" si="2"/>
        <v>3.8689121529358217E-2</v>
      </c>
      <c r="F41" s="83">
        <f t="shared" si="2"/>
        <v>3.9599453800637244E-2</v>
      </c>
      <c r="G41" s="83">
        <f t="shared" si="2"/>
        <v>4.6426945835229869E-2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5.8821469836490337E-2</v>
      </c>
    </row>
    <row r="42" spans="1:12" ht="16" thickBot="1" x14ac:dyDescent="0.25">
      <c r="A42" s="78" t="s">
        <v>44</v>
      </c>
      <c r="B42" s="85">
        <f>B41</f>
        <v>8.1929904415111512E-3</v>
      </c>
      <c r="C42" s="86">
        <f t="shared" ref="C42:K42" si="3">C41</f>
        <v>3.3227127901684125E-2</v>
      </c>
      <c r="D42" s="86">
        <f t="shared" si="3"/>
        <v>3.8689121529358217E-2</v>
      </c>
      <c r="E42" s="86">
        <f t="shared" si="3"/>
        <v>3.8689121529358217E-2</v>
      </c>
      <c r="F42" s="86">
        <f t="shared" si="3"/>
        <v>3.9599453800637244E-2</v>
      </c>
      <c r="G42" s="86">
        <f t="shared" si="3"/>
        <v>4.6426945835229869E-2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5.8821469836490337E-2</v>
      </c>
    </row>
    <row r="43" spans="1:12" ht="16" thickBot="1" x14ac:dyDescent="0.25">
      <c r="A43" s="78" t="s">
        <v>2</v>
      </c>
      <c r="B43" s="89">
        <f>B41+B39</f>
        <v>5.325443786982248E-2</v>
      </c>
      <c r="C43" s="75">
        <f t="shared" ref="C43:K43" si="4">C41+C39</f>
        <v>7.6923076923076941E-2</v>
      </c>
      <c r="D43" s="75">
        <f t="shared" si="4"/>
        <v>7.6923076923076927E-2</v>
      </c>
      <c r="E43" s="75">
        <f t="shared" si="4"/>
        <v>7.6923076923076927E-2</v>
      </c>
      <c r="F43" s="75">
        <f t="shared" si="4"/>
        <v>7.6923076923076941E-2</v>
      </c>
      <c r="G43" s="75">
        <f t="shared" si="4"/>
        <v>7.6923076923076941E-2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 x14ac:dyDescent="0.25">
      <c r="A44" s="88" t="s">
        <v>45</v>
      </c>
      <c r="B44" s="91">
        <f>B41-B39</f>
        <v>-3.6868456986800177E-2</v>
      </c>
      <c r="C44" s="69">
        <f t="shared" ref="C44:K44" si="5">C41-C39</f>
        <v>-1.0468821119708691E-2</v>
      </c>
      <c r="D44" s="69">
        <f t="shared" si="5"/>
        <v>4.5516613563950648E-4</v>
      </c>
      <c r="E44" s="69">
        <f t="shared" si="5"/>
        <v>4.5516613563950648E-4</v>
      </c>
      <c r="F44" s="69">
        <f t="shared" si="5"/>
        <v>2.2758306781975463E-3</v>
      </c>
      <c r="G44" s="69">
        <f t="shared" si="5"/>
        <v>1.5930814747382796E-2</v>
      </c>
      <c r="H44" s="69">
        <f t="shared" si="5"/>
        <v>-1.3654984069185264E-3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-0.16638072896607267</v>
      </c>
      <c r="L44" s="77">
        <f>SUM(B44:K44)</f>
        <v>-0.23602114771891747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14" t="s">
        <v>11</v>
      </c>
      <c r="B46" s="315"/>
      <c r="C46" s="34">
        <f>IF(EV!H41&lt;0,-Prob!C40,Prob!C40)</f>
        <v>-4.7337278106508882E-2</v>
      </c>
    </row>
    <row r="47" spans="1:12" x14ac:dyDescent="0.2">
      <c r="C47" s="73">
        <f>SUM(B44:K44)</f>
        <v>-0.23602114771891747</v>
      </c>
    </row>
    <row r="48" spans="1:12" x14ac:dyDescent="0.2">
      <c r="B48" s="40" t="s">
        <v>2</v>
      </c>
      <c r="C48" s="73">
        <f>C47+C46</f>
        <v>-0.28335842582542636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1028" priority="19" operator="containsText" text="R">
      <formula>NOT(ISERROR(SEARCH("R",B2)))</formula>
    </cfRule>
    <cfRule type="containsText" dxfId="1027" priority="20" operator="containsText" text="D">
      <formula>NOT(ISERROR(SEARCH("D",B2)))</formula>
    </cfRule>
    <cfRule type="containsText" dxfId="1026" priority="21" operator="containsText" text="S">
      <formula>NOT(ISERROR(SEARCH("S",B2)))</formula>
    </cfRule>
    <cfRule type="containsText" dxfId="1025" priority="22" operator="containsText" text="H">
      <formula>NOT(ISERROR(SEARCH("H",B2)))</formula>
    </cfRule>
  </conditionalFormatting>
  <conditionalFormatting sqref="B2:K16 B18:K26 B28:K37 B39:K45">
    <cfRule type="containsText" dxfId="1024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1023" priority="8" operator="containsText" text="R">
      <formula>NOT(ISERROR(SEARCH("R",C46)))</formula>
    </cfRule>
    <cfRule type="containsText" dxfId="1022" priority="9" operator="containsText" text="D">
      <formula>NOT(ISERROR(SEARCH("D",C46)))</formula>
    </cfRule>
    <cfRule type="containsText" dxfId="1021" priority="10" operator="containsText" text="S">
      <formula>NOT(ISERROR(SEARCH("S",C46)))</formula>
    </cfRule>
    <cfRule type="containsText" dxfId="1020" priority="11" operator="containsText" text="H">
      <formula>NOT(ISERROR(SEARCH("H",C46)))</formula>
    </cfRule>
  </conditionalFormatting>
  <conditionalFormatting sqref="C46">
    <cfRule type="containsText" dxfId="1019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63"/>
  <sheetViews>
    <sheetView zoomScale="90" zoomScaleNormal="90" zoomScalePageLayoutView="90" workbookViewId="0">
      <selection activeCell="K3" sqref="K3"/>
    </sheetView>
  </sheetViews>
  <sheetFormatPr baseColWidth="10" defaultColWidth="8.83203125" defaultRowHeight="16" x14ac:dyDescent="0.2"/>
  <cols>
    <col min="2" max="3" width="8.83203125" customWidth="1"/>
    <col min="18" max="18" width="8.6640625" style="166" customWidth="1"/>
    <col min="21" max="21" width="8.6640625" style="166" customWidth="1"/>
  </cols>
  <sheetData>
    <row r="2" spans="1:23" x14ac:dyDescent="0.2">
      <c r="A2" t="s">
        <v>40</v>
      </c>
      <c r="B2" s="135" t="s">
        <v>125</v>
      </c>
      <c r="C2" s="136">
        <f>'WL Prob'!P15</f>
        <v>0.41745743785701095</v>
      </c>
      <c r="D2" s="135" t="s">
        <v>126</v>
      </c>
      <c r="E2" s="136">
        <f>'WL Prob'!R15</f>
        <v>0.58254256214298905</v>
      </c>
      <c r="F2" t="s">
        <v>47</v>
      </c>
      <c r="G2">
        <f>EV!L43</f>
        <v>0.18546216804632948</v>
      </c>
      <c r="H2" t="s">
        <v>155</v>
      </c>
      <c r="I2">
        <f>EV!L44</f>
        <v>-0.2176774987560795</v>
      </c>
      <c r="J2" s="135" t="s">
        <v>127</v>
      </c>
      <c r="K2" s="136">
        <f>I2+G2</f>
        <v>-3.2215330709750023E-2</v>
      </c>
    </row>
    <row r="4" spans="1:23" x14ac:dyDescent="0.2">
      <c r="A4" s="341" t="s">
        <v>128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</row>
    <row r="5" spans="1:23" x14ac:dyDescent="0.2">
      <c r="A5" t="s">
        <v>123</v>
      </c>
      <c r="B5">
        <f>$C$2</f>
        <v>0.41745743785701095</v>
      </c>
      <c r="C5" t="s">
        <v>124</v>
      </c>
      <c r="D5">
        <f>$E$2</f>
        <v>0.58254256214298905</v>
      </c>
      <c r="E5" t="s">
        <v>47</v>
      </c>
      <c r="F5">
        <f>G2</f>
        <v>0.18546216804632948</v>
      </c>
      <c r="G5" t="s">
        <v>155</v>
      </c>
      <c r="H5">
        <f>I2</f>
        <v>-0.2176774987560795</v>
      </c>
      <c r="I5" t="s">
        <v>48</v>
      </c>
      <c r="J5">
        <f>K2</f>
        <v>-3.2215330709750023E-2</v>
      </c>
    </row>
    <row r="6" spans="1:23" ht="17" thickBot="1" x14ac:dyDescent="0.25"/>
    <row r="7" spans="1:23" ht="17" thickBot="1" x14ac:dyDescent="0.25">
      <c r="A7" s="102"/>
      <c r="B7" s="102">
        <v>1</v>
      </c>
      <c r="C7" s="140">
        <v>0</v>
      </c>
      <c r="D7" s="137">
        <v>-1</v>
      </c>
      <c r="E7" s="117">
        <v>-2</v>
      </c>
      <c r="F7" s="117">
        <v>-3</v>
      </c>
      <c r="G7" s="117">
        <v>-4</v>
      </c>
      <c r="H7" s="117">
        <v>-5</v>
      </c>
      <c r="I7" s="117">
        <v>-6</v>
      </c>
      <c r="J7" s="117">
        <v>-7</v>
      </c>
      <c r="K7" s="117">
        <v>-8</v>
      </c>
      <c r="L7" s="117">
        <v>-9</v>
      </c>
      <c r="M7" s="104">
        <v>-10</v>
      </c>
      <c r="N7" t="s">
        <v>135</v>
      </c>
      <c r="R7" s="169" t="s">
        <v>49</v>
      </c>
      <c r="S7" s="150" t="s">
        <v>130</v>
      </c>
      <c r="T7" s="151" t="s">
        <v>136</v>
      </c>
      <c r="U7" s="167" t="s">
        <v>48</v>
      </c>
      <c r="V7" s="161" t="s">
        <v>47</v>
      </c>
      <c r="W7" s="154" t="s">
        <v>155</v>
      </c>
    </row>
    <row r="8" spans="1:23" x14ac:dyDescent="0.2">
      <c r="A8" s="100">
        <v>1</v>
      </c>
      <c r="B8" s="95">
        <f>C8*B5</f>
        <v>0.41745743785701095</v>
      </c>
      <c r="C8" s="95">
        <v>1</v>
      </c>
      <c r="D8" s="138">
        <f>C8*D5</f>
        <v>0.58254256214298905</v>
      </c>
      <c r="E8" s="109"/>
      <c r="F8" s="109"/>
      <c r="G8" s="109"/>
      <c r="H8" s="109"/>
      <c r="I8" s="109"/>
      <c r="J8" s="109"/>
      <c r="K8" s="109"/>
      <c r="L8" s="109"/>
      <c r="M8" s="57"/>
      <c r="N8">
        <f>B8+D8</f>
        <v>1</v>
      </c>
      <c r="R8" s="170">
        <f>B8-D8</f>
        <v>-0.1650851242859781</v>
      </c>
      <c r="S8" s="108">
        <f>SUM(C8)*B5*F5</f>
        <v>7.7422561492027114E-2</v>
      </c>
      <c r="T8" s="57">
        <f>SUM(C8)*D5*H5</f>
        <v>-0.12680640784624386</v>
      </c>
      <c r="U8" s="245">
        <f>S8+T8</f>
        <v>-4.9383846354216748E-2</v>
      </c>
      <c r="V8" s="108">
        <f>(U8+W8*D8)/B8</f>
        <v>1.2771570642643377</v>
      </c>
      <c r="W8" s="57">
        <f>COUNT(D8:M8)</f>
        <v>1</v>
      </c>
    </row>
    <row r="9" spans="1:23" x14ac:dyDescent="0.2">
      <c r="A9" s="98">
        <v>2</v>
      </c>
      <c r="B9" s="97">
        <f>C9*B5</f>
        <v>0.55159898998453116</v>
      </c>
      <c r="C9" s="97">
        <f>1/(1-B5*D5)</f>
        <v>1.3213298889010736</v>
      </c>
      <c r="D9" s="130">
        <f>C9*D5</f>
        <v>0.76973089891654245</v>
      </c>
      <c r="E9" s="1">
        <f>D9*D5</f>
        <v>0.44840101001546873</v>
      </c>
      <c r="F9" s="1"/>
      <c r="G9" s="1"/>
      <c r="H9" s="1"/>
      <c r="I9" s="1"/>
      <c r="J9" s="1"/>
      <c r="K9" s="1"/>
      <c r="L9" s="1"/>
      <c r="M9" s="9"/>
      <c r="N9">
        <f>B9+E9</f>
        <v>0.99999999999999989</v>
      </c>
      <c r="R9" s="171">
        <f>B9-E9</f>
        <v>0.10319797996906244</v>
      </c>
      <c r="S9" s="93">
        <f>SUM(C9:D9)*B5*F5</f>
        <v>0.16189528242837606</v>
      </c>
      <c r="T9" s="9">
        <f>SUM(C9:D9)*D5*H5</f>
        <v>-0.26515990709128862</v>
      </c>
      <c r="U9" s="246">
        <f>S9+T9</f>
        <v>-0.10326462466291256</v>
      </c>
      <c r="V9" s="93">
        <f>(U9+W9*E9)/B9</f>
        <v>1.4386128505969138</v>
      </c>
      <c r="W9" s="9">
        <f>COUNT(D9:M9)</f>
        <v>2</v>
      </c>
    </row>
    <row r="10" spans="1:23" x14ac:dyDescent="0.2">
      <c r="A10" s="98">
        <v>3</v>
      </c>
      <c r="B10" s="97">
        <f>C10*B5</f>
        <v>0.61511098106420115</v>
      </c>
      <c r="C10" s="97">
        <f>1/(1-D5*B5/(1-D5*B5))</f>
        <v>1.473469928387984</v>
      </c>
      <c r="D10" s="130">
        <f>C10*D5*C9</f>
        <v>1.1341753325045765</v>
      </c>
      <c r="E10" s="1">
        <f>D10*(D5)</f>
        <v>0.66070540411659251</v>
      </c>
      <c r="F10" s="1">
        <f>E10*D5</f>
        <v>0.3848890189357988</v>
      </c>
      <c r="G10" s="1"/>
      <c r="H10" s="1"/>
      <c r="I10" s="1"/>
      <c r="J10" s="1"/>
      <c r="K10" s="1"/>
      <c r="L10" s="1"/>
      <c r="M10" s="9"/>
      <c r="N10">
        <f>B10+F10</f>
        <v>1</v>
      </c>
      <c r="R10" s="171">
        <f>B10-F10</f>
        <v>0.23022196212840235</v>
      </c>
      <c r="S10" s="93">
        <f>SUM(C10:E10)*B5*F5</f>
        <v>0.25304408033917886</v>
      </c>
      <c r="T10" s="9">
        <f>SUM(C10:E10)*D5*H5</f>
        <v>-0.41444780741169307</v>
      </c>
      <c r="U10" s="246">
        <f t="shared" ref="U10:U17" si="0">S10+T10</f>
        <v>-0.16140372707251421</v>
      </c>
      <c r="V10" s="93">
        <f>(U10+W10*F10)/B10</f>
        <v>1.6147709280306477</v>
      </c>
      <c r="W10" s="9">
        <f t="shared" ref="W10:W17" si="1">COUNT(D10:M10)</f>
        <v>3</v>
      </c>
    </row>
    <row r="11" spans="1:23" x14ac:dyDescent="0.2">
      <c r="A11" s="98">
        <v>4</v>
      </c>
      <c r="B11" s="97">
        <f>C11*B5</f>
        <v>0.65057794408728342</v>
      </c>
      <c r="C11" s="97">
        <f>1/(1-D5*B5/(1-D5*B5/(1-D5*B5)))</f>
        <v>1.5584293992388316</v>
      </c>
      <c r="D11" s="130">
        <f>C11*D5*C10</f>
        <v>1.3376918186090787</v>
      </c>
      <c r="E11" s="1">
        <f>D11*D5*C9</f>
        <v>1.0296627260112707</v>
      </c>
      <c r="F11" s="1">
        <f>E11*D5</f>
        <v>0.59982236255374022</v>
      </c>
      <c r="G11" s="1">
        <f>F11*D5</f>
        <v>0.34942205591271674</v>
      </c>
      <c r="H11" s="1"/>
      <c r="I11" s="1"/>
      <c r="J11" s="1"/>
      <c r="K11" s="1"/>
      <c r="L11" s="1"/>
      <c r="M11" s="9"/>
      <c r="N11">
        <f>B11+G11</f>
        <v>1.0000000000000002</v>
      </c>
      <c r="R11" s="171">
        <f>B11-G11</f>
        <v>0.30115588817456668</v>
      </c>
      <c r="S11" s="93">
        <f>SUM(C11:F11)*B5*F5</f>
        <v>0.3503840325469601</v>
      </c>
      <c r="T11" s="9">
        <f>SUM(C11:F11)*D5*H5</f>
        <v>-0.57387587904253012</v>
      </c>
      <c r="U11" s="246">
        <f t="shared" si="0"/>
        <v>-0.22349184649557002</v>
      </c>
      <c r="V11" s="93">
        <f>(U11+W11*G11)/B11</f>
        <v>1.8048511908939899</v>
      </c>
      <c r="W11" s="9">
        <f t="shared" si="1"/>
        <v>4</v>
      </c>
    </row>
    <row r="12" spans="1:23" x14ac:dyDescent="0.2">
      <c r="A12" s="98">
        <v>5</v>
      </c>
      <c r="B12" s="97">
        <f>C12*B5</f>
        <v>0.6722226627886746</v>
      </c>
      <c r="C12" s="97">
        <f>1/(1-D5*B5/(1-D5*B5/(1-D5*B5/(1-D5*B5))))</f>
        <v>1.6102783225985466</v>
      </c>
      <c r="D12" s="130">
        <f>C12*D5*C11</f>
        <v>1.4618935183700847</v>
      </c>
      <c r="E12" s="1">
        <f>D12*D5*C10</f>
        <v>1.254829381527607</v>
      </c>
      <c r="F12" s="1">
        <f>E12*D5*C9</f>
        <v>0.96588094783013401</v>
      </c>
      <c r="G12" s="1">
        <f>F12*D5</f>
        <v>0.56266676207406496</v>
      </c>
      <c r="H12" s="1">
        <f>G12*D5</f>
        <v>0.3277773372113254</v>
      </c>
      <c r="I12" s="1"/>
      <c r="J12" s="1"/>
      <c r="K12" s="1"/>
      <c r="L12" s="1"/>
      <c r="M12" s="9"/>
      <c r="N12">
        <f>B12+H12</f>
        <v>1</v>
      </c>
      <c r="R12" s="171">
        <f>B12-H12</f>
        <v>0.34444532557734919</v>
      </c>
      <c r="S12" s="93">
        <f>SUM(C12:G12)*B5*F5</f>
        <v>0.45335159728834656</v>
      </c>
      <c r="T12" s="9">
        <f>SUM(C12:G12)*D5*H5</f>
        <v>-0.74252112608560772</v>
      </c>
      <c r="U12" s="246">
        <f t="shared" si="0"/>
        <v>-0.28916952879726115</v>
      </c>
      <c r="V12" s="93">
        <f>(U12+W12*H12)/B12</f>
        <v>2.007842389097902</v>
      </c>
      <c r="W12" s="9">
        <f t="shared" si="1"/>
        <v>5</v>
      </c>
    </row>
    <row r="13" spans="1:23" x14ac:dyDescent="0.2">
      <c r="A13" s="98">
        <v>6</v>
      </c>
      <c r="B13" s="97">
        <f>C13*B5</f>
        <v>0.68615430611814143</v>
      </c>
      <c r="C13" s="97">
        <f>1/(1-D5*B5/(1-D5*B5/(1-D5*B5/(1-D5*B5/(1-D5*B5)))))</f>
        <v>1.6436509303570379</v>
      </c>
      <c r="D13" s="130">
        <f>C13*D5*C12</f>
        <v>1.5418360579731811</v>
      </c>
      <c r="E13" s="1">
        <f>D13*D5*C11</f>
        <v>1.3997581088360793</v>
      </c>
      <c r="F13" s="1">
        <f>E13*D5*C10</f>
        <v>1.201494896808466</v>
      </c>
      <c r="G13" s="1">
        <f>F13*D5*C9</f>
        <v>0.92482774696401893</v>
      </c>
      <c r="H13" s="1">
        <f>G13*D5</f>
        <v>0.5387515252573476</v>
      </c>
      <c r="I13" s="1">
        <f>H13*D5</f>
        <v>0.31384569388185857</v>
      </c>
      <c r="J13" s="1"/>
      <c r="K13" s="1"/>
      <c r="L13" s="1"/>
      <c r="M13" s="9"/>
      <c r="N13">
        <f>B13+I13</f>
        <v>1</v>
      </c>
      <c r="R13" s="171">
        <f>B13-I13</f>
        <v>0.37230861223628287</v>
      </c>
      <c r="S13" s="93">
        <f>SUM(C13:H13)*B5*F5</f>
        <v>0.56133828922389883</v>
      </c>
      <c r="T13" s="9">
        <f>SUM(C13:H13)*D5*H5</f>
        <v>-0.91938694188474612</v>
      </c>
      <c r="U13" s="246">
        <f t="shared" si="0"/>
        <v>-0.35804865266084729</v>
      </c>
      <c r="V13" s="93">
        <f>(U13+W13*I13)/B13</f>
        <v>2.2225693215539284</v>
      </c>
      <c r="W13" s="9">
        <f t="shared" si="1"/>
        <v>6</v>
      </c>
    </row>
    <row r="14" spans="1:23" x14ac:dyDescent="0.2">
      <c r="A14" s="98">
        <v>7</v>
      </c>
      <c r="B14" s="97">
        <f>C14*B5</f>
        <v>0.69543100907771715</v>
      </c>
      <c r="C14" s="97">
        <f>1/(1-D5*B5/(1-D5*B5/(1-D5*B5/(1-D5*B5/(1-D5*B5/(1-D5*B5))))))</f>
        <v>1.6658728435829637</v>
      </c>
      <c r="D14" s="130">
        <f>C14*D5*C13</f>
        <v>1.595067624141939</v>
      </c>
      <c r="E14" s="1">
        <f>D14*D5*C12</f>
        <v>1.4962622126058316</v>
      </c>
      <c r="F14" s="1">
        <f>E14*D5*C11</f>
        <v>1.3583838270024793</v>
      </c>
      <c r="G14" s="1">
        <f>F14*D5*C10</f>
        <v>1.1659809118074995</v>
      </c>
      <c r="H14" s="1">
        <f>G14*D5*C9</f>
        <v>0.8974915353651165</v>
      </c>
      <c r="I14" s="1">
        <f>H14*D5</f>
        <v>0.52282701851323998</v>
      </c>
      <c r="J14" s="1">
        <f>I14*D5</f>
        <v>0.30456899092228279</v>
      </c>
      <c r="K14" s="1"/>
      <c r="L14" s="1"/>
      <c r="M14" s="9"/>
      <c r="N14">
        <f>B14+J14</f>
        <v>1</v>
      </c>
      <c r="R14" s="171">
        <f>B14-J14</f>
        <v>0.39086201815543437</v>
      </c>
      <c r="S14" s="93">
        <f>SUM(C14:I14)*B5*F5</f>
        <v>0.67372230184267712</v>
      </c>
      <c r="T14" s="9">
        <f>SUM(C14:I14)*D5*H5</f>
        <v>-1.103454901726165</v>
      </c>
      <c r="U14" s="246">
        <f t="shared" si="0"/>
        <v>-0.42973259988348789</v>
      </c>
      <c r="V14" s="93">
        <f>(U14+W14*J14)/B14</f>
        <v>2.447763062550262</v>
      </c>
      <c r="W14" s="9">
        <f t="shared" si="1"/>
        <v>7</v>
      </c>
    </row>
    <row r="15" spans="1:23" x14ac:dyDescent="0.2">
      <c r="A15" s="98">
        <v>8</v>
      </c>
      <c r="B15" s="97">
        <f>C15*B5</f>
        <v>0.70174850040046388</v>
      </c>
      <c r="C15" s="97">
        <f>1/(1-D5*B5/(1-D5*B5/(1-D5*B5/(1-D5*B5/(1-D5*B5/(1-D5*B5/(1-D5*B5)))))))</f>
        <v>1.6810061020899318</v>
      </c>
      <c r="D15" s="130">
        <f>C15*D5*C14</f>
        <v>1.6313186455266673</v>
      </c>
      <c r="E15" s="1">
        <f>D15*D5*C13</f>
        <v>1.561982096149753</v>
      </c>
      <c r="F15" s="1">
        <f>E15*D5*C12</f>
        <v>1.4652261458149636</v>
      </c>
      <c r="G15" s="1">
        <f>F15*D5*C11</f>
        <v>1.3302076886042091</v>
      </c>
      <c r="H15" s="1">
        <f>G15*D5*C10</f>
        <v>1.1417956713123112</v>
      </c>
      <c r="I15" s="1">
        <f>H15*D5*C9</f>
        <v>0.87887540845824241</v>
      </c>
      <c r="J15" s="1">
        <f>I15*D5</f>
        <v>0.5119823322477306</v>
      </c>
      <c r="K15" s="1">
        <f>J15*D5</f>
        <v>0.29825149959953606</v>
      </c>
      <c r="L15" s="1"/>
      <c r="M15" s="9"/>
      <c r="N15">
        <f>B15+K15</f>
        <v>1</v>
      </c>
      <c r="R15" s="171">
        <f>B15-K15</f>
        <v>0.40349700080092782</v>
      </c>
      <c r="S15" s="93">
        <f>SUM(C15:J15)*B5*F5</f>
        <v>0.78989548381469843</v>
      </c>
      <c r="T15" s="9">
        <f>SUM(C15:J15)*D5*H5</f>
        <v>-1.2937289460104922</v>
      </c>
      <c r="U15" s="246">
        <f t="shared" si="0"/>
        <v>-0.50383346219579372</v>
      </c>
      <c r="V15" s="93">
        <f>(U15+W15*K15)/B15</f>
        <v>2.682126906614549</v>
      </c>
      <c r="W15" s="9">
        <f t="shared" si="1"/>
        <v>8</v>
      </c>
    </row>
    <row r="16" spans="1:23" x14ac:dyDescent="0.2">
      <c r="A16" s="98">
        <v>9</v>
      </c>
      <c r="B16" s="97">
        <f>C16*B5</f>
        <v>0.70611685802635826</v>
      </c>
      <c r="C16" s="97">
        <f>1/(1-D5*B5/(1-D5*B5/(1-D5*B5/(1-D5*B5/(1-D5*B5/(1-D5*B5/(1-D5*B5/(1-D5*B5))))))))</f>
        <v>1.691470300903394</v>
      </c>
      <c r="D16" s="130">
        <f>C16*D5*C15</f>
        <v>1.6563851501916202</v>
      </c>
      <c r="E16" s="1">
        <f>D16*D5*C14</f>
        <v>1.6074254437992044</v>
      </c>
      <c r="F16" s="1">
        <f>E16*D5*C13</f>
        <v>1.5391044361534483</v>
      </c>
      <c r="G16" s="1">
        <f>F16*D5*C12</f>
        <v>1.4437656273722239</v>
      </c>
      <c r="H16" s="1">
        <f>G16*D5*C11</f>
        <v>1.3107247257076613</v>
      </c>
      <c r="I16" s="1">
        <f>H16*D5*C10</f>
        <v>1.1250722957896819</v>
      </c>
      <c r="J16" s="1">
        <f>I16*D5*C9</f>
        <v>0.86600290958429005</v>
      </c>
      <c r="K16" s="1">
        <f>J16*D5</f>
        <v>0.50448355377251564</v>
      </c>
      <c r="L16" s="1">
        <f>K16*D5</f>
        <v>0.29388314197364163</v>
      </c>
      <c r="M16" s="9"/>
      <c r="N16">
        <f>B16+L16</f>
        <v>0.99999999999999989</v>
      </c>
      <c r="R16" s="171">
        <f>B16-L16</f>
        <v>0.41223371605271664</v>
      </c>
      <c r="S16" s="93">
        <f>SUM(C16:K16)*B5*F5</f>
        <v>0.9092841978734657</v>
      </c>
      <c r="T16" s="9">
        <f>SUM(C16:K16)*D5*H5</f>
        <v>-1.4892695439372821</v>
      </c>
      <c r="U16" s="246">
        <f t="shared" si="0"/>
        <v>-0.57998534606381635</v>
      </c>
      <c r="V16" s="93">
        <f>(U16+W16*L16)/B16</f>
        <v>2.9243926245730227</v>
      </c>
      <c r="W16" s="9">
        <f t="shared" si="1"/>
        <v>9</v>
      </c>
    </row>
    <row r="17" spans="1:23" ht="17" thickBot="1" x14ac:dyDescent="0.25">
      <c r="A17" s="99">
        <v>10</v>
      </c>
      <c r="B17" s="131">
        <f>C17*B5</f>
        <v>0.70916938988868072</v>
      </c>
      <c r="C17" s="131">
        <f>1/(1-D5*B5/(1-D5*B5/(1-D5*B5/(1-D5*B5/(1-D5*B5/(1-D5*B5/(1-D5*B5/(1-D5*B5/(1-D5*B5)))))))))</f>
        <v>1.6987824999098184</v>
      </c>
      <c r="D17" s="139">
        <f>C17*D5*C16</f>
        <v>1.6739011849853973</v>
      </c>
      <c r="E17" s="110">
        <f>D17*D5*C15</f>
        <v>1.6391804598739586</v>
      </c>
      <c r="F17" s="110">
        <f>E17*D5*C14</f>
        <v>1.5907292925652379</v>
      </c>
      <c r="G17" s="110">
        <f>F17*D5*C13</f>
        <v>1.5231179277091433</v>
      </c>
      <c r="H17" s="110">
        <f>G17*D5*C12</f>
        <v>1.4287693926454454</v>
      </c>
      <c r="I17" s="110">
        <f>H17*D5*C11</f>
        <v>1.2971103721891615</v>
      </c>
      <c r="J17" s="110">
        <f>I17*D5*C10</f>
        <v>1.1133862936350487</v>
      </c>
      <c r="K17" s="110">
        <f>J17*D5*C9</f>
        <v>0.85700783264106362</v>
      </c>
      <c r="L17" s="110">
        <f>K17*D5</f>
        <v>0.49924353860333515</v>
      </c>
      <c r="M17" s="10">
        <f>L17*D5</f>
        <v>0.29083061011131911</v>
      </c>
      <c r="N17">
        <f>B17+M17</f>
        <v>0.99999999999999978</v>
      </c>
      <c r="R17" s="172">
        <f>B17-M17</f>
        <v>0.41833877977736161</v>
      </c>
      <c r="S17" s="94">
        <f>SUM(C17:L17)*B5*F5</f>
        <v>1.0313636555114831</v>
      </c>
      <c r="T17" s="10">
        <f>SUM(C17:L17)*D5*H5</f>
        <v>-1.6892171715611608</v>
      </c>
      <c r="U17" s="247">
        <f t="shared" si="0"/>
        <v>-0.65785351604967768</v>
      </c>
      <c r="V17" s="94">
        <f>(U17+W17*M17)/B17</f>
        <v>3.1733639623345415</v>
      </c>
      <c r="W17" s="10">
        <f t="shared" si="1"/>
        <v>10</v>
      </c>
    </row>
    <row r="20" spans="1:23" x14ac:dyDescent="0.2">
      <c r="A20" s="341" t="s">
        <v>129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</row>
    <row r="21" spans="1:23" x14ac:dyDescent="0.2">
      <c r="A21" t="s">
        <v>123</v>
      </c>
      <c r="B21">
        <f>$C$2</f>
        <v>0.41745743785701095</v>
      </c>
      <c r="C21" t="s">
        <v>124</v>
      </c>
      <c r="D21">
        <f>$E$2</f>
        <v>0.58254256214298905</v>
      </c>
      <c r="E21" t="s">
        <v>47</v>
      </c>
      <c r="F21">
        <f>G2</f>
        <v>0.18546216804632948</v>
      </c>
      <c r="G21" t="s">
        <v>155</v>
      </c>
      <c r="H21">
        <f>I2</f>
        <v>-0.2176774987560795</v>
      </c>
      <c r="I21" t="s">
        <v>48</v>
      </c>
      <c r="J21">
        <f>K2</f>
        <v>-3.2215330709750023E-2</v>
      </c>
    </row>
    <row r="22" spans="1:23" ht="17" thickBot="1" x14ac:dyDescent="0.25"/>
    <row r="23" spans="1:23" ht="17" thickBot="1" x14ac:dyDescent="0.25">
      <c r="A23" s="102"/>
      <c r="B23" s="116">
        <v>2</v>
      </c>
      <c r="C23" s="102">
        <v>1</v>
      </c>
      <c r="D23" s="140">
        <v>0</v>
      </c>
      <c r="E23" s="137">
        <v>-1</v>
      </c>
      <c r="F23" s="117">
        <v>-2</v>
      </c>
      <c r="G23" s="117">
        <v>-3</v>
      </c>
      <c r="H23" s="117">
        <v>-4</v>
      </c>
      <c r="I23" s="117">
        <v>-5</v>
      </c>
      <c r="J23" s="117">
        <v>-6</v>
      </c>
      <c r="K23" s="117">
        <v>-7</v>
      </c>
      <c r="L23" s="117">
        <v>-8</v>
      </c>
      <c r="M23" s="117">
        <v>-9</v>
      </c>
      <c r="N23" s="104">
        <v>-10</v>
      </c>
      <c r="O23" t="s">
        <v>135</v>
      </c>
      <c r="R23" s="169" t="s">
        <v>49</v>
      </c>
      <c r="S23" s="150" t="s">
        <v>130</v>
      </c>
      <c r="T23" s="151" t="s">
        <v>136</v>
      </c>
      <c r="U23" s="168" t="s">
        <v>48</v>
      </c>
      <c r="V23" s="161" t="s">
        <v>47</v>
      </c>
      <c r="W23" s="154" t="s">
        <v>155</v>
      </c>
    </row>
    <row r="24" spans="1:23" x14ac:dyDescent="0.2">
      <c r="A24" s="100">
        <v>1</v>
      </c>
      <c r="B24" s="108">
        <f>C24*B21</f>
        <v>0.23026910108345741</v>
      </c>
      <c r="C24" s="95">
        <f>D24*B21</f>
        <v>0.55159898998453116</v>
      </c>
      <c r="D24" s="95">
        <f>1/(1-B21*D21)</f>
        <v>1.3213298889010736</v>
      </c>
      <c r="E24" s="138">
        <f>D24*D21</f>
        <v>0.76973089891654245</v>
      </c>
      <c r="F24" s="109"/>
      <c r="G24" s="109"/>
      <c r="H24" s="109"/>
      <c r="I24" s="109"/>
      <c r="J24" s="109"/>
      <c r="K24" s="109"/>
      <c r="L24" s="109"/>
      <c r="M24" s="109"/>
      <c r="N24" s="57"/>
      <c r="O24">
        <f>E24+B24</f>
        <v>0.99999999999999989</v>
      </c>
      <c r="R24" s="173">
        <f>B24-E24</f>
        <v>-0.53946179783308501</v>
      </c>
      <c r="S24" s="108">
        <f>SUM(C24:D24)*B21*F21</f>
        <v>0.14500695129571411</v>
      </c>
      <c r="T24" s="57">
        <f>SUM(C24:D24)*D21*H21</f>
        <v>-0.23749938328297626</v>
      </c>
      <c r="U24" s="245">
        <f>S24+T24</f>
        <v>-9.2492431987262147E-2</v>
      </c>
      <c r="V24" s="108">
        <f>(U24+W24*D24)/B24</f>
        <v>5.3365277891471798</v>
      </c>
      <c r="W24" s="57">
        <f>COUNT(E24:N24)</f>
        <v>1</v>
      </c>
    </row>
    <row r="25" spans="1:23" x14ac:dyDescent="0.2">
      <c r="A25" s="98">
        <v>2</v>
      </c>
      <c r="B25" s="93">
        <f>C25*B21</f>
        <v>0.33929459588340749</v>
      </c>
      <c r="C25" s="97">
        <f>D25*B21</f>
        <v>0.81276452427139145</v>
      </c>
      <c r="D25" s="97">
        <f>1/(1-B21*D21*2)</f>
        <v>1.9469398567759679</v>
      </c>
      <c r="E25" s="130">
        <f>D25*D21</f>
        <v>1.1341753325045765</v>
      </c>
      <c r="F25" s="1">
        <f>E25*D21</f>
        <v>0.66070540411659251</v>
      </c>
      <c r="G25" s="1"/>
      <c r="H25" s="1"/>
      <c r="I25" s="1"/>
      <c r="J25" s="1"/>
      <c r="K25" s="1"/>
      <c r="L25" s="1"/>
      <c r="M25" s="1"/>
      <c r="N25" s="9"/>
      <c r="O25">
        <f>F25+B25</f>
        <v>1</v>
      </c>
      <c r="R25" s="174">
        <f>B25-F25</f>
        <v>-0.32141080823318502</v>
      </c>
      <c r="S25" s="93">
        <f>SUM(C25:E25)*B21*F21</f>
        <v>0.30147414156503166</v>
      </c>
      <c r="T25" s="9">
        <f>SUM(C25:E25)*D21*H21</f>
        <v>-0.493768899060882</v>
      </c>
      <c r="U25" s="246">
        <f>S25+T25</f>
        <v>-0.19229475749585034</v>
      </c>
      <c r="V25" s="93">
        <f>(U25+W25*E25)/B25</f>
        <v>6.1187414497656833</v>
      </c>
      <c r="W25" s="9">
        <f>COUNT(E25:N25)</f>
        <v>2</v>
      </c>
    </row>
    <row r="26" spans="1:23" x14ac:dyDescent="0.2">
      <c r="A26" s="98">
        <v>3</v>
      </c>
      <c r="B26" s="93">
        <f>C26*B21</f>
        <v>0.40017763744625984</v>
      </c>
      <c r="C26" s="97">
        <f>D26*B21</f>
        <v>0.95860703668509106</v>
      </c>
      <c r="D26" s="97">
        <f>1/(1-B21*D21-D21*B21/(1-D21*B21))</f>
        <v>2.2962988552941694</v>
      </c>
      <c r="E26" s="130">
        <f>D26*D21/(1-B21*D21)</f>
        <v>1.7675321820666086</v>
      </c>
      <c r="F26" s="1">
        <f>E26*(D21)</f>
        <v>1.0296627260112703</v>
      </c>
      <c r="G26" s="1">
        <f>F26*D21</f>
        <v>0.59982236255373989</v>
      </c>
      <c r="H26" s="1"/>
      <c r="I26" s="1"/>
      <c r="J26" s="1"/>
      <c r="K26" s="1"/>
      <c r="L26" s="1"/>
      <c r="M26" s="1"/>
      <c r="N26" s="9"/>
      <c r="O26">
        <f>G26+B26</f>
        <v>0.99999999999999978</v>
      </c>
      <c r="R26" s="174">
        <f>B26-G26</f>
        <v>-0.19964472510748005</v>
      </c>
      <c r="S26" s="93">
        <f>SUM(C26:F26)*B21*F21</f>
        <v>0.46856914634837038</v>
      </c>
      <c r="T26" s="9">
        <f>SUM(C26:F26)*D21*H21</f>
        <v>-0.76744516237862448</v>
      </c>
      <c r="U26" s="246">
        <f t="shared" ref="U26:U33" si="2">S26+T26</f>
        <v>-0.2988760160302541</v>
      </c>
      <c r="V26" s="93">
        <f>(U26+W26*F26)/B26</f>
        <v>6.972184102561811</v>
      </c>
      <c r="W26" s="9">
        <f>COUNT(E26:N26)</f>
        <v>3</v>
      </c>
    </row>
    <row r="27" spans="1:23" x14ac:dyDescent="0.2">
      <c r="A27" s="98">
        <v>4</v>
      </c>
      <c r="B27" s="93">
        <f>C27*B21</f>
        <v>0.43733323792593504</v>
      </c>
      <c r="C27" s="97">
        <f>D27*B21</f>
        <v>1.0476115605244816</v>
      </c>
      <c r="D27" s="97">
        <f>1/(1-B21*D21-D21*B21/(1-D21*B21/(1-D21*B21)))</f>
        <v>2.5095050788945659</v>
      </c>
      <c r="E27" s="130">
        <f>D27*D21/(1-D21*B21/(1-D21*B21))</f>
        <v>2.154056137823626</v>
      </c>
      <c r="F27" s="1">
        <f>E27*D21/(1-B21*D21)</f>
        <v>1.6580435672836753</v>
      </c>
      <c r="G27" s="1">
        <f>F27*D21</f>
        <v>0.96588094783013367</v>
      </c>
      <c r="H27" s="1">
        <f>G27*D21</f>
        <v>0.56266676207406485</v>
      </c>
      <c r="I27" s="1"/>
      <c r="J27" s="1"/>
      <c r="K27" s="1"/>
      <c r="L27" s="1"/>
      <c r="M27" s="1"/>
      <c r="N27" s="9"/>
      <c r="O27">
        <f>H27+B27</f>
        <v>0.99999999999999989</v>
      </c>
      <c r="R27" s="174">
        <f>B27-H27</f>
        <v>-0.12533352414812982</v>
      </c>
      <c r="S27" s="93">
        <f>SUM(C27:G27)*B21*F21</f>
        <v>0.64532458265949832</v>
      </c>
      <c r="T27" s="9">
        <f>SUM(C27:G27)*D21*H21</f>
        <v>-1.056943746692679</v>
      </c>
      <c r="U27" s="246">
        <f t="shared" si="2"/>
        <v>-0.41161916403318066</v>
      </c>
      <c r="V27" s="93">
        <f>(U27+W27*G27)/B27</f>
        <v>7.8930763270089122</v>
      </c>
      <c r="W27" s="9">
        <f t="shared" ref="W27:W33" si="3">COUNT(E27:N27)</f>
        <v>4</v>
      </c>
    </row>
    <row r="28" spans="1:23" x14ac:dyDescent="0.2">
      <c r="A28" s="98">
        <v>5</v>
      </c>
      <c r="B28" s="93">
        <f>C28*B21</f>
        <v>0.46124847474265235</v>
      </c>
      <c r="C28" s="97">
        <f>D28*B21</f>
        <v>1.1048994050996903</v>
      </c>
      <c r="D28" s="97">
        <f>1/(1-B21*D21-D21*B21/(1-D21*B21/(1-D21*B21/(1-D21*B21))))</f>
        <v>2.6467354630728717</v>
      </c>
      <c r="E28" s="130">
        <f>D28*D21/(1-D21*B21/(1-D21*B21/(1-D21*B21)))</f>
        <v>2.4028426415519131</v>
      </c>
      <c r="F28" s="1">
        <f>E28*D21/(1-B21*D21/(1-B21*D21))</f>
        <v>2.0625014803871977</v>
      </c>
      <c r="G28" s="1">
        <f>F28*D21/(1-B21*D21)</f>
        <v>1.5875711185151373</v>
      </c>
      <c r="H28" s="1">
        <f>G28*D21</f>
        <v>0.92482774696401904</v>
      </c>
      <c r="I28" s="1">
        <f>H28*D21</f>
        <v>0.5387515252573476</v>
      </c>
      <c r="J28" s="1"/>
      <c r="K28" s="1"/>
      <c r="L28" s="1"/>
      <c r="M28" s="1"/>
      <c r="N28" s="9"/>
      <c r="O28">
        <f>I28+B28</f>
        <v>1</v>
      </c>
      <c r="R28" s="174">
        <f>B28-I28</f>
        <v>-7.7503050514695249E-2</v>
      </c>
      <c r="S28" s="93">
        <f>SUM(C28:H28)*B21*F21</f>
        <v>0.830695916795675</v>
      </c>
      <c r="T28" s="9">
        <f>SUM(C28:H28)*D21*H21</f>
        <v>-1.3605538642925081</v>
      </c>
      <c r="U28" s="246">
        <f t="shared" si="2"/>
        <v>-0.52985794749683313</v>
      </c>
      <c r="V28" s="93">
        <f>(U28+W28*H28)/B28</f>
        <v>8.8765188646046216</v>
      </c>
      <c r="W28" s="9">
        <f t="shared" si="3"/>
        <v>5</v>
      </c>
    </row>
    <row r="29" spans="1:23" x14ac:dyDescent="0.2">
      <c r="A29" s="98">
        <v>6</v>
      </c>
      <c r="B29" s="93">
        <f>C29*B21</f>
        <v>0.47717298148675991</v>
      </c>
      <c r="C29" s="97">
        <f>D29*B21</f>
        <v>1.1430458250697235</v>
      </c>
      <c r="D29" s="97">
        <f>1/(1-B21*D21-D21*B21/(1-D21*B21/(1-D21*B21/(1-D21*B21/(1-D21*B21)))))</f>
        <v>2.7381134492116623</v>
      </c>
      <c r="E29" s="130">
        <f>D29*D21/(1-B21*D21/(1-D21*B21/(1-D21*B21/(1-D21*B21))))</f>
        <v>2.56850281823453</v>
      </c>
      <c r="F29" s="1">
        <f>E29*D21/(1-D21*B21/(1-D21*B21/(1-D21*B21)))</f>
        <v>2.3318190210950704</v>
      </c>
      <c r="G29" s="1">
        <f>F29*D21/(1-D21*B21/(1-D21*B21))</f>
        <v>2.0015377202967386</v>
      </c>
      <c r="H29" s="1">
        <f>G29*D21/(1-D21*B21)</f>
        <v>1.5406454286593758</v>
      </c>
      <c r="I29" s="1">
        <f>H29*D21</f>
        <v>0.89749153536511639</v>
      </c>
      <c r="J29" s="1">
        <f>I29*D21</f>
        <v>0.52282701851323998</v>
      </c>
      <c r="K29" s="1"/>
      <c r="L29" s="1"/>
      <c r="M29" s="1"/>
      <c r="N29" s="9"/>
      <c r="O29">
        <f>J29+B29</f>
        <v>0.99999999999999989</v>
      </c>
      <c r="R29" s="174">
        <f>B29-J29</f>
        <v>-4.5654037026480077E-2</v>
      </c>
      <c r="S29" s="93">
        <f>SUM(C29:I29)*B21*F21</f>
        <v>1.0236157477610779</v>
      </c>
      <c r="T29" s="9">
        <f>SUM(C29:I29)*D21*H21</f>
        <v>-1.6765272743113244</v>
      </c>
      <c r="U29" s="246">
        <f t="shared" si="2"/>
        <v>-0.65291152655024653</v>
      </c>
      <c r="V29" s="93">
        <f>(U29+W29*I29)/B29</f>
        <v>9.9168181544909029</v>
      </c>
      <c r="W29" s="9">
        <f t="shared" si="3"/>
        <v>6</v>
      </c>
    </row>
    <row r="30" spans="1:23" x14ac:dyDescent="0.2">
      <c r="A30" s="98">
        <v>7</v>
      </c>
      <c r="B30" s="93">
        <f>C30*B21</f>
        <v>0.4880176677522694</v>
      </c>
      <c r="C30" s="97">
        <f>D30*B21</f>
        <v>1.1690237698422012</v>
      </c>
      <c r="D30" s="97">
        <f>1/(1-B21*D21-D21*B21/(1-D21*B21/(1-D21*B21/(1-D21*B21/(1-D21*B21/(1-D21*B21))))))</f>
        <v>2.8003424153688683</v>
      </c>
      <c r="E30" s="130">
        <f>D30*D21/(1-D21*B21/(1-D21*B21/(1-D21*B21/(1-D21*B21/(1-D21*B21)))))</f>
        <v>2.6813184094286893</v>
      </c>
      <c r="F30" s="1">
        <f>E30*D21/(1-D21*B21/(1-D21*B21/(1-D21*B21/(1-D21*B21))))</f>
        <v>2.5152259097169858</v>
      </c>
      <c r="G30" s="1">
        <f>F30*D21/(1-D21*B21/(1-D21*B21/(1-D21*B21)))</f>
        <v>2.2834515021714421</v>
      </c>
      <c r="H30" s="1">
        <f>G30*D21/(1-D21*B21/(1-D21*B21))</f>
        <v>1.9600210276687893</v>
      </c>
      <c r="I30" s="1">
        <f>H30*D21/(1-D21*B21)</f>
        <v>1.5086887475228228</v>
      </c>
      <c r="J30" s="1">
        <f>I30*D21</f>
        <v>0.8788754084582423</v>
      </c>
      <c r="K30" s="1">
        <f>J30*D21</f>
        <v>0.51198233224773049</v>
      </c>
      <c r="L30" s="1"/>
      <c r="M30" s="1"/>
      <c r="N30" s="9"/>
      <c r="O30">
        <f>K30+B30</f>
        <v>0.99999999999999989</v>
      </c>
      <c r="R30" s="174">
        <f>B30-K30</f>
        <v>-2.3964664495461085E-2</v>
      </c>
      <c r="S30" s="93">
        <f>SUM(C30:J30)*B21*F21</f>
        <v>1.2230401152178643</v>
      </c>
      <c r="T30" s="9">
        <f>SUM(C30:J30)*D21*H21</f>
        <v>-2.0031541281232927</v>
      </c>
      <c r="U30" s="246">
        <f t="shared" si="2"/>
        <v>-0.78011401290542848</v>
      </c>
      <c r="V30" s="93">
        <f>(U30+W30*J30)/B30</f>
        <v>11.007826563011328</v>
      </c>
      <c r="W30" s="9">
        <f t="shared" si="3"/>
        <v>7</v>
      </c>
    </row>
    <row r="31" spans="1:23" x14ac:dyDescent="0.2">
      <c r="A31" s="98">
        <v>8</v>
      </c>
      <c r="B31" s="93">
        <f>C31*B21</f>
        <v>0.49551644622748425</v>
      </c>
      <c r="C31" s="97">
        <f>D31*B21</f>
        <v>1.1869867471308784</v>
      </c>
      <c r="D31" s="97">
        <f>1/(1-B21*D21-D21*B21/(1-D21*B21/(1-D21*B21/(1-D21*B21/(1-D21*B21/(1-D21*B21/(1-D21*B21)))))))</f>
        <v>2.8433718973224988</v>
      </c>
      <c r="E31" s="130">
        <f>D31*D21/(1-D21*B21/(1-D21*B21/(1-D21*B21/(1-D21*B21/(1-D21*B21/(1-D21*B21))))))</f>
        <v>2.759327040218309</v>
      </c>
      <c r="F31" s="1">
        <f>E31*D21/(1-D21*B21/(1-D21*B21/(1-D21*B21/(1-D21*B21/(1-D21*B21)))))</f>
        <v>2.6420463261801368</v>
      </c>
      <c r="G31" s="1">
        <f>F31*D21/(1-D21*B21/(1-D21*B21/(1-D21*B21/(1-D21*B21))))</f>
        <v>2.4783865097531566</v>
      </c>
      <c r="H31" s="1">
        <f>G31*D21/(1-D21*B21/(1-D21*B21/(1-D21*B21)))</f>
        <v>2.2500067993073696</v>
      </c>
      <c r="I31" s="1">
        <f>H31*D21/(1-D21*B21/(1-D21*B21))</f>
        <v>1.9313134677248276</v>
      </c>
      <c r="J31" s="1">
        <f>I31*D21/(1-D21*B21)</f>
        <v>1.4865916516014566</v>
      </c>
      <c r="K31" s="1">
        <f>J31*D21</f>
        <v>0.86600290958429027</v>
      </c>
      <c r="L31" s="1">
        <f>K31*D21</f>
        <v>0.50448355377251575</v>
      </c>
      <c r="M31" s="1"/>
      <c r="N31" s="9"/>
      <c r="O31">
        <f>L31+B31</f>
        <v>1</v>
      </c>
      <c r="R31" s="174">
        <f>B31-L31</f>
        <v>-8.9671075450314941E-3</v>
      </c>
      <c r="S31" s="93">
        <f>SUM(C31:K31)*B21*F21</f>
        <v>1.4279843061102417</v>
      </c>
      <c r="T31" s="9">
        <f>SUM(C31:K31)*D21*H21</f>
        <v>-2.3388216151605632</v>
      </c>
      <c r="U31" s="246">
        <f t="shared" si="2"/>
        <v>-0.91083730905032145</v>
      </c>
      <c r="V31" s="93">
        <f>(U31+W31*K31)/B31</f>
        <v>12.143261870387244</v>
      </c>
      <c r="W31" s="9">
        <f t="shared" si="3"/>
        <v>8</v>
      </c>
    </row>
    <row r="32" spans="1:23" x14ac:dyDescent="0.2">
      <c r="A32" s="98">
        <v>9</v>
      </c>
      <c r="B32" s="93">
        <f>C32*B21</f>
        <v>0.50075646139666463</v>
      </c>
      <c r="C32" s="97">
        <f>D32*B21</f>
        <v>1.1995389613064831</v>
      </c>
      <c r="D32" s="97">
        <f>1/(1-B21*D21-D21*B21/(1-D21*B21/(1-D21*B21/(1-D21*B21/(1-D21*B21/(1-D21*B21/(1-D21*B21/(1-D21*B21))))))))</f>
        <v>2.8734401462918804</v>
      </c>
      <c r="E32" s="130">
        <f>D32*D21/(1-D21*B21/(1-D21*B21/(1-D21*B21/(1-D21*B21/(1-D21*B21/(1-D21*B21/(1-D21*B21)))))))</f>
        <v>2.8138381062560205</v>
      </c>
      <c r="F32" s="1">
        <f>E32*D21/(1-D21*B21/(1-D21*B21/(1-D21*B21/(1-D21*B21/(1-D21*B21/(1-D21*B21))))))</f>
        <v>2.7306662138358613</v>
      </c>
      <c r="G32" s="1">
        <f>F32*D21/(1-D21*B21/(1-D21*B21/(1-D21*B21/(1-D21*B21/(1-D21*B21)))))</f>
        <v>2.6146036816710461</v>
      </c>
      <c r="H32" s="1">
        <f>G32*D21/(1-D21*B21/(1-D21*B21/(1-D21*B21/(1-D21*B21))))</f>
        <v>2.4526437817512536</v>
      </c>
      <c r="I32" s="1">
        <f>H32*D21/(1-D21*B21/(1-D21*B21/(1-D21*B21)))</f>
        <v>2.2266362262312716</v>
      </c>
      <c r="J32" s="1">
        <f>I32*D21/(1-D21*B21/(1-D21*B21))</f>
        <v>1.9112531272208744</v>
      </c>
      <c r="K32" s="1">
        <f>J32*D21/(1-D21*B21)</f>
        <v>1.4711505876727764</v>
      </c>
      <c r="L32" s="1">
        <f>K32*D21</f>
        <v>0.85700783264106317</v>
      </c>
      <c r="M32" s="1">
        <f>L32*D21</f>
        <v>0.49924353860333492</v>
      </c>
      <c r="N32" s="9"/>
      <c r="O32">
        <f>M32+B32</f>
        <v>0.99999999999999956</v>
      </c>
      <c r="R32" s="174">
        <f>B32-M32</f>
        <v>1.5129227933297074E-3</v>
      </c>
      <c r="S32" s="93">
        <f>SUM(C32:L32)*B21*F21</f>
        <v>1.6375474617858132</v>
      </c>
      <c r="T32" s="9">
        <f>SUM(C32:L32)*D21*H21</f>
        <v>-2.6820542656442208</v>
      </c>
      <c r="U32" s="246">
        <f t="shared" si="2"/>
        <v>-1.0445068038584076</v>
      </c>
      <c r="V32" s="93">
        <f>(U32+W32*L32)/B32</f>
        <v>13.316979817518092</v>
      </c>
      <c r="W32" s="9">
        <f t="shared" si="3"/>
        <v>9</v>
      </c>
    </row>
    <row r="33" spans="1:23" ht="17" thickBot="1" x14ac:dyDescent="0.25">
      <c r="A33" s="99">
        <v>10</v>
      </c>
      <c r="B33" s="94">
        <f>C33*B21</f>
        <v>0.50444506409312206</v>
      </c>
      <c r="C33" s="131">
        <f>D33*B21</f>
        <v>1.2083748386006874</v>
      </c>
      <c r="D33" s="131">
        <f>1/(1-B21*D21-D21*B21/(1-D21*B21/(1-D21*B21/(1-D21*B21/(1-D21*B21/(1-D21*B21/(1-D21*B21/(1-D21*B21/(1-D21*B21)))))))))</f>
        <v>2.8946060820087349</v>
      </c>
      <c r="E33" s="139">
        <f>D33*D21/(1-D21*B21/(1-D21*B21/(1-D21*B21/(1-D21*B21/(1-D21*B21/(1-D21*B21/(1-D21*B21/(1-D21*B21))))))))</f>
        <v>2.8522100686801144</v>
      </c>
      <c r="F33" s="110">
        <f>E33*D21/(1-D21*B21/(1-D21*B21/(1-D21*B21/(1-D21*B21/(1-D21*B21/(1-D21*B21/(1-D21*B21)))))))</f>
        <v>2.7930483913702413</v>
      </c>
      <c r="G33" s="110">
        <f>F33*D21/(1-D21*B21/(1-D21*B21/(1-D21*B21/(1-D21*B21/(1-D21*B21/(1-D21*B21))))))</f>
        <v>2.7104910047832647</v>
      </c>
      <c r="H33" s="110">
        <f>G33*D21/(1-D21*B21/(1-D21*B21/(1-D21*B21/(1-D21*B21/(1-D21*B21)))))</f>
        <v>2.5952859871098708</v>
      </c>
      <c r="I33" s="110">
        <f>H33*D21/(1-D21*B21/(1-D21*B21/(1-D21*B21/(1-D21*B21))))</f>
        <v>2.4345227090336645</v>
      </c>
      <c r="J33" s="110">
        <f>I33*D21/(1-D21*B21/(1-D21*B21/(1-D21*B21)))</f>
        <v>2.2101849839957013</v>
      </c>
      <c r="K33" s="110">
        <f>J33*D21/(1-D21*B21/(1-D21*B21))</f>
        <v>1.8971320562533818</v>
      </c>
      <c r="L33" s="110">
        <f>K33*D21/(1-D21*B21)</f>
        <v>1.4602811630233044</v>
      </c>
      <c r="M33" s="110">
        <f>L33*D21</f>
        <v>0.85067593015673959</v>
      </c>
      <c r="N33" s="10">
        <f>M33*D21</f>
        <v>0.49555493590687749</v>
      </c>
      <c r="O33">
        <f>N33+B33</f>
        <v>0.99999999999999956</v>
      </c>
      <c r="R33" s="175">
        <f>B33-N33</f>
        <v>8.8901281862445725E-3</v>
      </c>
      <c r="S33" s="94">
        <f>SUM(C33:M33)*B21*F21</f>
        <v>1.8509267162179599</v>
      </c>
      <c r="T33" s="10">
        <f>SUM(C33:M33)*D21*H21</f>
        <v>-3.0315371068472543</v>
      </c>
      <c r="U33" s="247">
        <f t="shared" si="2"/>
        <v>-1.1806103906292944</v>
      </c>
      <c r="V33" s="94">
        <f>(U33+W33*M33)/B33</f>
        <v>14.523184846914614</v>
      </c>
      <c r="W33" s="10">
        <f t="shared" si="3"/>
        <v>10</v>
      </c>
    </row>
    <row r="35" spans="1:23" x14ac:dyDescent="0.2">
      <c r="A35" s="341" t="s">
        <v>140</v>
      </c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</row>
    <row r="36" spans="1:23" x14ac:dyDescent="0.2">
      <c r="A36" t="s">
        <v>123</v>
      </c>
      <c r="B36">
        <f>$C$2</f>
        <v>0.41745743785701095</v>
      </c>
      <c r="C36" t="s">
        <v>124</v>
      </c>
      <c r="D36">
        <f>$E$2</f>
        <v>0.58254256214298905</v>
      </c>
      <c r="E36" t="s">
        <v>47</v>
      </c>
      <c r="F36">
        <f>G2</f>
        <v>0.18546216804632948</v>
      </c>
      <c r="G36" t="s">
        <v>179</v>
      </c>
      <c r="H36">
        <f>I2</f>
        <v>-0.2176774987560795</v>
      </c>
      <c r="I36" t="s">
        <v>48</v>
      </c>
      <c r="J36">
        <f>K2</f>
        <v>-3.2215330709750023E-2</v>
      </c>
    </row>
    <row r="37" spans="1:23" ht="17" thickBot="1" x14ac:dyDescent="0.25"/>
    <row r="38" spans="1:23" ht="17" thickBot="1" x14ac:dyDescent="0.25">
      <c r="A38" s="102"/>
      <c r="B38" s="102">
        <v>3</v>
      </c>
      <c r="C38" s="140">
        <v>2</v>
      </c>
      <c r="D38" s="113">
        <v>1</v>
      </c>
      <c r="E38" s="140">
        <v>0</v>
      </c>
      <c r="F38" s="137">
        <v>-1</v>
      </c>
      <c r="G38" s="117">
        <v>-2</v>
      </c>
      <c r="H38" s="117">
        <v>-3</v>
      </c>
      <c r="I38" s="117">
        <v>-4</v>
      </c>
      <c r="J38" s="117">
        <v>-5</v>
      </c>
      <c r="K38" s="117">
        <v>-6</v>
      </c>
      <c r="L38" s="117">
        <v>-7</v>
      </c>
      <c r="M38" s="117">
        <v>-8</v>
      </c>
      <c r="N38" s="117">
        <v>-9</v>
      </c>
      <c r="O38" s="104">
        <v>-10</v>
      </c>
      <c r="P38" t="s">
        <v>135</v>
      </c>
      <c r="R38" s="169" t="s">
        <v>49</v>
      </c>
      <c r="S38" s="150" t="s">
        <v>130</v>
      </c>
      <c r="T38" s="151" t="s">
        <v>136</v>
      </c>
      <c r="U38" s="168" t="s">
        <v>48</v>
      </c>
      <c r="V38" s="161" t="s">
        <v>47</v>
      </c>
      <c r="W38" s="154" t="s">
        <v>155</v>
      </c>
    </row>
    <row r="39" spans="1:23" x14ac:dyDescent="0.2">
      <c r="A39" s="100">
        <v>1</v>
      </c>
      <c r="B39" s="100">
        <f>C39*$B$36</f>
        <v>0.14164105267621721</v>
      </c>
      <c r="C39" s="95">
        <f>D39*$B$36</f>
        <v>0.33929459588340743</v>
      </c>
      <c r="D39" s="157">
        <f t="shared" ref="D39:D48" si="4">E39*$B$36/(1-$B$36*$D$36)</f>
        <v>0.81276452427139134</v>
      </c>
      <c r="E39" s="157">
        <f>1/(1-D36*B36/(1-D36*B36))</f>
        <v>1.473469928387984</v>
      </c>
      <c r="F39" s="138">
        <f>E39*D36</f>
        <v>0.85835894732378282</v>
      </c>
      <c r="G39" s="109"/>
      <c r="H39" s="109"/>
      <c r="I39" s="109"/>
      <c r="J39" s="109"/>
      <c r="K39" s="109"/>
      <c r="L39" s="109"/>
      <c r="M39" s="109"/>
      <c r="N39" s="109"/>
      <c r="O39" s="57"/>
      <c r="P39">
        <f>F39+B39</f>
        <v>1</v>
      </c>
      <c r="R39" s="173">
        <f>B39-F39</f>
        <v>-0.71671789464756563</v>
      </c>
      <c r="S39" s="108">
        <f>SUM(C39:E39)*B36*F36</f>
        <v>0.20327518420990698</v>
      </c>
      <c r="T39" s="57">
        <f>SUM(C39:E39)*D36*H36</f>
        <v>-0.33293390734167672</v>
      </c>
      <c r="U39" s="245">
        <f>S39+T39</f>
        <v>-0.12965872313176974</v>
      </c>
      <c r="V39" s="108">
        <f>(U39+W39*D39)/B39</f>
        <v>4.8227952859201046</v>
      </c>
      <c r="W39" s="57">
        <f>COUNT(F39:O39)</f>
        <v>1</v>
      </c>
    </row>
    <row r="40" spans="1:23" x14ac:dyDescent="0.2">
      <c r="A40" s="98">
        <v>2</v>
      </c>
      <c r="B40" s="98">
        <f>C40*$B$36</f>
        <v>0.22073758062975282</v>
      </c>
      <c r="C40" s="97">
        <f>D40*$B$36</f>
        <v>0.52876667322756066</v>
      </c>
      <c r="D40" s="158">
        <f t="shared" si="4"/>
        <v>1.2666361292828989</v>
      </c>
      <c r="E40" s="158">
        <f>1/(1-D36*B36-B36*D36/(1-D36*B36))</f>
        <v>2.2962988552941694</v>
      </c>
      <c r="F40" s="130">
        <f>E40*D36</f>
        <v>1.3376918186090783</v>
      </c>
      <c r="G40" s="1">
        <f>F40*D36</f>
        <v>0.77926241937024698</v>
      </c>
      <c r="H40" s="1"/>
      <c r="I40" s="1"/>
      <c r="J40" s="1"/>
      <c r="K40" s="1"/>
      <c r="L40" s="1"/>
      <c r="M40" s="1"/>
      <c r="N40" s="1"/>
      <c r="O40" s="9"/>
      <c r="P40">
        <f>G40+B40</f>
        <v>0.99999999999999978</v>
      </c>
      <c r="R40" s="174">
        <f>B40-G40</f>
        <v>-0.55852483874049419</v>
      </c>
      <c r="S40" s="93">
        <f>SUM(C40:F40)*B36*F36</f>
        <v>0.42035755029205113</v>
      </c>
      <c r="T40" s="9">
        <f>SUM(C40:F40)*D36*H36</f>
        <v>-0.68848188352785245</v>
      </c>
      <c r="U40" s="246">
        <f>S40+T40</f>
        <v>-0.26812433323580132</v>
      </c>
      <c r="V40" s="93">
        <f>(U40+W40*E40)/B40</f>
        <v>19.591015562529229</v>
      </c>
      <c r="W40" s="9">
        <f>COUNT(F40:O40)</f>
        <v>2</v>
      </c>
    </row>
    <row r="41" spans="1:23" x14ac:dyDescent="0.2">
      <c r="A41" s="98">
        <v>3</v>
      </c>
      <c r="B41" s="98">
        <f t="shared" ref="B41:C41" si="5">C41*$B$36</f>
        <v>0.26900847703260561</v>
      </c>
      <c r="C41" s="97">
        <f t="shared" si="5"/>
        <v>0.64439737476841263</v>
      </c>
      <c r="D41" s="158">
        <f t="shared" si="4"/>
        <v>1.5436241310644319</v>
      </c>
      <c r="E41" s="158">
        <f>1/(1-B36*D36/(1-D36*B36)-D36*B36/(1-D36*B36))</f>
        <v>2.7984535125920385</v>
      </c>
      <c r="F41" s="130">
        <f>E41*D36/(1-B36*D36)</f>
        <v>2.1540561378236256</v>
      </c>
      <c r="G41" s="1">
        <f>F41*(D36)</f>
        <v>1.2548293815276064</v>
      </c>
      <c r="H41" s="1">
        <f>G41*D36</f>
        <v>0.73099152296739411</v>
      </c>
      <c r="I41" s="1"/>
      <c r="J41" s="1"/>
      <c r="K41" s="1"/>
      <c r="L41" s="1"/>
      <c r="M41" s="1"/>
      <c r="N41" s="1"/>
      <c r="O41" s="9"/>
      <c r="P41">
        <f>H41+B41</f>
        <v>0.99999999999999978</v>
      </c>
      <c r="R41" s="174">
        <f>B41-H41</f>
        <v>-0.46198304593478851</v>
      </c>
      <c r="S41" s="93">
        <f>SUM(C41:G41)*B36*F36</f>
        <v>0.64999031748370906</v>
      </c>
      <c r="T41" s="9">
        <f>SUM(C41:G41)*D36*H36</f>
        <v>-1.0645855123694992</v>
      </c>
      <c r="U41" s="246">
        <f t="shared" ref="U41:U48" si="6">S41+T41</f>
        <v>-0.41459519488579011</v>
      </c>
      <c r="V41" s="93">
        <f>(U41+W41*F41)/B41</f>
        <v>22.4809763814695</v>
      </c>
      <c r="W41" s="9">
        <f t="shared" ref="W41:W48" si="7">COUNT(F41:O41)</f>
        <v>3</v>
      </c>
    </row>
    <row r="42" spans="1:23" x14ac:dyDescent="0.2">
      <c r="A42" s="98">
        <v>4</v>
      </c>
      <c r="B42" s="98">
        <f t="shared" ref="B42:C42" si="8">C42*$B$36</f>
        <v>0.30007808441147005</v>
      </c>
      <c r="C42" s="97">
        <f t="shared" si="8"/>
        <v>0.71882318339301909</v>
      </c>
      <c r="D42" s="158">
        <f t="shared" si="4"/>
        <v>1.7219077161088527</v>
      </c>
      <c r="E42" s="158">
        <f>1/(1-B36*D36/(1-D36*B36)-D36*B36/(1-D36*B36/(1-D36*B36)))</f>
        <v>3.1216658249449321</v>
      </c>
      <c r="F42" s="130">
        <f>E42*D36/(1-D36*B36/(1-D36*B36))</f>
        <v>2.6795097913963595</v>
      </c>
      <c r="G42" s="1">
        <f>F42*D36/(1-B36*D36)</f>
        <v>2.0625014803871973</v>
      </c>
      <c r="H42" s="1">
        <f>G42*D36</f>
        <v>1.2014948968084658</v>
      </c>
      <c r="I42" s="1">
        <f>H42*D36</f>
        <v>0.6999219155885299</v>
      </c>
      <c r="J42" s="1"/>
      <c r="K42" s="1"/>
      <c r="L42" s="1"/>
      <c r="M42" s="1"/>
      <c r="N42" s="1"/>
      <c r="O42" s="9"/>
      <c r="P42">
        <f>I42+B42</f>
        <v>1</v>
      </c>
      <c r="R42" s="174">
        <f>B42-I42</f>
        <v>-0.39984383117705985</v>
      </c>
      <c r="S42" s="93">
        <f>SUM(C42:H42)*B36*F36</f>
        <v>0.89081647425759125</v>
      </c>
      <c r="T42" s="9">
        <f>SUM(C42:H42)*D36*H36</f>
        <v>-1.4590222148939589</v>
      </c>
      <c r="U42" s="246">
        <f t="shared" si="6"/>
        <v>-0.56820574063636764</v>
      </c>
      <c r="V42" s="93">
        <f>(U42+W42*G42)/B42</f>
        <v>25.599337572346872</v>
      </c>
      <c r="W42" s="9">
        <f t="shared" si="7"/>
        <v>4</v>
      </c>
    </row>
    <row r="43" spans="1:23" x14ac:dyDescent="0.2">
      <c r="A43" s="98">
        <v>5</v>
      </c>
      <c r="B43" s="98">
        <f t="shared" ref="B43:C43" si="9">C43*$B$36</f>
        <v>0.32076649222584069</v>
      </c>
      <c r="C43" s="97">
        <f t="shared" si="9"/>
        <v>0.76838130821784711</v>
      </c>
      <c r="D43" s="158">
        <f t="shared" si="4"/>
        <v>1.8406219138465461</v>
      </c>
      <c r="E43" s="158">
        <f>1/(1-B36*D36/(1-D36*B36)-D36*B36/(1-D36*B36/(1-D36*B36/(1-D36*B36))))</f>
        <v>3.3368841264523779</v>
      </c>
      <c r="F43" s="130">
        <f>E43*D36/(1-D36*B36/(1-D36*B36/(1-D36*B36)))</f>
        <v>3.0293951098718939</v>
      </c>
      <c r="G43" s="1">
        <f>F43*D36/(1-B36*D36/(1-B36*D36))</f>
        <v>2.6003083975374541</v>
      </c>
      <c r="H43" s="1">
        <f>G43*D36/(1-B36*D36)</f>
        <v>2.0015377202967386</v>
      </c>
      <c r="I43" s="1">
        <f>H43*D36</f>
        <v>1.1659809118074995</v>
      </c>
      <c r="J43" s="1">
        <f>I43*D36</f>
        <v>0.67923350777415936</v>
      </c>
      <c r="K43" s="1"/>
      <c r="L43" s="1"/>
      <c r="M43" s="1"/>
      <c r="N43" s="1"/>
      <c r="O43" s="9"/>
      <c r="P43">
        <f>J43+B43</f>
        <v>1</v>
      </c>
      <c r="R43" s="174">
        <f>B43-J43</f>
        <v>-0.35846701554831867</v>
      </c>
      <c r="S43" s="93">
        <f>SUM(C43:I43)*B36*F36</f>
        <v>1.1414493009207187</v>
      </c>
      <c r="T43" s="9">
        <f>SUM(C43:I43)*D36*H36</f>
        <v>-1.8695207546610051</v>
      </c>
      <c r="U43" s="246">
        <f t="shared" si="6"/>
        <v>-0.72807145374028637</v>
      </c>
      <c r="V43" s="93">
        <f>(U43+W43*H43)/B43</f>
        <v>28.929509074813048</v>
      </c>
      <c r="W43" s="9">
        <f t="shared" si="7"/>
        <v>5</v>
      </c>
    </row>
    <row r="44" spans="1:23" x14ac:dyDescent="0.2">
      <c r="A44" s="98">
        <v>6</v>
      </c>
      <c r="B44" s="98">
        <f t="shared" ref="B44:C44" si="10">C44*$B$36</f>
        <v>0.33485542418995212</v>
      </c>
      <c r="C44" s="97">
        <f t="shared" si="10"/>
        <v>0.80213069363168954</v>
      </c>
      <c r="D44" s="158">
        <f t="shared" si="4"/>
        <v>1.9214670069106261</v>
      </c>
      <c r="E44" s="158">
        <f>1/(1-B36*D36/(1-D36*B36)-D36*B36/(1-D36*B36/(1-D36*B36/(1-D36*B36/(1-D36*B36)))))</f>
        <v>3.4834491030603791</v>
      </c>
      <c r="F44" s="130">
        <f>E44*D36/(1-B36*D36/(1-D36*B36/(1-D36*B36/(1-D36*B36))))</f>
        <v>3.2676691467854106</v>
      </c>
      <c r="G44" s="1">
        <f>F44*D36/(1-D36*B36/(1-D36*B36/(1-D36*B36)))</f>
        <v>2.9665581898629529</v>
      </c>
      <c r="H44" s="1">
        <f>G44*D36/(1-D36*B36/(1-D36*B36))</f>
        <v>2.5463717650255107</v>
      </c>
      <c r="I44" s="1">
        <f>H44*D36/(1-D36*B36)</f>
        <v>1.9600210276687895</v>
      </c>
      <c r="J44" s="1">
        <f>I44*D36</f>
        <v>1.141795671312311</v>
      </c>
      <c r="K44" s="1">
        <f>J44*D36</f>
        <v>0.66514457581004782</v>
      </c>
      <c r="L44" s="1"/>
      <c r="M44" s="1"/>
      <c r="N44" s="1"/>
      <c r="O44" s="9"/>
      <c r="P44">
        <f>K44+B44</f>
        <v>1</v>
      </c>
      <c r="R44" s="174">
        <f>B44-K44</f>
        <v>-0.3302891516200957</v>
      </c>
      <c r="S44" s="93">
        <f>SUM(C44:J44)*B36*F36</f>
        <v>1.4005325308358645</v>
      </c>
      <c r="T44" s="9">
        <f>SUM(C44:J44)*D36*H36</f>
        <v>-2.2938597727148751</v>
      </c>
      <c r="U44" s="246">
        <f t="shared" si="6"/>
        <v>-0.89332724187901058</v>
      </c>
      <c r="V44" s="93">
        <f>(U44+W44*I44)/B44</f>
        <v>32.452211130883043</v>
      </c>
      <c r="W44" s="9">
        <f t="shared" si="7"/>
        <v>6</v>
      </c>
    </row>
    <row r="45" spans="1:23" x14ac:dyDescent="0.2">
      <c r="A45" s="98">
        <v>7</v>
      </c>
      <c r="B45" s="98">
        <f t="shared" ref="B45:C45" si="11">C45*$B$36</f>
        <v>0.34459750221458368</v>
      </c>
      <c r="C45" s="97">
        <f t="shared" si="11"/>
        <v>0.82546739131910374</v>
      </c>
      <c r="D45" s="158">
        <f t="shared" si="4"/>
        <v>1.9773689877382084</v>
      </c>
      <c r="E45" s="158">
        <f>1/(1-B36*D36/(1-D36*B36)-D36*B36/(1-D36*B36/(1-D36*B36/(1-D36*B36/(1-D36*B36/(1-D36*B36))))))</f>
        <v>3.584794431537413</v>
      </c>
      <c r="F45" s="130">
        <f>E45*D36/(1-D36*B36/(1-D36*B36/(1-D36*B36/(1-D36*B36/(1-D36*B36)))))</f>
        <v>3.4324285667874674</v>
      </c>
      <c r="G45" s="1">
        <f>F45*D36/(1-D36*B36/(1-D36*B36/(1-D36*B36/(1-D36*B36))))</f>
        <v>3.2198090439680711</v>
      </c>
      <c r="H45" s="1">
        <f>G45*D36/(1-D36*B36/(1-D36*B36/(1-D36*B36)))</f>
        <v>2.9231083258765285</v>
      </c>
      <c r="I45" s="1">
        <f>H45*D36/(1-D36*B36/(1-D36*B36))</f>
        <v>2.5090761855127619</v>
      </c>
      <c r="J45" s="1">
        <f>I45*D36/(1-D36*B36)</f>
        <v>1.9313134677248276</v>
      </c>
      <c r="K45" s="1">
        <f>J45*D36</f>
        <v>1.1250722957896822</v>
      </c>
      <c r="L45" s="1">
        <f>K45*D36</f>
        <v>0.65540249778541626</v>
      </c>
      <c r="M45" s="1"/>
      <c r="N45" s="1"/>
      <c r="O45" s="9"/>
      <c r="P45">
        <f>L45+B45</f>
        <v>1</v>
      </c>
      <c r="R45" s="174">
        <f>B45-L45</f>
        <v>-0.31080499557083258</v>
      </c>
      <c r="S45" s="93">
        <f>SUM(C45:K45)*B36*F36</f>
        <v>1.6667868687880663</v>
      </c>
      <c r="T45" s="9">
        <f>SUM(C45:K45)*D36*H36</f>
        <v>-2.7299439776100511</v>
      </c>
      <c r="U45" s="246">
        <f t="shared" si="6"/>
        <v>-1.0631571088219849</v>
      </c>
      <c r="V45" s="93">
        <f>(U45+W45*J45)/B45</f>
        <v>36.14662638354045</v>
      </c>
      <c r="W45" s="9">
        <f t="shared" si="7"/>
        <v>7</v>
      </c>
    </row>
    <row r="46" spans="1:23" x14ac:dyDescent="0.2">
      <c r="A46" s="98">
        <v>8</v>
      </c>
      <c r="B46" s="98">
        <f t="shared" ref="B46:C46" si="12">C46*$B$36</f>
        <v>0.35140509585095231</v>
      </c>
      <c r="C46" s="97">
        <f t="shared" si="12"/>
        <v>0.84177466726875483</v>
      </c>
      <c r="D46" s="158">
        <f t="shared" si="4"/>
        <v>2.0164323136508173</v>
      </c>
      <c r="E46" s="158">
        <f>1/(1-B36*D36/(1-D36*B36)-D36*B36/(1-D36*B36/(1-D36*B36/(1-D36*B36/(1-D36*B36/(1-D36*B36/(1-D36*B36)))))))</f>
        <v>3.6556127735247763</v>
      </c>
      <c r="F46" s="130">
        <f>E46*D36/(1-D36*B36/(1-D36*B36/(1-D36*B36/(1-D36*B36/(1-D36*B36/(1-D36*B36))))))</f>
        <v>3.5475595661801962</v>
      </c>
      <c r="G46" s="1">
        <f>F46*D36/(1-D36*B36/(1-D36*B36/(1-D36*B36/(1-D36*B36/(1-D36*B36)))))</f>
        <v>3.3967763089039424</v>
      </c>
      <c r="H46" s="1">
        <f>G46*D36/(1-D36*B36/(1-D36*B36/(1-D36*B36/(1-D36*B36))))</f>
        <v>3.1863652416754293</v>
      </c>
      <c r="I46" s="1">
        <f>H46*D36/(1-D36*B36/(1-D36*B36/(1-D36*B36)))</f>
        <v>2.8927463212993527</v>
      </c>
      <c r="J46" s="1">
        <f>I46*D36/(1-D36*B36/(1-D36*B36))</f>
        <v>2.4830146872252574</v>
      </c>
      <c r="K46" s="1">
        <f>J46*D36/(1-D36*B36)</f>
        <v>1.911253127220875</v>
      </c>
      <c r="L46" s="1">
        <f>K46*D36</f>
        <v>1.1133862936350487</v>
      </c>
      <c r="M46" s="1">
        <f>L46*D36</f>
        <v>0.64859490414904764</v>
      </c>
      <c r="N46" s="1"/>
      <c r="O46" s="9"/>
      <c r="P46">
        <f>M46+B46</f>
        <v>1</v>
      </c>
      <c r="R46" s="174">
        <f>B46-M46</f>
        <v>-0.29718980829809533</v>
      </c>
      <c r="S46" s="93">
        <f>SUM(C46:L46)*B36*F36</f>
        <v>1.939041959457479</v>
      </c>
      <c r="T46" s="9">
        <f>SUM(C46:L46)*D36*H36</f>
        <v>-3.175856504918992</v>
      </c>
      <c r="U46" s="246">
        <f t="shared" si="6"/>
        <v>-1.2368145454615129</v>
      </c>
      <c r="V46" s="93">
        <f>(U46+W46*K46)/B46</f>
        <v>39.991481734989193</v>
      </c>
      <c r="W46" s="9">
        <f t="shared" si="7"/>
        <v>8</v>
      </c>
    </row>
    <row r="47" spans="1:23" x14ac:dyDescent="0.2">
      <c r="A47" s="98">
        <v>9</v>
      </c>
      <c r="B47" s="98">
        <f t="shared" ref="B47:C47" si="13">C47*$B$36</f>
        <v>0.35619716370434029</v>
      </c>
      <c r="C47" s="97">
        <f t="shared" si="13"/>
        <v>0.85325384435082519</v>
      </c>
      <c r="D47" s="158">
        <f t="shared" si="4"/>
        <v>2.043930151851995</v>
      </c>
      <c r="E47" s="158">
        <f>1/(1-B36*D36/(1-D36*B36)-D36*B36/(1-D36*B36/(1-D36*B36/(1-D36*B36/(1-D36*B36/(1-D36*B36/(1-D36*B36/(1-D36*B36))))))))</f>
        <v>3.7054639130309401</v>
      </c>
      <c r="F47" s="130">
        <f>E47*D36/(1-D36*B36/(1-D36*B36/(1-D36*B36/(1-D36*B36/(1-D36*B36/(1-D36*B36/(1-D36*B36)))))))</f>
        <v>3.6286037046215496</v>
      </c>
      <c r="G47" s="1">
        <f>F47*D36/(1-D36*B36/(1-D36*B36/(1-D36*B36/(1-D36*B36/(1-D36*B36/(1-D36*B36))))))</f>
        <v>3.5213488358054699</v>
      </c>
      <c r="H47" s="1">
        <f>G47*D36/(1-D36*B36/(1-D36*B36/(1-D36*B36/(1-D36*B36/(1-D36*B36)))))</f>
        <v>3.371679623051306</v>
      </c>
      <c r="I47" s="1">
        <f>H47*D36/(1-D36*B36/(1-D36*B36/(1-D36*B36/(1-D36*B36))))</f>
        <v>3.1628231534688931</v>
      </c>
      <c r="J47" s="1">
        <f>I47*D36/(1-D36*B36/(1-D36*B36/(1-D36*B36)))</f>
        <v>2.8713736022637426</v>
      </c>
      <c r="K47" s="1">
        <f>J47*D36/(1-D36*B36/(1-D36*B36))</f>
        <v>2.4646692226124043</v>
      </c>
      <c r="L47" s="1">
        <f>K47*D36/(1-D36*B36)</f>
        <v>1.8971320562533822</v>
      </c>
      <c r="M47" s="1">
        <f>L47*D36</f>
        <v>1.1051601687734425</v>
      </c>
      <c r="N47" s="1">
        <f>M47*D36</f>
        <v>0.64380283629565938</v>
      </c>
      <c r="O47" s="9"/>
      <c r="P47">
        <f>N47+B47</f>
        <v>0.99999999999999967</v>
      </c>
      <c r="R47" s="174">
        <f>B47-N47</f>
        <v>-0.28760567259131908</v>
      </c>
      <c r="S47" s="93">
        <f>SUM(C47:M47)*B36*F36</f>
        <v>2.2162547551663359</v>
      </c>
      <c r="T47" s="9">
        <f>SUM(C47:M47)*D36*H36</f>
        <v>-3.6298890008145808</v>
      </c>
      <c r="U47" s="246">
        <f t="shared" si="6"/>
        <v>-1.4136342456482449</v>
      </c>
      <c r="V47" s="93">
        <f>(U47+W47*L47)/B47</f>
        <v>43.965971255265693</v>
      </c>
      <c r="W47" s="9">
        <f t="shared" si="7"/>
        <v>9</v>
      </c>
    </row>
    <row r="48" spans="1:23" ht="17" thickBot="1" x14ac:dyDescent="0.25">
      <c r="A48" s="99">
        <v>10</v>
      </c>
      <c r="B48" s="99">
        <f t="shared" ref="B48:C48" si="14">C48*$B$36</f>
        <v>0.35958789597790025</v>
      </c>
      <c r="C48" s="131">
        <f t="shared" si="14"/>
        <v>0.86137618681276817</v>
      </c>
      <c r="D48" s="159">
        <f t="shared" si="4"/>
        <v>2.0633868478534807</v>
      </c>
      <c r="E48" s="159">
        <f>1/(1-B36*D36/(1-D36*B36)-D36*B36/(1-D36*B36/(1-D36*B36/(1-D36*B36/(1-D36*B36/(1-D36*B36/(1-D36*B36/(1-D36*B36/(1-D36*B36)))))))))</f>
        <v>3.7407371755908136</v>
      </c>
      <c r="F48" s="139">
        <f>E48*D36/(1-D36*B36/(1-D36*B36/(1-D36*B36/(1-D36*B36/(1-D36*B36/(1-D36*B36/(1-D36*B36/(1-D36*B36))))))))</f>
        <v>3.6859482548665272</v>
      </c>
      <c r="G48" s="110">
        <f>F48*D36/(1-D36*B36/(1-D36*B36/(1-D36*B36/(1-D36*B36/(1-D36*B36/(1-D36*B36/(1-D36*B36)))))))</f>
        <v>3.6094928480120752</v>
      </c>
      <c r="H48" s="110">
        <f>G48*D36/(1-D36*B36/(1-D36*B36/(1-D36*B36/(1-D36*B36/(1-D36*B36/(1-D36*B36))))))</f>
        <v>3.5028028610584054</v>
      </c>
      <c r="I48" s="110">
        <f>H48*D36/(1-D36*B36/(1-D36*B36/(1-D36*B36/(1-D36*B36/(1-D36*B36)))))</f>
        <v>3.3539219148377715</v>
      </c>
      <c r="J48" s="110">
        <f>I48*D36/(1-D36*B36/(1-D36*B36/(1-D36*B36/(1-D36*B36))))</f>
        <v>3.146165434773935</v>
      </c>
      <c r="K48" s="110">
        <f>J48*D36/(1-D36*B36/(1-D36*B36/(1-D36*B36)))</f>
        <v>2.8562508681070198</v>
      </c>
      <c r="L48" s="110">
        <f>K48*D36/(1-D36*B36/(1-D36*B36))</f>
        <v>2.4516884884409822</v>
      </c>
      <c r="M48" s="110">
        <f>L48*D36/(1-D36*B36)</f>
        <v>1.8871403840710166</v>
      </c>
      <c r="N48" s="110">
        <f>M48*D36</f>
        <v>1.0993395944602344</v>
      </c>
      <c r="O48" s="10">
        <f>N48*D36</f>
        <v>0.64041210402209947</v>
      </c>
      <c r="P48">
        <f>O48+B48</f>
        <v>0.99999999999999978</v>
      </c>
      <c r="R48" s="175">
        <f>B48-O48</f>
        <v>-0.28082420804419922</v>
      </c>
      <c r="S48" s="94">
        <f>SUM(C48:N48)*B36*F36</f>
        <v>2.4975164107472629</v>
      </c>
      <c r="T48" s="10">
        <f>SUM(C48:N48)*D36*H36</f>
        <v>-4.0905529148182227</v>
      </c>
      <c r="U48" s="247">
        <f t="shared" si="6"/>
        <v>-1.5930365040709598</v>
      </c>
      <c r="V48" s="94">
        <f>(U48+W48*M48)/B48</f>
        <v>48.050469801411531</v>
      </c>
      <c r="W48" s="10">
        <f t="shared" si="7"/>
        <v>10</v>
      </c>
    </row>
    <row r="50" spans="1:23" x14ac:dyDescent="0.2">
      <c r="A50" s="341" t="s">
        <v>140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</row>
    <row r="51" spans="1:23" x14ac:dyDescent="0.2">
      <c r="A51" t="s">
        <v>123</v>
      </c>
      <c r="B51">
        <f>$C$2</f>
        <v>0.41745743785701095</v>
      </c>
      <c r="C51" t="s">
        <v>124</v>
      </c>
      <c r="D51">
        <f>$E$2</f>
        <v>0.58254256214298905</v>
      </c>
      <c r="E51" t="s">
        <v>47</v>
      </c>
      <c r="F51">
        <f>G2</f>
        <v>0.18546216804632948</v>
      </c>
      <c r="G51" t="s">
        <v>179</v>
      </c>
      <c r="H51">
        <f>I2</f>
        <v>-0.2176774987560795</v>
      </c>
      <c r="I51" t="s">
        <v>48</v>
      </c>
      <c r="J51">
        <f>K17</f>
        <v>0.85700783264106362</v>
      </c>
    </row>
    <row r="52" spans="1:23" ht="17" thickBot="1" x14ac:dyDescent="0.25"/>
    <row r="53" spans="1:23" ht="17" thickBot="1" x14ac:dyDescent="0.25">
      <c r="A53" s="102"/>
      <c r="B53" s="102">
        <v>4</v>
      </c>
      <c r="C53" s="102">
        <v>3</v>
      </c>
      <c r="D53" s="140">
        <v>2</v>
      </c>
      <c r="E53" s="113">
        <v>1</v>
      </c>
      <c r="F53" s="140">
        <v>0</v>
      </c>
      <c r="G53" s="137">
        <v>-1</v>
      </c>
      <c r="H53" s="117">
        <v>-2</v>
      </c>
      <c r="I53" s="117">
        <v>-3</v>
      </c>
      <c r="J53" s="117">
        <v>-4</v>
      </c>
      <c r="K53" s="117">
        <v>-5</v>
      </c>
      <c r="L53" s="117">
        <v>-6</v>
      </c>
      <c r="M53" s="117">
        <v>-7</v>
      </c>
      <c r="N53" s="117">
        <v>-8</v>
      </c>
      <c r="O53" s="117">
        <v>-9</v>
      </c>
      <c r="P53" s="104">
        <v>-10</v>
      </c>
      <c r="Q53" t="s">
        <v>135</v>
      </c>
      <c r="R53" s="169" t="s">
        <v>49</v>
      </c>
      <c r="S53" s="150" t="s">
        <v>130</v>
      </c>
      <c r="T53" s="151" t="s">
        <v>136</v>
      </c>
      <c r="U53" s="168" t="s">
        <v>48</v>
      </c>
      <c r="V53" s="161" t="s">
        <v>47</v>
      </c>
      <c r="W53" s="154" t="s">
        <v>155</v>
      </c>
    </row>
    <row r="54" spans="1:23" x14ac:dyDescent="0.2">
      <c r="A54" s="100">
        <v>1</v>
      </c>
      <c r="B54" s="100">
        <f>C54*B51</f>
        <v>9.2148544848452002E-2</v>
      </c>
      <c r="C54" s="100">
        <f>D54*B51</f>
        <v>0.22073758062975288</v>
      </c>
      <c r="D54" s="95">
        <f>E54*B51/(1-B51*D51)</f>
        <v>0.52876667322756077</v>
      </c>
      <c r="E54" s="157">
        <f>F54*B51/(1-B51*D51/(1-B51*D51))</f>
        <v>0.95860703668509128</v>
      </c>
      <c r="F54" s="157">
        <f>1/(1-D51*B51/(1-D51*B51/(1-B51*D51)))</f>
        <v>1.5584293992388316</v>
      </c>
      <c r="G54" s="138">
        <f>F54*D51</f>
        <v>0.90785145515154819</v>
      </c>
      <c r="H54" s="109"/>
      <c r="I54" s="109"/>
      <c r="J54" s="109"/>
      <c r="K54" s="109"/>
      <c r="L54" s="109"/>
      <c r="M54" s="109"/>
      <c r="N54" s="109"/>
      <c r="O54" s="109"/>
      <c r="P54" s="57"/>
      <c r="Q54">
        <f>G54+B54</f>
        <v>1.0000000000000002</v>
      </c>
      <c r="R54" s="173">
        <f>C54-G54</f>
        <v>-0.68711387452179529</v>
      </c>
      <c r="S54" s="108">
        <f>SUM(C54:F54)*B51*F51</f>
        <v>0.25290394742079642</v>
      </c>
      <c r="T54" s="57">
        <f>SUM(C54:F54)*D51*H51</f>
        <v>-0.41421829095475027</v>
      </c>
      <c r="U54" s="245">
        <f>S54+T54</f>
        <v>-0.16131434353395385</v>
      </c>
      <c r="V54" s="108">
        <f>(U54+W54*E54)/C54</f>
        <v>3.6119481371341609</v>
      </c>
      <c r="W54" s="57">
        <f>COUNT(G54:P54)</f>
        <v>1</v>
      </c>
    </row>
    <row r="55" spans="1:23" x14ac:dyDescent="0.2">
      <c r="A55" s="98">
        <v>2</v>
      </c>
      <c r="B55" s="98">
        <f>C55*B51</f>
        <v>0.1483848042284622</v>
      </c>
      <c r="C55" s="98">
        <f>D55*B51</f>
        <v>0.35544894107093983</v>
      </c>
      <c r="D55" s="97">
        <f>E55*B51/(1-B51*D51)</f>
        <v>0.85146151161089023</v>
      </c>
      <c r="E55" s="158">
        <f>F55*B51/(1-B51*D51/(1-B51*D51))</f>
        <v>1.5436241310644319</v>
      </c>
      <c r="F55" s="158">
        <f>1/(1-D51*B51-D51*B51/(1-D51*B51/(1-B51*D51)))</f>
        <v>2.5095050788945659</v>
      </c>
      <c r="G55" s="130">
        <f>F55*D51</f>
        <v>1.4618935183700843</v>
      </c>
      <c r="H55" s="1">
        <f>G55*D51</f>
        <v>0.85161519577153777</v>
      </c>
      <c r="I55" s="1"/>
      <c r="J55" s="1"/>
      <c r="K55" s="1"/>
      <c r="L55" s="1"/>
      <c r="M55" s="1"/>
      <c r="N55" s="1"/>
      <c r="O55" s="1"/>
      <c r="P55" s="9"/>
      <c r="Q55">
        <f>H55+B55</f>
        <v>1</v>
      </c>
      <c r="R55" s="174">
        <f>C55-H55</f>
        <v>-0.49616625470059794</v>
      </c>
      <c r="S55" s="93">
        <f>SUM(C55:G55)*B51*F51</f>
        <v>0.52042928505211483</v>
      </c>
      <c r="T55" s="9">
        <f>SUM(C55:G55)*D51*H51</f>
        <v>-0.85238420046646912</v>
      </c>
      <c r="U55" s="246">
        <f>S55+T55</f>
        <v>-0.33195491541435429</v>
      </c>
      <c r="V55" s="93">
        <f>(U55+W55*F55)/C55</f>
        <v>13.186296822978418</v>
      </c>
      <c r="W55" s="9">
        <f>COUNT(G55:P55)</f>
        <v>2</v>
      </c>
    </row>
    <row r="56" spans="1:23" x14ac:dyDescent="0.2">
      <c r="A56" s="98">
        <v>3</v>
      </c>
      <c r="B56" s="98">
        <f>C56*B51</f>
        <v>0.18458132489820553</v>
      </c>
      <c r="C56" s="98">
        <f>D56*B51</f>
        <v>0.44215603354857219</v>
      </c>
      <c r="D56" s="97">
        <f>E56*B51/(1-B51*D51)</f>
        <v>1.0591643445577346</v>
      </c>
      <c r="E56" s="158">
        <f>F56*B51/(1-B51*D51/(1-B51*D51))</f>
        <v>1.9201709281364661</v>
      </c>
      <c r="F56" s="158">
        <f>1/(1-D51*B51/(1-B51*D51)-D51*B51/(1-D51*B51/(1-B51*D51)))</f>
        <v>3.1216658249449321</v>
      </c>
      <c r="G56" s="130">
        <f>F56*D51/(1-B51*D51)</f>
        <v>2.4028426415519126</v>
      </c>
      <c r="H56" s="1">
        <f>G56*(D51)</f>
        <v>1.3997581088360791</v>
      </c>
      <c r="I56" s="1">
        <f>H56*D51</f>
        <v>0.81541867510179444</v>
      </c>
      <c r="J56" s="1"/>
      <c r="K56" s="1"/>
      <c r="L56" s="1"/>
      <c r="M56" s="1"/>
      <c r="N56" s="1"/>
      <c r="O56" s="1"/>
      <c r="P56" s="9"/>
      <c r="Q56">
        <f>I56+B56</f>
        <v>1</v>
      </c>
      <c r="R56" s="174">
        <f>C56-I56</f>
        <v>-0.37326264155322225</v>
      </c>
      <c r="S56" s="93">
        <f>SUM(C56:H56)*B51*F51</f>
        <v>0.80099507576791851</v>
      </c>
      <c r="T56" s="9">
        <f>SUM(C56:H56)*D51*H51</f>
        <v>-1.3119083934095797</v>
      </c>
      <c r="U56" s="246">
        <f t="shared" ref="U56:U63" si="15">S56+T56</f>
        <v>-0.51091331764166115</v>
      </c>
      <c r="V56" s="93">
        <f>(U56+W56*G56)/C56</f>
        <v>15.147626853040158</v>
      </c>
      <c r="W56" s="9">
        <f t="shared" ref="W56:W63" si="16">COUNT(G56:P56)</f>
        <v>3</v>
      </c>
    </row>
    <row r="57" spans="1:23" x14ac:dyDescent="0.2">
      <c r="A57" s="98">
        <v>4</v>
      </c>
      <c r="B57" s="98">
        <f>C57*B51</f>
        <v>0.20868360504437705</v>
      </c>
      <c r="C57" s="98">
        <f>D57*B51</f>
        <v>0.49989193177546432</v>
      </c>
      <c r="D57" s="97">
        <f>E57*B51/(1-B51*D51)</f>
        <v>1.1974680205522872</v>
      </c>
      <c r="E57" s="158">
        <f>F57*B51/(1-B51*D51/(1-B51*D51))</f>
        <v>2.1709032146448792</v>
      </c>
      <c r="F57" s="158">
        <f>1/(1-D51*B51/(1-B51*D51/(1-B51*D51))-D51*B51/(1-D51*B51/(1-B51*D51)))</f>
        <v>3.529287041647359</v>
      </c>
      <c r="G57" s="130">
        <f>F57*D51/(1-D51*B51/(1-D51*B51))</f>
        <v>3.0293951098718948</v>
      </c>
      <c r="H57" s="1">
        <f>G57*D51/(1-B51*D51)</f>
        <v>2.3318190210950718</v>
      </c>
      <c r="I57" s="1">
        <f>H57*D51</f>
        <v>1.3583838270024797</v>
      </c>
      <c r="J57" s="1">
        <f>I57*D51</f>
        <v>0.79131639495562334</v>
      </c>
      <c r="K57" s="1"/>
      <c r="L57" s="1"/>
      <c r="M57" s="1"/>
      <c r="N57" s="1"/>
      <c r="O57" s="1"/>
      <c r="P57" s="9"/>
      <c r="Q57">
        <f>J57+B57</f>
        <v>1.0000000000000004</v>
      </c>
      <c r="R57" s="174">
        <f>C57-J57</f>
        <v>-0.29142446318015902</v>
      </c>
      <c r="S57" s="93">
        <f>SUM(C57:I57)*B51*F51</f>
        <v>1.0929857720198284</v>
      </c>
      <c r="T57" s="9">
        <f>SUM(C57:I57)*D51*H51</f>
        <v>-1.7901448480383939</v>
      </c>
      <c r="U57" s="246">
        <f t="shared" si="15"/>
        <v>-0.69715907601856553</v>
      </c>
      <c r="V57" s="93">
        <f>(U57+W57*H57)/C57</f>
        <v>17.263965388899493</v>
      </c>
      <c r="W57" s="9">
        <f t="shared" si="16"/>
        <v>4</v>
      </c>
    </row>
    <row r="58" spans="1:23" x14ac:dyDescent="0.2">
      <c r="A58" s="98">
        <v>5</v>
      </c>
      <c r="B58" s="98">
        <f>C58*B51</f>
        <v>0.22509740489820076</v>
      </c>
      <c r="C58" s="98">
        <f>D58*B51</f>
        <v>0.53921043077762087</v>
      </c>
      <c r="D58" s="97">
        <f>E58*B51/(1-B51*D51)</f>
        <v>1.2916536678460457</v>
      </c>
      <c r="E58" s="158">
        <f>F58*B51/(1-B51*D51/(1-B51*D51))</f>
        <v>2.3416534317480684</v>
      </c>
      <c r="F58" s="158">
        <f>1/(1-D51*B51/(1-B51*D51/(1-B51*D51/(1-B51*D51)))-D51*B51/(1-D51*B51/(1-B51*D51)))</f>
        <v>3.806879577563032</v>
      </c>
      <c r="G58" s="130">
        <f>F58*D51/(1-D51*B51/(1-D51*B51/(1-D51*B51)))</f>
        <v>3.4560811640773093</v>
      </c>
      <c r="H58" s="1">
        <f>G58*D51/(1-B51*D51/(1-B51*D51))</f>
        <v>2.9665581898629525</v>
      </c>
      <c r="I58" s="1">
        <f>H58*D51/(1-B51*D51)</f>
        <v>2.2834515021714417</v>
      </c>
      <c r="J58" s="1">
        <f>I58*D51</f>
        <v>1.3302076886042087</v>
      </c>
      <c r="K58" s="1">
        <f>J58*D51</f>
        <v>0.77490259510179904</v>
      </c>
      <c r="L58" s="1"/>
      <c r="M58" s="1"/>
      <c r="N58" s="1"/>
      <c r="O58" s="1"/>
      <c r="P58" s="9"/>
      <c r="Q58">
        <f>K58+B58</f>
        <v>0.99999999999999978</v>
      </c>
      <c r="R58" s="174">
        <f>C58-K58</f>
        <v>-0.23569216432417817</v>
      </c>
      <c r="S58" s="93">
        <f>SUM(C58:J58)*B51*F51</f>
        <v>1.3948213044889928</v>
      </c>
      <c r="T58" s="9">
        <f>SUM(C58:J58)*D51*H51</f>
        <v>-2.2845056505638248</v>
      </c>
      <c r="U58" s="246">
        <f t="shared" si="15"/>
        <v>-0.88968434607483204</v>
      </c>
      <c r="V58" s="93">
        <f>(U58+W58*I58)/C58</f>
        <v>19.524053252456682</v>
      </c>
      <c r="W58" s="9">
        <f t="shared" si="16"/>
        <v>5</v>
      </c>
    </row>
    <row r="59" spans="1:23" x14ac:dyDescent="0.2">
      <c r="A59" s="98">
        <v>6</v>
      </c>
      <c r="B59" s="98">
        <f>C59*B51</f>
        <v>0.23644706002209237</v>
      </c>
      <c r="C59" s="98">
        <f>D59*B51</f>
        <v>0.56639800511371197</v>
      </c>
      <c r="D59" s="97">
        <f>E59*B51/(1-B51*D51)</f>
        <v>1.3567802457210421</v>
      </c>
      <c r="E59" s="158">
        <f>F59*B51/(1-B51*D51/(1-B51*D51))</f>
        <v>2.4597221357477306</v>
      </c>
      <c r="F59" s="158">
        <f>1/(1-D51*B51/(1-B51*D51/(1-B51*D51/(1-B51*D51/(1-B51*D51))))-D51*B51/(1-D51*B51/(1-B51*D51)))</f>
        <v>3.9988265719011791</v>
      </c>
      <c r="G59" s="130">
        <f>F59*D51/(1-B51*D51/(1-D51*B51/(1-D51*B51/(1-D51*B51))))</f>
        <v>3.7511218983700094</v>
      </c>
      <c r="H59" s="1">
        <f>G59*D51/(1-D51*B51/(1-D51*B51/(1-D51*B51)))</f>
        <v>3.4054614738860511</v>
      </c>
      <c r="I59" s="1">
        <f>H59*D51/(1-D51*B51/(1-D51*B51))</f>
        <v>2.9231083258765285</v>
      </c>
      <c r="J59" s="1">
        <f>I59*D51/(1-D51*B51)</f>
        <v>2.25000679930737</v>
      </c>
      <c r="K59" s="1">
        <f>J59*D51</f>
        <v>1.3107247257076615</v>
      </c>
      <c r="L59" s="1">
        <f>K59*D51</f>
        <v>0.76355293997790774</v>
      </c>
      <c r="M59" s="1"/>
      <c r="N59" s="1"/>
      <c r="O59" s="1"/>
      <c r="P59" s="9"/>
      <c r="Q59">
        <f>L59+B59</f>
        <v>1</v>
      </c>
      <c r="R59" s="174">
        <f>C59-L59</f>
        <v>-0.19715493486419577</v>
      </c>
      <c r="S59" s="93">
        <f>SUM(C59:K59)*B51*F51</f>
        <v>1.7050112766240042</v>
      </c>
      <c r="T59" s="9">
        <f>SUM(C59:K59)*D51*H51</f>
        <v>-2.7925497575831706</v>
      </c>
      <c r="U59" s="246">
        <f t="shared" si="15"/>
        <v>-1.0875384809591664</v>
      </c>
      <c r="V59" s="93">
        <f>(U59+W59*J59)/C59</f>
        <v>21.914805848218126</v>
      </c>
      <c r="W59" s="9">
        <f t="shared" si="16"/>
        <v>6</v>
      </c>
    </row>
    <row r="60" spans="1:23" x14ac:dyDescent="0.2">
      <c r="A60" s="98">
        <v>7</v>
      </c>
      <c r="B60" s="98">
        <f>C60*B51</f>
        <v>0.24437800040267971</v>
      </c>
      <c r="C60" s="98">
        <f>D60*B51</f>
        <v>0.58539620627476985</v>
      </c>
      <c r="D60" s="97">
        <f>E60*B51/(1-B51*D51)</f>
        <v>1.4022895586191038</v>
      </c>
      <c r="E60" s="158">
        <f>F60*B51/(1-B51*D51/(1-B51*D51))</f>
        <v>2.5422264798897278</v>
      </c>
      <c r="F60" s="158">
        <f>1/(1-D51*B51/(1-B51*D51/(1-B51*D51/(1-B51*D51/(1-B51*D51/(1-B51*D51)))))-D51*B51/(1-D51*B51/(1-B51*D51)))</f>
        <v>4.1329557724549666</v>
      </c>
      <c r="G60" s="130">
        <f>F60*D51/(1-D51*B51/(1-D51*B51/(1-D51*B51/(1-D51*B51/(1-D51*B51)))))</f>
        <v>3.9572912002542919</v>
      </c>
      <c r="H60" s="1">
        <f>G60*D51/(1-D51*B51/(1-D51*B51/(1-D51*B51/(1-D51*B51))))</f>
        <v>3.7121594079143403</v>
      </c>
      <c r="I60" s="1">
        <f>H60*D51/(1-D51*B51/(1-D51*B51/(1-D51*B51)))</f>
        <v>3.3700893202295434</v>
      </c>
      <c r="J60" s="1">
        <f>I60*D51/(1-D51*B51/(1-D51*B51))</f>
        <v>2.8927463212993536</v>
      </c>
      <c r="K60" s="1">
        <f>J60*D51/(1-D51*B51)</f>
        <v>2.2266362262312733</v>
      </c>
      <c r="L60" s="1">
        <f>K60*D51</f>
        <v>1.2971103721891621</v>
      </c>
      <c r="M60" s="1">
        <f>L60*D51</f>
        <v>0.75562199959732068</v>
      </c>
      <c r="N60" s="1"/>
      <c r="O60" s="1"/>
      <c r="P60" s="9"/>
      <c r="Q60">
        <f>M60+B60</f>
        <v>1.0000000000000004</v>
      </c>
      <c r="R60" s="174">
        <f>C60-M60</f>
        <v>-0.17022579332255083</v>
      </c>
      <c r="S60" s="93">
        <f>SUM(C60:L60)*B51*F51</f>
        <v>2.0221922083522257</v>
      </c>
      <c r="T60" s="9">
        <f>SUM(C60:L60)*D51*H51</f>
        <v>-3.3120439956280121</v>
      </c>
      <c r="U60" s="246">
        <f t="shared" si="15"/>
        <v>-1.2898517872757864</v>
      </c>
      <c r="V60" s="93">
        <f>(U60+W60*K60)/C60</f>
        <v>24.422095058184699</v>
      </c>
      <c r="W60" s="9">
        <f t="shared" si="16"/>
        <v>7</v>
      </c>
    </row>
    <row r="61" spans="1:23" x14ac:dyDescent="0.2">
      <c r="A61" s="98">
        <v>8</v>
      </c>
      <c r="B61" s="98">
        <f>C61*B51</f>
        <v>0.2499608254764194</v>
      </c>
      <c r="C61" s="98">
        <f>D61*B51</f>
        <v>0.59876960573412252</v>
      </c>
      <c r="D61" s="97">
        <f>E61*B51/(1-B51*D51)</f>
        <v>1.4343249189854304</v>
      </c>
      <c r="E61" s="158">
        <f>F61*B51/(1-B51*D51/(1-B51*D51))</f>
        <v>2.6003037442574977</v>
      </c>
      <c r="F61" s="158">
        <f>1/(1-D51*B51/(1-B51*D51/(1-B51*D51/(1-B51*D51/(1-B51*D51/(1-B51*D51/(1-B51*D51))))))-D51*B51/(1-D51*B51/(1-B51*D51)))</f>
        <v>4.2273733103556728</v>
      </c>
      <c r="G61" s="130">
        <f>F61*D51/(1-D51*B51/(1-D51*B51/(1-D51*B51/(1-D51*B51/(1-D51*B51/(1-D51*B51))))))</f>
        <v>4.1024199104400756</v>
      </c>
      <c r="H61" s="1">
        <f>G61*D51/(1-D51*B51/(1-D51*B51/(1-D51*B51/(1-D51*B51/(1-D51*B51)))))</f>
        <v>3.9280532154568086</v>
      </c>
      <c r="I61" s="1">
        <f>H61*D51/(1-D51*B51/(1-D51*B51/(1-D51*B51/(1-D51*B51))))</f>
        <v>3.6847325507936257</v>
      </c>
      <c r="J61" s="1">
        <f>I61*D51/(1-D51*B51/(1-D51*B51/(1-D51*B51)))</f>
        <v>3.3451898080822691</v>
      </c>
      <c r="K61" s="1">
        <f>J61*D51/(1-D51*B51/(1-D51*B51))</f>
        <v>2.8713736022637435</v>
      </c>
      <c r="L61" s="1">
        <f>K61*D51/(1-D51*B51)</f>
        <v>2.2101849839957022</v>
      </c>
      <c r="M61" s="1">
        <f>L61*D51</f>
        <v>1.2875268233868176</v>
      </c>
      <c r="N61" s="1">
        <f>M61*D51</f>
        <v>0.75003917452358049</v>
      </c>
      <c r="O61" s="1"/>
      <c r="P61" s="9"/>
      <c r="Q61">
        <f>N61+B61</f>
        <v>0.99999999999999989</v>
      </c>
      <c r="R61" s="174">
        <f>C61-N61</f>
        <v>-0.15126956878945796</v>
      </c>
      <c r="S61" s="93">
        <f>SUM(C61:M61)*B51*F51</f>
        <v>2.3451489347580723</v>
      </c>
      <c r="T61" s="9">
        <f>SUM(C61:M61)*D51*H51</f>
        <v>-3.8409981089522636</v>
      </c>
      <c r="U61" s="246">
        <f t="shared" si="15"/>
        <v>-1.4958491741941913</v>
      </c>
      <c r="V61" s="93">
        <f>(U61+W61*L61)/C61</f>
        <v>27.031483466711716</v>
      </c>
      <c r="W61" s="9">
        <f t="shared" si="16"/>
        <v>8</v>
      </c>
    </row>
    <row r="62" spans="1:23" x14ac:dyDescent="0.2">
      <c r="A62" s="98">
        <v>9</v>
      </c>
      <c r="B62" s="98">
        <f>C62*B51</f>
        <v>0.25391107529222384</v>
      </c>
      <c r="C62" s="98">
        <f>D62*B51</f>
        <v>0.60823224661095721</v>
      </c>
      <c r="D62" s="97">
        <f>E62*B51/(1-B51*D51)</f>
        <v>1.4569922378992111</v>
      </c>
      <c r="E62" s="158">
        <f>F62*B51/(1-B51*D51/(1-B51*D51))</f>
        <v>2.6413975811305792</v>
      </c>
      <c r="F62" s="158">
        <f>1/(1-D51*B51/(1-B51*D51/(1-B51*D51/(1-B51*D51/(1-B51*D51/(1-B51*D51/(1-B51*D51/(1-B51*D51)))))))-D51*B51/(1-D51*B51/(1-B51*D51)))</f>
        <v>4.2941805014774852</v>
      </c>
      <c r="G62" s="130">
        <f>F62*D51/(1-D51*B51/(1-D51*B51/(1-D51*B51/(1-D51*B51/(1-D51*B51/(1-D51*B51/(1-D51*B51)))))))</f>
        <v>4.2051088990985193</v>
      </c>
      <c r="H62" s="1">
        <f>G62*D51/(1-D51*B51/(1-D51*B51/(1-D51*B51/(1-D51*B51/(1-D51*B51/(1-D51*B51))))))</f>
        <v>4.0808135943355044</v>
      </c>
      <c r="I62" s="1">
        <f>H62*D51/(1-D51*B51/(1-D51*B51/(1-D51*B51/(1-D51*B51/(1-D51*B51)))))</f>
        <v>3.9073652407244435</v>
      </c>
      <c r="J62" s="1">
        <f>I62*D51/(1-D51*B51/(1-D51*B51/(1-D51*B51/(1-D51*B51))))</f>
        <v>3.665326079005927</v>
      </c>
      <c r="K62" s="1">
        <f>J62*D51/(1-D51*B51/(1-D51*B51/(1-D51*B51)))</f>
        <v>3.327571614430449</v>
      </c>
      <c r="L62" s="1">
        <f>K62*D51/(1-D51*B51/(1-D51*B51))</f>
        <v>2.8562508681070202</v>
      </c>
      <c r="M62" s="1">
        <f>L62*D51/(1-D51*B51)</f>
        <v>2.1985445482391714</v>
      </c>
      <c r="N62" s="1">
        <f>M62*D51</f>
        <v>1.2807457741167474</v>
      </c>
      <c r="O62" s="1">
        <f>N62*D51</f>
        <v>0.74608892470777599</v>
      </c>
      <c r="P62" s="9"/>
      <c r="Q62">
        <f>O62+B62</f>
        <v>0.99999999999999978</v>
      </c>
      <c r="R62" s="174">
        <f>C62-O62</f>
        <v>-0.13785667809681879</v>
      </c>
      <c r="S62" s="93">
        <f>SUM(C62:N62)*B51*F51</f>
        <v>2.6728226386995906</v>
      </c>
      <c r="T62" s="9">
        <f>SUM(C62:N62)*D51*H51</f>
        <v>-4.3776779157392864</v>
      </c>
      <c r="U62" s="246">
        <f t="shared" si="15"/>
        <v>-1.7048552770396959</v>
      </c>
      <c r="V62" s="93">
        <f>(U62+W62*M62)/C62</f>
        <v>29.728850710999282</v>
      </c>
      <c r="W62" s="9">
        <f t="shared" si="16"/>
        <v>9</v>
      </c>
    </row>
    <row r="63" spans="1:23" ht="17" thickBot="1" x14ac:dyDescent="0.25">
      <c r="A63" s="99">
        <v>10</v>
      </c>
      <c r="B63" s="99">
        <f>C63*B51</f>
        <v>0.25671637792600716</v>
      </c>
      <c r="C63" s="99">
        <f>D63*B51</f>
        <v>0.61495221942587253</v>
      </c>
      <c r="D63" s="131">
        <f>E63*B51/(1-B51*D51)</f>
        <v>1.4730896222203811</v>
      </c>
      <c r="E63" s="159">
        <f>F63*B51/(1-B51*D51/(1-B51*D51))</f>
        <v>2.6705807098408427</v>
      </c>
      <c r="F63" s="159">
        <f>1/(1-D51*B51/(1-B51*D51/(1-B51*D51/(1-B51*D51/(1-B51*D51/(1-B51*D51/(1-B51*D51/(1-B51*D51/(1-B51*D51))))))))-D51*B51/(1-D51*B51/(1-B51*D51)))</f>
        <v>4.3416241817378731</v>
      </c>
      <c r="G63" s="139">
        <f>F63*D51/(1-D51*B51/(1-D51*B51/(1-D51*B51/(1-D51*B51/(1-D51*B51/(1-D51*B51/(1-D51*B51/(1-D51*B51))))))))</f>
        <v>4.278034335153607</v>
      </c>
      <c r="H63" s="110">
        <f>G63*D51/(1-D51*B51/(1-D51*B51/(1-D51*B51/(1-D51*B51/(1-D51*B51/(1-D51*B51/(1-D51*B51)))))))</f>
        <v>4.1892976429877189</v>
      </c>
      <c r="I63" s="110">
        <f>H63*D51/(1-D51*B51/(1-D51*B51/(1-D51*B51/(1-D51*B51/(1-D51*B51/(1-D51*B51))))))</f>
        <v>4.0654696899495075</v>
      </c>
      <c r="J63" s="110">
        <f>I63*D51/(1-D51*B51/(1-D51*B51/(1-D51*B51/(1-D51*B51/(1-D51*B51)))))</f>
        <v>3.8926735040722069</v>
      </c>
      <c r="K63" s="110">
        <f>J63*D51/(1-D51*B51/(1-D51*B51/(1-D51*B51/(1-D51*B51))))</f>
        <v>3.6515444122868606</v>
      </c>
      <c r="L63" s="110">
        <f>K63*D51/(1-D51*B51/(1-D51*B51/(1-D51*B51)))</f>
        <v>3.3150599082451309</v>
      </c>
      <c r="M63" s="110">
        <f>L63*D51/(1-D51*B51/(1-D51*B51))</f>
        <v>2.8455113331565665</v>
      </c>
      <c r="N63" s="110">
        <f>M63*D51/(1-D51*B51)</f>
        <v>2.1902779963478132</v>
      </c>
      <c r="O63" s="110">
        <f>N63*D51</f>
        <v>1.2759301557978675</v>
      </c>
      <c r="P63" s="10">
        <f>O63*D51</f>
        <v>0.7432836220739929</v>
      </c>
      <c r="Q63">
        <f>P63+B63</f>
        <v>1</v>
      </c>
      <c r="R63" s="175">
        <f>C63-P63</f>
        <v>-0.12833140264812037</v>
      </c>
      <c r="S63" s="94">
        <f>SUM(C63:O63)*B51*F51</f>
        <v>3.004308615216535</v>
      </c>
      <c r="T63" s="10">
        <f>SUM(C63:O63)*D51*H51</f>
        <v>-4.9206016465415381</v>
      </c>
      <c r="U63" s="247">
        <f t="shared" si="15"/>
        <v>-1.9162930313250031</v>
      </c>
      <c r="V63" s="94">
        <f>(U63+W63*N63)/C63</f>
        <v>32.500877793095491</v>
      </c>
      <c r="W63" s="10">
        <f t="shared" si="16"/>
        <v>10</v>
      </c>
    </row>
  </sheetData>
  <sheetProtection sheet="1" objects="1" scenarios="1"/>
  <mergeCells count="4">
    <mergeCell ref="A4:W4"/>
    <mergeCell ref="A20:W20"/>
    <mergeCell ref="A35:W35"/>
    <mergeCell ref="A50:W50"/>
  </mergeCells>
  <phoneticPr fontId="16" type="noConversion"/>
  <conditionalFormatting sqref="R24">
    <cfRule type="cellIs" dxfId="1018" priority="51" operator="lessThanOrEqual">
      <formula>0</formula>
    </cfRule>
    <cfRule type="cellIs" dxfId="1017" priority="52" operator="greaterThan">
      <formula>0</formula>
    </cfRule>
  </conditionalFormatting>
  <conditionalFormatting sqref="R25:R33">
    <cfRule type="cellIs" dxfId="1016" priority="49" operator="lessThanOrEqual">
      <formula>0</formula>
    </cfRule>
    <cfRule type="cellIs" dxfId="1015" priority="50" operator="greaterThan">
      <formula>0</formula>
    </cfRule>
  </conditionalFormatting>
  <conditionalFormatting sqref="R8:R17 U8:U17">
    <cfRule type="cellIs" dxfId="1014" priority="47" operator="lessThanOrEqual">
      <formula>0</formula>
    </cfRule>
    <cfRule type="cellIs" dxfId="1013" priority="48" operator="greaterThan">
      <formula>0</formula>
    </cfRule>
  </conditionalFormatting>
  <conditionalFormatting sqref="R39">
    <cfRule type="cellIs" dxfId="1012" priority="37" operator="lessThanOrEqual">
      <formula>0</formula>
    </cfRule>
    <cfRule type="cellIs" dxfId="1011" priority="38" operator="greaterThan">
      <formula>0</formula>
    </cfRule>
  </conditionalFormatting>
  <conditionalFormatting sqref="R40:R48">
    <cfRule type="cellIs" dxfId="1010" priority="35" operator="lessThanOrEqual">
      <formula>0</formula>
    </cfRule>
    <cfRule type="cellIs" dxfId="1009" priority="36" operator="greaterThan">
      <formula>0</formula>
    </cfRule>
  </conditionalFormatting>
  <conditionalFormatting sqref="S8:T17">
    <cfRule type="cellIs" dxfId="1008" priority="33" operator="lessThanOrEqual">
      <formula>0</formula>
    </cfRule>
    <cfRule type="cellIs" dxfId="1007" priority="34" operator="greaterThan">
      <formula>0</formula>
    </cfRule>
  </conditionalFormatting>
  <conditionalFormatting sqref="U39:U48">
    <cfRule type="cellIs" dxfId="1006" priority="25" operator="lessThanOrEqual">
      <formula>0</formula>
    </cfRule>
    <cfRule type="cellIs" dxfId="1005" priority="26" operator="greaterThan">
      <formula>0</formula>
    </cfRule>
  </conditionalFormatting>
  <conditionalFormatting sqref="U24:U33">
    <cfRule type="cellIs" dxfId="1004" priority="27" operator="lessThanOrEqual">
      <formula>0</formula>
    </cfRule>
    <cfRule type="cellIs" dxfId="1003" priority="28" operator="greaterThan">
      <formula>0</formula>
    </cfRule>
  </conditionalFormatting>
  <conditionalFormatting sqref="R54">
    <cfRule type="cellIs" dxfId="1002" priority="15" operator="lessThanOrEqual">
      <formula>0</formula>
    </cfRule>
    <cfRule type="cellIs" dxfId="1001" priority="16" operator="greaterThan">
      <formula>0</formula>
    </cfRule>
  </conditionalFormatting>
  <conditionalFormatting sqref="R55:R63">
    <cfRule type="cellIs" dxfId="1000" priority="13" operator="lessThanOrEqual">
      <formula>0</formula>
    </cfRule>
    <cfRule type="cellIs" dxfId="999" priority="14" operator="greaterThan">
      <formula>0</formula>
    </cfRule>
  </conditionalFormatting>
  <conditionalFormatting sqref="U54:U63">
    <cfRule type="cellIs" dxfId="998" priority="9" operator="lessThanOrEqual">
      <formula>0</formula>
    </cfRule>
    <cfRule type="cellIs" dxfId="997" priority="10" operator="greaterThan">
      <formula>0</formula>
    </cfRule>
  </conditionalFormatting>
  <conditionalFormatting sqref="S54:T63">
    <cfRule type="cellIs" dxfId="996" priority="1" operator="lessThanOrEqual">
      <formula>0</formula>
    </cfRule>
    <cfRule type="cellIs" dxfId="995" priority="2" operator="greaterThan">
      <formula>0</formula>
    </cfRule>
  </conditionalFormatting>
  <conditionalFormatting sqref="S24:T33">
    <cfRule type="cellIs" dxfId="994" priority="5" operator="lessThanOrEqual">
      <formula>0</formula>
    </cfRule>
    <cfRule type="cellIs" dxfId="993" priority="6" operator="greaterThan">
      <formula>0</formula>
    </cfRule>
  </conditionalFormatting>
  <conditionalFormatting sqref="S39:T48">
    <cfRule type="cellIs" dxfId="992" priority="3" operator="lessThanOrEqual">
      <formula>0</formula>
    </cfRule>
    <cfRule type="cellIs" dxfId="991" priority="4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02" t="s">
        <v>66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125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02" t="s">
        <v>67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125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19">
        <f>IF(Rules!$B$14=Rules!$E$14,0,1)</f>
        <v>0</v>
      </c>
      <c r="X20" s="119">
        <v>0</v>
      </c>
      <c r="Y20" s="119">
        <v>0</v>
      </c>
      <c r="Z20" s="119">
        <v>0</v>
      </c>
      <c r="AA20" s="119">
        <v>0</v>
      </c>
      <c r="AB20" s="119">
        <v>0</v>
      </c>
      <c r="AC20" s="119">
        <v>0</v>
      </c>
      <c r="AD20" s="119">
        <v>0</v>
      </c>
      <c r="AE20" s="119">
        <v>0</v>
      </c>
      <c r="AF20" s="101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127" t="s">
        <v>4</v>
      </c>
      <c r="B23" s="116">
        <v>11</v>
      </c>
      <c r="C23" s="117">
        <v>12</v>
      </c>
      <c r="D23" s="117">
        <v>13</v>
      </c>
      <c r="E23" s="117">
        <v>14</v>
      </c>
      <c r="F23" s="117">
        <v>15</v>
      </c>
      <c r="G23" s="117">
        <v>16</v>
      </c>
      <c r="H23" s="117">
        <v>17</v>
      </c>
      <c r="I23" s="117">
        <v>18</v>
      </c>
      <c r="J23" s="117">
        <v>19</v>
      </c>
      <c r="K23" s="117">
        <v>20</v>
      </c>
      <c r="L23" s="117">
        <v>21</v>
      </c>
      <c r="M23" s="117">
        <v>22</v>
      </c>
      <c r="N23" s="117">
        <v>23</v>
      </c>
      <c r="O23" s="117">
        <v>24</v>
      </c>
      <c r="P23" s="117">
        <v>25</v>
      </c>
      <c r="Q23" s="117">
        <v>26</v>
      </c>
      <c r="R23" s="117">
        <v>27</v>
      </c>
      <c r="S23" s="117">
        <v>28</v>
      </c>
      <c r="T23" s="117">
        <v>29</v>
      </c>
      <c r="U23" s="117">
        <v>30</v>
      </c>
      <c r="V23" s="117">
        <v>31</v>
      </c>
      <c r="W23" s="104">
        <v>32</v>
      </c>
    </row>
    <row r="24" spans="1:32" x14ac:dyDescent="0.2">
      <c r="A24" s="127" t="s">
        <v>0</v>
      </c>
      <c r="B24" s="108">
        <f t="shared" ref="B24:B30" si="12">L14</f>
        <v>0.2121090766176992</v>
      </c>
      <c r="C24" s="109">
        <f>(SUM(D24:L24)+Rules!$B$5*M24)/(9+Rules!$B$5)</f>
        <v>0.24495802642312861</v>
      </c>
      <c r="D24" s="109">
        <f>(SUM(E24:M24)+Rules!$B$5*N24)/(9+Rules!$B$5)</f>
        <v>0.27249534667872904</v>
      </c>
      <c r="E24" s="109">
        <f>(SUM(F24:N24)+Rules!$B$5*O24)/(9+Rules!$B$5)</f>
        <v>0.29995101900790128</v>
      </c>
      <c r="F24" s="109">
        <f>(SUM(G24:O24)+Rules!$B$5*P24)/(9+Rules!$B$5)</f>
        <v>0.32719621086821865</v>
      </c>
      <c r="G24" s="109">
        <f>(SUM(H24:P24)+Rules!$B$5*Q24)/(9+Rules!$B$5)</f>
        <v>0.35412091093722581</v>
      </c>
      <c r="H24" s="109">
        <f>IF(Rules!$B$4=Rules!$F$4,0,(SUM(I24:Q24)+Rules!$B$5*R24)/(9+Rules!$B$5))</f>
        <v>0</v>
      </c>
      <c r="I24" s="109">
        <v>0</v>
      </c>
      <c r="J24" s="109">
        <v>0</v>
      </c>
      <c r="K24" s="109">
        <v>0</v>
      </c>
      <c r="L24" s="109">
        <v>0</v>
      </c>
      <c r="M24" s="109">
        <f t="shared" ref="M24:V24" si="13">M14</f>
        <v>0.48267271400214923</v>
      </c>
      <c r="N24" s="109">
        <f t="shared" si="13"/>
        <v>0.51962466300199572</v>
      </c>
      <c r="O24" s="109">
        <f t="shared" si="13"/>
        <v>0.55393718707328177</v>
      </c>
      <c r="P24" s="109">
        <f t="shared" si="13"/>
        <v>0.58579881656804733</v>
      </c>
      <c r="Q24" s="109">
        <f t="shared" si="13"/>
        <v>0.61538461538461542</v>
      </c>
      <c r="R24" s="109">
        <f t="shared" si="13"/>
        <v>0</v>
      </c>
      <c r="S24" s="109">
        <f t="shared" si="13"/>
        <v>0</v>
      </c>
      <c r="T24" s="109">
        <f t="shared" si="13"/>
        <v>0</v>
      </c>
      <c r="U24" s="109">
        <f t="shared" si="13"/>
        <v>0</v>
      </c>
      <c r="V24" s="109">
        <f t="shared" si="13"/>
        <v>0</v>
      </c>
      <c r="W24" s="57">
        <f t="shared" ref="W24:W30" si="14">W14</f>
        <v>1</v>
      </c>
    </row>
    <row r="25" spans="1:32" x14ac:dyDescent="0.2">
      <c r="A25" s="126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126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126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126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126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128">
        <v>22</v>
      </c>
      <c r="B30" s="106">
        <f t="shared" si="12"/>
        <v>0</v>
      </c>
      <c r="C30" s="107">
        <f>(SUM(D30:L30)+Rules!$B$5*M30)/(9+Rules!$B$5)</f>
        <v>0</v>
      </c>
      <c r="D30" s="107">
        <f>(SUM(E30:M30)+Rules!$B$5*N30)/(9+Rules!$B$5)</f>
        <v>0</v>
      </c>
      <c r="E30" s="107">
        <f>(SUM(F30:N30)+Rules!$B$5*O30)/(9+Rules!$B$5)</f>
        <v>0</v>
      </c>
      <c r="F30" s="107">
        <f>(SUM(G30:O30)+Rules!$B$5*P30)/(9+Rules!$B$5)</f>
        <v>0</v>
      </c>
      <c r="G30" s="107">
        <f>(SUM(H30:P30)+Rules!$B$5*Q30)/(9+Rules!$B$5)</f>
        <v>0</v>
      </c>
      <c r="H30" s="107">
        <f>IF(Rules!$B$4=Rules!$F$4,0,(SUM(I30:Q30)+Rules!$B$5*R30)/(9+Rules!$B$5))</f>
        <v>0</v>
      </c>
      <c r="I30" s="110">
        <v>0</v>
      </c>
      <c r="J30" s="110">
        <v>0</v>
      </c>
      <c r="K30" s="110">
        <v>0</v>
      </c>
      <c r="L30" s="110">
        <v>0</v>
      </c>
      <c r="M30" s="107">
        <f t="shared" si="19"/>
        <v>0</v>
      </c>
      <c r="N30" s="107">
        <f t="shared" si="19"/>
        <v>0</v>
      </c>
      <c r="O30" s="107">
        <f t="shared" si="19"/>
        <v>0</v>
      </c>
      <c r="P30" s="107">
        <f t="shared" si="19"/>
        <v>0</v>
      </c>
      <c r="Q30" s="107">
        <f t="shared" si="19"/>
        <v>0</v>
      </c>
      <c r="R30" s="110">
        <f t="shared" si="20"/>
        <v>0</v>
      </c>
      <c r="S30" s="110">
        <f t="shared" si="20"/>
        <v>0</v>
      </c>
      <c r="T30" s="110">
        <f t="shared" si="20"/>
        <v>0</v>
      </c>
      <c r="U30" s="110">
        <f t="shared" si="20"/>
        <v>0</v>
      </c>
      <c r="V30" s="110">
        <f t="shared" si="20"/>
        <v>0</v>
      </c>
      <c r="W30" s="10">
        <f t="shared" si="14"/>
        <v>0</v>
      </c>
    </row>
    <row r="31" spans="1:32" ht="17" thickBot="1" x14ac:dyDescent="0.25">
      <c r="A31" s="103"/>
      <c r="B31" s="129">
        <f t="shared" ref="B31:W31" si="21">SUM(B24:B30)</f>
        <v>1</v>
      </c>
      <c r="C31" s="107">
        <f t="shared" si="21"/>
        <v>0.99999999999999978</v>
      </c>
      <c r="D31" s="107">
        <f t="shared" si="21"/>
        <v>0.99999999999999989</v>
      </c>
      <c r="E31" s="107">
        <f t="shared" si="21"/>
        <v>0.99999999999999978</v>
      </c>
      <c r="F31" s="107">
        <f t="shared" si="21"/>
        <v>1.0000000000000002</v>
      </c>
      <c r="G31" s="107">
        <f t="shared" si="21"/>
        <v>1</v>
      </c>
      <c r="H31" s="107">
        <f t="shared" si="21"/>
        <v>1</v>
      </c>
      <c r="I31" s="107">
        <f t="shared" si="21"/>
        <v>1</v>
      </c>
      <c r="J31" s="107">
        <f t="shared" si="21"/>
        <v>1</v>
      </c>
      <c r="K31" s="107">
        <f t="shared" si="21"/>
        <v>1</v>
      </c>
      <c r="L31" s="107">
        <f t="shared" si="21"/>
        <v>1</v>
      </c>
      <c r="M31" s="107">
        <f t="shared" si="21"/>
        <v>0.99999999999999989</v>
      </c>
      <c r="N31" s="107">
        <f t="shared" si="21"/>
        <v>0.99999999999999978</v>
      </c>
      <c r="O31" s="107">
        <f t="shared" si="21"/>
        <v>0.99999999999999978</v>
      </c>
      <c r="P31" s="107">
        <f t="shared" si="21"/>
        <v>0.99999999999999989</v>
      </c>
      <c r="Q31" s="107">
        <f t="shared" si="21"/>
        <v>0.99999999999999978</v>
      </c>
      <c r="R31" s="107">
        <f t="shared" si="21"/>
        <v>1</v>
      </c>
      <c r="S31" s="107">
        <f t="shared" si="21"/>
        <v>1</v>
      </c>
      <c r="T31" s="107">
        <f t="shared" si="21"/>
        <v>1</v>
      </c>
      <c r="U31" s="107">
        <f t="shared" si="21"/>
        <v>1</v>
      </c>
      <c r="V31" s="107">
        <f t="shared" si="21"/>
        <v>1</v>
      </c>
      <c r="W31" s="107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0" t="s">
        <v>33</v>
      </c>
      <c r="M33" s="63" t="s">
        <v>0</v>
      </c>
      <c r="N33" s="62" t="s">
        <v>6</v>
      </c>
      <c r="O33" s="61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8">
        <v>6</v>
      </c>
      <c r="M35" s="53">
        <f>G14</f>
        <v>0.42315049208499772</v>
      </c>
      <c r="N35" s="56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 x14ac:dyDescent="0.25">
      <c r="C44" s="66">
        <f>SUM(C34:C43)/SUM($C$34:$D$43)</f>
        <v>0.31212025922298758</v>
      </c>
      <c r="D44" s="66">
        <f>SUM(D34:D43)/SUM($C$34:$D$43)</f>
        <v>0.68787974077701231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 x14ac:dyDescent="0.25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 x14ac:dyDescent="0.2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4"/>
  <sheetViews>
    <sheetView topLeftCell="A2"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  <col min="19" max="19" width="9.1640625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Analysis!B9</f>
        <v>0.55159898998453116</v>
      </c>
      <c r="D2" s="135" t="s">
        <v>126</v>
      </c>
      <c r="E2" s="141">
        <f>Analysis!E9</f>
        <v>0.44840101001546873</v>
      </c>
      <c r="F2" s="135" t="s">
        <v>47</v>
      </c>
      <c r="G2" s="141">
        <f>Analysis!S9</f>
        <v>0.16189528242837606</v>
      </c>
      <c r="H2" t="s">
        <v>155</v>
      </c>
      <c r="I2" s="155">
        <f>Analysis!T9</f>
        <v>-0.26515990709128862</v>
      </c>
      <c r="J2" t="s">
        <v>48</v>
      </c>
      <c r="K2" s="155">
        <f>C2*G2+E2*I2</f>
        <v>-2.9596695884589019E-2</v>
      </c>
      <c r="L2" t="s">
        <v>47</v>
      </c>
      <c r="M2" s="162">
        <v>1</v>
      </c>
      <c r="N2" t="s">
        <v>155</v>
      </c>
      <c r="O2" s="162">
        <v>2</v>
      </c>
    </row>
    <row r="4" spans="1:23" x14ac:dyDescent="0.2">
      <c r="A4" t="s">
        <v>123</v>
      </c>
      <c r="B4">
        <f>$C$2</f>
        <v>0.55159898998453116</v>
      </c>
      <c r="C4" t="s">
        <v>124</v>
      </c>
      <c r="D4">
        <f>$E$2</f>
        <v>0.44840101001546873</v>
      </c>
      <c r="E4" t="s">
        <v>47</v>
      </c>
      <c r="F4">
        <f>G2</f>
        <v>0.16189528242837606</v>
      </c>
      <c r="G4" t="s">
        <v>155</v>
      </c>
      <c r="H4">
        <f>I2</f>
        <v>-0.26515990709128862</v>
      </c>
      <c r="I4" t="s">
        <v>48</v>
      </c>
      <c r="J4">
        <f>K2</f>
        <v>-2.9596695884589019E-2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0.55159898998453116</v>
      </c>
      <c r="C7" s="95">
        <v>1</v>
      </c>
      <c r="D7" s="108">
        <f>C7*D4</f>
        <v>0.44840101001546873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0.99999999999999989</v>
      </c>
      <c r="R7" s="276">
        <f>B7-D7</f>
        <v>0.10319797996906244</v>
      </c>
      <c r="S7" s="277">
        <f>IF(Rules!B20=Rules!E20,SUM(C7)*B4*F4,SUM(C7)*B4*F4*POWER(O2,A7-1))</f>
        <v>8.9301274270752642E-2</v>
      </c>
      <c r="T7" s="260">
        <f>IF(Rules!B20=Rules!E20,SUM(C7)*D4*H4,SUM(C7)*D4*H4*POWER(O2,A7-1))</f>
        <v>-0.11889797015534166</v>
      </c>
      <c r="U7" s="274">
        <f>S7+T7</f>
        <v>-2.9596695884589019E-2</v>
      </c>
      <c r="V7" s="108">
        <f>(U7+W7*D7)/B7</f>
        <v>0.75925504167914537</v>
      </c>
      <c r="W7" s="57">
        <f>COUNT(D7:M7)</f>
        <v>1</v>
      </c>
    </row>
    <row r="8" spans="1:23" x14ac:dyDescent="0.2">
      <c r="A8" s="98">
        <v>2</v>
      </c>
      <c r="B8" s="97">
        <f>C8*B4</f>
        <v>0.73286369707668519</v>
      </c>
      <c r="C8" s="97">
        <f>1/(1-B4*D4)</f>
        <v>1.3286168219728562</v>
      </c>
      <c r="D8" s="93">
        <f>C8*D4</f>
        <v>0.59575312489617094</v>
      </c>
      <c r="E8" s="1">
        <f>D8*D4</f>
        <v>0.26713630292331475</v>
      </c>
      <c r="F8" s="1"/>
      <c r="G8" s="1"/>
      <c r="H8" s="1"/>
      <c r="I8" s="1"/>
      <c r="J8" s="1"/>
      <c r="K8" s="1"/>
      <c r="L8" s="1"/>
      <c r="M8" s="242"/>
      <c r="N8" s="97">
        <f>B8+E8</f>
        <v>1</v>
      </c>
      <c r="R8" s="278">
        <f>B8-E8</f>
        <v>0.46572739415337044</v>
      </c>
      <c r="S8" s="279">
        <f>IF(Rules!B20=Rules!E20,SUM(C8:D8)*B4*F4,SUM(C8:D8)*B4*F4*POWER(O2,A8-1))</f>
        <v>0.17184868842374471</v>
      </c>
      <c r="T8" s="261">
        <f>IF(Rules!B20=Rules!E20,SUM(C8:D8)*D4*H4,SUM(C8:D8)*D4*H4*POWER(O2,A8-1))</f>
        <v>-0.22880368051067002</v>
      </c>
      <c r="U8" s="275">
        <f>S8+T8+U7</f>
        <v>-8.6551687971514329E-2</v>
      </c>
      <c r="V8" s="93">
        <f>(U8+W8*E8)/B8</f>
        <v>0.61091976538205661</v>
      </c>
      <c r="W8" s="9">
        <f>COUNT(D8:M8)</f>
        <v>2</v>
      </c>
    </row>
    <row r="9" spans="1:23" x14ac:dyDescent="0.2">
      <c r="A9" s="98">
        <v>3</v>
      </c>
      <c r="B9" s="97">
        <f>C9*B4</f>
        <v>0.82158595573604043</v>
      </c>
      <c r="C9" s="97">
        <f>1/(1-D4*B4/(1-D4*B4))</f>
        <v>1.4894624005005532</v>
      </c>
      <c r="D9" s="93">
        <f>C9*D4*C8</f>
        <v>0.88735187951355676</v>
      </c>
      <c r="E9" s="1">
        <f>D9*(D4)</f>
        <v>0.39788947901300337</v>
      </c>
      <c r="F9" s="1">
        <f>E9*D4</f>
        <v>0.17841404426395935</v>
      </c>
      <c r="G9" s="1"/>
      <c r="H9" s="1"/>
      <c r="I9" s="1"/>
      <c r="J9" s="1"/>
      <c r="K9" s="1"/>
      <c r="L9" s="1"/>
      <c r="M9" s="242"/>
      <c r="N9" s="97">
        <f>B9+F9</f>
        <v>0.99999999999999978</v>
      </c>
      <c r="R9" s="278">
        <f>B9-F9</f>
        <v>0.64317191147208108</v>
      </c>
      <c r="S9" s="279">
        <f>IF(Rules!B20=Rules!E20,SUM(C9:E9)*B4*F4,SUM(C9:E9)*B4*F4*POWER(O2,A9-1))</f>
        <v>0.24778458140496862</v>
      </c>
      <c r="T9" s="261">
        <f>IF(Rules!B20=Rules!E20,SUM(C9:E9)*D4*H4,SUM(C9:E9)*D4*H4*POWER(O2,A9-1))</f>
        <v>-0.32990664473072007</v>
      </c>
      <c r="U9" s="275">
        <f t="shared" ref="U9:U16" si="0">S9+T9+U8</f>
        <v>-0.16867375129726578</v>
      </c>
      <c r="V9" s="93">
        <f>(U9+W9*F9)/B9</f>
        <v>0.44617167435172606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0.87333591806722555</v>
      </c>
      <c r="C10" s="97">
        <f>1/(1-D4*B4/(1-D4*B4/(1-D4*B4)))</f>
        <v>1.5832804880438904</v>
      </c>
      <c r="D10" s="93">
        <f>C10*D4*C9</f>
        <v>1.0574357434197761</v>
      </c>
      <c r="E10" s="1">
        <f>D10*D4*C8</f>
        <v>0.62997064851923723</v>
      </c>
      <c r="F10" s="1">
        <f>E10*D4</f>
        <v>0.28247947507612581</v>
      </c>
      <c r="G10" s="1">
        <f>F10*D4</f>
        <v>0.12666408193277423</v>
      </c>
      <c r="H10" s="1"/>
      <c r="I10" s="1"/>
      <c r="J10" s="1"/>
      <c r="K10" s="1"/>
      <c r="L10" s="1"/>
      <c r="M10" s="242"/>
      <c r="N10" s="97">
        <f>B10+G10</f>
        <v>0.99999999999999978</v>
      </c>
      <c r="R10" s="278">
        <f>B10-G10</f>
        <v>0.74667183613445132</v>
      </c>
      <c r="S10" s="279">
        <f>IF(Rules!B20=Rules!E20,SUM(C10:F10)*B4*F4,SUM(C10:F10)*B4*F4*POWER(O2,A10-1))</f>
        <v>0.3173022832027369</v>
      </c>
      <c r="T10" s="261">
        <f>IF(Rules!B20=Rules!E20,SUM(C10:F10)*D4*H4,SUM(C10:F10)*D4*H4*POWER(O2,A10-1))</f>
        <v>-0.42246426724077257</v>
      </c>
      <c r="U10" s="275">
        <f t="shared" si="0"/>
        <v>-0.27383573533530148</v>
      </c>
      <c r="V10" s="93">
        <f>(U10+W10*G10)/B10</f>
        <v>0.26658767557739899</v>
      </c>
      <c r="W10" s="9">
        <f t="shared" si="1"/>
        <v>4</v>
      </c>
    </row>
    <row r="11" spans="1:23" x14ac:dyDescent="0.2">
      <c r="A11" s="98">
        <v>5</v>
      </c>
      <c r="B11" s="97">
        <f>C11*B4</f>
        <v>0.90664572360390372</v>
      </c>
      <c r="C11" s="97">
        <f>1/(1-D4*B4/(1-D4*B4/(1-D4*B4/(1-D4*B4))))</f>
        <v>1.6436682083651555</v>
      </c>
      <c r="D11" s="93">
        <f>C11*D4*C10</f>
        <v>1.1669133193721153</v>
      </c>
      <c r="E11" s="1">
        <f>D11*D4*C9</f>
        <v>0.77935391909060459</v>
      </c>
      <c r="F11" s="1">
        <f>E11*D4*C8</f>
        <v>0.46430253269830529</v>
      </c>
      <c r="G11" s="1">
        <f>F11*D4</f>
        <v>0.20819372461466029</v>
      </c>
      <c r="H11" s="1">
        <f>G11*D4</f>
        <v>9.3354276396096031E-2</v>
      </c>
      <c r="I11" s="1"/>
      <c r="J11" s="1"/>
      <c r="K11" s="1"/>
      <c r="L11" s="1"/>
      <c r="M11" s="242"/>
      <c r="N11" s="97">
        <f>B11+H11</f>
        <v>0.99999999999999978</v>
      </c>
      <c r="R11" s="278">
        <f>B11-H11</f>
        <v>0.81329144720780766</v>
      </c>
      <c r="S11" s="279">
        <f>IF(Rules!B20=Rules!E20,SUM(C11:G11)*B4*F4,SUM(C11:G11)*B4*F4*POWER(O2,A11-1))</f>
        <v>0.38064058267183282</v>
      </c>
      <c r="T11" s="261">
        <f>IF(Rules!B20=Rules!E20,SUM(C11:G11)*D4*H4,SUM(C11:G11)*D4*H4*POWER(O2,A11-1))</f>
        <v>-0.50679447754811979</v>
      </c>
      <c r="U11" s="275">
        <f t="shared" si="0"/>
        <v>-0.39998963021158845</v>
      </c>
      <c r="V11" s="93">
        <f>(U11+W11*H11)/B11</f>
        <v>7.3658045287452775E-2</v>
      </c>
      <c r="W11" s="9">
        <f t="shared" si="1"/>
        <v>5</v>
      </c>
    </row>
    <row r="12" spans="1:23" x14ac:dyDescent="0.2">
      <c r="A12" s="98">
        <v>6</v>
      </c>
      <c r="B12" s="97">
        <f>C12*B4</f>
        <v>0.92946413851235521</v>
      </c>
      <c r="C12" s="97">
        <f>1/(1-D4*B4/(1-D4*B4/(1-D4*B4/(1-D4*B4/(1-D4*B4)))))</f>
        <v>1.6850359688628522</v>
      </c>
      <c r="D12" s="93">
        <f>C12*D4*C11</f>
        <v>1.2419093966833823</v>
      </c>
      <c r="E12" s="1">
        <f>D12*D4*C10</f>
        <v>0.881686832578363</v>
      </c>
      <c r="F12" s="1">
        <f>E12*D4*C9</f>
        <v>0.58885786713812116</v>
      </c>
      <c r="G12" s="1">
        <f>F12*D4*C8</f>
        <v>0.35081391446722993</v>
      </c>
      <c r="H12" s="1">
        <f>G12*D4</f>
        <v>0.15730531357458616</v>
      </c>
      <c r="I12" s="1">
        <f>H12*D4</f>
        <v>7.0535861487644458E-2</v>
      </c>
      <c r="J12" s="1"/>
      <c r="K12" s="1"/>
      <c r="L12" s="1"/>
      <c r="M12" s="242"/>
      <c r="N12" s="97">
        <f>B12+I12</f>
        <v>0.99999999999999967</v>
      </c>
      <c r="R12" s="278">
        <f>B12-I12</f>
        <v>0.85892827702471075</v>
      </c>
      <c r="S12" s="279">
        <f>IF(Rules!B20=Rules!E20,SUM(C12:H12)*B4*F4,SUM(C12:H12)*B4*F4*POWER(O2,A12-1))</f>
        <v>0.4380771609665412</v>
      </c>
      <c r="T12" s="261">
        <f>IF(Rules!B20=Rules!E20,SUM(C12:H12)*D4*H4,SUM(C12:H12)*D4*H4*POWER(O2,A12-1))</f>
        <v>-0.58326698734908911</v>
      </c>
      <c r="U12" s="275">
        <f t="shared" si="0"/>
        <v>-0.54517945659413636</v>
      </c>
      <c r="V12" s="93">
        <f>(U12+W12*I12)/B12</f>
        <v>-0.13122000367166223</v>
      </c>
      <c r="W12" s="9">
        <f t="shared" si="1"/>
        <v>6</v>
      </c>
    </row>
    <row r="13" spans="1:23" x14ac:dyDescent="0.2">
      <c r="A13" s="98">
        <v>7</v>
      </c>
      <c r="B13" s="97">
        <f>C13*B4</f>
        <v>0.94577011521603993</v>
      </c>
      <c r="C13" s="97">
        <f>1/(1-D4*B4/(1-D4*B4/(1-D4*B4/(1-D4*B4/(1-D4*B4/(1-D4*B4))))))</f>
        <v>1.7145972570445838</v>
      </c>
      <c r="D13" s="93">
        <f>C13*D4*C12</f>
        <v>1.2955013878191175</v>
      </c>
      <c r="E13" s="1">
        <f>D13*D4*C11</f>
        <v>0.95481365186209588</v>
      </c>
      <c r="F13" s="1">
        <f>E13*D4*C10</f>
        <v>0.67786476747908453</v>
      </c>
      <c r="G13" s="1">
        <f>F13*D4*C9</f>
        <v>0.45272991093505405</v>
      </c>
      <c r="H13" s="1">
        <f>G13*D4*C8</f>
        <v>0.26971525917352357</v>
      </c>
      <c r="I13" s="1">
        <f>H13*D4</f>
        <v>0.12094059462999189</v>
      </c>
      <c r="J13" s="1">
        <f>I13*D4</f>
        <v>5.4229884783959736E-2</v>
      </c>
      <c r="K13" s="1"/>
      <c r="L13" s="1"/>
      <c r="M13" s="242"/>
      <c r="N13" s="97">
        <f>B13+J13</f>
        <v>0.99999999999999967</v>
      </c>
      <c r="R13" s="278">
        <f>B13-J13</f>
        <v>0.89154023043208019</v>
      </c>
      <c r="S13" s="279">
        <f>IF(Rules!B20=Rules!E20,SUM(C13:I13)*B4*F4,SUM(C13:I13)*B4*F4*POWER(O2,A13-1))</f>
        <v>0.48992133148148737</v>
      </c>
      <c r="T13" s="261">
        <f>IF(Rules!B20=Rules!E20,SUM(C13:I13)*D4*H4,SUM(C13:I13)*D4*H4*POWER(O2,A13-1))</f>
        <v>-0.65229362430306315</v>
      </c>
      <c r="U13" s="275">
        <f t="shared" si="0"/>
        <v>-0.70755174941571219</v>
      </c>
      <c r="V13" s="93">
        <f>(U13+W13*J13)/B13</f>
        <v>-0.34674658318325369</v>
      </c>
      <c r="W13" s="9">
        <f t="shared" si="1"/>
        <v>7</v>
      </c>
    </row>
    <row r="14" spans="1:23" x14ac:dyDescent="0.2">
      <c r="A14" s="98">
        <v>8</v>
      </c>
      <c r="B14" s="97">
        <f>C14*B4</f>
        <v>0.95777726835614252</v>
      </c>
      <c r="C14" s="97">
        <f>1/(1-D4*B4/(1-D4*B4/(1-D4*B4/(1-D4*B4/(1-D4*B4/(1-D4*B4/(1-D4*B4)))))))</f>
        <v>1.7363651597386029</v>
      </c>
      <c r="D14" s="93">
        <f>C14*D4*C13</f>
        <v>1.3349646629324925</v>
      </c>
      <c r="E14" s="1">
        <f>D14*D4*C12</f>
        <v>1.0086616938251376</v>
      </c>
      <c r="F14" s="1">
        <f>E14*D4*C11</f>
        <v>0.74340634786649573</v>
      </c>
      <c r="G14" s="1">
        <f>F14*D4*C10</f>
        <v>0.52777729995400213</v>
      </c>
      <c r="H14" s="1">
        <f>G14*D4*C9</f>
        <v>0.35249002672069274</v>
      </c>
      <c r="I14" s="1">
        <f>H14*D4*C8</f>
        <v>0.20999703491358748</v>
      </c>
      <c r="J14" s="1">
        <f>I14*D4</f>
        <v>9.4162882555506283E-2</v>
      </c>
      <c r="K14" s="1">
        <f>J14*D4</f>
        <v>4.2222731643856981E-2</v>
      </c>
      <c r="L14" s="1"/>
      <c r="M14" s="242"/>
      <c r="N14" s="97">
        <f>B14+K14</f>
        <v>0.99999999999999956</v>
      </c>
      <c r="R14" s="278">
        <f>B14-K14</f>
        <v>0.91555453671228548</v>
      </c>
      <c r="S14" s="279">
        <f>IF(Rules!B20=Rules!E20,SUM(C14:J14)*B4*F4,SUM(C14:J14)*B4*F4*POWER(O2,A14-1))</f>
        <v>0.53650643778545481</v>
      </c>
      <c r="T14" s="261">
        <f>IF(Rules!B20=Rules!E20,SUM(C14:J14)*D4*H4,SUM(C14:J14)*D4*H4*POWER(O2,A14-1))</f>
        <v>-0.71431821044972021</v>
      </c>
      <c r="U14" s="275">
        <f t="shared" si="0"/>
        <v>-0.88536352207997759</v>
      </c>
      <c r="V14" s="93">
        <f>(U14+W14*K14)/B14</f>
        <v>-0.57172130412841193</v>
      </c>
      <c r="W14" s="9">
        <f t="shared" si="1"/>
        <v>8</v>
      </c>
    </row>
    <row r="15" spans="1:23" x14ac:dyDescent="0.2">
      <c r="A15" s="98">
        <v>9</v>
      </c>
      <c r="B15" s="97">
        <f>C15*B4</f>
        <v>0.9668156645244621</v>
      </c>
      <c r="C15" s="97">
        <f>1/(1-D4*B4/(1-D4*B4/(1-D4*B4/(1-D4*B4/(1-D4*B4/(1-D4*B4/(1-D4*B4/(1-D4*B4))))))))</f>
        <v>1.7527509695976331</v>
      </c>
      <c r="D15" s="93">
        <f>C15*D4*C14</f>
        <v>1.3646706815375838</v>
      </c>
      <c r="E15" s="1">
        <f>D15*D4*C13</f>
        <v>1.0491958596237512</v>
      </c>
      <c r="F15" s="1">
        <f>E15*D4*C12</f>
        <v>0.79274283605208062</v>
      </c>
      <c r="G15" s="1">
        <f>F15*D4*C11</f>
        <v>0.58426929480378598</v>
      </c>
      <c r="H15" s="1">
        <f>G15*D4*C10</f>
        <v>0.41479881325004297</v>
      </c>
      <c r="I15" s="1">
        <f>H15*D4*C9</f>
        <v>0.27703435668597776</v>
      </c>
      <c r="J15" s="1">
        <f>I15*D4*C8</f>
        <v>0.16504408369927168</v>
      </c>
      <c r="K15" s="1">
        <f>J15*D4</f>
        <v>7.400593382783098E-2</v>
      </c>
      <c r="L15" s="1">
        <f>K15*D4</f>
        <v>3.3184335475537355E-2</v>
      </c>
      <c r="M15" s="242"/>
      <c r="N15" s="97">
        <f>B15+L15</f>
        <v>0.99999999999999944</v>
      </c>
      <c r="R15" s="278">
        <f>B15-L15</f>
        <v>0.93363132904892476</v>
      </c>
      <c r="S15" s="279">
        <f>IF(Rules!B20=Rules!E20,SUM(C15:K15)*B4*F4,SUM(C15:K15)*B4*F4*POWER(O2,A15-1))</f>
        <v>0.57818224591899725</v>
      </c>
      <c r="T15" s="261">
        <f>IF(Rules!B20=Rules!E20,SUM(C15:K15)*D4*H4,SUM(C15:K15)*D4*H4*POWER(O2,A15-1))</f>
        <v>-0.76980643312208763</v>
      </c>
      <c r="U15" s="275">
        <f t="shared" si="0"/>
        <v>-1.076987709283068</v>
      </c>
      <c r="V15" s="93">
        <f>(U15+W15*L15)/B15</f>
        <v>-0.80504352438896454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0.97373266668598557</v>
      </c>
      <c r="C16" s="131">
        <f>1/(1-D4*B4/(1-D4*B4/(1-D4*B4/(1-D4*B4/(1-D4*B4/(1-D4*B4/(1-D4*B4/(1-D4*B4/(1-D4*B4)))))))))</f>
        <v>1.7652908804515623</v>
      </c>
      <c r="D16" s="94">
        <f>C16*D4*C15</f>
        <v>1.3874044266705849</v>
      </c>
      <c r="E16" s="110">
        <f>D16*D4*C14</f>
        <v>1.0802162870561418</v>
      </c>
      <c r="F16" s="110">
        <f>E16*D4*C13</f>
        <v>0.83049960053401506</v>
      </c>
      <c r="G16" s="110">
        <f>F16*D4*C12</f>
        <v>0.62750210328084222</v>
      </c>
      <c r="H16" s="110">
        <f>G16*D4*C11</f>
        <v>0.46248315935295792</v>
      </c>
      <c r="I16" s="110">
        <f>H16*D4*C10</f>
        <v>0.32833740768828501</v>
      </c>
      <c r="J16" s="110">
        <f>I16*D4*C9</f>
        <v>0.21928882053004817</v>
      </c>
      <c r="K16" s="110">
        <f>J16*D4*C8</f>
        <v>0.13064200008557181</v>
      </c>
      <c r="L16" s="110">
        <f>K16*D4</f>
        <v>5.8580004788811348E-2</v>
      </c>
      <c r="M16" s="244">
        <f>L16*D4</f>
        <v>2.6267333314014003E-2</v>
      </c>
      <c r="N16" s="131">
        <f>B16+M16</f>
        <v>0.99999999999999956</v>
      </c>
      <c r="R16" s="280">
        <f>B16-M16</f>
        <v>0.94746533337197159</v>
      </c>
      <c r="S16" s="281">
        <f>IF(Rules!B20=Rules!E20,SUM(C16:L16)*B4*F4,SUM(C16:L16)*B4*F4*POWER(O2,A16-1))</f>
        <v>0.61530763089347429</v>
      </c>
      <c r="T16" s="262">
        <f>IF(Rules!B20=Rules!E20,SUM(C16:L16)*D4*H4,SUM(C16:L16)*D4*H4*POWER(O2,A16-1))</f>
        <v>-0.81923610756679632</v>
      </c>
      <c r="U16" s="282">
        <f t="shared" si="0"/>
        <v>-1.28091618595639</v>
      </c>
      <c r="V16" s="94">
        <f>(U16+W16*M16)/B16</f>
        <v>-1.0457108892954685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2</v>
      </c>
      <c r="D21" s="57">
        <f>SUM($C$21:C21)</f>
        <v>2</v>
      </c>
      <c r="E21" s="260">
        <f t="shared" ref="E21:E30" si="3">D21/R7</f>
        <v>19.380224308650003</v>
      </c>
      <c r="F21" s="8">
        <f t="shared" ref="F21:F30" si="4">U7/E21</f>
        <v>-1.5271596145241251E-3</v>
      </c>
      <c r="G21" s="265">
        <f>E21*U7</f>
        <v>-0.57359060503823367</v>
      </c>
      <c r="O21" s="100">
        <v>1</v>
      </c>
      <c r="P21" s="108">
        <v>1</v>
      </c>
      <c r="Q21" s="109">
        <f>P21*2+1</f>
        <v>3</v>
      </c>
      <c r="R21" s="57">
        <f>SUM($Q$21)</f>
        <v>3</v>
      </c>
      <c r="S21" s="260">
        <f>R21/R7</f>
        <v>29.070336462975007</v>
      </c>
      <c r="T21" s="8">
        <f>U7/S21</f>
        <v>-1.0181064096827501E-3</v>
      </c>
      <c r="U21" s="265">
        <f>S21*U7</f>
        <v>-0.86038590755735045</v>
      </c>
    </row>
    <row r="22" spans="1:21" x14ac:dyDescent="0.2">
      <c r="A22" s="97">
        <v>2</v>
      </c>
      <c r="B22" s="93">
        <f>C21</f>
        <v>2</v>
      </c>
      <c r="C22" s="1">
        <f t="shared" si="2"/>
        <v>4</v>
      </c>
      <c r="D22" s="9">
        <f>SUM($C$21:C22)</f>
        <v>6</v>
      </c>
      <c r="E22" s="261">
        <f t="shared" si="3"/>
        <v>12.883072963545962</v>
      </c>
      <c r="F22" s="9">
        <f t="shared" si="4"/>
        <v>-6.718248683091497E-3</v>
      </c>
      <c r="G22" s="266">
        <f t="shared" ref="G22:G30" si="5">E22*U8</f>
        <v>-1.1150517112550824</v>
      </c>
      <c r="O22" s="98">
        <v>2</v>
      </c>
      <c r="P22" s="93">
        <f>Q21</f>
        <v>3</v>
      </c>
      <c r="Q22" s="1">
        <f>P22*2+1</f>
        <v>7</v>
      </c>
      <c r="R22" s="9">
        <f>SUM($Q$21:Q22)</f>
        <v>10</v>
      </c>
      <c r="S22" s="261">
        <f>R22/R8</f>
        <v>21.471788272576603</v>
      </c>
      <c r="T22" s="9">
        <f>U8/S22</f>
        <v>-4.030949209854898E-3</v>
      </c>
      <c r="U22" s="266">
        <f t="shared" ref="U22:U30" si="6">S22*U8</f>
        <v>-1.8584195187584709</v>
      </c>
    </row>
    <row r="23" spans="1:21" x14ac:dyDescent="0.2">
      <c r="A23" s="97">
        <v>3</v>
      </c>
      <c r="B23" s="93">
        <f t="shared" ref="B23:B30" si="7">C22</f>
        <v>4</v>
      </c>
      <c r="C23" s="1">
        <f t="shared" si="2"/>
        <v>8</v>
      </c>
      <c r="D23" s="9">
        <f>SUM($C$21:C23)</f>
        <v>14</v>
      </c>
      <c r="E23" s="261">
        <f t="shared" si="3"/>
        <v>21.767119723802981</v>
      </c>
      <c r="F23" s="9">
        <f t="shared" si="4"/>
        <v>-7.7490156455020595E-3</v>
      </c>
      <c r="G23" s="266">
        <f t="shared" si="5"/>
        <v>-3.6715417387505527</v>
      </c>
      <c r="O23" s="98">
        <v>3</v>
      </c>
      <c r="P23" s="93">
        <f t="shared" ref="P23:P30" si="8">Q22</f>
        <v>7</v>
      </c>
      <c r="Q23" s="1">
        <f>P23*2+1</f>
        <v>15</v>
      </c>
      <c r="R23" s="9">
        <f>SUM($Q$21:Q23)</f>
        <v>25</v>
      </c>
      <c r="S23" s="261">
        <f t="shared" ref="S23:S30" si="9">R23/R9</f>
        <v>38.869856649648177</v>
      </c>
      <c r="T23" s="9">
        <f t="shared" ref="T23:T30" si="10">U9/S23</f>
        <v>-4.3394487614811543E-3</v>
      </c>
      <c r="U23" s="266">
        <f t="shared" si="6"/>
        <v>-6.5563245334831288</v>
      </c>
    </row>
    <row r="24" spans="1:21" x14ac:dyDescent="0.2">
      <c r="A24" s="97">
        <v>4</v>
      </c>
      <c r="B24" s="93">
        <f t="shared" si="7"/>
        <v>8</v>
      </c>
      <c r="C24" s="1">
        <f t="shared" si="2"/>
        <v>16</v>
      </c>
      <c r="D24" s="9">
        <f>SUM($C$21:C24)</f>
        <v>30</v>
      </c>
      <c r="E24" s="261">
        <f t="shared" si="3"/>
        <v>40.178293258402711</v>
      </c>
      <c r="F24" s="9">
        <f t="shared" si="4"/>
        <v>-6.815514376734574E-3</v>
      </c>
      <c r="G24" s="266">
        <f t="shared" si="5"/>
        <v>-11.002252478932093</v>
      </c>
      <c r="O24" s="98">
        <v>4</v>
      </c>
      <c r="P24" s="93">
        <f t="shared" si="8"/>
        <v>15</v>
      </c>
      <c r="Q24" s="1">
        <f t="shared" ref="Q24:Q30" si="11">P24*2+1</f>
        <v>31</v>
      </c>
      <c r="R24" s="9">
        <f>SUM($Q$21:Q24)</f>
        <v>56</v>
      </c>
      <c r="S24" s="261">
        <f t="shared" si="9"/>
        <v>74.999480749018403</v>
      </c>
      <c r="T24" s="9">
        <f t="shared" si="10"/>
        <v>-3.6511684161078068E-3</v>
      </c>
      <c r="U24" s="266">
        <f t="shared" si="6"/>
        <v>-20.537537960673241</v>
      </c>
    </row>
    <row r="25" spans="1:21" x14ac:dyDescent="0.2">
      <c r="A25" s="97">
        <v>5</v>
      </c>
      <c r="B25" s="93">
        <f t="shared" si="7"/>
        <v>16</v>
      </c>
      <c r="C25" s="1">
        <f t="shared" si="2"/>
        <v>32</v>
      </c>
      <c r="D25" s="9">
        <f>SUM($C$21:C25)</f>
        <v>62</v>
      </c>
      <c r="E25" s="261">
        <f t="shared" si="3"/>
        <v>76.233434167860011</v>
      </c>
      <c r="F25" s="9">
        <f t="shared" si="4"/>
        <v>-5.2469055681112677E-3</v>
      </c>
      <c r="G25" s="266">
        <f t="shared" si="5"/>
        <v>-30.492583142561799</v>
      </c>
      <c r="O25" s="98">
        <v>5</v>
      </c>
      <c r="P25" s="93">
        <f t="shared" si="8"/>
        <v>31</v>
      </c>
      <c r="Q25" s="1">
        <f t="shared" si="11"/>
        <v>63</v>
      </c>
      <c r="R25" s="9">
        <f>SUM($Q$21:Q25)</f>
        <v>119</v>
      </c>
      <c r="S25" s="261">
        <f t="shared" si="9"/>
        <v>146.31901074153777</v>
      </c>
      <c r="T25" s="9">
        <f t="shared" si="10"/>
        <v>-2.7336818926294E-3</v>
      </c>
      <c r="U25" s="266">
        <f t="shared" si="6"/>
        <v>-58.526086999433133</v>
      </c>
    </row>
    <row r="26" spans="1:21" x14ac:dyDescent="0.2">
      <c r="A26" s="97">
        <v>6</v>
      </c>
      <c r="B26" s="93">
        <f t="shared" si="7"/>
        <v>32</v>
      </c>
      <c r="C26" s="1">
        <f t="shared" si="2"/>
        <v>64</v>
      </c>
      <c r="D26" s="9">
        <f>SUM($C$21:C26)</f>
        <v>126</v>
      </c>
      <c r="E26" s="261">
        <f t="shared" si="3"/>
        <v>146.69443697494555</v>
      </c>
      <c r="F26" s="9">
        <f t="shared" si="4"/>
        <v>-3.7164289787434096E-3</v>
      </c>
      <c r="G26" s="266">
        <f t="shared" si="5"/>
        <v>-79.974793435383603</v>
      </c>
      <c r="O26" s="98">
        <v>6</v>
      </c>
      <c r="P26" s="93">
        <f t="shared" si="8"/>
        <v>63</v>
      </c>
      <c r="Q26" s="1">
        <f t="shared" si="11"/>
        <v>127</v>
      </c>
      <c r="R26" s="9">
        <f>SUM($Q$21:Q26)</f>
        <v>246</v>
      </c>
      <c r="S26" s="261">
        <f t="shared" si="9"/>
        <v>286.40342457013179</v>
      </c>
      <c r="T26" s="9">
        <f t="shared" si="10"/>
        <v>-1.9035367939905269E-3</v>
      </c>
      <c r="U26" s="266">
        <f t="shared" si="6"/>
        <v>-156.14126337384417</v>
      </c>
    </row>
    <row r="27" spans="1:21" x14ac:dyDescent="0.2">
      <c r="A27" s="97">
        <v>7</v>
      </c>
      <c r="B27" s="93">
        <f t="shared" si="7"/>
        <v>64</v>
      </c>
      <c r="C27" s="1">
        <f t="shared" si="2"/>
        <v>128</v>
      </c>
      <c r="D27" s="9">
        <f>SUM($C$21:C27)</f>
        <v>254</v>
      </c>
      <c r="E27" s="261">
        <f t="shared" si="3"/>
        <v>284.90021126348978</v>
      </c>
      <c r="F27" s="9">
        <f t="shared" si="4"/>
        <v>-2.4835072823492341E-3</v>
      </c>
      <c r="G27" s="266">
        <f t="shared" si="5"/>
        <v>-201.58164288838819</v>
      </c>
      <c r="O27" s="98">
        <v>7</v>
      </c>
      <c r="P27" s="93">
        <f t="shared" si="8"/>
        <v>127</v>
      </c>
      <c r="Q27" s="1">
        <f t="shared" si="11"/>
        <v>255</v>
      </c>
      <c r="R27" s="9">
        <f>SUM($Q$21:Q27)</f>
        <v>501</v>
      </c>
      <c r="S27" s="261">
        <f t="shared" si="9"/>
        <v>561.94884190160781</v>
      </c>
      <c r="T27" s="9">
        <f t="shared" si="10"/>
        <v>-1.259103492448514E-3</v>
      </c>
      <c r="U27" s="266">
        <f t="shared" si="6"/>
        <v>-397.60788616961605</v>
      </c>
    </row>
    <row r="28" spans="1:21" x14ac:dyDescent="0.2">
      <c r="A28" s="97">
        <v>8</v>
      </c>
      <c r="B28" s="93">
        <f t="shared" si="7"/>
        <v>128</v>
      </c>
      <c r="C28" s="1">
        <f t="shared" si="2"/>
        <v>256</v>
      </c>
      <c r="D28" s="9">
        <f>SUM($C$21:C28)</f>
        <v>510</v>
      </c>
      <c r="E28" s="261">
        <f t="shared" si="3"/>
        <v>557.03945483290022</v>
      </c>
      <c r="F28" s="9">
        <f t="shared" si="4"/>
        <v>-1.589408998588022E-3</v>
      </c>
      <c r="G28" s="266">
        <f t="shared" si="5"/>
        <v>-493.18241366836713</v>
      </c>
      <c r="O28" s="98">
        <v>8</v>
      </c>
      <c r="P28" s="93">
        <f t="shared" si="8"/>
        <v>255</v>
      </c>
      <c r="Q28" s="1">
        <f t="shared" si="11"/>
        <v>511</v>
      </c>
      <c r="R28" s="9">
        <f>SUM($Q$21:Q28)</f>
        <v>1012</v>
      </c>
      <c r="S28" s="261">
        <f t="shared" si="9"/>
        <v>1105.3410358644999</v>
      </c>
      <c r="T28" s="9">
        <f t="shared" si="10"/>
        <v>-8.0098674830028779E-4</v>
      </c>
      <c r="U28" s="266">
        <f t="shared" si="6"/>
        <v>-978.62863261252448</v>
      </c>
    </row>
    <row r="29" spans="1:21" x14ac:dyDescent="0.2">
      <c r="A29" s="97">
        <v>9</v>
      </c>
      <c r="B29" s="93">
        <f t="shared" si="7"/>
        <v>256</v>
      </c>
      <c r="C29" s="1">
        <f t="shared" si="2"/>
        <v>512</v>
      </c>
      <c r="D29" s="9">
        <f>SUM($C$21:C29)</f>
        <v>1022</v>
      </c>
      <c r="E29" s="261">
        <f t="shared" si="3"/>
        <v>1094.6504987585356</v>
      </c>
      <c r="F29" s="9">
        <f t="shared" si="4"/>
        <v>-9.8386444851987064E-4</v>
      </c>
      <c r="G29" s="266">
        <f t="shared" si="5"/>
        <v>-1178.9251331235232</v>
      </c>
      <c r="O29" s="98">
        <v>9</v>
      </c>
      <c r="P29" s="93">
        <f t="shared" si="8"/>
        <v>511</v>
      </c>
      <c r="Q29" s="1">
        <f t="shared" si="11"/>
        <v>1023</v>
      </c>
      <c r="R29" s="9">
        <f>SUM($Q$21:Q29)</f>
        <v>2035</v>
      </c>
      <c r="S29" s="261">
        <f t="shared" si="9"/>
        <v>2179.6612181737964</v>
      </c>
      <c r="T29" s="9">
        <f t="shared" si="10"/>
        <v>-4.9410784589056888E-4</v>
      </c>
      <c r="U29" s="266">
        <f t="shared" si="6"/>
        <v>-2347.4683423741385</v>
      </c>
    </row>
    <row r="30" spans="1:21" ht="17" thickBot="1" x14ac:dyDescent="0.25">
      <c r="A30" s="131">
        <v>10</v>
      </c>
      <c r="B30" s="94">
        <f t="shared" si="7"/>
        <v>512</v>
      </c>
      <c r="C30" s="110">
        <f t="shared" si="2"/>
        <v>1024</v>
      </c>
      <c r="D30" s="10">
        <f>SUM($C$21:C30)</f>
        <v>2046</v>
      </c>
      <c r="E30" s="262">
        <f t="shared" si="3"/>
        <v>2159.4457632749582</v>
      </c>
      <c r="F30" s="10">
        <f t="shared" si="4"/>
        <v>-5.9316895461814542E-4</v>
      </c>
      <c r="G30" s="267">
        <f t="shared" si="5"/>
        <v>-2766.0690308738449</v>
      </c>
      <c r="O30" s="99">
        <v>10</v>
      </c>
      <c r="P30" s="94">
        <f t="shared" si="8"/>
        <v>1023</v>
      </c>
      <c r="Q30" s="110">
        <f t="shared" si="11"/>
        <v>2047</v>
      </c>
      <c r="R30" s="10">
        <f>SUM($Q$21:Q30)</f>
        <v>4082</v>
      </c>
      <c r="S30" s="262">
        <f t="shared" si="9"/>
        <v>4308.3370506785823</v>
      </c>
      <c r="T30" s="10">
        <f t="shared" si="10"/>
        <v>-2.9731104388748786E-4</v>
      </c>
      <c r="U30" s="267">
        <f t="shared" si="6"/>
        <v>-5518.6186627698116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4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2</v>
      </c>
      <c r="D33" s="57">
        <f>SUM($C$33:C33)</f>
        <v>2</v>
      </c>
      <c r="E33" s="8">
        <f t="shared" ref="E33:E42" si="13">D33/R7</f>
        <v>19.380224308650003</v>
      </c>
      <c r="F33" s="8">
        <f t="shared" ref="F33:F42" si="14">U7/E33</f>
        <v>-1.5271596145241251E-3</v>
      </c>
      <c r="G33" s="268">
        <f>E33*U7</f>
        <v>-0.57359060503823367</v>
      </c>
      <c r="O33" s="100">
        <v>1</v>
      </c>
      <c r="P33" s="108">
        <v>1</v>
      </c>
      <c r="Q33" s="109">
        <f>P33*2+1</f>
        <v>3</v>
      </c>
      <c r="R33" s="57">
        <f>SUM($Q$21)</f>
        <v>3</v>
      </c>
      <c r="S33" s="260">
        <f>R33/R7</f>
        <v>29.070336462975007</v>
      </c>
      <c r="T33" s="8">
        <f>U7/S33</f>
        <v>-1.0181064096827501E-3</v>
      </c>
      <c r="U33" s="268">
        <f>S33*U7</f>
        <v>-0.86038590755735045</v>
      </c>
    </row>
    <row r="34" spans="1:21" x14ac:dyDescent="0.2">
      <c r="A34" s="97">
        <v>2</v>
      </c>
      <c r="B34" s="93">
        <f t="shared" ref="B34:B42" si="15">B33*($O$2+1)</f>
        <v>3</v>
      </c>
      <c r="C34" s="1">
        <f t="shared" si="12"/>
        <v>6</v>
      </c>
      <c r="D34" s="9">
        <f>SUM($C$33:C34)</f>
        <v>8</v>
      </c>
      <c r="E34" s="9">
        <f t="shared" si="13"/>
        <v>17.17743061806128</v>
      </c>
      <c r="F34" s="9">
        <f t="shared" si="14"/>
        <v>-5.0386865123186238E-3</v>
      </c>
      <c r="G34" s="266">
        <f t="shared" ref="G34:G42" si="16">E34*U8</f>
        <v>-1.4867356150067763</v>
      </c>
      <c r="O34" s="98">
        <v>2</v>
      </c>
      <c r="P34" s="93">
        <f>Q33+1</f>
        <v>4</v>
      </c>
      <c r="Q34" s="1">
        <f>P34*2+1</f>
        <v>9</v>
      </c>
      <c r="R34" s="9">
        <f>SUM($Q$33:Q34)</f>
        <v>12</v>
      </c>
      <c r="S34" s="261">
        <f>R34/R8</f>
        <v>25.766145927091923</v>
      </c>
      <c r="T34" s="9">
        <f t="shared" ref="T34:T42" si="17">U8/S34</f>
        <v>-3.3591243415457485E-3</v>
      </c>
      <c r="U34" s="266">
        <f t="shared" ref="U34:U42" si="18">S34*U8</f>
        <v>-2.2301034225101648</v>
      </c>
    </row>
    <row r="35" spans="1:21" x14ac:dyDescent="0.2">
      <c r="A35" s="97">
        <v>3</v>
      </c>
      <c r="B35" s="93">
        <f t="shared" si="15"/>
        <v>9</v>
      </c>
      <c r="C35" s="1">
        <f t="shared" si="12"/>
        <v>18</v>
      </c>
      <c r="D35" s="9">
        <f>SUM($C$33:C35)</f>
        <v>26</v>
      </c>
      <c r="E35" s="9">
        <f t="shared" si="13"/>
        <v>40.424650915634103</v>
      </c>
      <c r="F35" s="9">
        <f t="shared" si="14"/>
        <v>-4.1725468860395708E-3</v>
      </c>
      <c r="G35" s="266">
        <f t="shared" si="16"/>
        <v>-6.8185775148224543</v>
      </c>
      <c r="O35" s="98">
        <v>3</v>
      </c>
      <c r="P35" s="93">
        <f t="shared" ref="P35:P42" si="19">Q34+1</f>
        <v>10</v>
      </c>
      <c r="Q35" s="1">
        <f>P35*2+1</f>
        <v>21</v>
      </c>
      <c r="R35" s="9">
        <f>SUM($Q$33:Q35)</f>
        <v>33</v>
      </c>
      <c r="S35" s="261">
        <f t="shared" ref="S35:S42" si="20">R35/R9</f>
        <v>51.308210777535592</v>
      </c>
      <c r="T35" s="9">
        <f t="shared" si="17"/>
        <v>-3.2874611829402682E-3</v>
      </c>
      <c r="U35" s="266">
        <f t="shared" si="18"/>
        <v>-8.6543483841977302</v>
      </c>
    </row>
    <row r="36" spans="1:21" x14ac:dyDescent="0.2">
      <c r="A36" s="97">
        <v>4</v>
      </c>
      <c r="B36" s="93">
        <f t="shared" si="15"/>
        <v>27</v>
      </c>
      <c r="C36" s="1">
        <f t="shared" si="12"/>
        <v>54</v>
      </c>
      <c r="D36" s="9">
        <f>SUM($C$33:C36)</f>
        <v>80</v>
      </c>
      <c r="E36" s="9">
        <f t="shared" si="13"/>
        <v>107.14211535574057</v>
      </c>
      <c r="F36" s="9">
        <f t="shared" si="14"/>
        <v>-2.555817891275465E-3</v>
      </c>
      <c r="G36" s="266">
        <f t="shared" si="16"/>
        <v>-29.339339943818917</v>
      </c>
      <c r="O36" s="98">
        <v>4</v>
      </c>
      <c r="P36" s="93">
        <f t="shared" si="19"/>
        <v>22</v>
      </c>
      <c r="Q36" s="1">
        <f t="shared" ref="Q36:Q42" si="21">P36*2+1</f>
        <v>45</v>
      </c>
      <c r="R36" s="9">
        <f>SUM($Q$33:Q36)</f>
        <v>78</v>
      </c>
      <c r="S36" s="261">
        <f t="shared" si="20"/>
        <v>104.46356247184706</v>
      </c>
      <c r="T36" s="9">
        <f t="shared" si="17"/>
        <v>-2.6213516833594511E-3</v>
      </c>
      <c r="U36" s="266">
        <f t="shared" si="18"/>
        <v>-28.605856445223441</v>
      </c>
    </row>
    <row r="37" spans="1:21" x14ac:dyDescent="0.2">
      <c r="A37" s="97">
        <v>5</v>
      </c>
      <c r="B37" s="93">
        <f t="shared" si="15"/>
        <v>81</v>
      </c>
      <c r="C37" s="1">
        <f t="shared" si="12"/>
        <v>162</v>
      </c>
      <c r="D37" s="9">
        <f>SUM($C$33:C37)</f>
        <v>242</v>
      </c>
      <c r="E37" s="9">
        <f t="shared" si="13"/>
        <v>297.55630755842134</v>
      </c>
      <c r="F37" s="9">
        <f t="shared" si="14"/>
        <v>-1.3442485339789198E-3</v>
      </c>
      <c r="G37" s="266">
        <f t="shared" si="16"/>
        <v>-119.01943742741864</v>
      </c>
      <c r="O37" s="98">
        <v>5</v>
      </c>
      <c r="P37" s="93">
        <f t="shared" si="19"/>
        <v>46</v>
      </c>
      <c r="Q37" s="1">
        <f t="shared" si="21"/>
        <v>93</v>
      </c>
      <c r="R37" s="9">
        <f>SUM($Q$33:Q37)</f>
        <v>171</v>
      </c>
      <c r="S37" s="261">
        <f t="shared" si="20"/>
        <v>210.25672972103325</v>
      </c>
      <c r="T37" s="9">
        <f t="shared" si="17"/>
        <v>-1.9023868141689977E-3</v>
      </c>
      <c r="U37" s="266">
        <f t="shared" si="18"/>
        <v>-84.100511570613989</v>
      </c>
    </row>
    <row r="38" spans="1:21" x14ac:dyDescent="0.2">
      <c r="A38" s="97">
        <v>6</v>
      </c>
      <c r="B38" s="93">
        <f t="shared" si="15"/>
        <v>243</v>
      </c>
      <c r="C38" s="1">
        <f t="shared" si="12"/>
        <v>486</v>
      </c>
      <c r="D38" s="9">
        <f>SUM($C$33:C38)</f>
        <v>728</v>
      </c>
      <c r="E38" s="9">
        <f t="shared" si="13"/>
        <v>847.56785807746314</v>
      </c>
      <c r="F38" s="9">
        <f t="shared" si="14"/>
        <v>-6.4322809247482091E-4</v>
      </c>
      <c r="G38" s="266">
        <f t="shared" si="16"/>
        <v>-462.07658429332741</v>
      </c>
      <c r="O38" s="98">
        <v>6</v>
      </c>
      <c r="P38" s="93">
        <f t="shared" si="19"/>
        <v>94</v>
      </c>
      <c r="Q38" s="1">
        <f t="shared" si="21"/>
        <v>189</v>
      </c>
      <c r="R38" s="9">
        <f>SUM($Q$33:Q38)</f>
        <v>360</v>
      </c>
      <c r="S38" s="261">
        <f t="shared" si="20"/>
        <v>419.1269627855587</v>
      </c>
      <c r="T38" s="9">
        <f t="shared" si="17"/>
        <v>-1.3007501425601935E-3</v>
      </c>
      <c r="U38" s="266">
        <f t="shared" si="18"/>
        <v>-228.49940981538171</v>
      </c>
    </row>
    <row r="39" spans="1:21" x14ac:dyDescent="0.2">
      <c r="A39" s="97">
        <v>7</v>
      </c>
      <c r="B39" s="93">
        <f t="shared" si="15"/>
        <v>729</v>
      </c>
      <c r="C39" s="1">
        <f t="shared" si="12"/>
        <v>1458</v>
      </c>
      <c r="D39" s="9">
        <f>SUM($C$33:C39)</f>
        <v>2186</v>
      </c>
      <c r="E39" s="9">
        <f t="shared" si="13"/>
        <v>2451.9364638660968</v>
      </c>
      <c r="F39" s="9">
        <f t="shared" si="14"/>
        <v>-2.8856854973316817E-4</v>
      </c>
      <c r="G39" s="266">
        <f t="shared" si="16"/>
        <v>-1734.871934464632</v>
      </c>
      <c r="O39" s="98">
        <v>7</v>
      </c>
      <c r="P39" s="93">
        <f t="shared" si="19"/>
        <v>190</v>
      </c>
      <c r="Q39" s="1">
        <f t="shared" si="21"/>
        <v>381</v>
      </c>
      <c r="R39" s="9">
        <f>SUM($Q$33:Q39)</f>
        <v>741</v>
      </c>
      <c r="S39" s="261">
        <f t="shared" si="20"/>
        <v>831.14589191435402</v>
      </c>
      <c r="T39" s="9">
        <f t="shared" si="17"/>
        <v>-8.5129669327490621E-4</v>
      </c>
      <c r="U39" s="266">
        <f t="shared" si="18"/>
        <v>-588.07872984368362</v>
      </c>
    </row>
    <row r="40" spans="1:21" x14ac:dyDescent="0.2">
      <c r="A40" s="97">
        <v>8</v>
      </c>
      <c r="B40" s="93">
        <f t="shared" si="15"/>
        <v>2187</v>
      </c>
      <c r="C40" s="1">
        <f t="shared" si="12"/>
        <v>4374</v>
      </c>
      <c r="D40" s="9">
        <f>SUM($C$33:C40)</f>
        <v>6560</v>
      </c>
      <c r="E40" s="9">
        <f t="shared" si="13"/>
        <v>7165.056517066324</v>
      </c>
      <c r="F40" s="9">
        <f t="shared" si="14"/>
        <v>-1.2356685812193462E-4</v>
      </c>
      <c r="G40" s="266">
        <f t="shared" si="16"/>
        <v>-6343.6796738519379</v>
      </c>
      <c r="O40" s="98">
        <v>8</v>
      </c>
      <c r="P40" s="93">
        <f t="shared" si="19"/>
        <v>382</v>
      </c>
      <c r="Q40" s="1">
        <f t="shared" si="21"/>
        <v>765</v>
      </c>
      <c r="R40" s="9">
        <f>SUM($Q$33:Q40)</f>
        <v>1506</v>
      </c>
      <c r="S40" s="261">
        <f t="shared" si="20"/>
        <v>1644.9047430947994</v>
      </c>
      <c r="T40" s="9">
        <f t="shared" si="17"/>
        <v>-5.3824607521905129E-4</v>
      </c>
      <c r="U40" s="266">
        <f t="shared" si="18"/>
        <v>-1456.3386568324722</v>
      </c>
    </row>
    <row r="41" spans="1:21" x14ac:dyDescent="0.2">
      <c r="A41" s="97">
        <v>9</v>
      </c>
      <c r="B41" s="93">
        <f t="shared" si="15"/>
        <v>6561</v>
      </c>
      <c r="C41" s="1">
        <f t="shared" si="12"/>
        <v>13122</v>
      </c>
      <c r="D41" s="9">
        <f>SUM($C$33:C41)</f>
        <v>19682</v>
      </c>
      <c r="E41" s="9">
        <f t="shared" si="13"/>
        <v>21081.126337148238</v>
      </c>
      <c r="F41" s="9">
        <f t="shared" si="14"/>
        <v>-5.1087768843984741E-5</v>
      </c>
      <c r="G41" s="266">
        <f t="shared" si="16"/>
        <v>-22704.113962952233</v>
      </c>
      <c r="O41" s="98">
        <v>9</v>
      </c>
      <c r="P41" s="93">
        <f t="shared" si="19"/>
        <v>766</v>
      </c>
      <c r="Q41" s="1">
        <f t="shared" si="21"/>
        <v>1533</v>
      </c>
      <c r="R41" s="9">
        <f>SUM($Q$33:Q41)</f>
        <v>3039</v>
      </c>
      <c r="S41" s="261">
        <f t="shared" si="20"/>
        <v>3255.0321582457827</v>
      </c>
      <c r="T41" s="9">
        <f t="shared" si="17"/>
        <v>-3.3086853122320096E-4</v>
      </c>
      <c r="U41" s="266">
        <f t="shared" si="18"/>
        <v>-3505.6296277518463</v>
      </c>
    </row>
    <row r="42" spans="1:21" ht="17" thickBot="1" x14ac:dyDescent="0.25">
      <c r="A42" s="131">
        <v>10</v>
      </c>
      <c r="B42" s="94">
        <f t="shared" si="15"/>
        <v>19683</v>
      </c>
      <c r="C42" s="110">
        <f t="shared" si="12"/>
        <v>39366</v>
      </c>
      <c r="D42" s="10">
        <f>SUM($C$33:C42)</f>
        <v>59048</v>
      </c>
      <c r="E42" s="9">
        <f t="shared" si="13"/>
        <v>62322.069125053633</v>
      </c>
      <c r="F42" s="10">
        <f t="shared" si="14"/>
        <v>-2.0553171676411149E-5</v>
      </c>
      <c r="G42" s="267">
        <f t="shared" si="16"/>
        <v>-79829.347084574198</v>
      </c>
      <c r="O42" s="99">
        <v>10</v>
      </c>
      <c r="P42" s="94">
        <f t="shared" si="19"/>
        <v>1534</v>
      </c>
      <c r="Q42" s="110">
        <f t="shared" si="21"/>
        <v>3069</v>
      </c>
      <c r="R42" s="10">
        <f>SUM($Q$33:Q42)</f>
        <v>6108</v>
      </c>
      <c r="S42" s="262">
        <f t="shared" si="20"/>
        <v>6446.6738622108724</v>
      </c>
      <c r="T42" s="10">
        <f t="shared" si="17"/>
        <v>-1.9869411937601923E-4</v>
      </c>
      <c r="U42" s="267">
        <f t="shared" si="18"/>
        <v>-8257.6488956879002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2</v>
      </c>
      <c r="D45" s="57">
        <f>SUM(C45:C45)</f>
        <v>2</v>
      </c>
      <c r="E45" s="57">
        <f t="shared" ref="E45:E54" si="23">D45/R7</f>
        <v>19.380224308650003</v>
      </c>
      <c r="F45" s="8">
        <f t="shared" ref="F45:F54" si="24">U7/E45</f>
        <v>-1.5271596145241251E-3</v>
      </c>
      <c r="G45" s="265">
        <f>E45*U7</f>
        <v>-0.57359060503823367</v>
      </c>
      <c r="O45" s="100">
        <v>1</v>
      </c>
      <c r="P45" s="108">
        <v>1</v>
      </c>
      <c r="Q45" s="109">
        <f>P45*2+1</f>
        <v>3</v>
      </c>
      <c r="R45" s="57">
        <f>SUM($Q$21)</f>
        <v>3</v>
      </c>
      <c r="S45" s="260">
        <f>R45/R7</f>
        <v>29.070336462975007</v>
      </c>
      <c r="T45" s="8">
        <f>U7/S45</f>
        <v>-1.0181064096827501E-3</v>
      </c>
      <c r="U45" s="268">
        <f>S45*U7</f>
        <v>-0.86038590755735045</v>
      </c>
    </row>
    <row r="46" spans="1:21" x14ac:dyDescent="0.2">
      <c r="A46" s="97">
        <v>2</v>
      </c>
      <c r="B46" s="93">
        <f t="shared" ref="B46:B54" si="25">B45*$O$2*2</f>
        <v>4</v>
      </c>
      <c r="C46" s="1">
        <f t="shared" si="22"/>
        <v>8</v>
      </c>
      <c r="D46" s="9">
        <f>SUM($C$45:C46)</f>
        <v>10</v>
      </c>
      <c r="E46" s="9">
        <f t="shared" si="23"/>
        <v>21.471788272576603</v>
      </c>
      <c r="F46" s="9">
        <f t="shared" si="24"/>
        <v>-4.030949209854898E-3</v>
      </c>
      <c r="G46" s="266">
        <f t="shared" ref="G46:G54" si="26">E46*U8</f>
        <v>-1.8584195187584709</v>
      </c>
      <c r="O46" s="98">
        <v>2</v>
      </c>
      <c r="P46" s="93">
        <f>Q45*2</f>
        <v>6</v>
      </c>
      <c r="Q46" s="1">
        <f>P46*2+1</f>
        <v>13</v>
      </c>
      <c r="R46" s="9">
        <f>SUM($Q$45:Q46)</f>
        <v>16</v>
      </c>
      <c r="S46" s="261">
        <f t="shared" ref="S46:S54" si="27">R46/R8</f>
        <v>34.354861236122559</v>
      </c>
      <c r="T46" s="9">
        <f t="shared" ref="T46:T54" si="28">U8/S46</f>
        <v>-2.5193432561593119E-3</v>
      </c>
      <c r="U46" s="266">
        <f t="shared" ref="U46:U54" si="29">S46*U8</f>
        <v>-2.9734712300135526</v>
      </c>
    </row>
    <row r="47" spans="1:21" x14ac:dyDescent="0.2">
      <c r="A47" s="97">
        <v>3</v>
      </c>
      <c r="B47" s="93">
        <f t="shared" si="25"/>
        <v>16</v>
      </c>
      <c r="C47" s="1">
        <f t="shared" si="22"/>
        <v>32</v>
      </c>
      <c r="D47" s="9">
        <f>SUM($C$45:C47)</f>
        <v>42</v>
      </c>
      <c r="E47" s="9">
        <f t="shared" si="23"/>
        <v>65.301359171408933</v>
      </c>
      <c r="F47" s="9">
        <f t="shared" si="24"/>
        <v>-2.5830052151673537E-3</v>
      </c>
      <c r="G47" s="266">
        <f t="shared" si="26"/>
        <v>-11.014625216251655</v>
      </c>
      <c r="O47" s="98">
        <v>3</v>
      </c>
      <c r="P47" s="93">
        <f t="shared" ref="P47:P54" si="30">Q46*2</f>
        <v>26</v>
      </c>
      <c r="Q47" s="1">
        <f>P47*2+1</f>
        <v>53</v>
      </c>
      <c r="R47" s="9">
        <f>SUM($Q$45:Q47)</f>
        <v>69</v>
      </c>
      <c r="S47" s="261">
        <f t="shared" si="27"/>
        <v>107.28080435302897</v>
      </c>
      <c r="T47" s="9">
        <f t="shared" si="28"/>
        <v>-1.5722640440149109E-3</v>
      </c>
      <c r="U47" s="266">
        <f t="shared" si="29"/>
        <v>-18.095455712413436</v>
      </c>
    </row>
    <row r="48" spans="1:21" x14ac:dyDescent="0.2">
      <c r="A48" s="97">
        <v>4</v>
      </c>
      <c r="B48" s="93">
        <f t="shared" si="25"/>
        <v>64</v>
      </c>
      <c r="C48" s="1">
        <f t="shared" si="22"/>
        <v>128</v>
      </c>
      <c r="D48" s="9">
        <f>SUM($C$45:C48)</f>
        <v>170</v>
      </c>
      <c r="E48" s="9">
        <f t="shared" si="23"/>
        <v>227.67699513094871</v>
      </c>
      <c r="F48" s="9">
        <f t="shared" si="24"/>
        <v>-1.2027378311884542E-3</v>
      </c>
      <c r="G48" s="266">
        <f t="shared" si="26"/>
        <v>-62.346097380615191</v>
      </c>
      <c r="O48" s="98">
        <v>4</v>
      </c>
      <c r="P48" s="93">
        <f t="shared" si="30"/>
        <v>106</v>
      </c>
      <c r="Q48" s="1">
        <f t="shared" ref="Q48:Q54" si="31">P48*2+1</f>
        <v>213</v>
      </c>
      <c r="R48" s="9">
        <f>SUM($Q$45:Q48)</f>
        <v>282</v>
      </c>
      <c r="S48" s="261">
        <f t="shared" si="27"/>
        <v>377.67595662898549</v>
      </c>
      <c r="T48" s="9">
        <f t="shared" si="28"/>
        <v>-7.2505472092920993E-4</v>
      </c>
      <c r="U48" s="266">
        <f t="shared" si="29"/>
        <v>-103.42117330196167</v>
      </c>
    </row>
    <row r="49" spans="1:21" x14ac:dyDescent="0.2">
      <c r="A49" s="97">
        <v>5</v>
      </c>
      <c r="B49" s="93">
        <f t="shared" si="25"/>
        <v>256</v>
      </c>
      <c r="C49" s="1">
        <f t="shared" si="22"/>
        <v>512</v>
      </c>
      <c r="D49" s="9">
        <f>SUM($C$45:C49)</f>
        <v>682</v>
      </c>
      <c r="E49" s="9">
        <f t="shared" si="23"/>
        <v>838.56777584646011</v>
      </c>
      <c r="F49" s="9">
        <f t="shared" si="24"/>
        <v>-4.7699141528284253E-4</v>
      </c>
      <c r="G49" s="266">
        <f t="shared" si="26"/>
        <v>-335.4184145681798</v>
      </c>
      <c r="O49" s="98">
        <v>5</v>
      </c>
      <c r="P49" s="93">
        <f t="shared" si="30"/>
        <v>426</v>
      </c>
      <c r="Q49" s="1">
        <f t="shared" si="31"/>
        <v>853</v>
      </c>
      <c r="R49" s="9">
        <f>SUM($Q$45:Q49)</f>
        <v>1135</v>
      </c>
      <c r="S49" s="261">
        <f t="shared" si="27"/>
        <v>1395.5636738793728</v>
      </c>
      <c r="T49" s="9">
        <f t="shared" si="28"/>
        <v>-2.8661510592325866E-4</v>
      </c>
      <c r="U49" s="266">
        <f t="shared" si="29"/>
        <v>-558.21099785173612</v>
      </c>
    </row>
    <row r="50" spans="1:21" x14ac:dyDescent="0.2">
      <c r="A50" s="97">
        <v>6</v>
      </c>
      <c r="B50" s="93">
        <f t="shared" si="25"/>
        <v>1024</v>
      </c>
      <c r="C50" s="1">
        <f t="shared" si="22"/>
        <v>2048</v>
      </c>
      <c r="D50" s="9">
        <f>SUM($C$45:C50)</f>
        <v>2730</v>
      </c>
      <c r="E50" s="9">
        <f t="shared" si="23"/>
        <v>3178.3794677904866</v>
      </c>
      <c r="F50" s="9">
        <f t="shared" si="24"/>
        <v>-1.7152749132661892E-4</v>
      </c>
      <c r="G50" s="266">
        <f t="shared" si="26"/>
        <v>-1732.7871910999779</v>
      </c>
      <c r="O50" s="98">
        <v>6</v>
      </c>
      <c r="P50" s="93">
        <f t="shared" si="30"/>
        <v>1706</v>
      </c>
      <c r="Q50" s="1">
        <f t="shared" si="31"/>
        <v>3413</v>
      </c>
      <c r="R50" s="9">
        <f>SUM($Q$45:Q50)</f>
        <v>4548</v>
      </c>
      <c r="S50" s="261">
        <f t="shared" si="27"/>
        <v>5294.9706298575584</v>
      </c>
      <c r="T50" s="9">
        <f t="shared" si="28"/>
        <v>-1.0296175270925013E-4</v>
      </c>
      <c r="U50" s="266">
        <f t="shared" si="29"/>
        <v>-2886.7092106676555</v>
      </c>
    </row>
    <row r="51" spans="1:21" x14ac:dyDescent="0.2">
      <c r="A51" s="97">
        <v>7</v>
      </c>
      <c r="B51" s="93">
        <f t="shared" si="25"/>
        <v>4096</v>
      </c>
      <c r="C51" s="1">
        <f t="shared" si="22"/>
        <v>8192</v>
      </c>
      <c r="D51" s="9">
        <f>SUM($C$45:C51)</f>
        <v>10922</v>
      </c>
      <c r="E51" s="9">
        <f t="shared" si="23"/>
        <v>12250.709084330059</v>
      </c>
      <c r="F51" s="9">
        <f t="shared" si="24"/>
        <v>-5.7755983310447313E-5</v>
      </c>
      <c r="G51" s="266">
        <f t="shared" si="26"/>
        <v>-8668.0106442006909</v>
      </c>
      <c r="O51" s="98">
        <v>7</v>
      </c>
      <c r="P51" s="93">
        <f t="shared" si="30"/>
        <v>6826</v>
      </c>
      <c r="Q51" s="1">
        <f t="shared" si="31"/>
        <v>13653</v>
      </c>
      <c r="R51" s="9">
        <f>SUM($Q$45:Q51)</f>
        <v>18201</v>
      </c>
      <c r="S51" s="261">
        <f t="shared" si="27"/>
        <v>20415.231280341643</v>
      </c>
      <c r="T51" s="9">
        <f t="shared" si="28"/>
        <v>-3.4658032510120626E-5</v>
      </c>
      <c r="U51" s="266">
        <f t="shared" si="29"/>
        <v>-14444.832607132099</v>
      </c>
    </row>
    <row r="52" spans="1:21" x14ac:dyDescent="0.2">
      <c r="A52" s="97">
        <v>8</v>
      </c>
      <c r="B52" s="93">
        <f t="shared" si="25"/>
        <v>16384</v>
      </c>
      <c r="C52" s="1">
        <f t="shared" si="22"/>
        <v>32768</v>
      </c>
      <c r="D52" s="9">
        <f>SUM($C$45:C52)</f>
        <v>43690</v>
      </c>
      <c r="E52" s="9">
        <f t="shared" si="23"/>
        <v>47719.71329735178</v>
      </c>
      <c r="F52" s="9">
        <f t="shared" si="24"/>
        <v>-1.8553412434879635E-5</v>
      </c>
      <c r="G52" s="266">
        <f t="shared" si="26"/>
        <v>-42249.29343759011</v>
      </c>
      <c r="O52" s="98">
        <v>8</v>
      </c>
      <c r="P52" s="93">
        <f t="shared" si="30"/>
        <v>27306</v>
      </c>
      <c r="Q52" s="1">
        <f t="shared" si="31"/>
        <v>54613</v>
      </c>
      <c r="R52" s="9">
        <f>SUM($Q$45:Q52)</f>
        <v>72814</v>
      </c>
      <c r="S52" s="261">
        <f t="shared" si="27"/>
        <v>79529.942870985877</v>
      </c>
      <c r="T52" s="9">
        <f t="shared" si="28"/>
        <v>-1.1132455149832328E-5</v>
      </c>
      <c r="U52" s="266">
        <f t="shared" si="29"/>
        <v>-70412.910331075458</v>
      </c>
    </row>
    <row r="53" spans="1:21" x14ac:dyDescent="0.2">
      <c r="A53" s="97">
        <v>9</v>
      </c>
      <c r="B53" s="93">
        <f t="shared" si="25"/>
        <v>65536</v>
      </c>
      <c r="C53" s="1">
        <f t="shared" si="22"/>
        <v>131072</v>
      </c>
      <c r="D53" s="9">
        <f>SUM($C$45:C53)</f>
        <v>174762</v>
      </c>
      <c r="E53" s="9">
        <f t="shared" si="23"/>
        <v>187185.2352877096</v>
      </c>
      <c r="F53" s="9">
        <f t="shared" si="24"/>
        <v>-5.7535932661980738E-6</v>
      </c>
      <c r="G53" s="266">
        <f t="shared" si="26"/>
        <v>-201596.19776412245</v>
      </c>
      <c r="O53" s="98">
        <v>9</v>
      </c>
      <c r="P53" s="93">
        <f t="shared" si="30"/>
        <v>109226</v>
      </c>
      <c r="Q53" s="1">
        <f t="shared" si="31"/>
        <v>218453</v>
      </c>
      <c r="R53" s="9">
        <f>SUM($Q$45:Q53)</f>
        <v>291267</v>
      </c>
      <c r="S53" s="261">
        <f t="shared" si="27"/>
        <v>311972.17888640158</v>
      </c>
      <c r="T53" s="9">
        <f t="shared" si="28"/>
        <v>-3.4521915163314337E-6</v>
      </c>
      <c r="U53" s="266">
        <f t="shared" si="29"/>
        <v>-335990.20229891315</v>
      </c>
    </row>
    <row r="54" spans="1:21" ht="17" thickBot="1" x14ac:dyDescent="0.25">
      <c r="A54" s="131">
        <v>10</v>
      </c>
      <c r="B54" s="94">
        <f t="shared" si="25"/>
        <v>262144</v>
      </c>
      <c r="C54" s="110">
        <f t="shared" si="22"/>
        <v>524288</v>
      </c>
      <c r="D54" s="10">
        <f>SUM($C$45:C54)</f>
        <v>699050</v>
      </c>
      <c r="E54" s="10">
        <f t="shared" si="23"/>
        <v>737810.63578561076</v>
      </c>
      <c r="F54" s="10">
        <f t="shared" si="24"/>
        <v>-1.7361042574189621E-6</v>
      </c>
      <c r="G54" s="267">
        <f t="shared" si="26"/>
        <v>-945073.58554856374</v>
      </c>
      <c r="O54" s="99">
        <v>10</v>
      </c>
      <c r="P54" s="94">
        <f t="shared" si="30"/>
        <v>436906</v>
      </c>
      <c r="Q54" s="110">
        <f t="shared" si="31"/>
        <v>873813</v>
      </c>
      <c r="R54" s="10">
        <f>SUM($Q$45:Q54)</f>
        <v>1165080</v>
      </c>
      <c r="S54" s="262">
        <f t="shared" si="27"/>
        <v>1229680.8748173942</v>
      </c>
      <c r="T54" s="10">
        <f t="shared" si="28"/>
        <v>-1.0416655346832196E-6</v>
      </c>
      <c r="U54" s="267">
        <f t="shared" si="29"/>
        <v>-1575118.1361146136</v>
      </c>
    </row>
  </sheetData>
  <mergeCells count="2">
    <mergeCell ref="A18:F18"/>
    <mergeCell ref="O18:T18"/>
  </mergeCells>
  <conditionalFormatting sqref="E21:E30">
    <cfRule type="cellIs" dxfId="990" priority="63" stopIfTrue="1" operator="lessThan">
      <formula>0</formula>
    </cfRule>
    <cfRule type="cellIs" dxfId="989" priority="64" operator="equal">
      <formula>MIN($E$21:$E$30)</formula>
    </cfRule>
  </conditionalFormatting>
  <conditionalFormatting sqref="E45:E54">
    <cfRule type="cellIs" dxfId="988" priority="59" stopIfTrue="1" operator="lessThan">
      <formula>0</formula>
    </cfRule>
    <cfRule type="cellIs" dxfId="987" priority="60" operator="equal">
      <formula>MIN($E$45:$E$54)</formula>
    </cfRule>
  </conditionalFormatting>
  <conditionalFormatting sqref="F45:F54">
    <cfRule type="cellIs" dxfId="986" priority="55" operator="equal">
      <formula>MAX($F$45:$F$54)</formula>
    </cfRule>
  </conditionalFormatting>
  <conditionalFormatting sqref="F21:F30">
    <cfRule type="cellIs" dxfId="985" priority="53" operator="equal">
      <formula>MAX($F$21:$F$30)</formula>
    </cfRule>
  </conditionalFormatting>
  <conditionalFormatting sqref="E33:E42">
    <cfRule type="cellIs" dxfId="984" priority="49" stopIfTrue="1" operator="lessThan">
      <formula>0</formula>
    </cfRule>
    <cfRule type="cellIs" dxfId="983" priority="50" operator="equal">
      <formula>MIN($E$33:$E$42)</formula>
    </cfRule>
  </conditionalFormatting>
  <conditionalFormatting sqref="F33:F42">
    <cfRule type="cellIs" dxfId="982" priority="35" operator="lessThanOrEqual">
      <formula>0</formula>
    </cfRule>
    <cfRule type="cellIs" dxfId="981" priority="36" operator="equal">
      <formula>MAX($F$33:$F$42)</formula>
    </cfRule>
  </conditionalFormatting>
  <conditionalFormatting sqref="U7:U16">
    <cfRule type="cellIs" dxfId="980" priority="23" operator="lessThanOrEqual">
      <formula>0</formula>
    </cfRule>
    <cfRule type="cellIs" dxfId="979" priority="24" operator="greaterThan">
      <formula>0</formula>
    </cfRule>
  </conditionalFormatting>
  <conditionalFormatting sqref="R7:R16">
    <cfRule type="cellIs" dxfId="978" priority="25" operator="lessThanOrEqual">
      <formula>0</formula>
    </cfRule>
    <cfRule type="cellIs" dxfId="977" priority="26" operator="greaterThan">
      <formula>0</formula>
    </cfRule>
  </conditionalFormatting>
  <conditionalFormatting sqref="S21:S30">
    <cfRule type="cellIs" dxfId="976" priority="13" stopIfTrue="1" operator="lessThan">
      <formula>0</formula>
    </cfRule>
    <cfRule type="cellIs" dxfId="975" priority="14" operator="equal">
      <formula>MIN($E$21:$E$30)</formula>
    </cfRule>
  </conditionalFormatting>
  <conditionalFormatting sqref="S45:S54">
    <cfRule type="cellIs" dxfId="974" priority="6" stopIfTrue="1" operator="lessThan">
      <formula>0</formula>
    </cfRule>
    <cfRule type="cellIs" dxfId="973" priority="7" operator="equal">
      <formula>MIN($E$21:$E$30)</formula>
    </cfRule>
  </conditionalFormatting>
  <conditionalFormatting sqref="T21:T30">
    <cfRule type="cellIs" dxfId="972" priority="11" operator="equal">
      <formula>MAX($T$21:$T$30)</formula>
    </cfRule>
  </conditionalFormatting>
  <conditionalFormatting sqref="S33:S42">
    <cfRule type="cellIs" dxfId="971" priority="9" stopIfTrue="1" operator="lessThan">
      <formula>0</formula>
    </cfRule>
    <cfRule type="cellIs" dxfId="970" priority="10" operator="equal">
      <formula>MIN($E$21:$E$30)</formula>
    </cfRule>
  </conditionalFormatting>
  <conditionalFormatting sqref="T33:T42">
    <cfRule type="cellIs" dxfId="969" priority="8" operator="equal">
      <formula>MAX($T$21:$T$30)</formula>
    </cfRule>
  </conditionalFormatting>
  <conditionalFormatting sqref="T45:T54">
    <cfRule type="cellIs" dxfId="968" priority="5" operator="equal">
      <formula>MAX($T$21:$T$30)</formula>
    </cfRule>
  </conditionalFormatting>
  <conditionalFormatting sqref="S7:T16">
    <cfRule type="cellIs" dxfId="967" priority="1" operator="lessThanOrEqual">
      <formula>0</formula>
    </cfRule>
    <cfRule type="cellIs" dxfId="96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Analysis!B10</f>
        <v>0.61511098106420115</v>
      </c>
      <c r="D2" s="135" t="s">
        <v>126</v>
      </c>
      <c r="E2" s="141">
        <f>Analysis!F10</f>
        <v>0.3848890189357988</v>
      </c>
      <c r="F2" s="135" t="s">
        <v>47</v>
      </c>
      <c r="G2" s="141">
        <f>Analysis!S10</f>
        <v>0.25304408033917886</v>
      </c>
      <c r="H2" t="s">
        <v>155</v>
      </c>
      <c r="I2" s="155">
        <f>Analysis!T10</f>
        <v>-0.41444780741169307</v>
      </c>
      <c r="J2" t="s">
        <v>48</v>
      </c>
      <c r="K2" s="155">
        <f>C2*G2+E2*I2</f>
        <v>-3.8662174848585751E-3</v>
      </c>
      <c r="L2" t="s">
        <v>47</v>
      </c>
      <c r="M2" s="162">
        <v>1</v>
      </c>
      <c r="N2" t="s">
        <v>155</v>
      </c>
      <c r="O2" s="162">
        <v>3</v>
      </c>
    </row>
    <row r="4" spans="1:23" x14ac:dyDescent="0.2">
      <c r="A4" t="s">
        <v>123</v>
      </c>
      <c r="B4">
        <f>$C$2</f>
        <v>0.61511098106420115</v>
      </c>
      <c r="C4" t="s">
        <v>124</v>
      </c>
      <c r="D4">
        <f>$E$2</f>
        <v>0.3848890189357988</v>
      </c>
      <c r="E4" t="s">
        <v>47</v>
      </c>
      <c r="F4">
        <f>G2</f>
        <v>0.25304408033917886</v>
      </c>
      <c r="G4" t="s">
        <v>155</v>
      </c>
      <c r="H4">
        <f>I2</f>
        <v>-0.41444780741169307</v>
      </c>
      <c r="I4" t="s">
        <v>48</v>
      </c>
      <c r="J4">
        <f>K2</f>
        <v>-3.8662174848585751E-3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0.61511098106420115</v>
      </c>
      <c r="C7" s="95">
        <v>1</v>
      </c>
      <c r="D7" s="108">
        <f>C7*D4</f>
        <v>0.3848890189357988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</v>
      </c>
      <c r="R7" s="276">
        <f>B7-D7</f>
        <v>0.23022196212840235</v>
      </c>
      <c r="S7" s="277">
        <f>IF(Rules!B20=Rules!E20,SUM(C7)*B4*F4,SUM(C7)*B4*F4*POWER(O2,A7-1))</f>
        <v>0.15565019250992085</v>
      </c>
      <c r="T7" s="260">
        <f>IF(Rules!B20=Rules!E20,SUM(C7)*D4*H4,SUM(C7)*D4*H4*POWER(O2,A7-1))</f>
        <v>-0.15951640999477942</v>
      </c>
      <c r="U7" s="274">
        <f>S7+T7</f>
        <v>-3.8662174848585751E-3</v>
      </c>
      <c r="V7" s="108">
        <f>(U7+W7*D7)/B7</f>
        <v>0.61943748881174931</v>
      </c>
      <c r="W7" s="57">
        <f>COUNT(D7:M7)</f>
        <v>1</v>
      </c>
    </row>
    <row r="8" spans="1:23" x14ac:dyDescent="0.2">
      <c r="A8" s="98">
        <v>2</v>
      </c>
      <c r="B8" s="97">
        <f>C8*B4</f>
        <v>0.80590965937213388</v>
      </c>
      <c r="C8" s="97">
        <f>1/(1-B4*D4)</f>
        <v>1.3101857781466244</v>
      </c>
      <c r="D8" s="93">
        <f>C8*D4</f>
        <v>0.50427611877449041</v>
      </c>
      <c r="E8" s="1">
        <f>D8*D4</f>
        <v>0.19409034062786595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0.61181931874426798</v>
      </c>
      <c r="S8" s="279">
        <f>IF(Rules!B20=Rules!E20,SUM(C8:D8)*B4*F4,SUM(C8:D8)*B4*F4*POWER(O2,A8-1))</f>
        <v>0.28242134355768767</v>
      </c>
      <c r="T8" s="261">
        <f>IF(Rules!B20=Rules!E20,SUM(C8:D8)*D4*H4,SUM(C8:D8)*D4*H4*POWER(O2,A8-1))</f>
        <v>-0.28943644786917377</v>
      </c>
      <c r="U8" s="275">
        <f>S8+T8+U7</f>
        <v>-1.0881321796344684E-2</v>
      </c>
      <c r="V8" s="93">
        <f>(U8+W8*E8)/B8</f>
        <v>0.46816582364000037</v>
      </c>
      <c r="W8" s="9">
        <f>COUNT(D8:M8)</f>
        <v>2</v>
      </c>
    </row>
    <row r="9" spans="1:23" x14ac:dyDescent="0.2">
      <c r="A9" s="98">
        <v>3</v>
      </c>
      <c r="B9" s="97">
        <f>C9*B4</f>
        <v>0.89170527596768934</v>
      </c>
      <c r="C9" s="97">
        <f>1/(1-D4*B4/(1-D4*B4))</f>
        <v>1.4496656756557222</v>
      </c>
      <c r="D9" s="93">
        <f>C9*D4*C8</f>
        <v>0.73103178044026684</v>
      </c>
      <c r="E9" s="1">
        <f>D9*(D4)</f>
        <v>0.2813661047845446</v>
      </c>
      <c r="F9" s="1">
        <f>E9*D4</f>
        <v>0.10829472403231054</v>
      </c>
      <c r="G9" s="1"/>
      <c r="H9" s="1"/>
      <c r="I9" s="1"/>
      <c r="J9" s="1"/>
      <c r="K9" s="1"/>
      <c r="L9" s="1"/>
      <c r="M9" s="242"/>
      <c r="N9" s="97">
        <f>B9+F9</f>
        <v>0.99999999999999989</v>
      </c>
      <c r="R9" s="278">
        <f>B9-F9</f>
        <v>0.78341055193537878</v>
      </c>
      <c r="S9" s="279">
        <f>IF(Rules!B20=Rules!E20,SUM(C9:E9)*B4*F4,SUM(C9:E9)*B4*F4*POWER(O2,A9-1))</f>
        <v>0.38322066722271625</v>
      </c>
      <c r="T9" s="261">
        <f>IF(Rules!B20=Rules!E20,SUM(C9:E9)*D4*H4,SUM(C9:E9)*D4*H4*POWER(O2,A9-1))</f>
        <v>-0.39273954041062581</v>
      </c>
      <c r="U9" s="275">
        <f t="shared" ref="U9:U16" si="0">S9+T9+U8</f>
        <v>-2.0400194984254244E-2</v>
      </c>
      <c r="V9" s="93">
        <f>(U9+W9*F9)/B9</f>
        <v>0.34146257212872011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0.93653786476261258</v>
      </c>
      <c r="C10" s="97">
        <f>1/(1-D4*B4/(1-D4*B4/(1-D4*B4)))</f>
        <v>1.5225510413459242</v>
      </c>
      <c r="D10" s="93">
        <f>C10*D4*C9</f>
        <v>0.8495231875748025</v>
      </c>
      <c r="E10" s="1">
        <f>D10*D4*C8</f>
        <v>0.4283942558391548</v>
      </c>
      <c r="F10" s="1">
        <f>E10*D4</f>
        <v>0.1648842448476639</v>
      </c>
      <c r="G10" s="1">
        <f>F10*D4</f>
        <v>6.346213523738739E-2</v>
      </c>
      <c r="H10" s="1"/>
      <c r="I10" s="1"/>
      <c r="J10" s="1"/>
      <c r="K10" s="1"/>
      <c r="L10" s="1"/>
      <c r="M10" s="242"/>
      <c r="N10" s="97">
        <f>B10+G10</f>
        <v>1</v>
      </c>
      <c r="R10" s="278">
        <f>B10-G10</f>
        <v>0.87307572952522516</v>
      </c>
      <c r="S10" s="279">
        <f>IF(Rules!B20=Rules!E20,SUM(C10:F10)*B4*F4,SUM(C10:F10)*B4*F4*POWER(O2,A10-1))</f>
        <v>0.46155772322323363</v>
      </c>
      <c r="T10" s="261">
        <f>IF(Rules!B20=Rules!E20,SUM(C10:F10)*D4*H4,SUM(C10:F10)*D4*H4*POWER(O2,A10-1))</f>
        <v>-0.47302242179521553</v>
      </c>
      <c r="U10" s="275">
        <f t="shared" si="0"/>
        <v>-3.1864893556236146E-2</v>
      </c>
      <c r="V10" s="93">
        <f>(U10+W10*G10)/B10</f>
        <v>0.237025811497307</v>
      </c>
      <c r="W10" s="9">
        <f t="shared" si="1"/>
        <v>4</v>
      </c>
    </row>
    <row r="11" spans="1:23" x14ac:dyDescent="0.2">
      <c r="A11" s="98">
        <v>5</v>
      </c>
      <c r="B11" s="97">
        <f>C11*B4</f>
        <v>0.96180692545267643</v>
      </c>
      <c r="C11" s="97">
        <f>1/(1-D4*B4/(1-D4*B4/(1-D4*B4/(1-D4*B4))))</f>
        <v>1.5636315316443514</v>
      </c>
      <c r="D11" s="93">
        <f>C11*D4*C10</f>
        <v>0.91630868086473538</v>
      </c>
      <c r="E11" s="1">
        <f>D11*D4*C9</f>
        <v>0.5112639578129019</v>
      </c>
      <c r="F11" s="1">
        <f>E11*D4*C8</f>
        <v>0.25781820431517494</v>
      </c>
      <c r="G11" s="1">
        <f>F11*D4</f>
        <v>9.9231395722657004E-2</v>
      </c>
      <c r="H11" s="1">
        <f>G11*D4</f>
        <v>3.8193074547323479E-2</v>
      </c>
      <c r="I11" s="1"/>
      <c r="J11" s="1"/>
      <c r="K11" s="1"/>
      <c r="L11" s="1"/>
      <c r="M11" s="242"/>
      <c r="N11" s="97">
        <f>B11+H11</f>
        <v>0.99999999999999989</v>
      </c>
      <c r="R11" s="278">
        <f>B11-H11</f>
        <v>0.92361385090535297</v>
      </c>
      <c r="S11" s="279">
        <f>IF(Rules!B20=Rules!E20,SUM(C11:G11)*B4*F4,SUM(C11:G11)*B4*F4*POWER(O2,A11-1))</f>
        <v>0.52115634392857435</v>
      </c>
      <c r="T11" s="261">
        <f>IF(Rules!B20=Rules!E20,SUM(C11:G11)*D4*H4,SUM(C11:G11)*D4*H4*POWER(O2,A11-1))</f>
        <v>-0.53410142119928317</v>
      </c>
      <c r="U11" s="275">
        <f t="shared" si="0"/>
        <v>-4.4809970826944961E-2</v>
      </c>
      <c r="V11" s="93">
        <f>(U11+W11*H11)/B11</f>
        <v>0.15195919060458427</v>
      </c>
      <c r="W11" s="9">
        <f t="shared" si="1"/>
        <v>5</v>
      </c>
    </row>
    <row r="12" spans="1:23" x14ac:dyDescent="0.2">
      <c r="A12" s="98">
        <v>6</v>
      </c>
      <c r="B12" s="97">
        <f>C12*B4</f>
        <v>0.9766595165574159</v>
      </c>
      <c r="C12" s="97">
        <f>1/(1-D4*B4/(1-D4*B4/(1-D4*B4/(1-D4*B4/(1-D4*B4)))))</f>
        <v>1.5877777289355184</v>
      </c>
      <c r="D12" s="93">
        <f>C12*D4*C11</f>
        <v>0.95556370643653021</v>
      </c>
      <c r="E12" s="1">
        <f>D12*D4*C10</f>
        <v>0.55997292303659418</v>
      </c>
      <c r="F12" s="1">
        <f>E12*D4*C9</f>
        <v>0.31244271595197415</v>
      </c>
      <c r="G12" s="1">
        <f>F12*D4*C8</f>
        <v>0.15755740013962208</v>
      </c>
      <c r="H12" s="1">
        <f>G12*D4</f>
        <v>6.0642113165814228E-2</v>
      </c>
      <c r="I12" s="1">
        <f>H12*D4</f>
        <v>2.3340483442583927E-2</v>
      </c>
      <c r="J12" s="1"/>
      <c r="K12" s="1"/>
      <c r="L12" s="1"/>
      <c r="M12" s="242"/>
      <c r="N12" s="97">
        <f>B12+I12</f>
        <v>0.99999999999999978</v>
      </c>
      <c r="R12" s="278">
        <f>B12-I12</f>
        <v>0.95331903311483202</v>
      </c>
      <c r="S12" s="279">
        <f>IF(Rules!B20=Rules!E20,SUM(C12:H12)*B4*F4,SUM(C12:H12)*B4*F4*POWER(O2,A12-1))</f>
        <v>0.56562604244291614</v>
      </c>
      <c r="T12" s="261">
        <f>IF(Rules!B20=Rules!E20,SUM(C12:H12)*D4*H4,SUM(C12:H12)*D4*H4*POWER(O2,A12-1))</f>
        <v>-0.57967570894136766</v>
      </c>
      <c r="U12" s="275">
        <f t="shared" si="0"/>
        <v>-5.885963732539648E-2</v>
      </c>
      <c r="V12" s="93">
        <f>(U12+W12*I12)/B12</f>
        <v>8.3123403759240877E-2</v>
      </c>
      <c r="W12" s="9">
        <f t="shared" si="1"/>
        <v>6</v>
      </c>
    </row>
    <row r="13" spans="1:23" x14ac:dyDescent="0.2">
      <c r="A13" s="98">
        <v>7</v>
      </c>
      <c r="B13" s="97">
        <f>C13*B4</f>
        <v>0.98560555155171359</v>
      </c>
      <c r="C13" s="97">
        <f>1/(1-D4*B4/(1-D4*B4/(1-D4*B4/(1-D4*B4/(1-D4*B4/(1-D4*B4))))))</f>
        <v>1.6023215027742168</v>
      </c>
      <c r="D13" s="93">
        <f>C13*D4*C12</f>
        <v>0.97920785243037389</v>
      </c>
      <c r="E13" s="1">
        <f>D13*D4*C11</f>
        <v>0.58931138016870543</v>
      </c>
      <c r="F13" s="1">
        <f>E13*D4*C10</f>
        <v>0.34534423388935864</v>
      </c>
      <c r="G13" s="1">
        <f>F13*D4*C9</f>
        <v>0.19268840677086405</v>
      </c>
      <c r="H13" s="1">
        <f>G13*D4*C8</f>
        <v>9.7168161899251551E-2</v>
      </c>
      <c r="I13" s="1">
        <f>H13*D4</f>
        <v>3.7398958505197796E-2</v>
      </c>
      <c r="J13" s="1">
        <f>I13*D4</f>
        <v>1.4394448448286228E-2</v>
      </c>
      <c r="K13" s="1"/>
      <c r="L13" s="1"/>
      <c r="M13" s="242"/>
      <c r="N13" s="97">
        <f>B13+J13</f>
        <v>0.99999999999999978</v>
      </c>
      <c r="R13" s="278">
        <f>B13-J13</f>
        <v>0.9712111031034274</v>
      </c>
      <c r="S13" s="279">
        <f>IF(Rules!B20=Rules!E20,SUM(C13:I13)*B4*F4,SUM(C13:I13)*B4*F4*POWER(O2,A13-1))</f>
        <v>0.5982322531709956</v>
      </c>
      <c r="T13" s="261">
        <f>IF(Rules!B20=Rules!E20,SUM(C13:I13)*D4*H4,SUM(C13:I13)*D4*H4*POWER(O2,A13-1))</f>
        <v>-0.61309183002033762</v>
      </c>
      <c r="U13" s="275">
        <f t="shared" si="0"/>
        <v>-7.3719214174738507E-2</v>
      </c>
      <c r="V13" s="93">
        <f>(U13+W13*J13)/B13</f>
        <v>2.7436863480213698E-2</v>
      </c>
      <c r="W13" s="9">
        <f t="shared" si="1"/>
        <v>7</v>
      </c>
    </row>
    <row r="14" spans="1:23" x14ac:dyDescent="0.2">
      <c r="A14" s="98">
        <v>8</v>
      </c>
      <c r="B14" s="97">
        <f>C14*B4</f>
        <v>0.9910734648882864</v>
      </c>
      <c r="C14" s="97">
        <f>1/(1-D4*B4/(1-D4*B4/(1-D4*B4/(1-D4*B4/(1-D4*B4/(1-D4*B4/(1-D4*B4)))))))</f>
        <v>1.6112108146299615</v>
      </c>
      <c r="D14" s="93">
        <f>C14*D4*C13</f>
        <v>0.99365941016450099</v>
      </c>
      <c r="E14" s="1">
        <f>D14*D4*C12</f>
        <v>0.60724336245240951</v>
      </c>
      <c r="F14" s="1">
        <f>E14*D4*C11</f>
        <v>0.36545399747042984</v>
      </c>
      <c r="G14" s="1">
        <f>F14*D4*C10</f>
        <v>0.21416085795271611</v>
      </c>
      <c r="H14" s="1">
        <f>G14*D4*C9</f>
        <v>0.1194932779008295</v>
      </c>
      <c r="I14" s="1">
        <f>H14*D4*C8</f>
        <v>6.0257606399471884E-2</v>
      </c>
      <c r="J14" s="1">
        <f>I14*D4</f>
        <v>2.3192491010512246E-2</v>
      </c>
      <c r="K14" s="1">
        <f>J14*D4</f>
        <v>8.9265351117133913E-3</v>
      </c>
      <c r="L14" s="1"/>
      <c r="M14" s="242"/>
      <c r="N14" s="97">
        <f>B14+K14</f>
        <v>0.99999999999999978</v>
      </c>
      <c r="R14" s="278">
        <f>B14-K14</f>
        <v>0.98214692977657303</v>
      </c>
      <c r="S14" s="279">
        <f>IF(Rules!B20=Rules!E20,SUM(C14:J14)*B4*F4,SUM(C14:J14)*B4*F4*POWER(O2,A14-1))</f>
        <v>0.62177143748267183</v>
      </c>
      <c r="T14" s="261">
        <f>IF(Rules!B20=Rules!E20,SUM(C14:J14)*D4*H4,SUM(C14:J14)*D4*H4*POWER(O2,A14-1))</f>
        <v>-0.63721570751162127</v>
      </c>
      <c r="U14" s="275">
        <f t="shared" si="0"/>
        <v>-8.9163484203687943E-2</v>
      </c>
      <c r="V14" s="93">
        <f>(U14+W14*K14)/B14</f>
        <v>-1.7911087259289828E-2</v>
      </c>
      <c r="W14" s="9">
        <f t="shared" si="1"/>
        <v>8</v>
      </c>
    </row>
    <row r="15" spans="1:23" x14ac:dyDescent="0.2">
      <c r="A15" s="98">
        <v>9</v>
      </c>
      <c r="B15" s="97">
        <f>C15*B4</f>
        <v>0.99444548761465845</v>
      </c>
      <c r="C15" s="97">
        <f>1/(1-D4*B4/(1-D4*B4/(1-D4*B4/(1-D4*B4/(1-D4*B4/(1-D4*B4/(1-D4*B4/(1-D4*B4))))))))</f>
        <v>1.616692789151922</v>
      </c>
      <c r="D15" s="93">
        <f>C15*D4*C14</f>
        <v>1.0025715816111496</v>
      </c>
      <c r="E15" s="1">
        <f>D15*D4*C13</f>
        <v>0.6183018866219695</v>
      </c>
      <c r="F15" s="1">
        <f>E15*D4*C12</f>
        <v>0.37785554366242613</v>
      </c>
      <c r="G15" s="1">
        <f>F15*D4*C11</f>
        <v>0.22740276376198082</v>
      </c>
      <c r="H15" s="1">
        <f>G15*D4*C10</f>
        <v>0.13326101595598275</v>
      </c>
      <c r="I15" s="1">
        <f>H15*D4*C9</f>
        <v>7.4354369725633446E-2</v>
      </c>
      <c r="J15" s="1">
        <f>I15*D4*C8</f>
        <v>3.7495132979165909E-2</v>
      </c>
      <c r="K15" s="1">
        <f>J15*D4</f>
        <v>1.4431464947218482E-2</v>
      </c>
      <c r="L15" s="1">
        <f>K15*D4</f>
        <v>5.5545123853412912E-3</v>
      </c>
      <c r="M15" s="242"/>
      <c r="N15" s="97">
        <f>B15+L15</f>
        <v>0.99999999999999978</v>
      </c>
      <c r="R15" s="278">
        <f>B15-L15</f>
        <v>0.98889097522931713</v>
      </c>
      <c r="S15" s="279">
        <f>IF(Rules!B20=Rules!E20,SUM(C15:K15)*B4*F4,SUM(C15:K15)*B4*F4*POWER(O2,A15-1))</f>
        <v>0.6385341430074355</v>
      </c>
      <c r="T15" s="261">
        <f>IF(Rules!B20=Rules!E20,SUM(C15:K15)*D4*H4,SUM(C15:K15)*D4*H4*POWER(O2,A15-1))</f>
        <v>-0.65439478428622599</v>
      </c>
      <c r="U15" s="275">
        <f t="shared" si="0"/>
        <v>-0.10502412548247844</v>
      </c>
      <c r="V15" s="93">
        <f>(U15+W15*L15)/B15</f>
        <v>-5.5340905760871605E-2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0.99653645233016519</v>
      </c>
      <c r="C16" s="131">
        <f>1/(1-D4*B4/(1-D4*B4/(1-D4*B4/(1-D4*B4/(1-D4*B4/(1-D4*B4/(1-D4*B4/(1-D4*B4/(1-D4*B4)))))))))</f>
        <v>1.6200921183459631</v>
      </c>
      <c r="D16" s="94">
        <f>C16*D4*C15</f>
        <v>1.0080979488825645</v>
      </c>
      <c r="E16" s="110">
        <f>D16*D4*C14</f>
        <v>0.62515919030005218</v>
      </c>
      <c r="F16" s="110">
        <f>E16*D4*C13</f>
        <v>0.38554564471138653</v>
      </c>
      <c r="G16" s="110">
        <f>F16*D4*C12</f>
        <v>0.23561396518618549</v>
      </c>
      <c r="H16" s="110">
        <f>G16*D4*C11</f>
        <v>0.14179828181143508</v>
      </c>
      <c r="I16" s="110">
        <f>H16*D4*C10</f>
        <v>8.3095661558374695E-2</v>
      </c>
      <c r="J16" s="110">
        <f>I16*D4*C9</f>
        <v>4.636408853545225E-2</v>
      </c>
      <c r="K16" s="110">
        <f>J16*D4*C8</f>
        <v>2.3380302617174709E-2</v>
      </c>
      <c r="L16" s="110">
        <f>K16*D4</f>
        <v>8.998821736746463E-3</v>
      </c>
      <c r="M16" s="244">
        <f>L16*D4</f>
        <v>3.4635476698344873E-3</v>
      </c>
      <c r="N16" s="131">
        <f>B16+M16</f>
        <v>0.99999999999999967</v>
      </c>
      <c r="R16" s="280">
        <f>B16-M16</f>
        <v>0.99307290466033071</v>
      </c>
      <c r="S16" s="281">
        <f>IF(Rules!B20=Rules!E20,SUM(C16:L16)*B4*F4,SUM(C16:L16)*B4*F4*POWER(O2,A16-1))</f>
        <v>0.65032923292118261</v>
      </c>
      <c r="T16" s="262">
        <f>IF(Rules!B20=Rules!E20,SUM(C16:L16)*D4*H4,SUM(C16:L16)*D4*H4*POWER(O2,A16-1))</f>
        <v>-0.66648285413224717</v>
      </c>
      <c r="U16" s="275">
        <f t="shared" si="0"/>
        <v>-0.121177746693543</v>
      </c>
      <c r="V16" s="94">
        <f>(U16+W16*M16)/B16</f>
        <v>-8.6843055056179286E-2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>B21*$O$2</f>
        <v>3</v>
      </c>
      <c r="D21" s="57">
        <f>SUM($C$21:C21)</f>
        <v>3</v>
      </c>
      <c r="E21" s="57">
        <f t="shared" ref="E21:E30" si="2">D21/R7</f>
        <v>13.030902752565376</v>
      </c>
      <c r="F21" s="8">
        <f t="shared" ref="F21:F30" si="3">U7/E21</f>
        <v>-2.9669605845975927E-4</v>
      </c>
      <c r="G21" s="265">
        <f>E21*U7</f>
        <v>-5.0380304065459992E-2</v>
      </c>
      <c r="O21" s="100">
        <v>1</v>
      </c>
      <c r="P21" s="108">
        <v>1</v>
      </c>
      <c r="Q21" s="109">
        <f>P21*3+3</f>
        <v>6</v>
      </c>
      <c r="R21" s="57">
        <f>SUM($Q$21)</f>
        <v>6</v>
      </c>
      <c r="S21" s="176">
        <f>R21/R7</f>
        <v>26.061805505130753</v>
      </c>
      <c r="T21" s="8">
        <f>U7/S21</f>
        <v>-1.4834802922987964E-4</v>
      </c>
      <c r="U21" s="265">
        <f>S21*U7</f>
        <v>-0.10076060813091998</v>
      </c>
    </row>
    <row r="22" spans="1:21" x14ac:dyDescent="0.2">
      <c r="A22" s="97">
        <v>2</v>
      </c>
      <c r="B22" s="93">
        <f>C21</f>
        <v>3</v>
      </c>
      <c r="C22" s="1">
        <f t="shared" ref="C22:C30" si="4">B22*$O$2</f>
        <v>9</v>
      </c>
      <c r="D22" s="9">
        <f>SUM($C$21:C22)</f>
        <v>12</v>
      </c>
      <c r="E22" s="9">
        <f t="shared" si="2"/>
        <v>19.613633686215511</v>
      </c>
      <c r="F22" s="9">
        <f t="shared" si="3"/>
        <v>-5.5478357403972991E-4</v>
      </c>
      <c r="G22" s="266">
        <f t="shared" ref="G22:G30" si="5">E22*U8</f>
        <v>-0.21342225973533718</v>
      </c>
      <c r="O22" s="98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177">
        <f t="shared" ref="S22:S30" si="6">R22/R8</f>
        <v>44.130675793984899</v>
      </c>
      <c r="T22" s="9">
        <f>U8/S22</f>
        <v>-2.4657047735099108E-4</v>
      </c>
      <c r="U22" s="266">
        <f t="shared" ref="U22:U30" si="7">S22*U8</f>
        <v>-0.48020008440450862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4"/>
        <v>27</v>
      </c>
      <c r="D23" s="9">
        <f>SUM($C$21:C23)</f>
        <v>39</v>
      </c>
      <c r="E23" s="9">
        <f t="shared" si="2"/>
        <v>49.782326653186303</v>
      </c>
      <c r="F23" s="9">
        <f t="shared" si="3"/>
        <v>-4.0978789774881956E-4</v>
      </c>
      <c r="G23" s="266">
        <f t="shared" si="5"/>
        <v>-1.0155691704948375</v>
      </c>
      <c r="O23" s="98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177">
        <f t="shared" si="6"/>
        <v>118.71170201913657</v>
      </c>
      <c r="T23" s="9">
        <f t="shared" ref="T23:T30" si="11">U9/S23</f>
        <v>-1.7184653776563402E-4</v>
      </c>
      <c r="U23" s="266">
        <f t="shared" si="7"/>
        <v>-2.4217418681030742</v>
      </c>
    </row>
    <row r="24" spans="1:21" x14ac:dyDescent="0.2">
      <c r="A24" s="97">
        <v>4</v>
      </c>
      <c r="B24" s="93">
        <f t="shared" si="8"/>
        <v>27</v>
      </c>
      <c r="C24" s="1">
        <f t="shared" si="4"/>
        <v>81</v>
      </c>
      <c r="D24" s="9">
        <f>SUM($C$21:C24)</f>
        <v>120</v>
      </c>
      <c r="E24" s="9">
        <f t="shared" si="2"/>
        <v>137.44512181693045</v>
      </c>
      <c r="F24" s="9">
        <f t="shared" si="3"/>
        <v>-2.3183720989878768E-4</v>
      </c>
      <c r="G24" s="266">
        <f t="shared" si="5"/>
        <v>-4.3796741765203997</v>
      </c>
      <c r="O24" s="98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177">
        <f t="shared" si="6"/>
        <v>336.74054845147964</v>
      </c>
      <c r="T24" s="9">
        <f t="shared" si="11"/>
        <v>-9.4627432611750067E-5</v>
      </c>
      <c r="U24" s="266">
        <f t="shared" si="7"/>
        <v>-10.730201732474979</v>
      </c>
    </row>
    <row r="25" spans="1:21" x14ac:dyDescent="0.2">
      <c r="A25" s="97">
        <v>5</v>
      </c>
      <c r="B25" s="93">
        <f t="shared" si="8"/>
        <v>81</v>
      </c>
      <c r="C25" s="1">
        <f t="shared" si="4"/>
        <v>243</v>
      </c>
      <c r="D25" s="9">
        <f>SUM($C$21:C25)</f>
        <v>363</v>
      </c>
      <c r="E25" s="9">
        <f t="shared" si="2"/>
        <v>393.02139053477481</v>
      </c>
      <c r="F25" s="9">
        <f t="shared" si="3"/>
        <v>-1.1401407634829521E-4</v>
      </c>
      <c r="G25" s="266">
        <f t="shared" si="5"/>
        <v>-17.611277044228601</v>
      </c>
      <c r="O25" s="98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9">
        <f t="shared" si="6"/>
        <v>974.43319967299533</v>
      </c>
      <c r="T25" s="9">
        <f t="shared" si="11"/>
        <v>-4.5985677460479067E-5</v>
      </c>
      <c r="U25" s="266">
        <f t="shared" si="7"/>
        <v>-43.664323250153558</v>
      </c>
    </row>
    <row r="26" spans="1:21" x14ac:dyDescent="0.2">
      <c r="A26" s="97">
        <v>6</v>
      </c>
      <c r="B26" s="93">
        <f t="shared" si="8"/>
        <v>243</v>
      </c>
      <c r="C26" s="1">
        <f t="shared" si="4"/>
        <v>729</v>
      </c>
      <c r="D26" s="9">
        <f>SUM($C$21:C26)</f>
        <v>1092</v>
      </c>
      <c r="E26" s="9">
        <f t="shared" si="2"/>
        <v>1145.4717277930013</v>
      </c>
      <c r="F26" s="9">
        <f t="shared" si="3"/>
        <v>-5.1384626872286307E-5</v>
      </c>
      <c r="G26" s="266">
        <f t="shared" si="5"/>
        <v>-67.422050464391333</v>
      </c>
      <c r="O26" s="98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9">
        <f t="shared" si="6"/>
        <v>2854.2386184292641</v>
      </c>
      <c r="T26" s="9">
        <f t="shared" si="11"/>
        <v>-2.062183481974886E-5</v>
      </c>
      <c r="U26" s="266">
        <f t="shared" si="7"/>
        <v>-167.9994499208872</v>
      </c>
    </row>
    <row r="27" spans="1:21" x14ac:dyDescent="0.2">
      <c r="A27" s="97">
        <v>7</v>
      </c>
      <c r="B27" s="93">
        <f t="shared" si="8"/>
        <v>729</v>
      </c>
      <c r="C27" s="1">
        <f t="shared" si="4"/>
        <v>2187</v>
      </c>
      <c r="D27" s="9">
        <f>SUM($C$21:C27)</f>
        <v>3279</v>
      </c>
      <c r="E27" s="9">
        <f t="shared" si="2"/>
        <v>3376.1969869601139</v>
      </c>
      <c r="F27" s="9">
        <f t="shared" si="3"/>
        <v>-2.1834986068486004E-5</v>
      </c>
      <c r="G27" s="266">
        <f t="shared" si="5"/>
        <v>-248.89058877781946</v>
      </c>
      <c r="O27" s="98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9">
        <f t="shared" si="6"/>
        <v>8429.6812236177047</v>
      </c>
      <c r="T27" s="9">
        <f t="shared" si="11"/>
        <v>-8.7451959592727006E-6</v>
      </c>
      <c r="U27" s="266">
        <f t="shared" si="7"/>
        <v>-621.42947554864531</v>
      </c>
    </row>
    <row r="28" spans="1:21" x14ac:dyDescent="0.2">
      <c r="A28" s="97">
        <v>8</v>
      </c>
      <c r="B28" s="93">
        <f t="shared" si="8"/>
        <v>2187</v>
      </c>
      <c r="C28" s="1">
        <f t="shared" si="4"/>
        <v>6561</v>
      </c>
      <c r="D28" s="9">
        <f>SUM($C$21:C28)</f>
        <v>9840</v>
      </c>
      <c r="E28" s="9">
        <f t="shared" si="2"/>
        <v>10018.86754585537</v>
      </c>
      <c r="F28" s="9">
        <f t="shared" si="3"/>
        <v>-8.8995571401254137E-6</v>
      </c>
      <c r="G28" s="266">
        <f t="shared" si="5"/>
        <v>-893.317138163717</v>
      </c>
      <c r="O28" s="98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9">
        <f t="shared" si="6"/>
        <v>25034.95073348494</v>
      </c>
      <c r="T28" s="9">
        <f t="shared" si="11"/>
        <v>-3.5615602024904052E-6</v>
      </c>
      <c r="U28" s="266">
        <f t="shared" si="7"/>
        <v>-2232.2034342651905</v>
      </c>
    </row>
    <row r="29" spans="1:21" x14ac:dyDescent="0.2">
      <c r="A29" s="97">
        <v>9</v>
      </c>
      <c r="B29" s="93">
        <f t="shared" si="8"/>
        <v>6561</v>
      </c>
      <c r="C29" s="1">
        <f t="shared" si="4"/>
        <v>19683</v>
      </c>
      <c r="D29" s="9">
        <f>SUM($C$21:C29)</f>
        <v>29523</v>
      </c>
      <c r="E29" s="9">
        <f t="shared" si="2"/>
        <v>29854.65611429391</v>
      </c>
      <c r="F29" s="9">
        <f t="shared" si="3"/>
        <v>-3.5178474366078746E-6</v>
      </c>
      <c r="G29" s="266">
        <f t="shared" si="5"/>
        <v>-3135.4591499838457</v>
      </c>
      <c r="O29" s="98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9">
        <f t="shared" si="6"/>
        <v>74622.98862914354</v>
      </c>
      <c r="T29" s="9">
        <f t="shared" si="11"/>
        <v>-1.4073963990429342E-6</v>
      </c>
      <c r="U29" s="266">
        <f t="shared" si="7"/>
        <v>-7837.2141216647333</v>
      </c>
    </row>
    <row r="30" spans="1:21" ht="17" thickBot="1" x14ac:dyDescent="0.25">
      <c r="A30" s="131">
        <v>10</v>
      </c>
      <c r="B30" s="94">
        <f t="shared" si="8"/>
        <v>19683</v>
      </c>
      <c r="C30" s="110">
        <f t="shared" si="4"/>
        <v>59049</v>
      </c>
      <c r="D30" s="10">
        <f>SUM($C$21:C30)</f>
        <v>88572</v>
      </c>
      <c r="E30" s="10">
        <f t="shared" si="2"/>
        <v>89189.826431016205</v>
      </c>
      <c r="F30" s="9">
        <f t="shared" si="3"/>
        <v>-1.3586498768137847E-6</v>
      </c>
      <c r="G30" s="267">
        <f t="shared" si="5"/>
        <v>-10807.822194898748</v>
      </c>
      <c r="O30" s="99">
        <v>10</v>
      </c>
      <c r="P30" s="94">
        <f t="shared" si="9"/>
        <v>49206</v>
      </c>
      <c r="Q30" s="110">
        <f t="shared" si="10"/>
        <v>147621</v>
      </c>
      <c r="R30" s="10">
        <f>SUM($Q$21:Q30)</f>
        <v>221415</v>
      </c>
      <c r="S30" s="10">
        <f t="shared" si="6"/>
        <v>222959.46144631997</v>
      </c>
      <c r="T30" s="10">
        <f t="shared" si="11"/>
        <v>-5.4349676801097733E-7</v>
      </c>
      <c r="U30" s="267">
        <f t="shared" si="7"/>
        <v>-27017.725142070929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3</v>
      </c>
      <c r="D33" s="57">
        <f>SUM($C$33:C33)</f>
        <v>3</v>
      </c>
      <c r="E33" s="8">
        <f t="shared" ref="E33:E42" si="13">D33/R7</f>
        <v>13.030902752565376</v>
      </c>
      <c r="F33" s="8">
        <f t="shared" ref="F33:F42" si="14">U7/E33</f>
        <v>-2.9669605845975927E-4</v>
      </c>
      <c r="G33" s="268">
        <f>E33*U7</f>
        <v>-5.0380304065459992E-2</v>
      </c>
      <c r="O33" s="100">
        <v>1</v>
      </c>
      <c r="P33" s="108">
        <v>1</v>
      </c>
      <c r="Q33" s="109">
        <f>P33*3+3</f>
        <v>6</v>
      </c>
      <c r="R33" s="57">
        <f>SUM($Q$21)</f>
        <v>6</v>
      </c>
      <c r="S33" s="260">
        <f>R33/R7</f>
        <v>26.061805505130753</v>
      </c>
      <c r="T33" s="8">
        <f>U7/S33</f>
        <v>-1.4834802922987964E-4</v>
      </c>
      <c r="U33" s="268">
        <f>S33*U7</f>
        <v>-0.10076060813091998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24.517042107769388</v>
      </c>
      <c r="F34" s="9">
        <f t="shared" si="14"/>
        <v>-4.4382685923178395E-4</v>
      </c>
      <c r="G34" s="266">
        <f t="shared" ref="G34:G42" si="16">E34*U8</f>
        <v>-0.26677782466917144</v>
      </c>
      <c r="O34" s="98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61">
        <f>R34/R8</f>
        <v>49.034084215538776</v>
      </c>
      <c r="T34" s="9">
        <f t="shared" ref="T34:T42" si="18">U8/S34</f>
        <v>-2.2191342961589198E-4</v>
      </c>
      <c r="U34" s="266">
        <f t="shared" ref="U34:U42" si="19">S34*U8</f>
        <v>-0.53355564933834287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80.417604593608644</v>
      </c>
      <c r="F35" s="9">
        <f t="shared" si="14"/>
        <v>-2.5367822241593595E-4</v>
      </c>
      <c r="G35" s="266">
        <f t="shared" si="16"/>
        <v>-1.6405348138762761</v>
      </c>
      <c r="O35" s="98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61">
        <f t="shared" ref="S35:S42" si="21">R35/R9</f>
        <v>137.85875073190053</v>
      </c>
      <c r="T35" s="9">
        <f t="shared" si="18"/>
        <v>-1.4797896307596262E-4</v>
      </c>
      <c r="U35" s="266">
        <f t="shared" si="19"/>
        <v>-2.8123453952164734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292.07088386097723</v>
      </c>
      <c r="F36" s="9">
        <f t="shared" si="14"/>
        <v>-1.0909986348178242E-4</v>
      </c>
      <c r="G36" s="266">
        <f t="shared" si="16"/>
        <v>-9.3068076251058489</v>
      </c>
      <c r="O36" s="98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61">
        <f t="shared" si="21"/>
        <v>398.59085326909832</v>
      </c>
      <c r="T36" s="9">
        <f t="shared" si="18"/>
        <v>-7.994386548234057E-5</v>
      </c>
      <c r="U36" s="266">
        <f t="shared" si="19"/>
        <v>-12.701055111909158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1107.6057369616381</v>
      </c>
      <c r="F37" s="9">
        <f t="shared" si="14"/>
        <v>-4.0456607736491848E-5</v>
      </c>
      <c r="G37" s="266">
        <f t="shared" si="16"/>
        <v>-49.631780761007875</v>
      </c>
      <c r="O37" s="98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61">
        <f t="shared" si="21"/>
        <v>1162.8236182764413</v>
      </c>
      <c r="T37" s="9">
        <f t="shared" si="18"/>
        <v>-3.8535483905429381E-5</v>
      </c>
      <c r="U37" s="266">
        <f t="shared" si="19"/>
        <v>-52.106092411849914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4295.5189792237543</v>
      </c>
      <c r="F38" s="9">
        <f t="shared" si="14"/>
        <v>-1.3702567165943017E-5</v>
      </c>
      <c r="G38" s="266">
        <f t="shared" si="16"/>
        <v>-252.83268924146748</v>
      </c>
      <c r="O38" s="98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61">
        <f t="shared" si="21"/>
        <v>3417.5337812725256</v>
      </c>
      <c r="T38" s="9">
        <f t="shared" si="18"/>
        <v>-1.7222839946143846E-5</v>
      </c>
      <c r="U38" s="266">
        <f t="shared" si="19"/>
        <v>-201.15479891299171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16868.629227620477</v>
      </c>
      <c r="F39" s="9">
        <f t="shared" si="14"/>
        <v>-4.3701958932164808E-6</v>
      </c>
      <c r="G39" s="266">
        <f t="shared" si="16"/>
        <v>-1243.5420908652077</v>
      </c>
      <c r="O39" s="98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61">
        <f t="shared" si="21"/>
        <v>10106.968473315181</v>
      </c>
      <c r="T39" s="9">
        <f t="shared" si="18"/>
        <v>-7.2938996860804407E-6</v>
      </c>
      <c r="U39" s="266">
        <f t="shared" si="19"/>
        <v>-745.07777354165171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66726.26876195443</v>
      </c>
      <c r="F40" s="9">
        <f t="shared" si="14"/>
        <v>-1.336257606757215E-6</v>
      </c>
      <c r="G40" s="266">
        <f t="shared" si="16"/>
        <v>-5949.5466107275597</v>
      </c>
      <c r="O40" s="98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61">
        <f t="shared" si="21"/>
        <v>30032.166375259145</v>
      </c>
      <c r="T40" s="9">
        <f t="shared" si="18"/>
        <v>-2.9689328132232872E-6</v>
      </c>
      <c r="U40" s="266">
        <f t="shared" si="19"/>
        <v>-2677.7725922029467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265087.86768855969</v>
      </c>
      <c r="F41" s="9">
        <f t="shared" si="14"/>
        <v>-3.9618608877969007E-7</v>
      </c>
      <c r="G41" s="266">
        <f t="shared" si="16"/>
        <v>-27840.621480005935</v>
      </c>
      <c r="O41" s="98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61">
        <f t="shared" si="21"/>
        <v>89536.665029699259</v>
      </c>
      <c r="T41" s="9">
        <f t="shared" si="18"/>
        <v>-1.1729733897017718E-6</v>
      </c>
      <c r="U41" s="266">
        <f t="shared" si="19"/>
        <v>-9403.5099433617743</v>
      </c>
    </row>
    <row r="42" spans="1:21" ht="17" thickBot="1" x14ac:dyDescent="0.25">
      <c r="A42" s="131">
        <v>10</v>
      </c>
      <c r="B42" s="94">
        <f t="shared" si="15"/>
        <v>262144</v>
      </c>
      <c r="C42" s="110">
        <f t="shared" si="12"/>
        <v>786432</v>
      </c>
      <c r="D42" s="10">
        <f>SUM($C$33:C42)</f>
        <v>1048575</v>
      </c>
      <c r="E42" s="9">
        <f t="shared" si="13"/>
        <v>1055889.2454715127</v>
      </c>
      <c r="F42" s="9">
        <f t="shared" si="14"/>
        <v>-1.1476369061740985E-7</v>
      </c>
      <c r="G42" s="267">
        <f t="shared" si="16"/>
        <v>-127950.27952418321</v>
      </c>
      <c r="O42" s="99">
        <v>10</v>
      </c>
      <c r="P42" s="94">
        <f t="shared" si="20"/>
        <v>59047</v>
      </c>
      <c r="Q42" s="110">
        <f t="shared" si="17"/>
        <v>177144</v>
      </c>
      <c r="R42" s="10">
        <f>SUM($Q$33:Q42)</f>
        <v>265686</v>
      </c>
      <c r="S42" s="262">
        <f t="shared" si="21"/>
        <v>267539.27003060753</v>
      </c>
      <c r="T42" s="10">
        <f t="shared" si="18"/>
        <v>-4.5293442969953459E-7</v>
      </c>
      <c r="U42" s="267">
        <f t="shared" si="19"/>
        <v>-32419.805894344361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3</v>
      </c>
      <c r="D45" s="57">
        <f>SUM(C45:C45)</f>
        <v>3</v>
      </c>
      <c r="E45" s="57">
        <f t="shared" ref="E45:E54" si="23">D45/R7</f>
        <v>13.030902752565376</v>
      </c>
      <c r="F45" s="8">
        <f t="shared" ref="F45:F54" si="24">U7/E45</f>
        <v>-2.9669605845975927E-4</v>
      </c>
      <c r="G45" s="265">
        <f>E45*U7</f>
        <v>-5.0380304065459992E-2</v>
      </c>
      <c r="O45" s="100">
        <v>1</v>
      </c>
      <c r="P45" s="108">
        <v>1</v>
      </c>
      <c r="Q45" s="109">
        <f>P45*3+3</f>
        <v>6</v>
      </c>
      <c r="R45" s="57">
        <f>SUM($Q$21)</f>
        <v>6</v>
      </c>
      <c r="S45" s="260">
        <f>R45/R7</f>
        <v>26.061805505130753</v>
      </c>
      <c r="T45" s="8">
        <f>U7/S45</f>
        <v>-1.4834802922987964E-4</v>
      </c>
      <c r="U45" s="268">
        <f>S45*U7</f>
        <v>-0.10076060813091998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34.323858950877145</v>
      </c>
      <c r="F46" s="9">
        <f t="shared" si="24"/>
        <v>-3.1701918516555995E-4</v>
      </c>
      <c r="G46" s="266">
        <f t="shared" ref="G46:G54" si="26">E46*U8</f>
        <v>-0.37348895453684006</v>
      </c>
      <c r="O46" s="98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61">
        <f t="shared" ref="S46:S54" si="28">R46/R8</f>
        <v>73.551126323308168</v>
      </c>
      <c r="T46" s="9">
        <f t="shared" ref="T46:T54" si="29">U8/S46</f>
        <v>-1.4794228641059465E-4</v>
      </c>
      <c r="U46" s="266">
        <f t="shared" ref="U46:U54" si="30">S46*U8</f>
        <v>-0.80033347400751442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164.66461892977009</v>
      </c>
      <c r="F47" s="9">
        <f t="shared" si="24"/>
        <v>-1.2388936443568963E-4</v>
      </c>
      <c r="G47" s="266">
        <f t="shared" si="26"/>
        <v>-3.3591903331752322</v>
      </c>
      <c r="O47" s="98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61">
        <f t="shared" si="28"/>
        <v>359.9645157999625</v>
      </c>
      <c r="T47" s="9">
        <f t="shared" si="29"/>
        <v>-5.6672794369517602E-5</v>
      </c>
      <c r="U47" s="266">
        <f t="shared" si="30"/>
        <v>-7.3433463097319027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889.95716376462474</v>
      </c>
      <c r="F48" s="9">
        <f t="shared" si="24"/>
        <v>-3.5804974501743269E-5</v>
      </c>
      <c r="G48" s="266">
        <f t="shared" si="26"/>
        <v>-28.358390292969588</v>
      </c>
      <c r="O48" s="98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61">
        <f t="shared" si="28"/>
        <v>1955.1568578458357</v>
      </c>
      <c r="T48" s="9">
        <f t="shared" si="29"/>
        <v>-1.6297870643148519E-5</v>
      </c>
      <c r="U48" s="266">
        <f t="shared" si="30"/>
        <v>-62.300865161002683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5050.8120849716925</v>
      </c>
      <c r="F49" s="9">
        <f t="shared" si="24"/>
        <v>-8.8718348798351909E-6</v>
      </c>
      <c r="G49" s="266">
        <f t="shared" si="26"/>
        <v>-226.32674217996259</v>
      </c>
      <c r="O49" s="98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61">
        <f t="shared" si="28"/>
        <v>11108.538476272148</v>
      </c>
      <c r="T49" s="9">
        <f t="shared" si="29"/>
        <v>-4.0338313561823739E-6</v>
      </c>
      <c r="U49" s="266">
        <f t="shared" si="30"/>
        <v>-497.77328505175058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29363.727175924436</v>
      </c>
      <c r="F50" s="9">
        <f t="shared" si="24"/>
        <v>-2.0045015734125192E-6</v>
      </c>
      <c r="G50" s="266">
        <f t="shared" si="26"/>
        <v>-1728.338332096801</v>
      </c>
      <c r="O50" s="98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61">
        <f t="shared" si="28"/>
        <v>64596.42350661246</v>
      </c>
      <c r="T50" s="9">
        <f t="shared" si="29"/>
        <v>-9.1119034352375983E-7</v>
      </c>
      <c r="U50" s="266">
        <f t="shared" si="30"/>
        <v>-3802.1220601169252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172939.7444729514</v>
      </c>
      <c r="F51" s="9">
        <f t="shared" si="24"/>
        <v>-4.2627109459080153E-7</v>
      </c>
      <c r="G51" s="266">
        <f t="shared" si="26"/>
        <v>-12748.982062126053</v>
      </c>
      <c r="O51" s="98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61">
        <f t="shared" si="28"/>
        <v>380463.1133429801</v>
      </c>
      <c r="T51" s="9">
        <f t="shared" si="29"/>
        <v>-1.9376179080015588E-7</v>
      </c>
      <c r="U51" s="266">
        <f t="shared" si="30"/>
        <v>-28047.44173811896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1026087.8178677968</v>
      </c>
      <c r="F52" s="9">
        <f t="shared" si="24"/>
        <v>-8.6896543016141679E-8</v>
      </c>
      <c r="G52" s="266">
        <f t="shared" si="26"/>
        <v>-91489.564940051932</v>
      </c>
      <c r="O52" s="98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61">
        <f t="shared" si="28"/>
        <v>2257388.3120566914</v>
      </c>
      <c r="T52" s="9">
        <f t="shared" si="29"/>
        <v>-3.9498514157917162E-8</v>
      </c>
      <c r="U52" s="266">
        <f t="shared" si="30"/>
        <v>-201276.6071036566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6114543.6164970873</v>
      </c>
      <c r="F53" s="9">
        <f t="shared" si="24"/>
        <v>-1.7176118459458284E-8</v>
      </c>
      <c r="G53" s="266">
        <f t="shared" si="26"/>
        <v>-642174.59604707768</v>
      </c>
      <c r="O53" s="98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61">
        <f t="shared" si="28"/>
        <v>13451990.495630955</v>
      </c>
      <c r="T53" s="9">
        <f t="shared" si="29"/>
        <v>-7.8073297417649092E-9</v>
      </c>
      <c r="U53" s="266">
        <f t="shared" si="30"/>
        <v>-1412783.5378022529</v>
      </c>
    </row>
    <row r="54" spans="1:21" ht="17" thickBot="1" x14ac:dyDescent="0.25">
      <c r="A54" s="131">
        <v>10</v>
      </c>
      <c r="B54" s="94">
        <f t="shared" si="25"/>
        <v>10077696</v>
      </c>
      <c r="C54" s="110">
        <f t="shared" si="22"/>
        <v>30233088</v>
      </c>
      <c r="D54" s="10">
        <f>SUM($C$45:C54)</f>
        <v>36279705</v>
      </c>
      <c r="E54" s="10">
        <f t="shared" si="23"/>
        <v>36532770.987653784</v>
      </c>
      <c r="F54" s="9">
        <f t="shared" si="24"/>
        <v>-3.3169601817090445E-9</v>
      </c>
      <c r="G54" s="267">
        <f t="shared" si="26"/>
        <v>-4426958.8687551273</v>
      </c>
      <c r="O54" s="99">
        <v>10</v>
      </c>
      <c r="P54" s="94">
        <f t="shared" si="31"/>
        <v>22170930</v>
      </c>
      <c r="Q54" s="110">
        <f t="shared" si="27"/>
        <v>66512793</v>
      </c>
      <c r="R54" s="10">
        <f>SUM($Q$45:Q54)</f>
        <v>79815345</v>
      </c>
      <c r="S54" s="262">
        <f t="shared" si="28"/>
        <v>80372090.130985826</v>
      </c>
      <c r="T54" s="10">
        <f t="shared" si="29"/>
        <v>-1.5077092868439088E-9</v>
      </c>
      <c r="U54" s="267">
        <f t="shared" si="30"/>
        <v>-9739308.7791232076</v>
      </c>
    </row>
  </sheetData>
  <mergeCells count="2">
    <mergeCell ref="A18:F18"/>
    <mergeCell ref="O18:T18"/>
  </mergeCells>
  <conditionalFormatting sqref="F45:F54">
    <cfRule type="cellIs" dxfId="965" priority="90" operator="equal">
      <formula>MAX($F$45:$F$54)</formula>
    </cfRule>
  </conditionalFormatting>
  <conditionalFormatting sqref="F21:F30">
    <cfRule type="cellIs" dxfId="964" priority="88" operator="equal">
      <formula>MAX($F$21:$F$30)</formula>
    </cfRule>
  </conditionalFormatting>
  <conditionalFormatting sqref="F33:F42">
    <cfRule type="cellIs" dxfId="963" priority="62" operator="lessThanOrEqual">
      <formula>0</formula>
    </cfRule>
    <cfRule type="cellIs" dxfId="962" priority="63" operator="equal">
      <formula>MAX($F$33:$F$42)</formula>
    </cfRule>
  </conditionalFormatting>
  <conditionalFormatting sqref="E21:E30">
    <cfRule type="cellIs" dxfId="961" priority="44" stopIfTrue="1" operator="lessThan">
      <formula>0</formula>
    </cfRule>
    <cfRule type="cellIs" dxfId="960" priority="45" operator="equal">
      <formula>MIN($E$21:$E$30)</formula>
    </cfRule>
  </conditionalFormatting>
  <conditionalFormatting sqref="E33:E42">
    <cfRule type="cellIs" dxfId="959" priority="42" stopIfTrue="1" operator="lessThan">
      <formula>0</formula>
    </cfRule>
    <cfRule type="cellIs" dxfId="958" priority="43" operator="equal">
      <formula>MIN($E$33:$E$42)</formula>
    </cfRule>
  </conditionalFormatting>
  <conditionalFormatting sqref="E45:E54">
    <cfRule type="cellIs" dxfId="957" priority="40" stopIfTrue="1" operator="lessThan">
      <formula>0</formula>
    </cfRule>
    <cfRule type="cellIs" dxfId="956" priority="41" operator="equal">
      <formula>MIN($E$45:$E$54)</formula>
    </cfRule>
  </conditionalFormatting>
  <conditionalFormatting sqref="R7:R16">
    <cfRule type="cellIs" dxfId="955" priority="30" operator="lessThanOrEqual">
      <formula>0</formula>
    </cfRule>
    <cfRule type="cellIs" dxfId="954" priority="31" operator="greaterThan">
      <formula>0</formula>
    </cfRule>
  </conditionalFormatting>
  <conditionalFormatting sqref="S21:S30">
    <cfRule type="cellIs" dxfId="953" priority="24" stopIfTrue="1" operator="lessThan">
      <formula>0</formula>
    </cfRule>
    <cfRule type="cellIs" dxfId="952" priority="25" operator="equal">
      <formula>MIN($E$21:$E$30)</formula>
    </cfRule>
  </conditionalFormatting>
  <conditionalFormatting sqref="T21:T30">
    <cfRule type="cellIs" dxfId="951" priority="21" operator="equal">
      <formula>MAX($T$21:$T$30)</formula>
    </cfRule>
  </conditionalFormatting>
  <conditionalFormatting sqref="S33:S42">
    <cfRule type="cellIs" dxfId="950" priority="19" stopIfTrue="1" operator="lessThan">
      <formula>0</formula>
    </cfRule>
    <cfRule type="cellIs" dxfId="949" priority="20" operator="equal">
      <formula>MIN($E$21:$E$30)</formula>
    </cfRule>
  </conditionalFormatting>
  <conditionalFormatting sqref="T33:T42">
    <cfRule type="cellIs" dxfId="948" priority="18" operator="equal">
      <formula>MAX($T$21:$T$30)</formula>
    </cfRule>
  </conditionalFormatting>
  <conditionalFormatting sqref="S45:S54">
    <cfRule type="cellIs" dxfId="947" priority="16" stopIfTrue="1" operator="lessThan">
      <formula>0</formula>
    </cfRule>
    <cfRule type="cellIs" dxfId="946" priority="17" operator="equal">
      <formula>MIN($E$21:$E$30)</formula>
    </cfRule>
  </conditionalFormatting>
  <conditionalFormatting sqref="T45:T54">
    <cfRule type="cellIs" dxfId="945" priority="15" operator="equal">
      <formula>MAX($T$21:$T$30)</formula>
    </cfRule>
  </conditionalFormatting>
  <conditionalFormatting sqref="U7:U16">
    <cfRule type="cellIs" dxfId="944" priority="11" operator="lessThanOrEqual">
      <formula>0</formula>
    </cfRule>
    <cfRule type="cellIs" dxfId="943" priority="12" operator="greaterThan">
      <formula>0</formula>
    </cfRule>
  </conditionalFormatting>
  <conditionalFormatting sqref="S7:T16">
    <cfRule type="cellIs" dxfId="942" priority="1" operator="lessThanOrEqual">
      <formula>0</formula>
    </cfRule>
    <cfRule type="cellIs" dxfId="941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4"/>
  <sheetViews>
    <sheetView workbookViewId="0">
      <selection activeCell="T11" sqref="T11"/>
    </sheetView>
  </sheetViews>
  <sheetFormatPr baseColWidth="10" defaultColWidth="8.6640625" defaultRowHeight="16" x14ac:dyDescent="0.2"/>
  <cols>
    <col min="7" max="7" width="8.6640625" customWidth="1"/>
    <col min="14" max="14" width="5.6640625" bestFit="1" customWidth="1"/>
    <col min="21" max="21" width="8.6640625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35" t="s">
        <v>125</v>
      </c>
      <c r="C2" s="141">
        <f>Analysis!B11</f>
        <v>0.65057794408728342</v>
      </c>
      <c r="D2" s="135" t="s">
        <v>126</v>
      </c>
      <c r="E2" s="141">
        <f>Analysis!G11</f>
        <v>0.34942205591271674</v>
      </c>
      <c r="F2" s="135" t="s">
        <v>47</v>
      </c>
      <c r="G2" s="141">
        <f>Analysis!S11</f>
        <v>0.3503840325469601</v>
      </c>
      <c r="H2" t="s">
        <v>155</v>
      </c>
      <c r="I2" s="155">
        <f>Analysis!T11</f>
        <v>-0.57387587904253012</v>
      </c>
      <c r="J2" t="s">
        <v>48</v>
      </c>
      <c r="K2" s="155">
        <f>C2*G2+E2*I2</f>
        <v>2.7427234041654674E-2</v>
      </c>
      <c r="L2" t="s">
        <v>47</v>
      </c>
      <c r="M2" s="162">
        <v>1</v>
      </c>
      <c r="N2" t="s">
        <v>155</v>
      </c>
      <c r="O2" s="162">
        <v>4</v>
      </c>
    </row>
    <row r="4" spans="1:23" x14ac:dyDescent="0.2">
      <c r="A4" t="s">
        <v>123</v>
      </c>
      <c r="B4">
        <f>$C$2</f>
        <v>0.65057794408728342</v>
      </c>
      <c r="C4" t="s">
        <v>124</v>
      </c>
      <c r="D4">
        <f>$E$2</f>
        <v>0.34942205591271674</v>
      </c>
      <c r="E4" t="s">
        <v>47</v>
      </c>
      <c r="F4">
        <f>G2</f>
        <v>0.3503840325469601</v>
      </c>
      <c r="G4" t="s">
        <v>155</v>
      </c>
      <c r="H4">
        <f>I2</f>
        <v>-0.57387587904253012</v>
      </c>
      <c r="I4" t="s">
        <v>48</v>
      </c>
      <c r="J4">
        <f>K2</f>
        <v>2.7427234041654674E-2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0.65057794408728342</v>
      </c>
      <c r="C7" s="95">
        <v>1</v>
      </c>
      <c r="D7" s="108">
        <f>C7*D4</f>
        <v>0.34942205591271674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1.0000000000000002</v>
      </c>
      <c r="R7" s="276">
        <f>B7-D7</f>
        <v>0.30115588817456668</v>
      </c>
      <c r="S7" s="277">
        <f>IF(Rules!B20=Rules!E20,SUM(C7)*B4*F4,SUM(C7)*B4*F4*POWER(O2,A7-1))</f>
        <v>0.22795212353541311</v>
      </c>
      <c r="T7" s="260">
        <f>IF(Rules!B20=Rules!E20,SUM(C7)*D4*H4,SUM(C7)*D4*H4*POWER(O2,A7-1))</f>
        <v>-0.20052488949375843</v>
      </c>
      <c r="U7" s="274">
        <f>S7+T7</f>
        <v>2.7427234041654674E-2</v>
      </c>
      <c r="V7" s="108">
        <f>(U7+W7*D7)/B7</f>
        <v>0.57925309854004547</v>
      </c>
      <c r="W7" s="57">
        <f>COUNT(D7:M7)</f>
        <v>1</v>
      </c>
    </row>
    <row r="8" spans="1:23" x14ac:dyDescent="0.2">
      <c r="A8" s="98">
        <v>2</v>
      </c>
      <c r="B8" s="97">
        <f>C8*B4</f>
        <v>0.84198275360844477</v>
      </c>
      <c r="C8" s="97">
        <f>1/(1-B4*D4)</f>
        <v>1.2942073448089133</v>
      </c>
      <c r="D8" s="93">
        <f>C8*D4</f>
        <v>0.45222459120046876</v>
      </c>
      <c r="E8" s="1">
        <f>D8*D4</f>
        <v>0.15801724639155568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1.0000000000000004</v>
      </c>
      <c r="R8" s="278">
        <f>B8-E8</f>
        <v>0.68396550721688909</v>
      </c>
      <c r="S8" s="279">
        <f>IF(Rules!B20=Rules!E20,SUM(C8:D8)*B4*F4,SUM(C8:D8)*B4*F4*POWER(O2,A8-1))</f>
        <v>0.39810286842340131</v>
      </c>
      <c r="T8" s="261">
        <f>IF(Rules!B20=Rules!E20,SUM(C8:D8)*D4*H4,SUM(C8:D8)*D4*H4*POWER(O2,A8-1))</f>
        <v>-0.35020307097665193</v>
      </c>
      <c r="U8" s="275">
        <f>S8+T8+U7</f>
        <v>7.5327031488404056E-2</v>
      </c>
      <c r="V8" s="93">
        <f>(U8+W8*E8)/B8</f>
        <v>0.46480943059020652</v>
      </c>
      <c r="W8" s="9">
        <f>COUNT(D8:M8)</f>
        <v>2</v>
      </c>
    </row>
    <row r="9" spans="1:23" x14ac:dyDescent="0.2">
      <c r="A9" s="98">
        <v>3</v>
      </c>
      <c r="B9" s="97">
        <f>C9*B4</f>
        <v>0.92176921834238335</v>
      </c>
      <c r="C9" s="97">
        <f>1/(1-D4*B4/(1-D4*B4))</f>
        <v>1.4168467079460598</v>
      </c>
      <c r="D9" s="93">
        <f>C9*D4*C8</f>
        <v>0.64073292329463682</v>
      </c>
      <c r="E9" s="1">
        <f>D9*(D4)</f>
        <v>0.22388621534857703</v>
      </c>
      <c r="F9" s="1">
        <f>E9*D4</f>
        <v>7.823078165761703E-2</v>
      </c>
      <c r="G9" s="1"/>
      <c r="H9" s="1"/>
      <c r="I9" s="1"/>
      <c r="J9" s="1"/>
      <c r="K9" s="1"/>
      <c r="L9" s="1"/>
      <c r="M9" s="242"/>
      <c r="N9" s="97">
        <f>B9+F9</f>
        <v>1.0000000000000004</v>
      </c>
      <c r="R9" s="278">
        <f>B9-F9</f>
        <v>0.84353843668476636</v>
      </c>
      <c r="S9" s="279">
        <f>IF(Rules!B20=Rules!E20,SUM(C9:E9)*B4*F4,SUM(C9:E9)*B4*F4*POWER(O2,A9-1))</f>
        <v>0.52006498450354399</v>
      </c>
      <c r="T9" s="261">
        <f>IF(Rules!B20=Rules!E20,SUM(C9:E9)*D4*H4,SUM(C9:E9)*D4*H4*POWER(O2,A9-1))</f>
        <v>-0.45749068677109811</v>
      </c>
      <c r="U9" s="275">
        <f t="shared" ref="U9:U16" si="0">S9+T9+U8</f>
        <v>0.13790132922084994</v>
      </c>
      <c r="V9" s="93">
        <f>(U9+W9*F9)/B9</f>
        <v>0.40421579152288883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0.95967691987993886</v>
      </c>
      <c r="C10" s="97">
        <f>1/(1-D4*B4/(1-D4*B4/(1-D4*B4)))</f>
        <v>1.4751144403247489</v>
      </c>
      <c r="D10" s="93">
        <f>C10*D4*C9</f>
        <v>0.7302959539941094</v>
      </c>
      <c r="E10" s="1">
        <f>D10*D4*C8</f>
        <v>0.33025778925034249</v>
      </c>
      <c r="F10" s="1">
        <f>E10*D4</f>
        <v>0.1153993557010434</v>
      </c>
      <c r="G10" s="1">
        <f>F10*D4</f>
        <v>4.0323080120061472E-2</v>
      </c>
      <c r="H10" s="1"/>
      <c r="I10" s="1"/>
      <c r="J10" s="1"/>
      <c r="K10" s="1"/>
      <c r="L10" s="1"/>
      <c r="M10" s="242"/>
      <c r="N10" s="97">
        <f>B10+G10</f>
        <v>1.0000000000000004</v>
      </c>
      <c r="R10" s="278">
        <f>B10-G10</f>
        <v>0.91935383975987739</v>
      </c>
      <c r="S10" s="279">
        <f>IF(Rules!B20=Rules!E20,SUM(C10:F10)*B4*F4,SUM(C10:F10)*B4*F4*POWER(O2,A10-1))</f>
        <v>0.60431647521245424</v>
      </c>
      <c r="T10" s="261">
        <f>IF(Rules!B20=Rules!E20,SUM(C10:F10)*D4*H4,SUM(C10:F10)*D4*H4*POWER(O2,A10-1))</f>
        <v>-0.53160502535265575</v>
      </c>
      <c r="U10" s="275">
        <f t="shared" si="0"/>
        <v>0.21061277908064843</v>
      </c>
      <c r="V10" s="93">
        <f>(U10+W10*G10)/B10</f>
        <v>0.38753156594348631</v>
      </c>
      <c r="W10" s="9">
        <f t="shared" si="1"/>
        <v>4</v>
      </c>
    </row>
    <row r="11" spans="1:23" x14ac:dyDescent="0.2">
      <c r="A11" s="98">
        <v>5</v>
      </c>
      <c r="B11" s="97">
        <f>C11*B4</f>
        <v>0.97880177841909188</v>
      </c>
      <c r="C11" s="97">
        <f>1/(1-D4*B4/(1-D4*B4/(1-D4*B4/(1-D4*B4))))</f>
        <v>1.5045111616753073</v>
      </c>
      <c r="D11" s="93">
        <f>C11*D4*C10</f>
        <v>0.77548150265546145</v>
      </c>
      <c r="E11" s="1">
        <f>D11*D4*C9</f>
        <v>0.38392343556875286</v>
      </c>
      <c r="F11" s="1">
        <f>E11*D4*C8</f>
        <v>0.17361961870235879</v>
      </c>
      <c r="G11" s="1">
        <f>F11*D4</f>
        <v>6.0666524113760174E-2</v>
      </c>
      <c r="H11" s="1">
        <f>G11*D4</f>
        <v>2.1198221580908488E-2</v>
      </c>
      <c r="I11" s="1"/>
      <c r="J11" s="1"/>
      <c r="K11" s="1"/>
      <c r="L11" s="1"/>
      <c r="M11" s="242"/>
      <c r="N11" s="97">
        <f>B11+H11</f>
        <v>1.0000000000000004</v>
      </c>
      <c r="R11" s="278">
        <f>B11-H11</f>
        <v>0.95760355683818343</v>
      </c>
      <c r="S11" s="279">
        <f>IF(Rules!B20=Rules!E20,SUM(C11:G11)*B4*F4,SUM(C11:G11)*B4*F4*POWER(O2,A11-1))</f>
        <v>0.66065135566212696</v>
      </c>
      <c r="T11" s="261">
        <f>IF(Rules!B20=Rules!E20,SUM(C11:G11)*D4*H4,SUM(C11:G11)*D4*H4*POWER(O2,A11-1))</f>
        <v>-0.58116168445111671</v>
      </c>
      <c r="U11" s="275">
        <f t="shared" si="0"/>
        <v>0.29010245029165871</v>
      </c>
      <c r="V11" s="93">
        <f>(U11+W11*H11)/B11</f>
        <v>0.40467188242746172</v>
      </c>
      <c r="W11" s="9">
        <f t="shared" si="1"/>
        <v>5</v>
      </c>
    </row>
    <row r="12" spans="1:23" x14ac:dyDescent="0.2">
      <c r="A12" s="98">
        <v>6</v>
      </c>
      <c r="B12" s="97">
        <f>C12*B4</f>
        <v>0.98874271392869562</v>
      </c>
      <c r="C12" s="97">
        <f>1/(1-D4*B4/(1-D4*B4/(1-D4*B4/(1-D4*B4/(1-D4*B4)))))</f>
        <v>1.5197913223385313</v>
      </c>
      <c r="D12" s="93">
        <f>C12*D4*C11</f>
        <v>0.79896855874473782</v>
      </c>
      <c r="E12" s="1">
        <f>D12*D4*C10</f>
        <v>0.41181837283275141</v>
      </c>
      <c r="F12" s="1">
        <f>E12*D4*C9</f>
        <v>0.20388200619470959</v>
      </c>
      <c r="G12" s="1">
        <f>F12*D4*C8</f>
        <v>9.2200456904533976E-2</v>
      </c>
      <c r="H12" s="1">
        <f>G12*D4</f>
        <v>3.22168732076741E-2</v>
      </c>
      <c r="I12" s="1">
        <f>H12*D4</f>
        <v>1.1257286071304806E-2</v>
      </c>
      <c r="J12" s="1"/>
      <c r="K12" s="1"/>
      <c r="L12" s="1"/>
      <c r="M12" s="242"/>
      <c r="N12" s="97">
        <f>B12+I12</f>
        <v>1.0000000000000004</v>
      </c>
      <c r="R12" s="278">
        <f>B12-I12</f>
        <v>0.97748542785739079</v>
      </c>
      <c r="S12" s="279">
        <f>IF(Rules!B20=Rules!E20,SUM(C12:H12)*B4*F4,SUM(C12:H12)*B4*F4*POWER(O2,A12-1))</f>
        <v>0.69727764232620593</v>
      </c>
      <c r="T12" s="261">
        <f>IF(Rules!B20=Rules!E20,SUM(C12:H12)*D4*H4,SUM(C12:H12)*D4*H4*POWER(O2,A12-1))</f>
        <v>-0.61338109075438885</v>
      </c>
      <c r="U12" s="275">
        <f t="shared" si="0"/>
        <v>0.37399900186347579</v>
      </c>
      <c r="V12" s="93">
        <f>(U12+W12*I12)/B12</f>
        <v>0.44656988321751317</v>
      </c>
      <c r="W12" s="9">
        <f t="shared" si="1"/>
        <v>6</v>
      </c>
    </row>
    <row r="13" spans="1:23" x14ac:dyDescent="0.2">
      <c r="A13" s="98">
        <v>7</v>
      </c>
      <c r="B13" s="97">
        <f>C13*B4</f>
        <v>0.99399010695095791</v>
      </c>
      <c r="C13" s="97">
        <f>1/(1-D4*B4/(1-D4*B4/(1-D4*B4/(1-D4*B4/(1-D4*B4/(1-D4*B4))))))</f>
        <v>1.5278570630694503</v>
      </c>
      <c r="D13" s="93">
        <f>C13*D4*C12</f>
        <v>0.81136636719217059</v>
      </c>
      <c r="E13" s="1">
        <f>D13*D4*C11</f>
        <v>0.42654291249143222</v>
      </c>
      <c r="F13" s="1">
        <f>E13*D4*C10</f>
        <v>0.21985622117789153</v>
      </c>
      <c r="G13" s="1">
        <f>F13*D4*C9</f>
        <v>0.10884586605450125</v>
      </c>
      <c r="H13" s="1">
        <f>G13*D4*C8</f>
        <v>4.9222777280357816E-2</v>
      </c>
      <c r="I13" s="1">
        <f>H13*D4</f>
        <v>1.7199524035036391E-2</v>
      </c>
      <c r="J13" s="1">
        <f>I13*D4</f>
        <v>6.0098930490426012E-3</v>
      </c>
      <c r="K13" s="1"/>
      <c r="L13" s="1"/>
      <c r="M13" s="242"/>
      <c r="N13" s="97">
        <f>B13+J13</f>
        <v>1.0000000000000004</v>
      </c>
      <c r="R13" s="278">
        <f>B13-J13</f>
        <v>0.98798021390191526</v>
      </c>
      <c r="S13" s="279">
        <f>IF(Rules!B20=Rules!E20,SUM(C13:I13)*B4*F4,SUM(C13:I13)*B4*F4*POWER(O2,A13-1))</f>
        <v>0.72053175446343143</v>
      </c>
      <c r="T13" s="261">
        <f>IF(Rules!B20=Rules!E20,SUM(C13:I13)*D4*H4,SUM(C13:I13)*D4*H4*POWER(O2,A13-1))</f>
        <v>-0.63383726459594614</v>
      </c>
      <c r="U13" s="275">
        <f t="shared" si="0"/>
        <v>0.46069349173096108</v>
      </c>
      <c r="V13" s="93">
        <f>(U13+W13*J13)/B13</f>
        <v>0.50580256237808296</v>
      </c>
      <c r="W13" s="9">
        <f t="shared" si="1"/>
        <v>7</v>
      </c>
    </row>
    <row r="14" spans="1:23" x14ac:dyDescent="0.2">
      <c r="A14" s="98">
        <v>8</v>
      </c>
      <c r="B14" s="97">
        <f>C14*B4</f>
        <v>0.99678250316433537</v>
      </c>
      <c r="C14" s="97">
        <f>1/(1-D4*B4/(1-D4*B4/(1-D4*B4/(1-D4*B4/(1-D4*B4/(1-D4*B4/(1-D4*B4)))))))</f>
        <v>1.5321492408765154</v>
      </c>
      <c r="D14" s="93">
        <f>C14*D4*C13</f>
        <v>0.81796385154600448</v>
      </c>
      <c r="E14" s="1">
        <f>D14*D4*C12</f>
        <v>0.43437856509305534</v>
      </c>
      <c r="F14" s="1">
        <f>E14*D4*C11</f>
        <v>0.22835688755479006</v>
      </c>
      <c r="G14" s="1">
        <f>F14*D4*C10</f>
        <v>0.11770370789773534</v>
      </c>
      <c r="H14" s="1">
        <f>G14*D4*C9</f>
        <v>5.8272456223055269E-2</v>
      </c>
      <c r="I14" s="1">
        <f>H14*D4*C8</f>
        <v>2.6352237693718382E-2</v>
      </c>
      <c r="J14" s="1">
        <f>I14*D4</f>
        <v>9.2080530728396656E-3</v>
      </c>
      <c r="K14" s="1">
        <f>J14*D4</f>
        <v>3.2174968356650448E-3</v>
      </c>
      <c r="L14" s="1"/>
      <c r="M14" s="242"/>
      <c r="N14" s="97">
        <f>B14+K14</f>
        <v>1.0000000000000004</v>
      </c>
      <c r="R14" s="278">
        <f>B14-K14</f>
        <v>0.99356500632867029</v>
      </c>
      <c r="S14" s="279">
        <f>IF(Rules!B20=Rules!E20,SUM(C14:J14)*B4*F4,SUM(C14:J14)*B4*F4*POWER(O2,A14-1))</f>
        <v>0.73500540783609358</v>
      </c>
      <c r="T14" s="261">
        <f>IF(Rules!B20=Rules!E20,SUM(C14:J14)*D4*H4,SUM(C14:J14)*D4*H4*POWER(O2,A14-1))</f>
        <v>-0.64656944580185283</v>
      </c>
      <c r="U14" s="275">
        <f t="shared" si="0"/>
        <v>0.54912945376520184</v>
      </c>
      <c r="V14" s="93">
        <f>(U14+W14*K14)/B14</f>
        <v>0.57672503943996889</v>
      </c>
      <c r="W14" s="9">
        <f t="shared" si="1"/>
        <v>8</v>
      </c>
    </row>
    <row r="15" spans="1:23" x14ac:dyDescent="0.2">
      <c r="A15" s="98">
        <v>9</v>
      </c>
      <c r="B15" s="97">
        <f>C15*B4</f>
        <v>0.99827488023726296</v>
      </c>
      <c r="C15" s="97">
        <f>1/(1-D4*B4/(1-D4*B4/(1-D4*B4/(1-D4*B4/(1-D4*B4/(1-D4*B4/(1-D4*B4/(1-D4*B4))))))))</f>
        <v>1.534443165972641</v>
      </c>
      <c r="D15" s="93">
        <f>C15*D4*C14</f>
        <v>0.82148983197152237</v>
      </c>
      <c r="E15" s="1">
        <f>D15*D4*C13</f>
        <v>0.43856627607692866</v>
      </c>
      <c r="F15" s="1">
        <f>E15*D4*C12</f>
        <v>0.23290001060613691</v>
      </c>
      <c r="G15" s="1">
        <f>F15*D4*C11</f>
        <v>0.12243772093611832</v>
      </c>
      <c r="H15" s="1">
        <f>G15*D4*C10</f>
        <v>6.3108995288226472E-2</v>
      </c>
      <c r="I15" s="1">
        <f>H15*D4*C9</f>
        <v>3.1243842958705425E-2</v>
      </c>
      <c r="J15" s="1">
        <f>I15*D4*C8</f>
        <v>1.4129234109532205E-2</v>
      </c>
      <c r="K15" s="1">
        <f>J15*D4</f>
        <v>4.9370660310248272E-3</v>
      </c>
      <c r="L15" s="1">
        <f>K15*D4</f>
        <v>1.7251197627375318E-3</v>
      </c>
      <c r="M15" s="242"/>
      <c r="N15" s="97">
        <f>B15+L15</f>
        <v>1.0000000000000004</v>
      </c>
      <c r="R15" s="278">
        <f>B15-L15</f>
        <v>0.99654976047452548</v>
      </c>
      <c r="S15" s="279">
        <f>IF(Rules!B20=Rules!E20,SUM(C15:K15)*B4*F4,SUM(C15:K15)*B4*F4*POWER(O2,A15-1))</f>
        <v>0.74386616765357683</v>
      </c>
      <c r="T15" s="261">
        <f>IF(Rules!B20=Rules!E20,SUM(C15:K15)*D4*H4,SUM(C15:K15)*D4*H4*POWER(O2,A15-1))</f>
        <v>-0.6543640776555697</v>
      </c>
      <c r="U15" s="275">
        <f t="shared" si="0"/>
        <v>0.63863154376320896</v>
      </c>
      <c r="V15" s="93">
        <f>(U15+W15*L15)/B15</f>
        <v>0.65528807203119366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0.99907430478497572</v>
      </c>
      <c r="C16" s="131">
        <f>1/(1-D4*B4/(1-D4*B4/(1-D4*B4/(1-D4*B4/(1-D4*B4/(1-D4*B4/(1-D4*B4/(1-D4*B4/(1-D4*B4)))))))))</f>
        <v>1.5356719573188251</v>
      </c>
      <c r="D16" s="94">
        <f>C16*D4*C15</f>
        <v>0.82337860080752745</v>
      </c>
      <c r="E16" s="110">
        <f>D16*D4*C14</f>
        <v>0.44080951541634555</v>
      </c>
      <c r="F16" s="110">
        <f>E16*D4*C13</f>
        <v>0.23533363422339218</v>
      </c>
      <c r="G16" s="110">
        <f>F16*D4*C12</f>
        <v>0.12497359896636179</v>
      </c>
      <c r="H16" s="110">
        <f>G16*D4*C11</f>
        <v>6.5699793635915688E-2</v>
      </c>
      <c r="I16" s="110">
        <f>H16*D4*C10</f>
        <v>3.3864138725432112E-2</v>
      </c>
      <c r="J16" s="110">
        <f>I16*D4*C9</f>
        <v>1.6765372787777583E-2</v>
      </c>
      <c r="K16" s="110">
        <f>J16*D4*C8</f>
        <v>7.5817138552761818E-3</v>
      </c>
      <c r="L16" s="110">
        <f>K16*D4</f>
        <v>2.649218042652533E-3</v>
      </c>
      <c r="M16" s="244">
        <f>L16*D4</f>
        <v>9.2569521502471139E-4</v>
      </c>
      <c r="N16" s="131">
        <f>B16+M16</f>
        <v>1.0000000000000004</v>
      </c>
      <c r="R16" s="280">
        <f>B16-M16</f>
        <v>0.998148609569951</v>
      </c>
      <c r="S16" s="281">
        <f>IF(Rules!B20=Rules!E20,SUM(C16:L16)*B4*F4,SUM(C16:L16)*B4*F4*POWER(O2,A16-1))</f>
        <v>0.74921652308687081</v>
      </c>
      <c r="T16" s="262">
        <f>IF(Rules!B20=Rules!E20,SUM(C16:L16)*D4*H4,SUM(C16:L16)*D4*H4*POWER(O2,A16-1))</f>
        <v>-0.6590706775124775</v>
      </c>
      <c r="U16" s="275">
        <f t="shared" si="0"/>
        <v>0.72877738933760228</v>
      </c>
      <c r="V16" s="94">
        <f>(U16+W16*M16)/B16</f>
        <v>0.7387181693624798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9" t="s">
        <v>139</v>
      </c>
      <c r="Q20" s="19" t="s">
        <v>138</v>
      </c>
      <c r="R20" s="19" t="s">
        <v>137</v>
      </c>
      <c r="S20" s="152" t="s">
        <v>150</v>
      </c>
      <c r="T20" s="153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4</v>
      </c>
      <c r="D21" s="57">
        <f>SUM($C$21:C21)</f>
        <v>4</v>
      </c>
      <c r="E21" s="57">
        <f t="shared" ref="E21:E30" si="3">D21/R7</f>
        <v>13.282157703260239</v>
      </c>
      <c r="F21" s="241">
        <f t="shared" ref="F21:F30" si="4">U7/E21</f>
        <v>2.0649682569965559E-3</v>
      </c>
      <c r="G21" s="265">
        <f>E21*U7</f>
        <v>0.36429284790548511</v>
      </c>
      <c r="O21" s="95">
        <v>1</v>
      </c>
      <c r="P21" s="108">
        <v>1</v>
      </c>
      <c r="Q21" s="109">
        <f>P21*4+6</f>
        <v>10</v>
      </c>
      <c r="R21" s="57">
        <f>SUM($Q$21)</f>
        <v>10</v>
      </c>
      <c r="S21" s="57">
        <f>R21/R7</f>
        <v>33.205394258150598</v>
      </c>
      <c r="T21" s="241">
        <f>U7/S21</f>
        <v>8.2598730279862236E-4</v>
      </c>
      <c r="U21" s="265">
        <f>S21*U7</f>
        <v>0.91073211976371271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29.241240660485374</v>
      </c>
      <c r="F22" s="242">
        <f t="shared" si="4"/>
        <v>2.5760545649554426E-3</v>
      </c>
      <c r="G22" s="266">
        <f t="shared" ref="G22:G30" si="5">E22*U8</f>
        <v>2.2026558559923828</v>
      </c>
      <c r="O22" s="97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9">
        <f t="shared" ref="S22:S30" si="7">R22/R8</f>
        <v>81.875473849359054</v>
      </c>
      <c r="T22" s="242">
        <f>U8/S22</f>
        <v>9.2001948748408663E-4</v>
      </c>
      <c r="U22" s="266">
        <f t="shared" ref="U22:U30" si="8">S22*U8</f>
        <v>6.1674363967786725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99.580524546258616</v>
      </c>
      <c r="F23" s="242">
        <f t="shared" si="4"/>
        <v>1.3848222817584173E-3</v>
      </c>
      <c r="G23" s="266">
        <f t="shared" si="5"/>
        <v>13.732286699438538</v>
      </c>
      <c r="O23" s="97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9">
        <f t="shared" si="7"/>
        <v>291.6286790283288</v>
      </c>
      <c r="T23" s="242">
        <f t="shared" ref="T23:T30" si="11">U9/S23</f>
        <v>4.7286614499067909E-4</v>
      </c>
      <c r="U23" s="266">
        <f t="shared" si="8"/>
        <v>40.215982476927145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369.8249632467988</v>
      </c>
      <c r="F24" s="242">
        <f t="shared" si="4"/>
        <v>5.6949313867733211E-4</v>
      </c>
      <c r="G24" s="266">
        <f t="shared" si="5"/>
        <v>77.889863282806957</v>
      </c>
      <c r="O24" s="97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9">
        <f t="shared" si="7"/>
        <v>1100.7731258992951</v>
      </c>
      <c r="T24" s="242">
        <f t="shared" si="11"/>
        <v>1.9133168690740407E-4</v>
      </c>
      <c r="U24" s="266">
        <f t="shared" si="8"/>
        <v>231.83688718294303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1424.3890284865449</v>
      </c>
      <c r="F25" s="242">
        <f t="shared" si="4"/>
        <v>2.036679899169829E-4</v>
      </c>
      <c r="G25" s="266">
        <f t="shared" si="5"/>
        <v>413.21874733250195</v>
      </c>
      <c r="O25" s="97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9">
        <f t="shared" si="7"/>
        <v>4262.7243506466839</v>
      </c>
      <c r="T25" s="242">
        <f t="shared" si="11"/>
        <v>6.805564386250972E-5</v>
      </c>
      <c r="U25" s="266">
        <f t="shared" si="8"/>
        <v>1236.6267790405227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5585.7610194436384</v>
      </c>
      <c r="F26" s="242">
        <f t="shared" si="4"/>
        <v>6.6955782848856539E-5</v>
      </c>
      <c r="G26" s="266">
        <f t="shared" si="5"/>
        <v>2089.0690459198318</v>
      </c>
      <c r="O26" s="97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9">
        <f t="shared" si="7"/>
        <v>16745.006660485982</v>
      </c>
      <c r="T26" s="242">
        <f t="shared" si="11"/>
        <v>2.2334956888731473E-5</v>
      </c>
      <c r="U26" s="266">
        <f t="shared" si="8"/>
        <v>6262.6157772190118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22109.754520011702</v>
      </c>
      <c r="F27" s="242">
        <f t="shared" si="4"/>
        <v>2.0836662447517633E-5</v>
      </c>
      <c r="G27" s="266">
        <f t="shared" si="5"/>
        <v>10185.82001113859</v>
      </c>
      <c r="O27" s="97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9">
        <f t="shared" si="7"/>
        <v>66315.09323576848</v>
      </c>
      <c r="T27" s="242">
        <f t="shared" si="11"/>
        <v>6.9470382872428217E-6</v>
      </c>
      <c r="U27" s="266">
        <f t="shared" si="8"/>
        <v>30550.93185725042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87945.93151270345</v>
      </c>
      <c r="F28" s="242">
        <f t="shared" si="4"/>
        <v>6.2439437995591898E-6</v>
      </c>
      <c r="G28" s="266">
        <f t="shared" si="5"/>
        <v>48293.701332442695</v>
      </c>
      <c r="O28" s="97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9">
        <f t="shared" si="7"/>
        <v>263821.69091137417</v>
      </c>
      <c r="T28" s="242">
        <f t="shared" si="11"/>
        <v>2.0814416429074867E-6</v>
      </c>
      <c r="U28" s="266">
        <f t="shared" si="8"/>
        <v>144872.26102157481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350734.11671241355</v>
      </c>
      <c r="F29" s="242">
        <f t="shared" si="4"/>
        <v>1.8208423798328651E-6</v>
      </c>
      <c r="G29" s="266">
        <f t="shared" si="5"/>
        <v>223989.87040647419</v>
      </c>
      <c r="O29" s="97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9">
        <f t="shared" si="7"/>
        <v>1052184.2878179126</v>
      </c>
      <c r="T29" s="242">
        <f t="shared" si="11"/>
        <v>6.0695787910656232E-7</v>
      </c>
      <c r="U29" s="266">
        <f t="shared" si="8"/>
        <v>671958.07605254615</v>
      </c>
    </row>
    <row r="30" spans="1:21" ht="17" thickBot="1" x14ac:dyDescent="0.25">
      <c r="A30" s="131">
        <v>10</v>
      </c>
      <c r="B30" s="94">
        <f t="shared" si="9"/>
        <v>262144</v>
      </c>
      <c r="C30" s="110">
        <f t="shared" si="2"/>
        <v>1048576</v>
      </c>
      <c r="D30" s="10">
        <f>SUM($C$21:C30)</f>
        <v>1398100</v>
      </c>
      <c r="E30" s="10">
        <f t="shared" si="3"/>
        <v>1400693.2300415332</v>
      </c>
      <c r="F30" s="242">
        <f t="shared" si="4"/>
        <v>5.2029764527097246E-7</v>
      </c>
      <c r="G30" s="267">
        <f t="shared" si="5"/>
        <v>1020793.5554525222</v>
      </c>
      <c r="O30" s="131">
        <v>10</v>
      </c>
      <c r="P30" s="94">
        <f t="shared" si="10"/>
        <v>786430</v>
      </c>
      <c r="Q30" s="110">
        <f t="shared" si="6"/>
        <v>3145726</v>
      </c>
      <c r="R30" s="10">
        <f>SUM($Q$21:Q30)</f>
        <v>4194280</v>
      </c>
      <c r="S30" s="10">
        <f t="shared" si="7"/>
        <v>4202059.653028111</v>
      </c>
      <c r="T30" s="244">
        <f t="shared" si="11"/>
        <v>1.734333754192249E-7</v>
      </c>
      <c r="U30" s="267">
        <f t="shared" si="8"/>
        <v>3062366.0637746975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3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3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4</v>
      </c>
      <c r="D33" s="57">
        <f>SUM($C$33:C33)</f>
        <v>4</v>
      </c>
      <c r="E33" s="8">
        <f t="shared" ref="E33:E42" si="13">D33/R7</f>
        <v>13.282157703260239</v>
      </c>
      <c r="F33" s="241">
        <f t="shared" ref="F33:F42" si="14">U7/E33</f>
        <v>2.0649682569965559E-3</v>
      </c>
      <c r="G33" s="268">
        <f>E33*U7</f>
        <v>0.36429284790548511</v>
      </c>
      <c r="O33" s="100">
        <v>1</v>
      </c>
      <c r="P33" s="108">
        <v>1</v>
      </c>
      <c r="Q33" s="109">
        <f>P33*4+6</f>
        <v>10</v>
      </c>
      <c r="R33" s="57">
        <f>SUM($Q$21)</f>
        <v>10</v>
      </c>
      <c r="S33" s="260">
        <f>R33/R7</f>
        <v>33.205394258150598</v>
      </c>
      <c r="T33" s="241">
        <f>U7/S33</f>
        <v>8.2598730279862236E-4</v>
      </c>
      <c r="U33" s="268">
        <f>S33*U7</f>
        <v>0.91073211976371271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35.089488792582451</v>
      </c>
      <c r="F34" s="242">
        <f t="shared" si="14"/>
        <v>2.1467121374628691E-3</v>
      </c>
      <c r="G34" s="266">
        <f t="shared" ref="G34:G42" si="16">E34*U8</f>
        <v>2.6431870271908595</v>
      </c>
      <c r="O34" s="98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61">
        <f>R34/R8</f>
        <v>87.723721981456123</v>
      </c>
      <c r="T34" s="242">
        <f t="shared" ref="T34:T42" si="18">U8/S34</f>
        <v>8.5868485498514764E-4</v>
      </c>
      <c r="U34" s="266">
        <f t="shared" ref="U34:U42" si="19">S34*U8</f>
        <v>6.6079675679771483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146.99982194923891</v>
      </c>
      <c r="F35" s="242">
        <f t="shared" si="14"/>
        <v>9.3810541667505693E-4</v>
      </c>
      <c r="G35" s="266">
        <f t="shared" si="16"/>
        <v>20.271470842028318</v>
      </c>
      <c r="O35" s="98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61">
        <f t="shared" ref="S35:S42" si="21">R35/R9</f>
        <v>320.08025747011698</v>
      </c>
      <c r="T35" s="242">
        <f t="shared" si="18"/>
        <v>4.3083359876928539E-4</v>
      </c>
      <c r="U35" s="266">
        <f t="shared" si="19"/>
        <v>44.139492962481015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678.73757960588955</v>
      </c>
      <c r="F36" s="242">
        <f t="shared" si="14"/>
        <v>3.1030074863828993E-4</v>
      </c>
      <c r="G36" s="266">
        <f t="shared" si="16"/>
        <v>142.95080790726925</v>
      </c>
      <c r="O36" s="98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61">
        <f t="shared" si="21"/>
        <v>1218.2469377541606</v>
      </c>
      <c r="T36" s="242">
        <f t="shared" si="18"/>
        <v>1.7288184566990441E-4</v>
      </c>
      <c r="U36" s="266">
        <f t="shared" si="19"/>
        <v>256.57837316689347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3262.3103555659577</v>
      </c>
      <c r="F37" s="242">
        <f t="shared" si="14"/>
        <v>8.8925460386288317E-5</v>
      </c>
      <c r="G37" s="266">
        <f t="shared" si="16"/>
        <v>946.40422776153673</v>
      </c>
      <c r="O37" s="98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61">
        <f t="shared" si="21"/>
        <v>4730.5588702668974</v>
      </c>
      <c r="T37" s="242">
        <f t="shared" si="18"/>
        <v>6.1325196080963505E-5</v>
      </c>
      <c r="U37" s="266">
        <f t="shared" si="19"/>
        <v>1372.3467195133678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15983.869994100258</v>
      </c>
      <c r="F38" s="242">
        <f t="shared" si="14"/>
        <v>2.339852626438535E-5</v>
      </c>
      <c r="G38" s="266">
        <f t="shared" si="16"/>
        <v>5977.9514237090571</v>
      </c>
      <c r="O38" s="98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61">
        <f t="shared" si="21"/>
        <v>18598.742735070577</v>
      </c>
      <c r="T38" s="242">
        <f t="shared" si="18"/>
        <v>2.0108832472758894E-5</v>
      </c>
      <c r="U38" s="266">
        <f t="shared" si="19"/>
        <v>6955.9112188319677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79074.458071845555</v>
      </c>
      <c r="F39" s="242">
        <f t="shared" si="14"/>
        <v>5.8260720713682755E-6</v>
      </c>
      <c r="G39" s="266">
        <f t="shared" si="16"/>
        <v>36429.088195852011</v>
      </c>
      <c r="O39" s="98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61">
        <f t="shared" si="21"/>
        <v>73675.564526261296</v>
      </c>
      <c r="T39" s="242">
        <f t="shared" si="18"/>
        <v>6.2530025347379471E-6</v>
      </c>
      <c r="U39" s="266">
        <f t="shared" si="19"/>
        <v>33941.853076853047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393153.94313593808</v>
      </c>
      <c r="F40" s="242">
        <f t="shared" si="14"/>
        <v>1.3967288471918829E-6</v>
      </c>
      <c r="G40" s="266">
        <f t="shared" si="16"/>
        <v>215892.41003987289</v>
      </c>
      <c r="O40" s="98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61">
        <f t="shared" si="21"/>
        <v>293126.26566445123</v>
      </c>
      <c r="T40" s="242">
        <f t="shared" si="18"/>
        <v>1.8733546532258002E-6</v>
      </c>
      <c r="U40" s="266">
        <f t="shared" si="19"/>
        <v>160964.26614855355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1959886.076406244</v>
      </c>
      <c r="F41" s="242">
        <f t="shared" si="14"/>
        <v>3.25851360163872E-7</v>
      </c>
      <c r="G41" s="266">
        <f t="shared" si="16"/>
        <v>1251645.0705753381</v>
      </c>
      <c r="O41" s="98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61">
        <f t="shared" si="21"/>
        <v>1169083.618509165</v>
      </c>
      <c r="T41" s="242">
        <f t="shared" si="18"/>
        <v>5.4626677993966124E-7</v>
      </c>
      <c r="U41" s="266">
        <f t="shared" si="19"/>
        <v>746613.67607678648</v>
      </c>
    </row>
    <row r="42" spans="1:21" ht="17" thickBot="1" x14ac:dyDescent="0.25">
      <c r="A42" s="131">
        <v>10</v>
      </c>
      <c r="B42" s="94">
        <f t="shared" si="15"/>
        <v>1953125</v>
      </c>
      <c r="C42" s="110">
        <f t="shared" si="12"/>
        <v>7812500</v>
      </c>
      <c r="D42" s="10">
        <f>SUM($C$33:C42)</f>
        <v>9765624</v>
      </c>
      <c r="E42" s="9">
        <f t="shared" si="13"/>
        <v>9783737.5180109572</v>
      </c>
      <c r="F42" s="242">
        <f t="shared" si="14"/>
        <v>7.4488648943820338E-8</v>
      </c>
      <c r="G42" s="267">
        <f t="shared" si="16"/>
        <v>7130166.6863403777</v>
      </c>
      <c r="O42" s="99">
        <v>10</v>
      </c>
      <c r="P42" s="94">
        <f t="shared" si="20"/>
        <v>873811</v>
      </c>
      <c r="Q42" s="110">
        <f t="shared" si="17"/>
        <v>3495250</v>
      </c>
      <c r="R42" s="10">
        <f>SUM($Q$33:Q42)</f>
        <v>4660300</v>
      </c>
      <c r="S42" s="262">
        <f t="shared" si="21"/>
        <v>4668944.0383109637</v>
      </c>
      <c r="T42" s="244">
        <f t="shared" si="18"/>
        <v>1.5609041002796955E-7</v>
      </c>
      <c r="U42" s="267">
        <f t="shared" si="19"/>
        <v>3402620.8472036263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270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3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4</v>
      </c>
      <c r="D45" s="57">
        <f>SUM(C45:C45)</f>
        <v>4</v>
      </c>
      <c r="E45" s="57">
        <f t="shared" ref="E45:E54" si="23">D45/R7</f>
        <v>13.282157703260239</v>
      </c>
      <c r="F45" s="271">
        <f t="shared" ref="F45:F54" si="24">U7/E45</f>
        <v>2.0649682569965559E-3</v>
      </c>
      <c r="G45" s="265">
        <f>E45*U7</f>
        <v>0.36429284790548511</v>
      </c>
      <c r="O45" s="100">
        <v>1</v>
      </c>
      <c r="P45" s="108">
        <v>1</v>
      </c>
      <c r="Q45" s="109">
        <f>P45*4+6</f>
        <v>10</v>
      </c>
      <c r="R45" s="57">
        <f>SUM($Q$21)</f>
        <v>10</v>
      </c>
      <c r="S45" s="260">
        <f>R45/R7</f>
        <v>33.205394258150598</v>
      </c>
      <c r="T45" s="241">
        <f>U7/S45</f>
        <v>8.2598730279862236E-4</v>
      </c>
      <c r="U45" s="268">
        <f>S45*U7</f>
        <v>0.91073211976371271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52.634233188873672</v>
      </c>
      <c r="F46" s="98">
        <f t="shared" si="24"/>
        <v>1.4311414249752461E-3</v>
      </c>
      <c r="G46" s="266">
        <f t="shared" ref="G46:G54" si="26">E46*U8</f>
        <v>3.9647805407862888</v>
      </c>
      <c r="O46" s="98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61">
        <f t="shared" ref="S46:S54" si="28">R46/R8</f>
        <v>140.3579551703298</v>
      </c>
      <c r="T46" s="242">
        <f t="shared" ref="T46:T54" si="29">U8/S46</f>
        <v>5.3667803436571726E-4</v>
      </c>
      <c r="U46" s="266">
        <f t="shared" ref="U46:U54" si="30">S46*U8</f>
        <v>10.572748108763438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346.16087104175614</v>
      </c>
      <c r="F47" s="98">
        <f t="shared" si="24"/>
        <v>3.983735331085858E-4</v>
      </c>
      <c r="G47" s="266">
        <f t="shared" si="26"/>
        <v>47.736044240905393</v>
      </c>
      <c r="O47" s="98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61">
        <f t="shared" si="28"/>
        <v>936.53112370886083</v>
      </c>
      <c r="T47" s="242">
        <f t="shared" si="29"/>
        <v>1.472469261616545E-4</v>
      </c>
      <c r="U47" s="266">
        <f t="shared" si="30"/>
        <v>129.14888681614815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2545.2659235220858</v>
      </c>
      <c r="F48" s="98">
        <f t="shared" si="24"/>
        <v>8.274686630354398E-5</v>
      </c>
      <c r="G48" s="266">
        <f t="shared" si="26"/>
        <v>536.06552965225967</v>
      </c>
      <c r="O48" s="98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61">
        <f t="shared" si="28"/>
        <v>6904.8496079137612</v>
      </c>
      <c r="T48" s="242">
        <f t="shared" si="29"/>
        <v>3.0502152985238329E-5</v>
      </c>
      <c r="U48" s="266">
        <f t="shared" si="30"/>
        <v>1454.249565056643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19552.976663769845</v>
      </c>
      <c r="F49" s="98">
        <f t="shared" si="24"/>
        <v>1.483674098732988E-5</v>
      </c>
      <c r="G49" s="266">
        <f t="shared" si="26"/>
        <v>5672.3664406552543</v>
      </c>
      <c r="O49" s="98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61">
        <f t="shared" si="28"/>
        <v>53067.889772455455</v>
      </c>
      <c r="T49" s="242">
        <f t="shared" si="29"/>
        <v>5.4666287190909654E-6</v>
      </c>
      <c r="U49" s="266">
        <f t="shared" si="30"/>
        <v>15395.124854796983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153246.27429827457</v>
      </c>
      <c r="F50" s="98">
        <f t="shared" si="24"/>
        <v>2.4405095887390636E-6</v>
      </c>
      <c r="G50" s="266">
        <f t="shared" si="26"/>
        <v>57313.953626851115</v>
      </c>
      <c r="O50" s="98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61">
        <f t="shared" si="28"/>
        <v>415948.91178195464</v>
      </c>
      <c r="T50" s="242">
        <f t="shared" si="29"/>
        <v>8.9914648474794063E-7</v>
      </c>
      <c r="U50" s="266">
        <f t="shared" si="30"/>
        <v>155564.47783264998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1212951.4165745955</v>
      </c>
      <c r="F51" s="98">
        <f t="shared" si="24"/>
        <v>3.7981199035322516E-7</v>
      </c>
      <c r="G51" s="266">
        <f t="shared" si="26"/>
        <v>558798.8234017659</v>
      </c>
      <c r="O51" s="98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61">
        <f t="shared" si="28"/>
        <v>3292290.6291349307</v>
      </c>
      <c r="T51" s="242">
        <f t="shared" si="29"/>
        <v>1.3993099140582588E-7</v>
      </c>
      <c r="U51" s="266">
        <f t="shared" si="30"/>
        <v>1516736.8657292938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9649071.7154229525</v>
      </c>
      <c r="F52" s="98">
        <f t="shared" si="24"/>
        <v>5.6910081089715639E-8</v>
      </c>
      <c r="G52" s="266">
        <f t="shared" si="26"/>
        <v>5298589.4804314654</v>
      </c>
      <c r="O52" s="98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61">
        <f t="shared" si="28"/>
        <v>26190330.611736558</v>
      </c>
      <c r="T52" s="242">
        <f t="shared" si="29"/>
        <v>2.0966877505514301E-8</v>
      </c>
      <c r="U52" s="266">
        <f t="shared" si="30"/>
        <v>14381881.942752941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76961379.192424729</v>
      </c>
      <c r="F53" s="98">
        <f t="shared" si="24"/>
        <v>8.2980782109745404E-9</v>
      </c>
      <c r="G53" s="266">
        <f t="shared" si="26"/>
        <v>49149964.403803915</v>
      </c>
      <c r="O53" s="98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61">
        <f t="shared" si="28"/>
        <v>208895164.35273027</v>
      </c>
      <c r="T53" s="242">
        <f t="shared" si="29"/>
        <v>3.057186822596078E-9</v>
      </c>
      <c r="U53" s="266">
        <f t="shared" si="30"/>
        <v>133407041.2952534</v>
      </c>
    </row>
    <row r="54" spans="1:21" ht="17" thickBot="1" x14ac:dyDescent="0.25">
      <c r="A54" s="131">
        <v>10</v>
      </c>
      <c r="B54" s="94">
        <f t="shared" si="25"/>
        <v>134217728</v>
      </c>
      <c r="C54" s="110">
        <f t="shared" si="22"/>
        <v>536870912</v>
      </c>
      <c r="D54" s="10">
        <f>SUM($C$45:C54)</f>
        <v>613566756</v>
      </c>
      <c r="E54" s="10">
        <f t="shared" si="23"/>
        <v>614704814.611076</v>
      </c>
      <c r="F54" s="99">
        <f t="shared" si="24"/>
        <v>1.1855729319424642E-9</v>
      </c>
      <c r="G54" s="267">
        <f t="shared" si="26"/>
        <v>447982970.00551474</v>
      </c>
      <c r="O54" s="99">
        <v>10</v>
      </c>
      <c r="P54" s="94">
        <f t="shared" si="31"/>
        <v>364305260</v>
      </c>
      <c r="Q54" s="110">
        <f t="shared" si="27"/>
        <v>1457221046</v>
      </c>
      <c r="R54" s="10">
        <f>SUM($Q$45:Q54)</f>
        <v>1665395472</v>
      </c>
      <c r="S54" s="262">
        <f t="shared" si="28"/>
        <v>1668484488.214165</v>
      </c>
      <c r="T54" s="244">
        <f t="shared" si="29"/>
        <v>4.3679002980581333E-10</v>
      </c>
      <c r="U54" s="267">
        <f t="shared" si="30"/>
        <v>1215953769.4710045</v>
      </c>
    </row>
  </sheetData>
  <mergeCells count="2">
    <mergeCell ref="A18:F18"/>
    <mergeCell ref="O18:T18"/>
  </mergeCells>
  <conditionalFormatting sqref="F45:F54">
    <cfRule type="cellIs" dxfId="936" priority="86" operator="equal">
      <formula>MAX($F$45:$F$54)</formula>
    </cfRule>
  </conditionalFormatting>
  <conditionalFormatting sqref="F21:F30">
    <cfRule type="cellIs" dxfId="935" priority="84" operator="equal">
      <formula>MAX($F$21:$F$30)</formula>
    </cfRule>
  </conditionalFormatting>
  <conditionalFormatting sqref="F33:F42">
    <cfRule type="cellIs" dxfId="934" priority="58" operator="lessThanOrEqual">
      <formula>0</formula>
    </cfRule>
    <cfRule type="cellIs" dxfId="933" priority="59" operator="equal">
      <formula>MAX($F$33:$F$42)</formula>
    </cfRule>
  </conditionalFormatting>
  <conditionalFormatting sqref="E21:E30">
    <cfRule type="cellIs" dxfId="932" priority="46" stopIfTrue="1" operator="lessThan">
      <formula>0</formula>
    </cfRule>
    <cfRule type="cellIs" dxfId="931" priority="47" operator="equal">
      <formula>MIN($E$21:$E$30)</formula>
    </cfRule>
  </conditionalFormatting>
  <conditionalFormatting sqref="E33:E42">
    <cfRule type="cellIs" dxfId="930" priority="44" stopIfTrue="1" operator="lessThan">
      <formula>0</formula>
    </cfRule>
    <cfRule type="cellIs" dxfId="929" priority="45" operator="equal">
      <formula>MIN($E$33:$E$42)</formula>
    </cfRule>
  </conditionalFormatting>
  <conditionalFormatting sqref="E45:E54">
    <cfRule type="cellIs" dxfId="928" priority="42" stopIfTrue="1" operator="lessThan">
      <formula>0</formula>
    </cfRule>
    <cfRule type="cellIs" dxfId="927" priority="43" operator="equal">
      <formula>MIN($E$45:$E$54)</formula>
    </cfRule>
  </conditionalFormatting>
  <conditionalFormatting sqref="R7:R16">
    <cfRule type="cellIs" dxfId="926" priority="32" operator="lessThanOrEqual">
      <formula>0</formula>
    </cfRule>
    <cfRule type="cellIs" dxfId="925" priority="33" operator="greaterThan">
      <formula>0</formula>
    </cfRule>
  </conditionalFormatting>
  <conditionalFormatting sqref="S21:S30">
    <cfRule type="cellIs" dxfId="924" priority="20" stopIfTrue="1" operator="lessThan">
      <formula>0</formula>
    </cfRule>
    <cfRule type="cellIs" dxfId="923" priority="21" operator="equal">
      <formula>MIN($E$21:$E$30)</formula>
    </cfRule>
  </conditionalFormatting>
  <conditionalFormatting sqref="S45:S54">
    <cfRule type="cellIs" dxfId="922" priority="14" stopIfTrue="1" operator="lessThan">
      <formula>0</formula>
    </cfRule>
    <cfRule type="cellIs" dxfId="921" priority="15" operator="equal">
      <formula>MIN($E$21:$E$30)</formula>
    </cfRule>
  </conditionalFormatting>
  <conditionalFormatting sqref="T21:T30">
    <cfRule type="cellIs" dxfId="920" priority="19" operator="equal">
      <formula>MAX($T$21:$T$30)</formula>
    </cfRule>
  </conditionalFormatting>
  <conditionalFormatting sqref="S33:S42">
    <cfRule type="cellIs" dxfId="919" priority="17" stopIfTrue="1" operator="lessThan">
      <formula>0</formula>
    </cfRule>
    <cfRule type="cellIs" dxfId="918" priority="18" operator="equal">
      <formula>MIN($E$21:$E$30)</formula>
    </cfRule>
  </conditionalFormatting>
  <conditionalFormatting sqref="T33:T42">
    <cfRule type="cellIs" dxfId="917" priority="16" operator="equal">
      <formula>MAX($T$21:$T$30)</formula>
    </cfRule>
  </conditionalFormatting>
  <conditionalFormatting sqref="T45:T54">
    <cfRule type="cellIs" dxfId="916" priority="13" operator="equal">
      <formula>MAX($T$21:$T$30)</formula>
    </cfRule>
  </conditionalFormatting>
  <conditionalFormatting sqref="U7:U16">
    <cfRule type="cellIs" dxfId="915" priority="9" operator="lessThanOrEqual">
      <formula>0</formula>
    </cfRule>
    <cfRule type="cellIs" dxfId="914" priority="10" operator="greaterThan">
      <formula>0</formula>
    </cfRule>
  </conditionalFormatting>
  <conditionalFormatting sqref="S7:T16">
    <cfRule type="cellIs" dxfId="913" priority="1" operator="lessThanOrEqual">
      <formula>0</formula>
    </cfRule>
    <cfRule type="cellIs" dxfId="91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Analysis!B12</f>
        <v>0.6722226627886746</v>
      </c>
      <c r="D2" s="135" t="s">
        <v>126</v>
      </c>
      <c r="E2" s="141">
        <f>Analysis!H12</f>
        <v>0.3277773372113254</v>
      </c>
      <c r="F2" s="135" t="s">
        <v>47</v>
      </c>
      <c r="G2" s="141">
        <f>Analysis!S12</f>
        <v>0.45335159728834656</v>
      </c>
      <c r="H2" t="s">
        <v>155</v>
      </c>
      <c r="I2" s="155">
        <f>Analysis!T12</f>
        <v>-0.74252112608560772</v>
      </c>
      <c r="J2" t="s">
        <v>48</v>
      </c>
      <c r="K2" s="155">
        <f>C2*G2+E2*I2</f>
        <v>6.1371620377175917E-2</v>
      </c>
      <c r="L2" t="s">
        <v>47</v>
      </c>
      <c r="M2" s="162">
        <v>1</v>
      </c>
      <c r="N2" t="s">
        <v>155</v>
      </c>
      <c r="O2" s="162">
        <v>5</v>
      </c>
    </row>
    <row r="4" spans="1:23" x14ac:dyDescent="0.2">
      <c r="A4" t="s">
        <v>123</v>
      </c>
      <c r="B4">
        <f>$C$2</f>
        <v>0.6722226627886746</v>
      </c>
      <c r="C4" t="s">
        <v>124</v>
      </c>
      <c r="D4">
        <f>$E$2</f>
        <v>0.3277773372113254</v>
      </c>
      <c r="E4" t="s">
        <v>47</v>
      </c>
      <c r="F4">
        <f>G2</f>
        <v>0.45335159728834656</v>
      </c>
      <c r="G4" t="s">
        <v>155</v>
      </c>
      <c r="H4">
        <f>I2</f>
        <v>-0.74252112608560772</v>
      </c>
      <c r="I4" t="s">
        <v>48</v>
      </c>
      <c r="J4">
        <f>K2</f>
        <v>6.1371620377175917E-2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0.6722226627886746</v>
      </c>
      <c r="C7" s="95">
        <v>1</v>
      </c>
      <c r="D7" s="108">
        <f>C7*D4</f>
        <v>0.3277773372113254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</v>
      </c>
      <c r="R7" s="276">
        <f>B7-D7</f>
        <v>0.34444532557734919</v>
      </c>
      <c r="S7" s="277">
        <f>IF(Rules!B20=Rules!E20,SUM(C7)*B4*F4,SUM(C7)*B4*F4*POWER(O2,A7-1))</f>
        <v>0.30475321790867121</v>
      </c>
      <c r="T7" s="260">
        <f>IF(Rules!B20=Rules!E20,SUM(C7)*D4*H4,SUM(C7)*D4*H4*POWER(O2,A7-1))</f>
        <v>-0.2433815975314953</v>
      </c>
      <c r="U7" s="274">
        <f>S7+T7</f>
        <v>6.1371620377175917E-2</v>
      </c>
      <c r="V7" s="108">
        <f>(U7+W7*D7)/B7</f>
        <v>0.57889889634803549</v>
      </c>
      <c r="W7" s="57">
        <f>COUNT(D7:M7)</f>
        <v>1</v>
      </c>
    </row>
    <row r="8" spans="1:23" x14ac:dyDescent="0.2">
      <c r="A8" s="98">
        <v>2</v>
      </c>
      <c r="B8" s="97">
        <f>C8*B4</f>
        <v>0.86219904339317388</v>
      </c>
      <c r="C8" s="97">
        <f>1/(1-B4*D4)</f>
        <v>1.2826093065895665</v>
      </c>
      <c r="D8" s="93">
        <f>C8*D4</f>
        <v>0.42041026319639258</v>
      </c>
      <c r="E8" s="1">
        <f>D8*D4</f>
        <v>0.13780095660682604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0.99999999999999989</v>
      </c>
      <c r="R8" s="278">
        <f>B8-E8</f>
        <v>0.72439808678634787</v>
      </c>
      <c r="S8" s="279">
        <f>IF(Rules!B20=Rules!E20,SUM(C8:D8)*B4*F4,SUM(C8:D8)*B4*F4*POWER(O2,A8-1))</f>
        <v>0.51900069405371185</v>
      </c>
      <c r="T8" s="261">
        <f>IF(Rules!B20=Rules!E20,SUM(C8:D8)*D4*H4,SUM(C8:D8)*D4*H4*POWER(O2,A8-1))</f>
        <v>-0.4144836235219066</v>
      </c>
      <c r="U8" s="275">
        <f>S8+T8+U7</f>
        <v>0.16588869090898117</v>
      </c>
      <c r="V8" s="93">
        <f>(U8+W8*E8)/B8</f>
        <v>0.51205183710846203</v>
      </c>
      <c r="W8" s="9">
        <f>COUNT(D8:M8)</f>
        <v>2</v>
      </c>
    </row>
    <row r="9" spans="1:23" x14ac:dyDescent="0.2">
      <c r="A9" s="98">
        <v>3</v>
      </c>
      <c r="B9" s="97">
        <f>C9*B4</f>
        <v>0.9370384491510021</v>
      </c>
      <c r="C9" s="97">
        <f>1/(1-D4*B4/(1-D4*B4))</f>
        <v>1.3939405810327123</v>
      </c>
      <c r="D9" s="93">
        <f>C9*D4*C8</f>
        <v>0.58602692655209498</v>
      </c>
      <c r="E9" s="1">
        <f>D9*(D4)</f>
        <v>0.19208634551938267</v>
      </c>
      <c r="F9" s="1">
        <f>E9*D4</f>
        <v>6.2961550848997863E-2</v>
      </c>
      <c r="G9" s="1"/>
      <c r="H9" s="1"/>
      <c r="I9" s="1"/>
      <c r="J9" s="1"/>
      <c r="K9" s="1"/>
      <c r="L9" s="1"/>
      <c r="M9" s="242"/>
      <c r="N9" s="97">
        <f>B9+F9</f>
        <v>1</v>
      </c>
      <c r="R9" s="278">
        <f>B9-F9</f>
        <v>0.87407689830200419</v>
      </c>
      <c r="S9" s="279">
        <f>IF(Rules!B20=Rules!E20,SUM(C9:E9)*B4*F4,SUM(C9:E9)*B4*F4*POWER(O2,A9-1))</f>
        <v>0.6619404012044301</v>
      </c>
      <c r="T9" s="261">
        <f>IF(Rules!B20=Rules!E20,SUM(C9:E9)*D4*H4,SUM(C9:E9)*D4*H4*POWER(O2,A9-1))</f>
        <v>-0.52863793669293757</v>
      </c>
      <c r="U9" s="275">
        <f t="shared" ref="U9:U16" si="0">S9+T9+U8</f>
        <v>0.2991911554204737</v>
      </c>
      <c r="V9" s="93">
        <f>(U9+W9*F9)/B9</f>
        <v>0.52087063066588712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0.97021423011472152</v>
      </c>
      <c r="C10" s="97">
        <f>1/(1-D4*B4/(1-D4*B4/(1-D4*B4)))</f>
        <v>1.4432929501213885</v>
      </c>
      <c r="D10" s="93">
        <f>C10*D4*C9</f>
        <v>0.65944362584030525</v>
      </c>
      <c r="E10" s="1">
        <f>D10*D4*C8</f>
        <v>0.27723686830270616</v>
      </c>
      <c r="F10" s="1">
        <f>E10*D4</f>
        <v>9.0871962469067924E-2</v>
      </c>
      <c r="G10" s="1">
        <f>F10*D4</f>
        <v>2.9785769885278583E-2</v>
      </c>
      <c r="H10" s="1"/>
      <c r="I10" s="1"/>
      <c r="J10" s="1"/>
      <c r="K10" s="1"/>
      <c r="L10" s="1"/>
      <c r="M10" s="242"/>
      <c r="N10" s="97">
        <f>B10+G10</f>
        <v>1</v>
      </c>
      <c r="R10" s="278">
        <f>B10-G10</f>
        <v>0.94042846022944293</v>
      </c>
      <c r="S10" s="279">
        <f>IF(Rules!B20=Rules!E20,SUM(C10:F10)*B4*F4,SUM(C10:F10)*B4*F4*POWER(O2,A10-1))</f>
        <v>0.75299808865688378</v>
      </c>
      <c r="T10" s="261">
        <f>IF(Rules!B20=Rules!E20,SUM(C10:F10)*D4*H4,SUM(C10:F10)*D4*H4*POWER(O2,A10-1))</f>
        <v>-0.60135830234414867</v>
      </c>
      <c r="U10" s="275">
        <f t="shared" si="0"/>
        <v>0.45083094173320881</v>
      </c>
      <c r="V10" s="93">
        <f>(U10+W10*G10)/B10</f>
        <v>0.5874723371217998</v>
      </c>
      <c r="W10" s="9">
        <f t="shared" si="1"/>
        <v>4</v>
      </c>
    </row>
    <row r="11" spans="1:23" x14ac:dyDescent="0.2">
      <c r="A11" s="98">
        <v>5</v>
      </c>
      <c r="B11" s="97">
        <f>C11*B4</f>
        <v>0.98568430476466273</v>
      </c>
      <c r="C11" s="97">
        <f>1/(1-D4*B4/(1-D4*B4/(1-D4*B4/(1-D4*B4))))</f>
        <v>1.4663062692287281</v>
      </c>
      <c r="D11" s="93">
        <f>C11*D4*C10</f>
        <v>0.69367829298447792</v>
      </c>
      <c r="E11" s="1">
        <f>D11*D4*C9</f>
        <v>0.31694309090467354</v>
      </c>
      <c r="F11" s="1">
        <f>E11*D4*C8</f>
        <v>0.13324612826551199</v>
      </c>
      <c r="G11" s="1">
        <f>F11*D4</f>
        <v>4.367506111658824E-2</v>
      </c>
      <c r="H11" s="1">
        <f>G11*D4</f>
        <v>1.4315695235337191E-2</v>
      </c>
      <c r="I11" s="1"/>
      <c r="J11" s="1"/>
      <c r="K11" s="1"/>
      <c r="L11" s="1"/>
      <c r="M11" s="242"/>
      <c r="N11" s="97">
        <f>B11+H11</f>
        <v>0.99999999999999989</v>
      </c>
      <c r="R11" s="278">
        <f>B11-H11</f>
        <v>0.97136860952932558</v>
      </c>
      <c r="S11" s="279">
        <f>IF(Rules!B20=Rules!E20,SUM(C11:G11)*B4*F4,SUM(C11:G11)*B4*F4*POWER(O2,A11-1))</f>
        <v>0.80876897459507124</v>
      </c>
      <c r="T11" s="261">
        <f>IF(Rules!B20=Rules!E20,SUM(C11:G11)*D4*H4,SUM(C11:G11)*D4*H4*POWER(O2,A11-1))</f>
        <v>-0.64589797089475487</v>
      </c>
      <c r="U11" s="275">
        <f t="shared" si="0"/>
        <v>0.61370194543352519</v>
      </c>
      <c r="V11" s="93">
        <f>(U11+W11*H11)/B11</f>
        <v>0.69523316775732302</v>
      </c>
      <c r="W11" s="9">
        <f t="shared" si="1"/>
        <v>5</v>
      </c>
    </row>
    <row r="12" spans="1:23" x14ac:dyDescent="0.2">
      <c r="A12" s="98">
        <v>6</v>
      </c>
      <c r="B12" s="97">
        <f>C12*B4</f>
        <v>0.993068021386176</v>
      </c>
      <c r="C12" s="97">
        <f>1/(1-D4*B4/(1-D4*B4/(1-D4*B4/(1-D4*B4/(1-D4*B4)))))</f>
        <v>1.4772903032850664</v>
      </c>
      <c r="D12" s="93">
        <f>C12*D4*C11</f>
        <v>0.71001816764858339</v>
      </c>
      <c r="E12" s="1">
        <f>D12*D4*C10</f>
        <v>0.33589448593267091</v>
      </c>
      <c r="F12" s="1">
        <f>E12*D4*C9</f>
        <v>0.15347090670994848</v>
      </c>
      <c r="G12" s="1">
        <f>F12*D4*C8</f>
        <v>6.4520744282918457E-2</v>
      </c>
      <c r="H12" s="1">
        <f>G12*D4</f>
        <v>2.1148437755947859E-2</v>
      </c>
      <c r="I12" s="1">
        <f>H12*D4</f>
        <v>6.9319786138240472E-3</v>
      </c>
      <c r="J12" s="1"/>
      <c r="K12" s="1"/>
      <c r="L12" s="1"/>
      <c r="M12" s="242"/>
      <c r="N12" s="97">
        <f>B12+I12</f>
        <v>1</v>
      </c>
      <c r="R12" s="278">
        <f>B12-I12</f>
        <v>0.98613604277235201</v>
      </c>
      <c r="S12" s="279">
        <f>IF(Rules!B20=Rules!E20,SUM(C12:H12)*B4*F4,SUM(C12:H12)*B4*F4*POWER(O2,A12-1))</f>
        <v>0.8418329321188518</v>
      </c>
      <c r="T12" s="261">
        <f>IF(Rules!B20=Rules!E20,SUM(C12:H12)*D4*H4,SUM(C12:H12)*D4*H4*POWER(O2,A12-1))</f>
        <v>-0.67230346337182778</v>
      </c>
      <c r="U12" s="275">
        <f t="shared" si="0"/>
        <v>0.7832314141805492</v>
      </c>
      <c r="V12" s="93">
        <f>(U12+W12*I12)/B12</f>
        <v>0.83058085458452513</v>
      </c>
      <c r="W12" s="9">
        <f t="shared" si="1"/>
        <v>6</v>
      </c>
    </row>
    <row r="13" spans="1:23" x14ac:dyDescent="0.2">
      <c r="A13" s="98">
        <v>7</v>
      </c>
      <c r="B13" s="97">
        <f>C13*B4</f>
        <v>0.99663133731534836</v>
      </c>
      <c r="C13" s="97">
        <f>1/(1-D4*B4/(1-D4*B4/(1-D4*B4/(1-D4*B4/(1-D4*B4/(1-D4*B4))))))</f>
        <v>1.4825911003667807</v>
      </c>
      <c r="D13" s="93">
        <f>C13*D4*C12</f>
        <v>0.71790364574258936</v>
      </c>
      <c r="E13" s="1">
        <f>D13*D4*C11</f>
        <v>0.34504026051271774</v>
      </c>
      <c r="F13" s="1">
        <f>E13*D4*C10</f>
        <v>0.16323120479412345</v>
      </c>
      <c r="G13" s="1">
        <f>F13*D4*C9</f>
        <v>7.4580685460055043E-2</v>
      </c>
      <c r="H13" s="1">
        <f>G13*D4*C8</f>
        <v>3.1354485603629113E-2</v>
      </c>
      <c r="I13" s="1">
        <f>H13*D4</f>
        <v>1.0277289800788387E-2</v>
      </c>
      <c r="J13" s="1">
        <f>I13*D4</f>
        <v>3.3686626846515305E-3</v>
      </c>
      <c r="K13" s="1"/>
      <c r="L13" s="1"/>
      <c r="M13" s="242"/>
      <c r="N13" s="97">
        <f>B13+J13</f>
        <v>0.99999999999999989</v>
      </c>
      <c r="R13" s="278">
        <f>B13-J13</f>
        <v>0.99326267463069684</v>
      </c>
      <c r="S13" s="279">
        <f>IF(Rules!B20=Rules!E20,SUM(C13:I13)*B4*F4,SUM(C13:I13)*B4*F4*POWER(O2,A13-1))</f>
        <v>0.86092134090090389</v>
      </c>
      <c r="T13" s="261">
        <f>IF(Rules!B20=Rules!E20,SUM(C13:I13)*D4*H4,SUM(C13:I13)*D4*H4*POWER(O2,A13-1))</f>
        <v>-0.68754782225207534</v>
      </c>
      <c r="U13" s="275">
        <f t="shared" si="0"/>
        <v>0.95660493282937775</v>
      </c>
      <c r="V13" s="93">
        <f>(U13+W13*J13)/B13</f>
        <v>0.98349864681386567</v>
      </c>
      <c r="W13" s="9">
        <f t="shared" si="1"/>
        <v>7</v>
      </c>
    </row>
    <row r="14" spans="1:23" x14ac:dyDescent="0.2">
      <c r="A14" s="98">
        <v>8</v>
      </c>
      <c r="B14" s="97">
        <f>C14*B4</f>
        <v>0.9983601258276632</v>
      </c>
      <c r="C14" s="97">
        <f>1/(1-D4*B4/(1-D4*B4/(1-D4*B4/(1-D4*B4/(1-D4*B4/(1-D4*B4/(1-D4*B4)))))))</f>
        <v>1.4851628501872092</v>
      </c>
      <c r="D14" s="93">
        <f>C14*D4*C13</f>
        <v>0.72172938676976595</v>
      </c>
      <c r="E14" s="1">
        <f>D14*D4*C12</f>
        <v>0.3494774505751429</v>
      </c>
      <c r="F14" s="1">
        <f>E14*D4*C11</f>
        <v>0.16796653883131846</v>
      </c>
      <c r="G14" s="1">
        <f>F14*D4*C10</f>
        <v>7.9461395194270271E-2</v>
      </c>
      <c r="H14" s="1">
        <f>G14*D4*C9</f>
        <v>3.6306080866557171E-2</v>
      </c>
      <c r="I14" s="1">
        <f>H14*D4*C8</f>
        <v>1.5263449012738812E-2</v>
      </c>
      <c r="J14" s="1">
        <f>I14*D4</f>
        <v>5.0030126740563613E-3</v>
      </c>
      <c r="K14" s="1">
        <f>J14*D4</f>
        <v>1.6398741723367067E-3</v>
      </c>
      <c r="L14" s="1"/>
      <c r="M14" s="242"/>
      <c r="N14" s="97">
        <f>B14+K14</f>
        <v>0.99999999999999989</v>
      </c>
      <c r="R14" s="278">
        <f>B14-K14</f>
        <v>0.99672025165532652</v>
      </c>
      <c r="S14" s="279">
        <f>IF(Rules!B20=Rules!E20,SUM(C14:J14)*B4*F4,SUM(C14:J14)*B4*F4*POWER(O2,A14-1))</f>
        <v>0.87170701192279931</v>
      </c>
      <c r="T14" s="261">
        <f>IF(Rules!B20=Rules!E20,SUM(C14:J14)*D4*H4,SUM(C14:J14)*D4*H4*POWER(O2,A14-1))</f>
        <v>-0.69616146007277513</v>
      </c>
      <c r="U14" s="275">
        <f t="shared" si="0"/>
        <v>1.1321504846794019</v>
      </c>
      <c r="V14" s="93">
        <f>(U14+W14*K14)/B14</f>
        <v>1.1471506607985182</v>
      </c>
      <c r="W14" s="9">
        <f t="shared" si="1"/>
        <v>8</v>
      </c>
    </row>
    <row r="15" spans="1:23" x14ac:dyDescent="0.2">
      <c r="A15" s="98">
        <v>9</v>
      </c>
      <c r="B15" s="97">
        <f>C15*B4</f>
        <v>0.99920103239097191</v>
      </c>
      <c r="C15" s="97">
        <f>1/(1-D4*B4/(1-D4*B4/(1-D4*B4/(1-D4*B4/(1-D4*B4/(1-D4*B4/(1-D4*B4/(1-D4*B4))))))))</f>
        <v>1.4864137847507961</v>
      </c>
      <c r="D15" s="93">
        <f>C15*D4*C14</f>
        <v>0.72359027994227132</v>
      </c>
      <c r="E15" s="1">
        <f>D15*D4*C13</f>
        <v>0.35163576098706567</v>
      </c>
      <c r="F15" s="1">
        <f>E15*D4*C12</f>
        <v>0.17026987058240975</v>
      </c>
      <c r="G15" s="1">
        <f>F15*D4*C11</f>
        <v>8.1835439688359934E-2</v>
      </c>
      <c r="H15" s="1">
        <f>G15*D4*C10</f>
        <v>3.8714605058952113E-2</v>
      </c>
      <c r="I15" s="1">
        <f>H15*D4*C9</f>
        <v>1.7688785586393665E-2</v>
      </c>
      <c r="J15" s="1">
        <f>I15*D4*C8</f>
        <v>7.4365470040003157E-3</v>
      </c>
      <c r="K15" s="1">
        <f>J15*D4</f>
        <v>2.4375315750180832E-3</v>
      </c>
      <c r="L15" s="1">
        <f>K15*D4</f>
        <v>7.9896760902795538E-4</v>
      </c>
      <c r="M15" s="242"/>
      <c r="N15" s="97">
        <f>B15+L15</f>
        <v>0.99999999999999989</v>
      </c>
      <c r="R15" s="278">
        <f>B15-L15</f>
        <v>0.99840206478194393</v>
      </c>
      <c r="S15" s="279">
        <f>IF(Rules!B20=Rules!E20,SUM(C15:K15)*B4*F4,SUM(C15:K15)*B4*F4*POWER(O2,A15-1))</f>
        <v>0.87769615657687727</v>
      </c>
      <c r="T15" s="261">
        <f>IF(Rules!B20=Rules!E20,SUM(C15:K15)*D4*H4,SUM(C15:K15)*D4*H4*POWER(O2,A15-1))</f>
        <v>-0.70094450257437557</v>
      </c>
      <c r="U15" s="275">
        <f t="shared" si="0"/>
        <v>1.3089021386819035</v>
      </c>
      <c r="V15" s="93">
        <f>(U15+W15*L15)/B15</f>
        <v>1.317145203517152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0.99961057324386082</v>
      </c>
      <c r="C16" s="131">
        <f>1/(1-D4*B4/(1-D4*B4/(1-D4*B4/(1-D4*B4/(1-D4*B4/(1-D4*B4/(1-D4*B4/(1-D4*B4/(1-D4*B4)))))))))</f>
        <v>1.487023018678123</v>
      </c>
      <c r="D16" s="94">
        <f>C16*D4*C15</f>
        <v>0.72449657775258247</v>
      </c>
      <c r="E16" s="110">
        <f>D16*D4*C14</f>
        <v>0.35268690783912482</v>
      </c>
      <c r="F16" s="110">
        <f>E16*D4*C13</f>
        <v>0.17139164616484343</v>
      </c>
      <c r="G16" s="110">
        <f>F16*D4*C12</f>
        <v>8.2991654004347687E-2</v>
      </c>
      <c r="H16" s="110">
        <f>G16*D4*C11</f>
        <v>3.9887611781691597E-2</v>
      </c>
      <c r="I16" s="110">
        <f>H16*D4*C10</f>
        <v>1.8869980325805509E-2</v>
      </c>
      <c r="J16" s="110">
        <f>I16*D4*C9</f>
        <v>8.6217342394264655E-3</v>
      </c>
      <c r="K16" s="110">
        <f>J16*D4*C8</f>
        <v>3.6246655608066299E-3</v>
      </c>
      <c r="L16" s="110">
        <f>K16*D4</f>
        <v>1.1880832258027926E-3</v>
      </c>
      <c r="M16" s="244">
        <f>L16*D4</f>
        <v>3.8942675613908121E-4</v>
      </c>
      <c r="N16" s="131">
        <f>B16+M16</f>
        <v>0.99999999999999989</v>
      </c>
      <c r="R16" s="280">
        <f>B16-M16</f>
        <v>0.99922114648772176</v>
      </c>
      <c r="S16" s="281">
        <f>IF(Rules!B20=Rules!E20,SUM(C16:L16)*B4*F4,SUM(C16:L16)*B4*F4*POWER(O2,A16-1))</f>
        <v>0.88097508007181291</v>
      </c>
      <c r="T16" s="262">
        <f>IF(Rules!B20=Rules!E20,SUM(C16:L16)*D4*H4,SUM(C16:L16)*D4*H4*POWER(O2,A16-1))</f>
        <v>-0.70356311196546706</v>
      </c>
      <c r="U16" s="275">
        <f t="shared" si="0"/>
        <v>1.4863141067882495</v>
      </c>
      <c r="V16" s="94">
        <f>(U16+W16*M16)/B16</f>
        <v>1.4907889274457438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5</v>
      </c>
      <c r="D21" s="57">
        <f>SUM($C$21:C21)</f>
        <v>5</v>
      </c>
      <c r="E21" s="57">
        <f t="shared" ref="E21:E30" si="3">D21/R7</f>
        <v>14.516091898240006</v>
      </c>
      <c r="F21" s="8">
        <f t="shared" ref="F21:F30" si="4">U7/E21</f>
        <v>4.2278335524051679E-3</v>
      </c>
      <c r="G21" s="265">
        <f>E21*U7</f>
        <v>0.89087608133898466</v>
      </c>
      <c r="O21" s="100">
        <v>1</v>
      </c>
      <c r="P21" s="108">
        <v>1</v>
      </c>
      <c r="Q21" s="109">
        <f>P21*5+10</f>
        <v>15</v>
      </c>
      <c r="R21" s="57">
        <f>SUM($Q$21)</f>
        <v>15</v>
      </c>
      <c r="S21" s="176">
        <f>R21/R7</f>
        <v>43.548275694720019</v>
      </c>
      <c r="T21" s="8">
        <f>U7/S21</f>
        <v>1.4092778508017225E-3</v>
      </c>
      <c r="U21" s="265">
        <f>S21*U7</f>
        <v>2.6726282440169538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41.413693033190086</v>
      </c>
      <c r="F22" s="9">
        <f t="shared" si="4"/>
        <v>4.0056483437985926E-3</v>
      </c>
      <c r="G22" s="266">
        <f t="shared" ref="G22:G30" si="5">E22*U8</f>
        <v>6.8700633229822969</v>
      </c>
      <c r="O22" s="98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177">
        <f t="shared" ref="S22:S30" si="7">R22/R8</f>
        <v>138.04564344396695</v>
      </c>
      <c r="T22" s="9">
        <f>U8/S22</f>
        <v>1.2016945031395776E-3</v>
      </c>
      <c r="U22" s="266">
        <f t="shared" ref="U22:U30" si="8">S22*U8</f>
        <v>22.900211076607658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177.3299355023631</v>
      </c>
      <c r="F23" s="9">
        <f t="shared" si="4"/>
        <v>1.6872004976085195E-3</v>
      </c>
      <c r="G23" s="266">
        <f t="shared" si="5"/>
        <v>53.055548293590093</v>
      </c>
      <c r="O23" s="98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177">
        <f t="shared" si="7"/>
        <v>612.07429350815653</v>
      </c>
      <c r="T23" s="9">
        <f t="shared" ref="T23:T30" si="11">U9/S23</f>
        <v>4.8881509743798224E-4</v>
      </c>
      <c r="U23" s="266">
        <f t="shared" si="8"/>
        <v>183.12721507787549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829.4091820761123</v>
      </c>
      <c r="F24" s="9">
        <f t="shared" si="4"/>
        <v>5.4355672866404007E-4</v>
      </c>
      <c r="G24" s="266">
        <f t="shared" si="5"/>
        <v>373.92332263754417</v>
      </c>
      <c r="O24" s="98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177">
        <f t="shared" si="7"/>
        <v>2892.2986862141352</v>
      </c>
      <c r="T24" s="9">
        <f t="shared" si="11"/>
        <v>1.5587288542571738E-4</v>
      </c>
      <c r="U24" s="266">
        <f t="shared" si="8"/>
        <v>1303.9377404796412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4020.1010838636826</v>
      </c>
      <c r="F25" s="9">
        <f t="shared" si="4"/>
        <v>1.5265833685050074E-4</v>
      </c>
      <c r="G25" s="266">
        <f t="shared" si="5"/>
        <v>2467.1438560065653</v>
      </c>
      <c r="O25" s="98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9">
        <f t="shared" si="7"/>
        <v>14057.485352153288</v>
      </c>
      <c r="T25" s="9">
        <f t="shared" si="11"/>
        <v>4.3656595049520715E-5</v>
      </c>
      <c r="U25" s="266">
        <f t="shared" si="8"/>
        <v>8627.1061085197562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19804.569707334456</v>
      </c>
      <c r="F26" s="9">
        <f t="shared" si="4"/>
        <v>3.9548014713517658E-5</v>
      </c>
      <c r="G26" s="266">
        <f t="shared" si="5"/>
        <v>15511.561139112831</v>
      </c>
      <c r="O26" s="98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9">
        <f t="shared" si="7"/>
        <v>69300.783092638856</v>
      </c>
      <c r="T26" s="9">
        <f t="shared" si="11"/>
        <v>1.1301912896619839E-5</v>
      </c>
      <c r="U26" s="266">
        <f t="shared" si="8"/>
        <v>54278.550345467025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98317.396288256699</v>
      </c>
      <c r="F27" s="9">
        <f t="shared" si="4"/>
        <v>9.7297626762278003E-6</v>
      </c>
      <c r="G27" s="266">
        <f t="shared" si="5"/>
        <v>94050.906272287117</v>
      </c>
      <c r="O27" s="98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9">
        <f t="shared" si="7"/>
        <v>344093.26830596419</v>
      </c>
      <c r="T27" s="9">
        <f t="shared" si="11"/>
        <v>2.7800745348461004E-6</v>
      </c>
      <c r="U27" s="266">
        <f t="shared" si="8"/>
        <v>329161.31781486794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489886.70511016261</v>
      </c>
      <c r="F28" s="9">
        <f t="shared" si="4"/>
        <v>2.3110455394473525E-6</v>
      </c>
      <c r="G28" s="266">
        <f t="shared" si="5"/>
        <v>554625.47062846588</v>
      </c>
      <c r="O28" s="98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9">
        <f t="shared" si="7"/>
        <v>1714583.4020747594</v>
      </c>
      <c r="T28" s="9">
        <f t="shared" si="11"/>
        <v>6.6030645304825934E-7</v>
      </c>
      <c r="U28" s="266">
        <f t="shared" si="8"/>
        <v>1941166.4296821966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2445312.450884419</v>
      </c>
      <c r="F29" s="9">
        <f t="shared" si="4"/>
        <v>5.352698949406243E-7</v>
      </c>
      <c r="G29" s="266">
        <f t="shared" si="5"/>
        <v>3200674.6967081032</v>
      </c>
      <c r="O29" s="98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9">
        <f t="shared" si="7"/>
        <v>8558571.042084381</v>
      </c>
      <c r="T29" s="9">
        <f t="shared" si="11"/>
        <v>1.5293465839633078E-7</v>
      </c>
      <c r="U29" s="266">
        <f t="shared" si="8"/>
        <v>11202331.941045254</v>
      </c>
    </row>
    <row r="30" spans="1:21" ht="17" thickBot="1" x14ac:dyDescent="0.25">
      <c r="A30" s="131">
        <v>10</v>
      </c>
      <c r="B30" s="94">
        <f t="shared" si="9"/>
        <v>1953125</v>
      </c>
      <c r="C30" s="110">
        <f t="shared" si="2"/>
        <v>9765625</v>
      </c>
      <c r="D30" s="10">
        <f>SUM($C$21:C30)</f>
        <v>12207030</v>
      </c>
      <c r="E30" s="10">
        <f t="shared" si="3"/>
        <v>12216544.898902414</v>
      </c>
      <c r="F30" s="10">
        <f t="shared" si="4"/>
        <v>1.2166403177724876E-7</v>
      </c>
      <c r="G30" s="267">
        <f t="shared" si="5"/>
        <v>18157623.019450687</v>
      </c>
      <c r="O30" s="99">
        <v>10</v>
      </c>
      <c r="P30" s="94">
        <f t="shared" si="10"/>
        <v>6835935</v>
      </c>
      <c r="Q30" s="110">
        <f t="shared" si="6"/>
        <v>34179685</v>
      </c>
      <c r="R30" s="10">
        <f>SUM($Q$21:Q30)</f>
        <v>42724580</v>
      </c>
      <c r="S30" s="10">
        <f t="shared" si="7"/>
        <v>42757882.12667194</v>
      </c>
      <c r="T30" s="10">
        <f t="shared" si="11"/>
        <v>3.4761172276610532E-8</v>
      </c>
      <c r="U30" s="267">
        <f t="shared" si="8"/>
        <v>63551643.381261662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5</v>
      </c>
      <c r="D33" s="57">
        <f>SUM($C$33:C33)</f>
        <v>5</v>
      </c>
      <c r="E33" s="9">
        <f t="shared" ref="E33:E42" si="13">D33/R7</f>
        <v>14.516091898240006</v>
      </c>
      <c r="F33" s="8">
        <f t="shared" ref="F33:F42" si="14">U7/E33</f>
        <v>4.2278335524051679E-3</v>
      </c>
      <c r="G33" s="268">
        <f>E33*U7</f>
        <v>0.89087608133898466</v>
      </c>
      <c r="O33" s="100">
        <v>1</v>
      </c>
      <c r="P33" s="108">
        <v>1</v>
      </c>
      <c r="Q33" s="109">
        <f>P33*5+10</f>
        <v>15</v>
      </c>
      <c r="R33" s="57">
        <f>SUM($Q$21)</f>
        <v>15</v>
      </c>
      <c r="S33" s="260">
        <f>R33/R7</f>
        <v>43.548275694720019</v>
      </c>
      <c r="T33" s="8">
        <f>U7/S33</f>
        <v>1.4092778508017225E-3</v>
      </c>
      <c r="U33" s="268">
        <f>S33*U7</f>
        <v>2.6726282440169538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48.315975205388433</v>
      </c>
      <c r="F34" s="9">
        <f t="shared" si="14"/>
        <v>3.4334128661130791E-3</v>
      </c>
      <c r="G34" s="266">
        <f t="shared" ref="G34:G42" si="16">E34*U8</f>
        <v>8.0150738768126804</v>
      </c>
      <c r="O34" s="98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61">
        <f>R34/R8</f>
        <v>144.94792561616529</v>
      </c>
      <c r="T34" s="9">
        <f t="shared" ref="T34:T42" si="18">U8/S34</f>
        <v>1.1444709553710265E-3</v>
      </c>
      <c r="U34" s="266">
        <f t="shared" ref="U34:U42" si="19">S34*U8</f>
        <v>24.045221630438039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245.97378150327785</v>
      </c>
      <c r="F35" s="9">
        <f t="shared" si="14"/>
        <v>1.2163538471131187E-3</v>
      </c>
      <c r="G35" s="266">
        <f t="shared" si="16"/>
        <v>73.593179891108846</v>
      </c>
      <c r="O35" s="98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61">
        <f t="shared" ref="S35:S42" si="21">R35/R9</f>
        <v>652.1165370086901</v>
      </c>
      <c r="T35" s="9">
        <f t="shared" si="18"/>
        <v>4.588001353145974E-4</v>
      </c>
      <c r="U35" s="266">
        <f t="shared" si="19"/>
        <v>195.10750017642809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1377.0319112673917</v>
      </c>
      <c r="F36" s="9">
        <f t="shared" si="14"/>
        <v>3.2739324197525194E-4</v>
      </c>
      <c r="G36" s="266">
        <f t="shared" si="16"/>
        <v>620.80859335335867</v>
      </c>
      <c r="O36" s="98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61">
        <f t="shared" si="21"/>
        <v>3094.3342562070343</v>
      </c>
      <c r="T36" s="9">
        <f t="shared" si="18"/>
        <v>1.4569561799242312E-4</v>
      </c>
      <c r="U36" s="266">
        <f t="shared" si="19"/>
        <v>1395.0216267631456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8004.1705318924796</v>
      </c>
      <c r="F37" s="9">
        <f t="shared" si="14"/>
        <v>7.6672772398868864E-5</v>
      </c>
      <c r="G37" s="266">
        <f t="shared" si="16"/>
        <v>4912.1750270041084</v>
      </c>
      <c r="O37" s="98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61">
        <f t="shared" si="21"/>
        <v>15056.076402434406</v>
      </c>
      <c r="T37" s="9">
        <f t="shared" si="18"/>
        <v>4.0761080711193532E-5</v>
      </c>
      <c r="U37" s="266">
        <f t="shared" si="19"/>
        <v>9239.9433787697853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47310.916523076761</v>
      </c>
      <c r="F38" s="9">
        <f t="shared" si="14"/>
        <v>1.6554982903332971E-5</v>
      </c>
      <c r="G38" s="266">
        <f t="shared" si="16"/>
        <v>37055.396054547324</v>
      </c>
      <c r="O38" s="98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61">
        <f t="shared" si="21"/>
        <v>74244.320077956596</v>
      </c>
      <c r="T38" s="9">
        <f t="shared" si="18"/>
        <v>1.0549378233353819E-5</v>
      </c>
      <c r="U38" s="266">
        <f t="shared" si="19"/>
        <v>58150.483809531288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281833.80605143763</v>
      </c>
      <c r="F39" s="9">
        <f t="shared" si="14"/>
        <v>3.3942164221945301E-6</v>
      </c>
      <c r="G39" s="266">
        <f t="shared" si="16"/>
        <v>269603.60910688335</v>
      </c>
      <c r="O39" s="98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61">
        <f t="shared" si="21"/>
        <v>368663.80802656128</v>
      </c>
      <c r="T39" s="9">
        <f t="shared" si="18"/>
        <v>2.5947893772107317E-6</v>
      </c>
      <c r="U39" s="266">
        <f t="shared" si="19"/>
        <v>352665.61731387128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1685141.8411640979</v>
      </c>
      <c r="F40" s="9">
        <f t="shared" si="14"/>
        <v>6.7184284255698679E-7</v>
      </c>
      <c r="G40" s="266">
        <f t="shared" si="16"/>
        <v>1907834.1522274732</v>
      </c>
      <c r="O40" s="98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61">
        <f t="shared" si="21"/>
        <v>1837045.0454468951</v>
      </c>
      <c r="T40" s="9">
        <f t="shared" si="18"/>
        <v>6.1628890782260889E-7</v>
      </c>
      <c r="U40" s="266">
        <f t="shared" si="19"/>
        <v>2079811.4385805961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10093824.277297564</v>
      </c>
      <c r="F41" s="9">
        <f t="shared" si="14"/>
        <v>1.2967356105314904E-7</v>
      </c>
      <c r="G41" s="266">
        <f t="shared" si="16"/>
        <v>13211828.1840341</v>
      </c>
      <c r="O41" s="98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61">
        <f t="shared" si="21"/>
        <v>9169887.8867999427</v>
      </c>
      <c r="T41" s="9">
        <f t="shared" si="18"/>
        <v>1.4273916484475983E-7</v>
      </c>
      <c r="U41" s="266">
        <f t="shared" si="19"/>
        <v>12002485.866505725</v>
      </c>
    </row>
    <row r="42" spans="1:21" ht="17" thickBot="1" x14ac:dyDescent="0.25">
      <c r="A42" s="131">
        <v>10</v>
      </c>
      <c r="B42" s="94">
        <f t="shared" si="15"/>
        <v>10077696</v>
      </c>
      <c r="C42" s="110">
        <f t="shared" si="12"/>
        <v>50388480</v>
      </c>
      <c r="D42" s="10">
        <f>SUM($C$33:C42)</f>
        <v>60466175</v>
      </c>
      <c r="E42" s="9">
        <f t="shared" si="13"/>
        <v>60513306.000918381</v>
      </c>
      <c r="F42" s="10">
        <f t="shared" si="14"/>
        <v>2.4561773352222606E-8</v>
      </c>
      <c r="G42" s="267">
        <f t="shared" si="16"/>
        <v>89941780.357559025</v>
      </c>
      <c r="O42" s="99">
        <v>10</v>
      </c>
      <c r="P42" s="94">
        <f t="shared" si="20"/>
        <v>7324216</v>
      </c>
      <c r="Q42" s="110">
        <f t="shared" si="17"/>
        <v>36621090</v>
      </c>
      <c r="R42" s="10">
        <f>SUM($Q$33:Q42)</f>
        <v>45776325</v>
      </c>
      <c r="S42" s="262">
        <f t="shared" si="21"/>
        <v>45812005.841654286</v>
      </c>
      <c r="T42" s="10">
        <f t="shared" si="18"/>
        <v>3.2443768385204116E-8</v>
      </c>
      <c r="U42" s="267">
        <f t="shared" si="19"/>
        <v>68091030.542716458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5</v>
      </c>
      <c r="D45" s="57">
        <f>SUM(C45:C45)</f>
        <v>5</v>
      </c>
      <c r="E45" s="57">
        <f t="shared" ref="E45:E54" si="23">D45/R7</f>
        <v>14.516091898240006</v>
      </c>
      <c r="F45" s="8">
        <f t="shared" ref="F45:F54" si="24">U7/E45</f>
        <v>4.2278335524051679E-3</v>
      </c>
      <c r="G45" s="265">
        <f>E45*U7</f>
        <v>0.89087608133898466</v>
      </c>
      <c r="O45" s="100">
        <v>1</v>
      </c>
      <c r="P45" s="108">
        <v>1</v>
      </c>
      <c r="Q45" s="109">
        <f>P45*5+10</f>
        <v>15</v>
      </c>
      <c r="R45" s="57">
        <f>SUM($Q$21)</f>
        <v>15</v>
      </c>
      <c r="S45" s="260">
        <f>R45/R7</f>
        <v>43.548275694720019</v>
      </c>
      <c r="T45" s="8">
        <f>U7/S45</f>
        <v>1.4092778508017225E-3</v>
      </c>
      <c r="U45" s="268">
        <f>S45*U7</f>
        <v>2.6726282440169538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75.925103894181817</v>
      </c>
      <c r="F46" s="9">
        <f t="shared" si="24"/>
        <v>2.1848990966174143E-3</v>
      </c>
      <c r="G46" s="266">
        <f t="shared" ref="G46:G54" si="26">E46*U8</f>
        <v>12.59511609213421</v>
      </c>
      <c r="O46" s="98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61">
        <f t="shared" ref="S46:S54" si="28">R46/R8</f>
        <v>241.57987602694215</v>
      </c>
      <c r="T46" s="9">
        <f t="shared" ref="T46:T54" si="29">U8/S46</f>
        <v>6.8668257322261595E-4</v>
      </c>
      <c r="U46" s="266">
        <f t="shared" ref="U46:U54" si="30">S46*U8</f>
        <v>40.075369384063393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634.95557550846149</v>
      </c>
      <c r="F47" s="9">
        <f t="shared" si="24"/>
        <v>4.7120013897174867E-4</v>
      </c>
      <c r="G47" s="266">
        <f t="shared" si="26"/>
        <v>189.97309227704844</v>
      </c>
      <c r="O47" s="98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61">
        <f t="shared" si="28"/>
        <v>2042.1544185272139</v>
      </c>
      <c r="T47" s="9">
        <f t="shared" si="29"/>
        <v>1.4650760623491344E-4</v>
      </c>
      <c r="U47" s="266">
        <f t="shared" si="30"/>
        <v>610.99454002618279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5906.8820595292364</v>
      </c>
      <c r="F48" s="9">
        <f t="shared" si="24"/>
        <v>7.632299700413163E-5</v>
      </c>
      <c r="G48" s="266">
        <f t="shared" si="26"/>
        <v>2663.0052016045615</v>
      </c>
      <c r="O48" s="98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61">
        <f t="shared" si="28"/>
        <v>19028.560658015424</v>
      </c>
      <c r="T48" s="9">
        <f t="shared" si="29"/>
        <v>2.3692330168088924E-5</v>
      </c>
      <c r="U48" s="266">
        <f t="shared" si="30"/>
        <v>8578.6639212805803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57192.500823059381</v>
      </c>
      <c r="F49" s="9">
        <f t="shared" si="24"/>
        <v>1.0730461801839716E-5</v>
      </c>
      <c r="G49" s="266">
        <f t="shared" si="26"/>
        <v>35099.14901932003</v>
      </c>
      <c r="O49" s="98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61">
        <f t="shared" si="28"/>
        <v>184281.2277892493</v>
      </c>
      <c r="T49" s="9">
        <f t="shared" si="29"/>
        <v>3.3302466713287639E-6</v>
      </c>
      <c r="U49" s="266">
        <f t="shared" si="30"/>
        <v>113093.74800114091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563365.47484680975</v>
      </c>
      <c r="F50" s="9">
        <f t="shared" si="24"/>
        <v>1.3902722995112992E-6</v>
      </c>
      <c r="G50" s="266">
        <f t="shared" si="26"/>
        <v>441245.53756476345</v>
      </c>
      <c r="O50" s="98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61">
        <f t="shared" si="28"/>
        <v>1815281.9918917064</v>
      </c>
      <c r="T50" s="9">
        <f t="shared" si="29"/>
        <v>4.3146542392807156E-7</v>
      </c>
      <c r="U50" s="266">
        <f t="shared" si="30"/>
        <v>1421785.8816458255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5593238.4674231326</v>
      </c>
      <c r="F51" s="9">
        <f t="shared" si="24"/>
        <v>1.7102881244934589E-7</v>
      </c>
      <c r="G51" s="266">
        <f t="shared" si="26"/>
        <v>5350519.5084279971</v>
      </c>
      <c r="O51" s="98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61">
        <f t="shared" si="28"/>
        <v>18022649.453384344</v>
      </c>
      <c r="T51" s="9">
        <f t="shared" si="29"/>
        <v>5.3077930373313888E-8</v>
      </c>
      <c r="U51" s="266">
        <f t="shared" si="30"/>
        <v>17240555.369762152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55738362.803138405</v>
      </c>
      <c r="F52" s="9">
        <f t="shared" si="24"/>
        <v>2.031187189114308E-8</v>
      </c>
      <c r="G52" s="266">
        <f t="shared" si="26"/>
        <v>63104214.462809496</v>
      </c>
      <c r="O52" s="98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61">
        <f t="shared" si="28"/>
        <v>179601382.33641893</v>
      </c>
      <c r="T52" s="9">
        <f t="shared" si="29"/>
        <v>6.3036846930204751E-9</v>
      </c>
      <c r="U52" s="266">
        <f t="shared" si="30"/>
        <v>203335792.06126726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556444717.6111722</v>
      </c>
      <c r="F53" s="9">
        <f t="shared" si="24"/>
        <v>2.3522590784957856E-9</v>
      </c>
      <c r="G53" s="266">
        <f t="shared" si="26"/>
        <v>728331680.93951118</v>
      </c>
      <c r="O53" s="98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61">
        <f t="shared" si="28"/>
        <v>1792988524.5088832</v>
      </c>
      <c r="T53" s="9">
        <f t="shared" si="29"/>
        <v>7.3001144223185949E-10</v>
      </c>
      <c r="U53" s="266">
        <f t="shared" si="30"/>
        <v>2346846514.3617878</v>
      </c>
    </row>
    <row r="54" spans="1:21" ht="17" thickBot="1" x14ac:dyDescent="0.25">
      <c r="A54" s="131">
        <v>10</v>
      </c>
      <c r="B54" s="94">
        <f t="shared" si="25"/>
        <v>1000000000</v>
      </c>
      <c r="C54" s="110">
        <f t="shared" si="22"/>
        <v>5000000000</v>
      </c>
      <c r="D54" s="10">
        <f>SUM($C$45:C54)</f>
        <v>5555555555</v>
      </c>
      <c r="E54" s="10">
        <f t="shared" si="23"/>
        <v>5559885891.6545811</v>
      </c>
      <c r="F54" s="10">
        <f t="shared" si="24"/>
        <v>2.6732816747538202E-10</v>
      </c>
      <c r="G54" s="267">
        <f t="shared" si="26"/>
        <v>8263736832.899169</v>
      </c>
      <c r="O54" s="99">
        <v>10</v>
      </c>
      <c r="P54" s="94">
        <f t="shared" si="31"/>
        <v>3222222220</v>
      </c>
      <c r="Q54" s="110">
        <f t="shared" si="27"/>
        <v>16111111110</v>
      </c>
      <c r="R54" s="10">
        <f>SUM($Q$45:Q54)</f>
        <v>17901234555</v>
      </c>
      <c r="S54" s="262">
        <f t="shared" si="28"/>
        <v>17915187861.989433</v>
      </c>
      <c r="T54" s="10">
        <f t="shared" si="29"/>
        <v>8.2963914095578924E-11</v>
      </c>
      <c r="U54" s="267">
        <f t="shared" si="30"/>
        <v>26627596445.036514</v>
      </c>
    </row>
  </sheetData>
  <mergeCells count="2">
    <mergeCell ref="A18:F18"/>
    <mergeCell ref="O18:T18"/>
  </mergeCells>
  <conditionalFormatting sqref="F45:F54">
    <cfRule type="cellIs" dxfId="907" priority="69" operator="equal">
      <formula>MAX($F$45:$F$54)</formula>
    </cfRule>
  </conditionalFormatting>
  <conditionalFormatting sqref="F21:F30">
    <cfRule type="cellIs" dxfId="906" priority="67" operator="equal">
      <formula>MAX($F$21:$F$30)</formula>
    </cfRule>
  </conditionalFormatting>
  <conditionalFormatting sqref="E33:E42">
    <cfRule type="cellIs" dxfId="905" priority="63" stopIfTrue="1" operator="lessThan">
      <formula>0</formula>
    </cfRule>
    <cfRule type="cellIs" dxfId="904" priority="64" operator="equal">
      <formula>MIN($E$33:$E$42)</formula>
    </cfRule>
  </conditionalFormatting>
  <conditionalFormatting sqref="E21:E30">
    <cfRule type="cellIs" dxfId="903" priority="59" stopIfTrue="1" operator="lessThan">
      <formula>0</formula>
    </cfRule>
    <cfRule type="cellIs" dxfId="902" priority="60" operator="equal">
      <formula>MIN($E$21:$E$30)</formula>
    </cfRule>
  </conditionalFormatting>
  <conditionalFormatting sqref="E45:E54">
    <cfRule type="cellIs" dxfId="901" priority="55" stopIfTrue="1" operator="lessThan">
      <formula>0</formula>
    </cfRule>
    <cfRule type="cellIs" dxfId="900" priority="56" operator="equal">
      <formula>MIN($E$45:$E$54)</formula>
    </cfRule>
  </conditionalFormatting>
  <conditionalFormatting sqref="F33:F42">
    <cfRule type="cellIs" dxfId="899" priority="41" operator="lessThanOrEqual">
      <formula>0</formula>
    </cfRule>
    <cfRule type="cellIs" dxfId="898" priority="42" operator="equal">
      <formula>MAX($F$33:$F$42)</formula>
    </cfRule>
  </conditionalFormatting>
  <conditionalFormatting sqref="R7:R16">
    <cfRule type="cellIs" dxfId="897" priority="27" operator="lessThanOrEqual">
      <formula>0</formula>
    </cfRule>
    <cfRule type="cellIs" dxfId="896" priority="28" operator="greaterThan">
      <formula>0</formula>
    </cfRule>
  </conditionalFormatting>
  <conditionalFormatting sqref="S21:S30">
    <cfRule type="cellIs" dxfId="895" priority="21" stopIfTrue="1" operator="lessThan">
      <formula>0</formula>
    </cfRule>
    <cfRule type="cellIs" dxfId="894" priority="22" operator="equal">
      <formula>MIN($E$21:$E$30)</formula>
    </cfRule>
  </conditionalFormatting>
  <conditionalFormatting sqref="T21:T30">
    <cfRule type="cellIs" dxfId="893" priority="19" operator="equal">
      <formula>MAX($T$21:$T$30)</formula>
    </cfRule>
  </conditionalFormatting>
  <conditionalFormatting sqref="S33:S42">
    <cfRule type="cellIs" dxfId="892" priority="17" stopIfTrue="1" operator="lessThan">
      <formula>0</formula>
    </cfRule>
    <cfRule type="cellIs" dxfId="891" priority="18" operator="equal">
      <formula>MIN($E$21:$E$30)</formula>
    </cfRule>
  </conditionalFormatting>
  <conditionalFormatting sqref="T33:T42">
    <cfRule type="cellIs" dxfId="890" priority="16" operator="equal">
      <formula>MAX($T$21:$T$30)</formula>
    </cfRule>
  </conditionalFormatting>
  <conditionalFormatting sqref="S45:S54">
    <cfRule type="cellIs" dxfId="889" priority="14" stopIfTrue="1" operator="lessThan">
      <formula>0</formula>
    </cfRule>
    <cfRule type="cellIs" dxfId="888" priority="15" operator="equal">
      <formula>MIN($E$21:$E$30)</formula>
    </cfRule>
  </conditionalFormatting>
  <conditionalFormatting sqref="T45:T54">
    <cfRule type="cellIs" dxfId="887" priority="13" operator="equal">
      <formula>MAX($T$21:$T$30)</formula>
    </cfRule>
  </conditionalFormatting>
  <conditionalFormatting sqref="U7:U16">
    <cfRule type="cellIs" dxfId="886" priority="9" operator="lessThanOrEqual">
      <formula>0</formula>
    </cfRule>
    <cfRule type="cellIs" dxfId="885" priority="10" operator="greaterThan">
      <formula>0</formula>
    </cfRule>
  </conditionalFormatting>
  <conditionalFormatting sqref="S7:T16">
    <cfRule type="cellIs" dxfId="884" priority="1" operator="lessThanOrEqual">
      <formula>0</formula>
    </cfRule>
    <cfRule type="cellIs" dxfId="883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4"/>
  <sheetViews>
    <sheetView workbookViewId="0">
      <selection activeCell="S10" sqref="S10"/>
    </sheetView>
  </sheetViews>
  <sheetFormatPr baseColWidth="10" defaultColWidth="8.6640625" defaultRowHeight="16" x14ac:dyDescent="0.2"/>
  <cols>
    <col min="14" max="14" width="5.6640625" bestFit="1" customWidth="1"/>
    <col min="19" max="19" width="8.6640625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Analysis!B13</f>
        <v>0.68615430611814143</v>
      </c>
      <c r="D2" s="135" t="s">
        <v>126</v>
      </c>
      <c r="E2" s="141">
        <f>Analysis!I13</f>
        <v>0.31384569388185857</v>
      </c>
      <c r="F2" s="135" t="s">
        <v>47</v>
      </c>
      <c r="G2" s="141">
        <f>Analysis!S13</f>
        <v>0.56133828922389883</v>
      </c>
      <c r="H2" t="s">
        <v>155</v>
      </c>
      <c r="I2" s="155">
        <f>Analysis!T13</f>
        <v>-0.91938694188474612</v>
      </c>
      <c r="J2" t="s">
        <v>48</v>
      </c>
      <c r="K2" s="155">
        <f>C2*G2+E2*I2</f>
        <v>9.6619051618230756E-2</v>
      </c>
      <c r="L2" t="s">
        <v>47</v>
      </c>
      <c r="M2" s="162">
        <v>1</v>
      </c>
      <c r="N2" t="s">
        <v>155</v>
      </c>
      <c r="O2" s="162">
        <v>6</v>
      </c>
    </row>
    <row r="4" spans="1:23" x14ac:dyDescent="0.2">
      <c r="A4" t="s">
        <v>123</v>
      </c>
      <c r="B4">
        <f>$C$2</f>
        <v>0.68615430611814143</v>
      </c>
      <c r="C4" t="s">
        <v>124</v>
      </c>
      <c r="D4">
        <f>$E$2</f>
        <v>0.31384569388185857</v>
      </c>
      <c r="E4" t="s">
        <v>47</v>
      </c>
      <c r="F4">
        <f>G2</f>
        <v>0.56133828922389883</v>
      </c>
      <c r="G4" t="s">
        <v>155</v>
      </c>
      <c r="H4">
        <f>I2</f>
        <v>-0.91938694188474612</v>
      </c>
      <c r="I4" t="s">
        <v>48</v>
      </c>
      <c r="J4">
        <f>K2</f>
        <v>9.6619051618230756E-2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0.68615430611814143</v>
      </c>
      <c r="C7" s="95">
        <v>1</v>
      </c>
      <c r="D7" s="108">
        <f>C7*D4</f>
        <v>0.31384569388185857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</v>
      </c>
      <c r="R7" s="276">
        <f>B7-D7</f>
        <v>0.37230861223628287</v>
      </c>
      <c r="S7" s="277">
        <f>IF(Rules!B20=Rules!E20,SUM(C7)*B4*F4,SUM(C7)*B4*F4*POWER(O2,A7-1))</f>
        <v>0.38516468433996887</v>
      </c>
      <c r="T7" s="260">
        <f>IF(Rules!B20=Rules!E20,SUM(C7)*D4*H4,SUM(C7)*D4*H4*POWER(O2,A7-1))</f>
        <v>-0.28854563272173811</v>
      </c>
      <c r="U7" s="274">
        <f>S7+T7</f>
        <v>9.6619051618230756E-2</v>
      </c>
      <c r="V7" s="108">
        <f>(U7+W7*D7)/B7</f>
        <v>0.59821055095064268</v>
      </c>
      <c r="W7" s="57">
        <f>COUNT(D7:M7)</f>
        <v>1</v>
      </c>
    </row>
    <row r="8" spans="1:23" x14ac:dyDescent="0.2">
      <c r="A8" s="98">
        <v>2</v>
      </c>
      <c r="B8" s="97">
        <f>C8*B4</f>
        <v>0.87446799269113085</v>
      </c>
      <c r="C8" s="97">
        <f>1/(1-B4*D4)</f>
        <v>1.2744480139436241</v>
      </c>
      <c r="D8" s="93">
        <f>C8*D4</f>
        <v>0.39998002125249327</v>
      </c>
      <c r="E8" s="1">
        <f>D8*D4</f>
        <v>0.12553200730886929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1.0000000000000002</v>
      </c>
      <c r="R8" s="278">
        <f>B8-E8</f>
        <v>0.74893598538226158</v>
      </c>
      <c r="S8" s="279">
        <f>IF(Rules!B20=Rules!E20,SUM(C8:D8)*B4*F4,SUM(C8:D8)*B4*F4*POWER(O2,A8-1))</f>
        <v>0.64493054562630681</v>
      </c>
      <c r="T8" s="261">
        <f>IF(Rules!B20=Rules!E20,SUM(C8:D8)*D4*H4,SUM(C8:D8)*D4*H4*POWER(O2,A8-1))</f>
        <v>-0.48314889686268053</v>
      </c>
      <c r="U8" s="275">
        <f>S8+T8+U7</f>
        <v>0.25840070038185703</v>
      </c>
      <c r="V8" s="93">
        <f>(U8+W8*E8)/B8</f>
        <v>0.58259961400273086</v>
      </c>
      <c r="W8" s="9">
        <f>COUNT(D8:M8)</f>
        <v>2</v>
      </c>
    </row>
    <row r="9" spans="1:23" x14ac:dyDescent="0.2">
      <c r="A9" s="98">
        <v>3</v>
      </c>
      <c r="B9" s="97">
        <f>C9*B4</f>
        <v>0.94569971456852531</v>
      </c>
      <c r="C9" s="97">
        <f>1/(1-D4*B4/(1-D4*B4))</f>
        <v>1.3782609919315956</v>
      </c>
      <c r="D9" s="93">
        <f>C9*D4*C8</f>
        <v>0.55127686084428196</v>
      </c>
      <c r="E9" s="1">
        <f>D9*(D4)</f>
        <v>0.17301586891268647</v>
      </c>
      <c r="F9" s="1">
        <f>E9*D4</f>
        <v>5.4300285431474769E-2</v>
      </c>
      <c r="G9" s="1"/>
      <c r="H9" s="1"/>
      <c r="I9" s="1"/>
      <c r="J9" s="1"/>
      <c r="K9" s="1"/>
      <c r="L9" s="1"/>
      <c r="M9" s="242"/>
      <c r="N9" s="97">
        <f>B9+F9</f>
        <v>1</v>
      </c>
      <c r="R9" s="278">
        <f>B9-F9</f>
        <v>0.8913994291370505</v>
      </c>
      <c r="S9" s="279">
        <f>IF(Rules!B20=Rules!E20,SUM(C9:E9)*B4*F4,SUM(C9:E9)*B4*F4*POWER(O2,A9-1))</f>
        <v>0.80982944052200245</v>
      </c>
      <c r="T9" s="261">
        <f>IF(Rules!B20=Rules!E20,SUM(C9:E9)*D4*H4,SUM(C9:E9)*D4*H4*POWER(O2,A9-1))</f>
        <v>-0.60668269395607188</v>
      </c>
      <c r="U9" s="275">
        <f t="shared" ref="U9:U16" si="0">S9+T9+U8</f>
        <v>0.4615474469477876</v>
      </c>
      <c r="V9" s="93">
        <f>(U9+W9*F9)/B9</f>
        <v>0.66030294143328139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0.97576507047364258</v>
      </c>
      <c r="C10" s="97">
        <f>1/(1-D4*B4/(1-D4*B4/(1-D4*B4)))</f>
        <v>1.4220781852903452</v>
      </c>
      <c r="D10" s="93">
        <f>C10*D4*C9</f>
        <v>0.6151359563393487</v>
      </c>
      <c r="E10" s="1">
        <f>D10*D4*C8</f>
        <v>0.24604209288978546</v>
      </c>
      <c r="F10" s="1">
        <f>E10*D4</f>
        <v>7.7219251367139419E-2</v>
      </c>
      <c r="G10" s="1">
        <f>F10*D4</f>
        <v>2.4234929526357526E-2</v>
      </c>
      <c r="H10" s="1"/>
      <c r="I10" s="1"/>
      <c r="J10" s="1"/>
      <c r="K10" s="1"/>
      <c r="L10" s="1"/>
      <c r="M10" s="242"/>
      <c r="N10" s="97">
        <f>B10+G10</f>
        <v>1</v>
      </c>
      <c r="R10" s="278">
        <f>B10-G10</f>
        <v>0.95153014094728505</v>
      </c>
      <c r="S10" s="279">
        <f>IF(Rules!B20=Rules!E20,SUM(C10:F10)*B4*F4,SUM(C10:F10)*B4*F4*POWER(O2,A10-1))</f>
        <v>0.90917179541375415</v>
      </c>
      <c r="T10" s="261">
        <f>IF(Rules!B20=Rules!E20,SUM(C10:F10)*D4*H4,SUM(C10:F10)*D4*H4*POWER(O2,A10-1))</f>
        <v>-0.68110489259930651</v>
      </c>
      <c r="U10" s="275">
        <f t="shared" si="0"/>
        <v>0.68961434976223523</v>
      </c>
      <c r="V10" s="93">
        <f>(U10+W10*G10)/B10</f>
        <v>0.80608959232970601</v>
      </c>
      <c r="W10" s="9">
        <f t="shared" si="1"/>
        <v>4</v>
      </c>
    </row>
    <row r="11" spans="1:23" x14ac:dyDescent="0.2">
      <c r="A11" s="98">
        <v>5</v>
      </c>
      <c r="B11" s="97">
        <f>C11*B4</f>
        <v>0.98903651895859879</v>
      </c>
      <c r="C11" s="97">
        <f>1/(1-D4*B4/(1-D4*B4/(1-D4*B4/(1-D4*B4))))</f>
        <v>1.441419969443881</v>
      </c>
      <c r="D11" s="93">
        <f>C11*D4*C10</f>
        <v>0.64332463632149484</v>
      </c>
      <c r="E11" s="1">
        <f>D11*D4*C9</f>
        <v>0.27827732644635844</v>
      </c>
      <c r="F11" s="1">
        <f>E11*D4*C8</f>
        <v>0.11130537094610146</v>
      </c>
      <c r="G11" s="1">
        <f>F11*D4</f>
        <v>3.4932711377356873E-2</v>
      </c>
      <c r="H11" s="1">
        <f>G11*D4</f>
        <v>1.0963481041401263E-2</v>
      </c>
      <c r="I11" s="1"/>
      <c r="J11" s="1"/>
      <c r="K11" s="1"/>
      <c r="L11" s="1"/>
      <c r="M11" s="242"/>
      <c r="N11" s="97">
        <f>B11+H11</f>
        <v>1</v>
      </c>
      <c r="R11" s="278">
        <f>B11-H11</f>
        <v>0.97807303791719757</v>
      </c>
      <c r="S11" s="279">
        <f>IF(Rules!B20=Rules!E20,SUM(C11:G11)*B4*F4,SUM(C11:G11)*B4*F4*POWER(O2,A11-1))</f>
        <v>0.96647834142535338</v>
      </c>
      <c r="T11" s="261">
        <f>IF(Rules!B20=Rules!E20,SUM(C11:G11)*D4*H4,SUM(C11:G11)*D4*H4*POWER(O2,A11-1))</f>
        <v>-0.72403601855741495</v>
      </c>
      <c r="U11" s="275">
        <f t="shared" si="0"/>
        <v>0.93205667263017367</v>
      </c>
      <c r="V11" s="93">
        <f>(U11+W11*H11)/B11</f>
        <v>0.99781358819419963</v>
      </c>
      <c r="W11" s="9">
        <f t="shared" si="1"/>
        <v>5</v>
      </c>
    </row>
    <row r="12" spans="1:23" x14ac:dyDescent="0.2">
      <c r="A12" s="98">
        <v>6</v>
      </c>
      <c r="B12" s="97">
        <f>C12*B4</f>
        <v>0.99501034581289061</v>
      </c>
      <c r="C12" s="97">
        <f>1/(1-D4*B4/(1-D4*B4/(1-D4*B4/(1-D4*B4/(1-D4*B4)))))</f>
        <v>1.4501262135073893</v>
      </c>
      <c r="D12" s="93">
        <f>C12*D4*C11</f>
        <v>0.65601310010562985</v>
      </c>
      <c r="E12" s="1">
        <f>D12*D4*C10</f>
        <v>0.29278725006870504</v>
      </c>
      <c r="F12" s="1">
        <f>E12*D4*C9</f>
        <v>0.12664842688533973</v>
      </c>
      <c r="G12" s="1">
        <f>F12*D4*C8</f>
        <v>5.0656840477193023E-2</v>
      </c>
      <c r="H12" s="1">
        <f>G12*D4</f>
        <v>1.5898431249427265E-2</v>
      </c>
      <c r="I12" s="1">
        <f>H12*D4</f>
        <v>4.9896541871095237E-3</v>
      </c>
      <c r="J12" s="1"/>
      <c r="K12" s="1"/>
      <c r="L12" s="1"/>
      <c r="M12" s="242"/>
      <c r="N12" s="97">
        <f>B12+I12</f>
        <v>1.0000000000000002</v>
      </c>
      <c r="R12" s="278">
        <f>B12-I12</f>
        <v>0.9900206916257811</v>
      </c>
      <c r="S12" s="279">
        <f>IF(Rules!B20=Rules!E20,SUM(C12:H12)*B4*F4,SUM(C12:H12)*B4*F4*POWER(O2,A12-1))</f>
        <v>0.99839703424442772</v>
      </c>
      <c r="T12" s="261">
        <f>IF(Rules!B20=Rules!E20,SUM(C12:H12)*D4*H4,SUM(C12:H12)*D4*H4*POWER(O2,A12-1))</f>
        <v>-0.74794786663069623</v>
      </c>
      <c r="U12" s="275">
        <f t="shared" si="0"/>
        <v>1.182505840243905</v>
      </c>
      <c r="V12" s="93">
        <f>(U12+W12*I12)/B12</f>
        <v>1.2185237776357347</v>
      </c>
      <c r="W12" s="9">
        <f t="shared" si="1"/>
        <v>6</v>
      </c>
    </row>
    <row r="13" spans="1:23" x14ac:dyDescent="0.2">
      <c r="A13" s="98">
        <v>7</v>
      </c>
      <c r="B13" s="97">
        <f>C13*B4</f>
        <v>0.99772293836778936</v>
      </c>
      <c r="C13" s="97">
        <f>1/(1-D4*B4/(1-D4*B4/(1-D4*B4/(1-D4*B4/(1-D4*B4/(1-D4*B4))))))</f>
        <v>1.4540795408139613</v>
      </c>
      <c r="D13" s="93">
        <f>C13*D4*C12</f>
        <v>0.66177467191436445</v>
      </c>
      <c r="E13" s="1">
        <f>D13*D4*C11</f>
        <v>0.29937590952438575</v>
      </c>
      <c r="F13" s="1">
        <f>E13*D4*C10</f>
        <v>0.13361539468091196</v>
      </c>
      <c r="G13" s="1">
        <f>F13*D4*C9</f>
        <v>5.7796845798546062E-2</v>
      </c>
      <c r="H13" s="1">
        <f>G13*D4*C8</f>
        <v>2.311758361082953E-2</v>
      </c>
      <c r="I13" s="1">
        <f>H13*D4</f>
        <v>7.255354069212675E-3</v>
      </c>
      <c r="J13" s="1">
        <f>I13*D4</f>
        <v>2.277061632210618E-3</v>
      </c>
      <c r="K13" s="1"/>
      <c r="L13" s="1"/>
      <c r="M13" s="242"/>
      <c r="N13" s="97">
        <f>B13+J13</f>
        <v>1</v>
      </c>
      <c r="R13" s="278">
        <f>B13-J13</f>
        <v>0.99544587673557872</v>
      </c>
      <c r="S13" s="279">
        <f>IF(Rules!B20=Rules!E20,SUM(C13:I13)*B4*F4,SUM(C13:I13)*B4*F4*POWER(O2,A13-1))</f>
        <v>1.0156851657829375</v>
      </c>
      <c r="T13" s="261">
        <f>IF(Rules!B20=Rules!E20,SUM(C13:I13)*D4*H4,SUM(C13:I13)*D4*H4*POWER(O2,A13-1))</f>
        <v>-0.76089924835434586</v>
      </c>
      <c r="U13" s="275">
        <f t="shared" si="0"/>
        <v>1.4372917576724968</v>
      </c>
      <c r="V13" s="93">
        <f>(U13+W13*J13)/B13</f>
        <v>1.4565478382960344</v>
      </c>
      <c r="W13" s="9">
        <f t="shared" si="1"/>
        <v>7</v>
      </c>
    </row>
    <row r="14" spans="1:23" x14ac:dyDescent="0.2">
      <c r="A14" s="98">
        <v>8</v>
      </c>
      <c r="B14" s="97">
        <f>C14*B4</f>
        <v>0.99895955991928054</v>
      </c>
      <c r="C14" s="97">
        <f>1/(1-D4*B4/(1-D4*B4/(1-D4*B4/(1-D4*B4/(1-D4*B4/(1-D4*B4/(1-D4*B4)))))))</f>
        <v>1.4558817907458859</v>
      </c>
      <c r="D14" s="93">
        <f>C14*D4*C13</f>
        <v>0.66440126758804119</v>
      </c>
      <c r="E14" s="1">
        <f>D14*D4*C12</f>
        <v>0.30237955939565625</v>
      </c>
      <c r="F14" s="1">
        <f>E14*D4*C11</f>
        <v>0.13679150843562629</v>
      </c>
      <c r="G14" s="1">
        <f>F14*D4*C10</f>
        <v>6.1051844210379624E-2</v>
      </c>
      <c r="H14" s="1">
        <f>G14*D4*C9</f>
        <v>2.6408663717012976E-2</v>
      </c>
      <c r="I14" s="1">
        <f>H14*D4*C8</f>
        <v>1.0562937874780798E-2</v>
      </c>
      <c r="J14" s="1">
        <f>I14*D4</f>
        <v>3.315132566741544E-3</v>
      </c>
      <c r="K14" s="1">
        <f>J14*D4</f>
        <v>1.0404400807193467E-3</v>
      </c>
      <c r="L14" s="1"/>
      <c r="M14" s="242"/>
      <c r="N14" s="97">
        <f>B14+K14</f>
        <v>0.99999999999999989</v>
      </c>
      <c r="R14" s="278">
        <f>B14-K14</f>
        <v>0.99791911983856119</v>
      </c>
      <c r="S14" s="279">
        <f>IF(Rules!B20=Rules!E20,SUM(C14:J14)*B4*F4,SUM(C14:J14)*B4*F4*POWER(O2,A14-1))</f>
        <v>1.0248433821359781</v>
      </c>
      <c r="T14" s="261">
        <f>IF(Rules!B20=Rules!E20,SUM(C14:J14)*D4*H4,SUM(C14:J14)*D4*H4*POWER(O2,A14-1))</f>
        <v>-0.76776011447118375</v>
      </c>
      <c r="U14" s="275">
        <f t="shared" si="0"/>
        <v>1.6943750253372913</v>
      </c>
      <c r="V14" s="93">
        <f>(U14+W14*K14)/B14</f>
        <v>1.7044719469130765</v>
      </c>
      <c r="W14" s="9">
        <f t="shared" si="1"/>
        <v>8</v>
      </c>
    </row>
    <row r="15" spans="1:23" x14ac:dyDescent="0.2">
      <c r="A15" s="98">
        <v>9</v>
      </c>
      <c r="B15" s="97">
        <f>C15*B4</f>
        <v>0.99952433102533678</v>
      </c>
      <c r="C15" s="97">
        <f>1/(1-D4*B4/(1-D4*B4/(1-D4*B4/(1-D4*B4/(1-D4*B4/(1-D4*B4/(1-D4*B4/(1-D4*B4))))))))</f>
        <v>1.4567048870975672</v>
      </c>
      <c r="D15" s="93">
        <f>C15*D4*C14</f>
        <v>0.66560084666863872</v>
      </c>
      <c r="E15" s="1">
        <f>D15*D4*C13</f>
        <v>0.30375134097099543</v>
      </c>
      <c r="F15" s="1">
        <f>E15*D4*C12</f>
        <v>0.13824205510938214</v>
      </c>
      <c r="G15" s="1">
        <f>F15*D4*C11</f>
        <v>6.2538417892558831E-2</v>
      </c>
      <c r="H15" s="1">
        <f>G15*D4*C10</f>
        <v>2.7911716085336543E-2</v>
      </c>
      <c r="I15" s="1">
        <f>H15*D4*C9</f>
        <v>1.207352756326853E-2</v>
      </c>
      <c r="J15" s="1">
        <f>I15*D4*C8</f>
        <v>4.8291698113487099E-3</v>
      </c>
      <c r="K15" s="1">
        <f>J15*D4</f>
        <v>1.5156141503160599E-3</v>
      </c>
      <c r="L15" s="1">
        <f>K15*D4</f>
        <v>4.7566897466310733E-4</v>
      </c>
      <c r="M15" s="242"/>
      <c r="N15" s="97">
        <f>B15+L15</f>
        <v>0.99999999999999989</v>
      </c>
      <c r="R15" s="278">
        <f>B15-L15</f>
        <v>0.99904866205067366</v>
      </c>
      <c r="S15" s="279">
        <f>IF(Rules!B20=Rules!E20,SUM(C15:K15)*B4*F4,SUM(C15:K15)*B4*F4*POWER(O2,A15-1))</f>
        <v>1.0296097453472961</v>
      </c>
      <c r="T15" s="261">
        <f>IF(Rules!B20=Rules!E20,SUM(C15:K15)*D4*H4,SUM(C15:K15)*D4*H4*POWER(O2,A15-1))</f>
        <v>-0.77133082940043052</v>
      </c>
      <c r="U15" s="275">
        <f t="shared" si="0"/>
        <v>1.952653941284157</v>
      </c>
      <c r="V15" s="93">
        <f>(U15+W15*L15)/B15</f>
        <v>1.9578662582917343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0.99978247722876246</v>
      </c>
      <c r="C16" s="131">
        <f>1/(1-D4*B4/(1-D4*B4/(1-D4*B4/(1-D4*B4/(1-D4*B4/(1-D4*B4/(1-D4*B4/(1-D4*B4/(1-D4*B4)))))))))</f>
        <v>1.4570811088907176</v>
      </c>
      <c r="D16" s="94">
        <f>C16*D4*C15</f>
        <v>0.66614915160500032</v>
      </c>
      <c r="E16" s="110">
        <f>D16*D4*C14</f>
        <v>0.30437835641460731</v>
      </c>
      <c r="F16" s="110">
        <f>E16*D4*C13</f>
        <v>0.13890507259152018</v>
      </c>
      <c r="G16" s="110">
        <f>F16*D4*C12</f>
        <v>6.3217902639657056E-2</v>
      </c>
      <c r="H16" s="110">
        <f>G16*D4*C11</f>
        <v>2.8598732928570687E-2</v>
      </c>
      <c r="I16" s="110">
        <f>H16*D4*C10</f>
        <v>1.2763989573161385E-2</v>
      </c>
      <c r="J16" s="110">
        <f>I16*D4*C9</f>
        <v>5.5212076340155989E-3</v>
      </c>
      <c r="K16" s="110">
        <f>J16*D4*C8</f>
        <v>2.2083727467929874E-3</v>
      </c>
      <c r="L16" s="110">
        <f>K16*D4</f>
        <v>6.9308827706703112E-4</v>
      </c>
      <c r="M16" s="244">
        <f>L16*D4</f>
        <v>2.1752277123748422E-4</v>
      </c>
      <c r="N16" s="131">
        <f>B16+M16</f>
        <v>0.99999999999999989</v>
      </c>
      <c r="R16" s="280">
        <f>B16-M16</f>
        <v>0.99956495445752502</v>
      </c>
      <c r="S16" s="281">
        <f>IF(Rules!B20=Rules!E20,SUM(C16:L16)*B4*F4,SUM(C16:L16)*B4*F4*POWER(O2,A16-1))</f>
        <v>1.0320553130567578</v>
      </c>
      <c r="T16" s="262">
        <f>IF(Rules!B20=Rules!E20,SUM(C16:L16)*D4*H4,SUM(C16:L16)*D4*H4*POWER(O2,A16-1))</f>
        <v>-0.77316292333526193</v>
      </c>
      <c r="U16" s="275">
        <f t="shared" si="0"/>
        <v>2.2115463310056529</v>
      </c>
      <c r="V16" s="94">
        <f>(U16+W16*M16)/B16</f>
        <v>2.2142031983338124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6</v>
      </c>
      <c r="D21" s="57">
        <f>SUM($C$21:C21)</f>
        <v>6</v>
      </c>
      <c r="E21" s="57">
        <f t="shared" ref="E21:E30" si="3">D21/R7</f>
        <v>16.115662659428747</v>
      </c>
      <c r="F21" s="8">
        <f t="shared" ref="F21:F30" si="4">U7/E21</f>
        <v>5.9953508372615448E-3</v>
      </c>
      <c r="G21" s="265">
        <f>E21*U7</f>
        <v>1.55708004235334</v>
      </c>
      <c r="O21" s="100">
        <v>1</v>
      </c>
      <c r="P21" s="108">
        <v>1</v>
      </c>
      <c r="Q21" s="109">
        <f>P21*6+15</f>
        <v>21</v>
      </c>
      <c r="R21" s="57">
        <f>SUM($Q$21)</f>
        <v>21</v>
      </c>
      <c r="S21" s="260">
        <f>R21/R7</f>
        <v>56.404819308000611</v>
      </c>
      <c r="T21" s="8">
        <f>U7/S21</f>
        <v>1.7129573820747273E-3</v>
      </c>
      <c r="U21" s="265">
        <f>S21*U7</f>
        <v>5.4497801482366901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56.079559294460843</v>
      </c>
      <c r="F22" s="9">
        <f t="shared" si="4"/>
        <v>4.6077519800941102E-3</v>
      </c>
      <c r="G22" s="266">
        <f t="shared" ref="G22:G30" si="5">E22*U8</f>
        <v>14.490997398794562</v>
      </c>
      <c r="O22" s="98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61">
        <f t="shared" ref="S22:S30" si="7">R22/R8</f>
        <v>216.30687156434897</v>
      </c>
      <c r="T22" s="9">
        <f>U8/S22</f>
        <v>1.1946023652095843E-3</v>
      </c>
      <c r="U22" s="266">
        <f t="shared" ref="U22:U30" si="8">S22*U8</f>
        <v>55.89384710963617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289.43253895704834</v>
      </c>
      <c r="F23" s="9">
        <f t="shared" si="4"/>
        <v>1.5946632973989183E-3</v>
      </c>
      <c r="G23" s="266">
        <f t="shared" si="5"/>
        <v>133.58684941924173</v>
      </c>
      <c r="O23" s="98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61">
        <f t="shared" si="7"/>
        <v>1147.6336719110868</v>
      </c>
      <c r="T23" s="9">
        <f t="shared" ref="T23:T30" si="11">U9/S23</f>
        <v>4.0217314831761587E-4</v>
      </c>
      <c r="U23" s="266">
        <f t="shared" si="8"/>
        <v>529.68739130187703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1633.1589858550701</v>
      </c>
      <c r="F24" s="9">
        <f t="shared" si="4"/>
        <v>4.2225794043019953E-4</v>
      </c>
      <c r="G24" s="266">
        <f t="shared" si="5"/>
        <v>1126.2498720887957</v>
      </c>
      <c r="O24" s="98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61">
        <f t="shared" si="7"/>
        <v>6520.024677120241</v>
      </c>
      <c r="T24" s="9">
        <f t="shared" si="11"/>
        <v>1.0576867173251614E-4</v>
      </c>
      <c r="U24" s="266">
        <f t="shared" si="8"/>
        <v>4496.3025781460028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9539.1649072222626</v>
      </c>
      <c r="F25" s="9">
        <f t="shared" si="4"/>
        <v>9.7708413859634382E-5</v>
      </c>
      <c r="G25" s="266">
        <f t="shared" si="5"/>
        <v>8891.042303096101</v>
      </c>
      <c r="O25" s="98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61">
        <f t="shared" si="7"/>
        <v>38141.323350903163</v>
      </c>
      <c r="T25" s="9">
        <f t="shared" si="11"/>
        <v>2.4436925380254355E-5</v>
      </c>
      <c r="U25" s="266">
        <f t="shared" si="8"/>
        <v>35549.874932154351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56550.333213805396</v>
      </c>
      <c r="F26" s="9">
        <f t="shared" si="4"/>
        <v>2.0910678559100424E-5</v>
      </c>
      <c r="G26" s="266">
        <f t="shared" si="5"/>
        <v>66871.099293063759</v>
      </c>
      <c r="O26" s="98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61">
        <f t="shared" si="7"/>
        <v>226183.15141704332</v>
      </c>
      <c r="T26" s="9">
        <f t="shared" si="11"/>
        <v>5.2280898591936458E-6</v>
      </c>
      <c r="U26" s="266">
        <f t="shared" si="8"/>
        <v>267462.89751542523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337458.82910440874</v>
      </c>
      <c r="F27" s="9">
        <f t="shared" si="4"/>
        <v>4.2591618108999098E-6</v>
      </c>
      <c r="G27" s="266">
        <f t="shared" si="5"/>
        <v>485026.79362557834</v>
      </c>
      <c r="O27" s="98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61">
        <f t="shared" si="7"/>
        <v>1349814.2203435132</v>
      </c>
      <c r="T27" s="9">
        <f t="shared" si="11"/>
        <v>1.0648070941990236E-6</v>
      </c>
      <c r="U27" s="266">
        <f t="shared" si="8"/>
        <v>1940076.8532888589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2019740.8386423788</v>
      </c>
      <c r="F28" s="9">
        <f t="shared" si="4"/>
        <v>8.3890714735273143E-7</v>
      </c>
      <c r="G28" s="266">
        <f t="shared" si="5"/>
        <v>3422198.4346494428</v>
      </c>
      <c r="O28" s="98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61">
        <f t="shared" si="7"/>
        <v>8078939.3045242531</v>
      </c>
      <c r="T28" s="9">
        <f t="shared" si="11"/>
        <v>2.0972741116998262E-7</v>
      </c>
      <c r="U28" s="266">
        <f t="shared" si="8"/>
        <v>13688752.98880172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12104749.707764093</v>
      </c>
      <c r="F29" s="9">
        <f t="shared" si="4"/>
        <v>1.613130373139155E-7</v>
      </c>
      <c r="G29" s="266">
        <f t="shared" si="5"/>
        <v>23636387.225123804</v>
      </c>
      <c r="O29" s="98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61">
        <f t="shared" si="7"/>
        <v>48418971.805345789</v>
      </c>
      <c r="T29" s="9">
        <f t="shared" si="11"/>
        <v>4.0328281838247762E-8</v>
      </c>
      <c r="U29" s="266">
        <f t="shared" si="8"/>
        <v>94545496.12863493</v>
      </c>
    </row>
    <row r="30" spans="1:21" ht="17" thickBot="1" x14ac:dyDescent="0.25">
      <c r="A30" s="131">
        <v>10</v>
      </c>
      <c r="B30" s="94">
        <f t="shared" si="9"/>
        <v>10077696</v>
      </c>
      <c r="C30" s="110">
        <f t="shared" si="2"/>
        <v>60466176</v>
      </c>
      <c r="D30" s="10">
        <f>SUM($C$21:C30)</f>
        <v>72559410</v>
      </c>
      <c r="E30" s="10">
        <f t="shared" si="3"/>
        <v>72590990.386791617</v>
      </c>
      <c r="F30" s="10">
        <f t="shared" si="4"/>
        <v>3.0465851467540487E-8</v>
      </c>
      <c r="G30" s="267">
        <f t="shared" si="5"/>
        <v>160538338.45397562</v>
      </c>
      <c r="O30" s="99">
        <v>10</v>
      </c>
      <c r="P30" s="94">
        <f t="shared" si="10"/>
        <v>40310781</v>
      </c>
      <c r="Q30" s="110">
        <f t="shared" si="6"/>
        <v>241864701</v>
      </c>
      <c r="R30" s="10">
        <f>SUM($Q$21:Q30)</f>
        <v>290237610</v>
      </c>
      <c r="S30" s="262">
        <f t="shared" si="7"/>
        <v>290363931.53410941</v>
      </c>
      <c r="T30" s="10">
        <f t="shared" si="11"/>
        <v>7.6164636541500329E-9</v>
      </c>
      <c r="U30" s="267">
        <f t="shared" si="8"/>
        <v>642153287.44063628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6</v>
      </c>
      <c r="D33" s="57">
        <f>SUM($C$33:C33)</f>
        <v>6</v>
      </c>
      <c r="E33" s="9">
        <f t="shared" ref="E33:E42" si="13">D33/R7</f>
        <v>16.115662659428747</v>
      </c>
      <c r="F33" s="8">
        <f t="shared" ref="F33:F42" si="14">U7/E33</f>
        <v>5.9953508372615448E-3</v>
      </c>
      <c r="G33" s="268">
        <f>E33*U7</f>
        <v>1.55708004235334</v>
      </c>
      <c r="O33" s="100">
        <v>1</v>
      </c>
      <c r="P33" s="108">
        <v>1</v>
      </c>
      <c r="Q33" s="109">
        <f>P33*6+15</f>
        <v>21</v>
      </c>
      <c r="R33" s="57">
        <f>SUM($Q$21)</f>
        <v>21</v>
      </c>
      <c r="S33" s="260">
        <f>R33/R7</f>
        <v>56.404819308000611</v>
      </c>
      <c r="T33" s="8">
        <f>U7/S33</f>
        <v>1.7129573820747273E-3</v>
      </c>
      <c r="U33" s="268">
        <f>S33*U7</f>
        <v>5.4497801482366901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64.090924907955255</v>
      </c>
      <c r="F34" s="9">
        <f t="shared" si="14"/>
        <v>4.0317829825823465E-3</v>
      </c>
      <c r="G34" s="266">
        <f t="shared" ref="G34:G42" si="16">E34*U8</f>
        <v>16.561139884336644</v>
      </c>
      <c r="O34" s="98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61">
        <f>R34/R8</f>
        <v>224.31823717784337</v>
      </c>
      <c r="T34" s="9">
        <f t="shared" ref="T34:T42" si="18">U8/S34</f>
        <v>1.1519379950235276E-3</v>
      </c>
      <c r="U34" s="266">
        <f t="shared" ref="U34:U42" si="19">S34*U8</f>
        <v>57.963989595178248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383.66638885004079</v>
      </c>
      <c r="F35" s="9">
        <f t="shared" si="14"/>
        <v>1.2029916103184824E-3</v>
      </c>
      <c r="G35" s="266">
        <f t="shared" si="16"/>
        <v>177.08024225341345</v>
      </c>
      <c r="O35" s="98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61">
        <f t="shared" ref="S35:S42" si="21">R35/R9</f>
        <v>1201.481586135654</v>
      </c>
      <c r="T35" s="9">
        <f t="shared" si="18"/>
        <v>3.8414858144623812E-4</v>
      </c>
      <c r="U35" s="266">
        <f t="shared" si="19"/>
        <v>554.54075863568949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2522.2532600078302</v>
      </c>
      <c r="F36" s="9">
        <f t="shared" si="14"/>
        <v>2.7341201642855416E-4</v>
      </c>
      <c r="G36" s="266">
        <f t="shared" si="16"/>
        <v>1739.3820418359778</v>
      </c>
      <c r="O36" s="98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61">
        <f t="shared" si="21"/>
        <v>6841.6119677712395</v>
      </c>
      <c r="T36" s="9">
        <f t="shared" si="18"/>
        <v>1.0079705674785407E-4</v>
      </c>
      <c r="U36" s="266">
        <f t="shared" si="19"/>
        <v>4718.0737884800901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17182.765855388781</v>
      </c>
      <c r="F37" s="9">
        <f t="shared" si="14"/>
        <v>5.424369280675883E-5</v>
      </c>
      <c r="G37" s="266">
        <f t="shared" si="16"/>
        <v>16015.311569757027</v>
      </c>
      <c r="O37" s="98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61">
        <f t="shared" si="21"/>
        <v>40043.021821153256</v>
      </c>
      <c r="T37" s="9">
        <f t="shared" si="18"/>
        <v>2.327638200715917E-5</v>
      </c>
      <c r="U37" s="266">
        <f t="shared" si="19"/>
        <v>37322.365680681542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118833.87993315789</v>
      </c>
      <c r="F38" s="9">
        <f t="shared" si="14"/>
        <v>9.9509150160631388E-6</v>
      </c>
      <c r="G38" s="266">
        <f t="shared" si="16"/>
        <v>140521.75703980221</v>
      </c>
      <c r="O38" s="98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61">
        <f t="shared" si="21"/>
        <v>237485.94548453309</v>
      </c>
      <c r="T38" s="9">
        <f t="shared" si="18"/>
        <v>4.9792666165203399E-6</v>
      </c>
      <c r="U38" s="266">
        <f t="shared" si="19"/>
        <v>280828.51751130604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827309.67021601147</v>
      </c>
      <c r="F39" s="9">
        <f t="shared" si="14"/>
        <v>1.7373080593838802E-6</v>
      </c>
      <c r="G39" s="266">
        <f t="shared" si="16"/>
        <v>1189085.3700442249</v>
      </c>
      <c r="O39" s="98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61">
        <f t="shared" si="21"/>
        <v>1417297.547734746</v>
      </c>
      <c r="T39" s="9">
        <f t="shared" si="18"/>
        <v>1.0141072775929849E-6</v>
      </c>
      <c r="U39" s="266">
        <f t="shared" si="19"/>
        <v>2037070.0835285925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5776820.8719486231</v>
      </c>
      <c r="F40" s="9">
        <f t="shared" si="14"/>
        <v>2.9330579273539925E-7</v>
      </c>
      <c r="G40" s="266">
        <f t="shared" si="16"/>
        <v>9788101.0112769417</v>
      </c>
      <c r="O40" s="98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61">
        <f t="shared" si="21"/>
        <v>8482877.8522346243</v>
      </c>
      <c r="T40" s="9">
        <f t="shared" si="18"/>
        <v>1.9974058979181766E-7</v>
      </c>
      <c r="U40" s="266">
        <f t="shared" si="19"/>
        <v>14373176.37581319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40392032.473342314</v>
      </c>
      <c r="F41" s="9">
        <f t="shared" si="14"/>
        <v>4.834255227371531E-8</v>
      </c>
      <c r="G41" s="266">
        <f t="shared" si="16"/>
        <v>78871661.405549526</v>
      </c>
      <c r="O41" s="98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61">
        <f t="shared" si="21"/>
        <v>50839910.936614372</v>
      </c>
      <c r="T41" s="9">
        <f t="shared" si="18"/>
        <v>3.8407894610961564E-8</v>
      </c>
      <c r="U41" s="266">
        <f t="shared" si="19"/>
        <v>99272752.464915574</v>
      </c>
    </row>
    <row r="42" spans="1:21" ht="17" thickBot="1" x14ac:dyDescent="0.25">
      <c r="A42" s="131">
        <v>10</v>
      </c>
      <c r="B42" s="94">
        <f t="shared" si="15"/>
        <v>40353607</v>
      </c>
      <c r="C42" s="110">
        <f t="shared" si="12"/>
        <v>242121642</v>
      </c>
      <c r="D42" s="10">
        <f>SUM($C$33:C42)</f>
        <v>282475248</v>
      </c>
      <c r="E42" s="9">
        <f t="shared" si="13"/>
        <v>282598191.08334231</v>
      </c>
      <c r="F42" s="10">
        <f t="shared" si="14"/>
        <v>7.8257625164820523E-9</v>
      </c>
      <c r="G42" s="267">
        <f t="shared" si="16"/>
        <v>624978992.63920009</v>
      </c>
      <c r="O42" s="99">
        <v>10</v>
      </c>
      <c r="P42" s="94">
        <f t="shared" si="20"/>
        <v>42326320</v>
      </c>
      <c r="Q42" s="110">
        <f t="shared" si="17"/>
        <v>253957935</v>
      </c>
      <c r="R42" s="10">
        <f>SUM($Q$33:Q42)</f>
        <v>304749480</v>
      </c>
      <c r="S42" s="262">
        <f t="shared" si="21"/>
        <v>304882117.60624492</v>
      </c>
      <c r="T42" s="10">
        <f t="shared" si="18"/>
        <v>7.2537751586397198E-9</v>
      </c>
      <c r="U42" s="267">
        <f t="shared" si="19"/>
        <v>674260928.58132493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6</v>
      </c>
      <c r="D45" s="57">
        <f>SUM(C45:C45)</f>
        <v>6</v>
      </c>
      <c r="E45" s="57">
        <f t="shared" ref="E45:E54" si="23">D45/R7</f>
        <v>16.115662659428747</v>
      </c>
      <c r="F45" s="8">
        <f t="shared" ref="F45:F54" si="24">U7/E45</f>
        <v>5.9953508372615448E-3</v>
      </c>
      <c r="G45" s="265">
        <f>E45*U7</f>
        <v>1.55708004235334</v>
      </c>
      <c r="O45" s="100">
        <v>1</v>
      </c>
      <c r="P45" s="108">
        <v>1</v>
      </c>
      <c r="Q45" s="109">
        <f>P45*6+15</f>
        <v>21</v>
      </c>
      <c r="R45" s="57">
        <f>SUM($Q$21)</f>
        <v>21</v>
      </c>
      <c r="S45" s="260">
        <f>R45/R7</f>
        <v>56.404819308000611</v>
      </c>
      <c r="T45" s="8">
        <f>U7/S45</f>
        <v>1.7129573820747273E-3</v>
      </c>
      <c r="U45" s="268">
        <f>S45*U7</f>
        <v>5.4497801482366901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104.14775297542728</v>
      </c>
      <c r="F46" s="9">
        <f t="shared" si="24"/>
        <v>2.481097220050675E-3</v>
      </c>
      <c r="G46" s="266">
        <f t="shared" ref="G46:G54" si="26">E46*U8</f>
        <v>26.911852312047042</v>
      </c>
      <c r="O46" s="98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61">
        <f t="shared" ref="S46:S54" si="28">R46/R8</f>
        <v>384.5455494477315</v>
      </c>
      <c r="T46" s="9">
        <f t="shared" ref="T46:T54" si="29">U8/S46</f>
        <v>6.7196383043039115E-4</v>
      </c>
      <c r="U46" s="266">
        <f t="shared" ref="U46:U54" si="30">S46*U8</f>
        <v>99.366839306019855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1056.7653166571299</v>
      </c>
      <c r="F47" s="9">
        <f t="shared" si="24"/>
        <v>4.3675491584811141E-4</v>
      </c>
      <c r="G47" s="266">
        <f t="shared" si="26"/>
        <v>487.74733392606862</v>
      </c>
      <c r="O47" s="98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61">
        <f t="shared" si="28"/>
        <v>3934.2632330324359</v>
      </c>
      <c r="T47" s="9">
        <f t="shared" si="29"/>
        <v>1.1731483625004875E-4</v>
      </c>
      <c r="U47" s="266">
        <f t="shared" si="30"/>
        <v>1815.8491508266695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11886.1184877869</v>
      </c>
      <c r="F48" s="9">
        <f t="shared" si="24"/>
        <v>5.8018465024626884E-5</v>
      </c>
      <c r="G48" s="266">
        <f t="shared" si="26"/>
        <v>8196.8378721520457</v>
      </c>
      <c r="O48" s="98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61">
        <f t="shared" si="28"/>
        <v>44297.07287888752</v>
      </c>
      <c r="T48" s="9">
        <f t="shared" si="29"/>
        <v>1.5567943995931912E-5</v>
      </c>
      <c r="U48" s="266">
        <f t="shared" si="30"/>
        <v>30547.897109744365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138768.7777275079</v>
      </c>
      <c r="F49" s="9">
        <f t="shared" si="24"/>
        <v>6.716616575382675E-6</v>
      </c>
      <c r="G49" s="266">
        <f t="shared" si="26"/>
        <v>129340.36523365717</v>
      </c>
      <c r="O49" s="98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61">
        <f t="shared" si="28"/>
        <v>517222.10958526313</v>
      </c>
      <c r="T49" s="9">
        <f t="shared" si="29"/>
        <v>1.8020433685202426E-6</v>
      </c>
      <c r="U49" s="266">
        <f t="shared" si="30"/>
        <v>482080.31847079942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1645135.31260177</v>
      </c>
      <c r="F50" s="9">
        <f t="shared" si="24"/>
        <v>7.1878940971352702E-7</v>
      </c>
      <c r="G50" s="266">
        <f t="shared" si="26"/>
        <v>1945382.1151430754</v>
      </c>
      <c r="O50" s="98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61">
        <f t="shared" si="28"/>
        <v>6131859.7190437894</v>
      </c>
      <c r="T50" s="9">
        <f t="shared" si="29"/>
        <v>1.9284619910194334E-7</v>
      </c>
      <c r="U50" s="266">
        <f t="shared" si="30"/>
        <v>7250959.9293256318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19634037.828449067</v>
      </c>
      <c r="F51" s="9">
        <f t="shared" si="24"/>
        <v>7.320408416397716E-8</v>
      </c>
      <c r="G51" s="266">
        <f t="shared" si="26"/>
        <v>28219840.740659852</v>
      </c>
      <c r="O51" s="98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61">
        <f t="shared" si="28"/>
        <v>73181404.135094658</v>
      </c>
      <c r="T51" s="9">
        <f t="shared" si="29"/>
        <v>1.9640122715044129E-8</v>
      </c>
      <c r="U51" s="266">
        <f t="shared" si="30"/>
        <v>105183028.97827153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235024527.87751183</v>
      </c>
      <c r="F52" s="9">
        <f t="shared" si="24"/>
        <v>7.209354022063399E-9</v>
      </c>
      <c r="G52" s="266">
        <f t="shared" si="26"/>
        <v>398219690.37734401</v>
      </c>
      <c r="O52" s="98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61">
        <f t="shared" si="28"/>
        <v>876000502.06615996</v>
      </c>
      <c r="T52" s="9">
        <f t="shared" si="29"/>
        <v>1.9342169568863144E-9</v>
      </c>
      <c r="U52" s="266">
        <f t="shared" si="30"/>
        <v>1484273372.8838298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2817105665.5268779</v>
      </c>
      <c r="F53" s="9">
        <f t="shared" si="24"/>
        <v>6.9314188856276209E-10</v>
      </c>
      <c r="G53" s="266">
        <f t="shared" si="26"/>
        <v>5500832480.804986</v>
      </c>
      <c r="O53" s="98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61">
        <f t="shared" si="28"/>
        <v>10500121104.679403</v>
      </c>
      <c r="T53" s="9">
        <f t="shared" si="29"/>
        <v>1.8596489714903882E-10</v>
      </c>
      <c r="U53" s="266">
        <f t="shared" si="30"/>
        <v>20503102859.013195</v>
      </c>
    </row>
    <row r="54" spans="1:21" ht="17" thickBot="1" x14ac:dyDescent="0.25">
      <c r="A54" s="131">
        <v>10</v>
      </c>
      <c r="B54" s="94">
        <f t="shared" si="25"/>
        <v>5159780352</v>
      </c>
      <c r="C54" s="110">
        <f t="shared" si="22"/>
        <v>30958682112</v>
      </c>
      <c r="D54" s="10">
        <f>SUM($C$45:C54)</f>
        <v>33773107758</v>
      </c>
      <c r="E54" s="10">
        <f t="shared" si="23"/>
        <v>33787806992.822231</v>
      </c>
      <c r="F54" s="10">
        <f t="shared" si="24"/>
        <v>6.5453976680862016E-11</v>
      </c>
      <c r="G54" s="267">
        <f t="shared" si="26"/>
        <v>74723300587.703156</v>
      </c>
      <c r="O54" s="99">
        <v>10</v>
      </c>
      <c r="P54" s="94">
        <f t="shared" si="31"/>
        <v>19231908582</v>
      </c>
      <c r="Q54" s="110">
        <f t="shared" si="27"/>
        <v>115391451507</v>
      </c>
      <c r="R54" s="10">
        <f>SUM($Q$45:Q54)</f>
        <v>125881583448</v>
      </c>
      <c r="S54" s="262">
        <f t="shared" si="28"/>
        <v>125936371505.05875</v>
      </c>
      <c r="T54" s="10">
        <f t="shared" si="29"/>
        <v>1.7560823013840899E-11</v>
      </c>
      <c r="U54" s="267">
        <f t="shared" si="30"/>
        <v>278514120342.17755</v>
      </c>
    </row>
  </sheetData>
  <mergeCells count="2">
    <mergeCell ref="A18:F18"/>
    <mergeCell ref="O18:T18"/>
  </mergeCells>
  <conditionalFormatting sqref="E33:E42">
    <cfRule type="cellIs" dxfId="878" priority="71" stopIfTrue="1" operator="lessThan">
      <formula>0</formula>
    </cfRule>
    <cfRule type="cellIs" dxfId="877" priority="72" operator="equal">
      <formula>MIN($E$33:$E$42)</formula>
    </cfRule>
  </conditionalFormatting>
  <conditionalFormatting sqref="F45:F54">
    <cfRule type="cellIs" dxfId="876" priority="59" operator="equal">
      <formula>MAX($F$45:$F$54)</formula>
    </cfRule>
  </conditionalFormatting>
  <conditionalFormatting sqref="F21:F30">
    <cfRule type="cellIs" dxfId="875" priority="57" operator="equal">
      <formula>MAX($F$21:$F$30)</formula>
    </cfRule>
  </conditionalFormatting>
  <conditionalFormatting sqref="E21:E30">
    <cfRule type="cellIs" dxfId="874" priority="53" stopIfTrue="1" operator="lessThan">
      <formula>0</formula>
    </cfRule>
    <cfRule type="cellIs" dxfId="873" priority="54" operator="equal">
      <formula>MIN($E$21:$E$30)</formula>
    </cfRule>
  </conditionalFormatting>
  <conditionalFormatting sqref="E45:E54">
    <cfRule type="cellIs" dxfId="872" priority="49" stopIfTrue="1" operator="lessThan">
      <formula>0</formula>
    </cfRule>
    <cfRule type="cellIs" dxfId="871" priority="50" operator="equal">
      <formula>MIN($E$45:$E$54)</formula>
    </cfRule>
  </conditionalFormatting>
  <conditionalFormatting sqref="F33:F42">
    <cfRule type="cellIs" dxfId="870" priority="35" operator="lessThanOrEqual">
      <formula>0</formula>
    </cfRule>
    <cfRule type="cellIs" dxfId="869" priority="36" operator="equal">
      <formula>MAX($F$33:$F$42)</formula>
    </cfRule>
  </conditionalFormatting>
  <conditionalFormatting sqref="R7:R16">
    <cfRule type="cellIs" dxfId="868" priority="29" operator="lessThanOrEqual">
      <formula>0</formula>
    </cfRule>
    <cfRule type="cellIs" dxfId="867" priority="30" operator="greaterThan">
      <formula>0</formula>
    </cfRule>
  </conditionalFormatting>
  <conditionalFormatting sqref="S21:S30">
    <cfRule type="cellIs" dxfId="866" priority="21" stopIfTrue="1" operator="lessThan">
      <formula>0</formula>
    </cfRule>
    <cfRule type="cellIs" dxfId="865" priority="22" operator="equal">
      <formula>MIN($E$21:$E$30)</formula>
    </cfRule>
  </conditionalFormatting>
  <conditionalFormatting sqref="T21:T30">
    <cfRule type="cellIs" dxfId="864" priority="19" operator="equal">
      <formula>MAX($T$21:$T$30)</formula>
    </cfRule>
  </conditionalFormatting>
  <conditionalFormatting sqref="S33:S42">
    <cfRule type="cellIs" dxfId="863" priority="17" stopIfTrue="1" operator="lessThan">
      <formula>0</formula>
    </cfRule>
    <cfRule type="cellIs" dxfId="862" priority="18" operator="equal">
      <formula>MIN($E$21:$E$30)</formula>
    </cfRule>
  </conditionalFormatting>
  <conditionalFormatting sqref="T33:T42">
    <cfRule type="cellIs" dxfId="861" priority="16" operator="equal">
      <formula>MAX($T$21:$T$30)</formula>
    </cfRule>
  </conditionalFormatting>
  <conditionalFormatting sqref="S45:S54">
    <cfRule type="cellIs" dxfId="860" priority="14" stopIfTrue="1" operator="lessThan">
      <formula>0</formula>
    </cfRule>
    <cfRule type="cellIs" dxfId="859" priority="15" operator="equal">
      <formula>MIN($E$21:$E$30)</formula>
    </cfRule>
  </conditionalFormatting>
  <conditionalFormatting sqref="T45:T54">
    <cfRule type="cellIs" dxfId="858" priority="13" operator="equal">
      <formula>MAX($T$21:$T$30)</formula>
    </cfRule>
  </conditionalFormatting>
  <conditionalFormatting sqref="U7:U16">
    <cfRule type="cellIs" dxfId="857" priority="9" operator="lessThanOrEqual">
      <formula>0</formula>
    </cfRule>
    <cfRule type="cellIs" dxfId="856" priority="10" operator="greaterThan">
      <formula>0</formula>
    </cfRule>
  </conditionalFormatting>
  <conditionalFormatting sqref="S7:T16">
    <cfRule type="cellIs" dxfId="855" priority="1" operator="lessThanOrEqual">
      <formula>0</formula>
    </cfRule>
    <cfRule type="cellIs" dxfId="85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4"/>
  <sheetViews>
    <sheetView workbookViewId="0">
      <selection activeCell="U8" sqref="U8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Analysis!B14</f>
        <v>0.69543100907771715</v>
      </c>
      <c r="D2" s="135" t="s">
        <v>126</v>
      </c>
      <c r="E2" s="141">
        <f>Analysis!J14</f>
        <v>0.30456899092228279</v>
      </c>
      <c r="F2" s="135" t="s">
        <v>47</v>
      </c>
      <c r="G2" s="141">
        <f>Analysis!S14</f>
        <v>0.67372230184267712</v>
      </c>
      <c r="H2" t="s">
        <v>155</v>
      </c>
      <c r="I2" s="155">
        <f>Analysis!T14</f>
        <v>-1.103454901726165</v>
      </c>
      <c r="J2" t="s">
        <v>48</v>
      </c>
      <c r="K2" s="155">
        <f>C2*G2+E2*I2</f>
        <v>0.13244923426163047</v>
      </c>
      <c r="L2" t="s">
        <v>47</v>
      </c>
      <c r="M2" s="162">
        <v>1</v>
      </c>
      <c r="N2" t="s">
        <v>155</v>
      </c>
      <c r="O2" s="162">
        <v>7</v>
      </c>
    </row>
    <row r="4" spans="1:23" x14ac:dyDescent="0.2">
      <c r="A4" t="s">
        <v>123</v>
      </c>
      <c r="B4">
        <f>$C$2</f>
        <v>0.69543100907771715</v>
      </c>
      <c r="C4" t="s">
        <v>124</v>
      </c>
      <c r="D4">
        <f>$E$2</f>
        <v>0.30456899092228279</v>
      </c>
      <c r="E4" t="s">
        <v>47</v>
      </c>
      <c r="F4">
        <f>G2</f>
        <v>0.67372230184267712</v>
      </c>
      <c r="G4" t="s">
        <v>155</v>
      </c>
      <c r="H4">
        <f>I2</f>
        <v>-1.103454901726165</v>
      </c>
      <c r="I4" t="s">
        <v>48</v>
      </c>
      <c r="J4">
        <f>K2</f>
        <v>0.13244923426163047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0.69543100907771715</v>
      </c>
      <c r="C7" s="95">
        <v>1</v>
      </c>
      <c r="D7" s="108">
        <f>C7*D4</f>
        <v>0.30456899092228279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</v>
      </c>
      <c r="R7" s="276">
        <f>B7-D7</f>
        <v>0.39086201815543437</v>
      </c>
      <c r="S7" s="277">
        <f>IF(Rules!B20=Rules!E20,SUM(C7)*B4*F4,SUM(C7)*B4*F4*POWER(O2,A7-1))</f>
        <v>0.46852738020861529</v>
      </c>
      <c r="T7" s="260">
        <f>IF(Rules!B20=Rules!E20,SUM(C7)*D4*H4,SUM(C7)*D4*H4*POWER(O2,A7-1))</f>
        <v>-0.33607814594698482</v>
      </c>
      <c r="U7" s="274">
        <f>S7+T7</f>
        <v>0.13244923426163047</v>
      </c>
      <c r="V7" s="108">
        <f>(U7+W7*D7)/B7</f>
        <v>0.62841348671450281</v>
      </c>
      <c r="W7" s="57">
        <f>COUNT(D7:M7)</f>
        <v>1</v>
      </c>
    </row>
    <row r="8" spans="1:23" x14ac:dyDescent="0.2">
      <c r="A8" s="98">
        <v>2</v>
      </c>
      <c r="B8" s="97">
        <f>C8*B4</f>
        <v>0.88231024969823968</v>
      </c>
      <c r="C8" s="97">
        <f>1/(1-B4*D4)</f>
        <v>1.2687243424309802</v>
      </c>
      <c r="D8" s="93">
        <f>C8*D4</f>
        <v>0.38641409273274041</v>
      </c>
      <c r="E8" s="1">
        <f>D8*D4</f>
        <v>0.11768975030176015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0.76462049939647958</v>
      </c>
      <c r="S8" s="279">
        <f>IF(Rules!B20=Rules!E20,SUM(C8:D8)*B4*F4,SUM(C8:D8)*B4*F4*POWER(O2,A8-1))</f>
        <v>0.77547767490984509</v>
      </c>
      <c r="T8" s="261">
        <f>IF(Rules!B20=Rules!E20,SUM(C8:D8)*D4*H4,SUM(C8:D8)*D4*H4*POWER(O2,A8-1))</f>
        <v>-0.55625585657541687</v>
      </c>
      <c r="U8" s="275">
        <f>S8+T8+U7</f>
        <v>0.35167105259605869</v>
      </c>
      <c r="V8" s="93">
        <f>(U8+W8*E8)/B8</f>
        <v>0.66535615266892467</v>
      </c>
      <c r="W8" s="9">
        <f>COUNT(D8:M8)</f>
        <v>2</v>
      </c>
    </row>
    <row r="9" spans="1:23" x14ac:dyDescent="0.2">
      <c r="A9" s="98">
        <v>3</v>
      </c>
      <c r="B9" s="97">
        <f>C9*B4</f>
        <v>0.95098339713582014</v>
      </c>
      <c r="C9" s="97">
        <f>1/(1-D4*B4/(1-D4*B4))</f>
        <v>1.3674733866081372</v>
      </c>
      <c r="D9" s="93">
        <f>C9*D4*C8</f>
        <v>0.52841098802235131</v>
      </c>
      <c r="E9" s="1">
        <f>D9*(D4)</f>
        <v>0.16093760141421401</v>
      </c>
      <c r="F9" s="1">
        <f>E9*D4</f>
        <v>4.9016602864179713E-2</v>
      </c>
      <c r="G9" s="1"/>
      <c r="H9" s="1"/>
      <c r="I9" s="1"/>
      <c r="J9" s="1"/>
      <c r="K9" s="1"/>
      <c r="L9" s="1"/>
      <c r="M9" s="242"/>
      <c r="N9" s="97">
        <f>B9+F9</f>
        <v>0.99999999999999989</v>
      </c>
      <c r="R9" s="278">
        <f>B9-F9</f>
        <v>0.90196679427164039</v>
      </c>
      <c r="S9" s="279">
        <f>IF(Rules!B20=Rules!E20,SUM(C9:E9)*B4*F4,SUM(C9:E9)*B4*F4*POWER(O2,A9-1))</f>
        <v>0.96367741199173185</v>
      </c>
      <c r="T9" s="261">
        <f>IF(Rules!B20=Rules!E20,SUM(C9:E9)*D4*H4,SUM(C9:E9)*D4*H4*POWER(O2,A9-1))</f>
        <v>-0.69125291625211727</v>
      </c>
      <c r="U9" s="275">
        <f t="shared" ref="U9:U16" si="0">S9+T9+U8</f>
        <v>0.62409554833567327</v>
      </c>
      <c r="V9" s="93">
        <f>(U9+W9*F9)/B9</f>
        <v>0.81089255527568049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0.97898398220581029</v>
      </c>
      <c r="C10" s="97">
        <f>1/(1-D4*B4/(1-D4*B4/(1-D4*B4)))</f>
        <v>1.4077370284424648</v>
      </c>
      <c r="D10" s="93">
        <f>C10*D4*C9</f>
        <v>0.58630838015579312</v>
      </c>
      <c r="E10" s="1">
        <f>D10*D4*C8</f>
        <v>0.22655782077950345</v>
      </c>
      <c r="F10" s="1">
        <f>E10*D4</f>
        <v>6.9002486860364753E-2</v>
      </c>
      <c r="G10" s="1">
        <f>F10*D4</f>
        <v>2.1016017794189368E-2</v>
      </c>
      <c r="H10" s="1"/>
      <c r="I10" s="1"/>
      <c r="J10" s="1"/>
      <c r="K10" s="1"/>
      <c r="L10" s="1"/>
      <c r="M10" s="242"/>
      <c r="N10" s="97">
        <f>B10+G10</f>
        <v>0.99999999999999967</v>
      </c>
      <c r="R10" s="278">
        <f>B10-G10</f>
        <v>0.95796796441162091</v>
      </c>
      <c r="S10" s="279">
        <f>IF(Rules!B20=Rules!E20,SUM(C10:F10)*B4*F4,SUM(C10:F10)*B4*F4*POWER(O2,A10-1))</f>
        <v>1.0727429679397193</v>
      </c>
      <c r="T10" s="261">
        <f>IF(Rules!B20=Rules!E20,SUM(C10:F10)*D4*H4,SUM(C10:F10)*D4*H4*POWER(O2,A10-1))</f>
        <v>-0.76948644406292754</v>
      </c>
      <c r="U10" s="275">
        <f t="shared" si="0"/>
        <v>0.92735207221246507</v>
      </c>
      <c r="V10" s="93">
        <f>(U10+W10*G10)/B10</f>
        <v>1.033128387974579</v>
      </c>
      <c r="W10" s="9">
        <f t="shared" si="1"/>
        <v>4</v>
      </c>
    </row>
    <row r="11" spans="1:23" x14ac:dyDescent="0.2">
      <c r="A11" s="98">
        <v>5</v>
      </c>
      <c r="B11" s="97">
        <f>C11*B4</f>
        <v>0.99087982761580329</v>
      </c>
      <c r="C11" s="97">
        <f>1/(1-D4*B4/(1-D4*B4/(1-D4*B4/(1-D4*B4))))</f>
        <v>1.4248427445447267</v>
      </c>
      <c r="D11" s="93">
        <f>C11*D4*C10</f>
        <v>0.61090566713174677</v>
      </c>
      <c r="E11" s="1">
        <f>D11*D4*C9</f>
        <v>0.25443609487228003</v>
      </c>
      <c r="F11" s="1">
        <f>E11*D4*C8</f>
        <v>9.8317692758533554E-2</v>
      </c>
      <c r="G11" s="1">
        <f>F11*D4</f>
        <v>2.9944520473273593E-2</v>
      </c>
      <c r="H11" s="1">
        <f>G11*D4</f>
        <v>9.1201723841965766E-3</v>
      </c>
      <c r="I11" s="1"/>
      <c r="J11" s="1"/>
      <c r="K11" s="1"/>
      <c r="L11" s="1"/>
      <c r="M11" s="242"/>
      <c r="N11" s="97">
        <f>B11+H11</f>
        <v>0.99999999999999989</v>
      </c>
      <c r="R11" s="278">
        <f>B11-H11</f>
        <v>0.98175965523160669</v>
      </c>
      <c r="S11" s="279">
        <f>IF(Rules!B20=Rules!E20,SUM(C11:G11)*B4*F4,SUM(C11:G11)*B4*F4*POWER(O2,A11-1))</f>
        <v>1.1331085057929051</v>
      </c>
      <c r="T11" s="261">
        <f>IF(Rules!B20=Rules!E20,SUM(C11:G11)*D4*H4,SUM(C11:G11)*D4*H4*POWER(O2,A11-1))</f>
        <v>-0.81278708965541779</v>
      </c>
      <c r="U11" s="275">
        <f t="shared" si="0"/>
        <v>1.2476734883499523</v>
      </c>
      <c r="V11" s="93">
        <f>(U11+W11*H11)/B11</f>
        <v>1.3051777967694991</v>
      </c>
      <c r="W11" s="9">
        <f t="shared" si="1"/>
        <v>5</v>
      </c>
    </row>
    <row r="12" spans="1:23" x14ac:dyDescent="0.2">
      <c r="A12" s="98">
        <v>6</v>
      </c>
      <c r="B12" s="97">
        <f>C12*B4</f>
        <v>0.9960216457090163</v>
      </c>
      <c r="C12" s="97">
        <f>1/(1-D4*B4/(1-D4*B4/(1-D4*B4/(1-D4*B4/(1-D4*B4)))))</f>
        <v>1.4322364586962313</v>
      </c>
      <c r="D12" s="93">
        <f>C12*D4*C11</f>
        <v>0.62153751134776802</v>
      </c>
      <c r="E12" s="1">
        <f>D12*D4*C10</f>
        <v>0.26648610134070472</v>
      </c>
      <c r="F12" s="1">
        <f>E12*D4*C9</f>
        <v>0.11098879354190891</v>
      </c>
      <c r="G12" s="1">
        <f>F12*D4*C8</f>
        <v>4.2887633959998166E-2</v>
      </c>
      <c r="H12" s="1">
        <f>G12*D4</f>
        <v>1.3062243398240869E-2</v>
      </c>
      <c r="I12" s="1">
        <f>H12*D4</f>
        <v>3.9783542909834716E-3</v>
      </c>
      <c r="J12" s="1"/>
      <c r="K12" s="1"/>
      <c r="L12" s="1"/>
      <c r="M12" s="242"/>
      <c r="N12" s="97">
        <f>B12+I12</f>
        <v>0.99999999999999978</v>
      </c>
      <c r="R12" s="278">
        <f>B12-I12</f>
        <v>0.99204329141803282</v>
      </c>
      <c r="S12" s="279">
        <f>IF(Rules!B20=Rules!E20,SUM(C12:H12)*B4*F4,SUM(C12:H12)*B4*F4*POWER(O2,A12-1))</f>
        <v>1.1653207107808847</v>
      </c>
      <c r="T12" s="261">
        <f>IF(Rules!B20=Rules!E20,SUM(C12:H12)*D4*H4,SUM(C12:H12)*D4*H4*POWER(O2,A12-1))</f>
        <v>-0.83589314190876551</v>
      </c>
      <c r="U12" s="275">
        <f t="shared" si="0"/>
        <v>1.5771010572220714</v>
      </c>
      <c r="V12" s="93">
        <f>(U12+W12*I12)/B12</f>
        <v>1.6073658538096565</v>
      </c>
      <c r="W12" s="9">
        <f t="shared" si="1"/>
        <v>6</v>
      </c>
    </row>
    <row r="13" spans="1:23" x14ac:dyDescent="0.2">
      <c r="A13" s="98">
        <v>7</v>
      </c>
      <c r="B13" s="97">
        <f>C13*B4</f>
        <v>0.99826068174531435</v>
      </c>
      <c r="C13" s="97">
        <f>1/(1-D4*B4/(1-D4*B4/(1-D4*B4/(1-D4*B4/(1-D4*B4/(1-D4*B4))))))</f>
        <v>1.435456096600022</v>
      </c>
      <c r="D13" s="93">
        <f>C13*D4*C12</f>
        <v>0.62616721272973608</v>
      </c>
      <c r="E13" s="1">
        <f>D13*D4*C11</f>
        <v>0.27173335012144995</v>
      </c>
      <c r="F13" s="1">
        <f>E13*D4*C10</f>
        <v>0.11650650162866304</v>
      </c>
      <c r="G13" s="1">
        <f>F13*D4*C9</f>
        <v>4.8523791636778356E-2</v>
      </c>
      <c r="H13" s="1">
        <f>G13*D4*C8</f>
        <v>1.8750276921278244E-2</v>
      </c>
      <c r="I13" s="1">
        <f>H13*D4</f>
        <v>5.7107529214270817E-3</v>
      </c>
      <c r="J13" s="1">
        <f>I13*D4</f>
        <v>1.7393182546855247E-3</v>
      </c>
      <c r="K13" s="1"/>
      <c r="L13" s="1"/>
      <c r="M13" s="242"/>
      <c r="N13" s="97">
        <f>B13+J13</f>
        <v>0.99999999999999989</v>
      </c>
      <c r="R13" s="278">
        <f>B13-J13</f>
        <v>0.99652136349062881</v>
      </c>
      <c r="S13" s="279">
        <f>IF(Rules!B20=Rules!E20,SUM(C13:I13)*B4*F4,SUM(C13:I13)*B4*F4*POWER(O2,A13-1))</f>
        <v>1.1820233559331246</v>
      </c>
      <c r="T13" s="261">
        <f>IF(Rules!B20=Rules!E20,SUM(C13:I13)*D4*H4,SUM(C13:I13)*D4*H4*POWER(O2,A13-1))</f>
        <v>-0.84787407248463886</v>
      </c>
      <c r="U13" s="275">
        <f t="shared" si="0"/>
        <v>1.911250340670557</v>
      </c>
      <c r="V13" s="93">
        <f>(U13+W13*J13)/B13</f>
        <v>1.9267768465953445</v>
      </c>
      <c r="W13" s="9">
        <f t="shared" si="1"/>
        <v>7</v>
      </c>
    </row>
    <row r="14" spans="1:23" x14ac:dyDescent="0.2">
      <c r="A14" s="98">
        <v>8</v>
      </c>
      <c r="B14" s="97">
        <f>C14*B4</f>
        <v>0.99923883293045879</v>
      </c>
      <c r="C14" s="97">
        <f>1/(1-D4*B4/(1-D4*B4/(1-D4*B4/(1-D4*B4/(1-D4*B4/(1-D4*B4/(1-D4*B4)))))))</f>
        <v>1.4368626361019659</v>
      </c>
      <c r="D14" s="93">
        <f>C14*D4*C13</f>
        <v>0.62818975627982776</v>
      </c>
      <c r="E14" s="1">
        <f>D14*D4*C12</f>
        <v>0.27402567705608921</v>
      </c>
      <c r="F14" s="1">
        <f>E14*D4*C11</f>
        <v>0.11891698212868362</v>
      </c>
      <c r="G14" s="1">
        <f>F14*D4*C10</f>
        <v>5.0986018336942898E-2</v>
      </c>
      <c r="H14" s="1">
        <f>G14*D4*C9</f>
        <v>2.1235166240388712E-2</v>
      </c>
      <c r="I14" s="1">
        <f>H14*D4*C8</f>
        <v>8.205567496808723E-3</v>
      </c>
      <c r="J14" s="1">
        <f>I14*D4</f>
        <v>2.4991614124477146E-3</v>
      </c>
      <c r="K14" s="1">
        <f>J14*D4</f>
        <v>7.6116706954110745E-4</v>
      </c>
      <c r="L14" s="1"/>
      <c r="M14" s="242"/>
      <c r="N14" s="97">
        <f>B14+K14</f>
        <v>0.99999999999999989</v>
      </c>
      <c r="R14" s="278">
        <f>B14-K14</f>
        <v>0.99847766586091768</v>
      </c>
      <c r="S14" s="279">
        <f>IF(Rules!B20=Rules!E20,SUM(C14:J14)*B4*F4,SUM(C14:J14)*B4*F4*POWER(O2,A14-1))</f>
        <v>1.1904910430735012</v>
      </c>
      <c r="T14" s="261">
        <f>IF(Rules!B20=Rules!E20,SUM(C14:J14)*D4*H4,SUM(C14:J14)*D4*H4*POWER(O2,A14-1))</f>
        <v>-0.85394800693288764</v>
      </c>
      <c r="U14" s="275">
        <f t="shared" si="0"/>
        <v>2.2477933768111704</v>
      </c>
      <c r="V14" s="93">
        <f>(U14+W14*K14)/B14</f>
        <v>2.2555996015062361</v>
      </c>
      <c r="W14" s="9">
        <f t="shared" si="1"/>
        <v>8</v>
      </c>
    </row>
    <row r="15" spans="1:23" x14ac:dyDescent="0.2">
      <c r="A15" s="98">
        <v>9</v>
      </c>
      <c r="B15" s="97">
        <f>C15*B4</f>
        <v>0.99966675252151571</v>
      </c>
      <c r="C15" s="97">
        <f>1/(1-D4*B4/(1-D4*B4/(1-D4*B4/(1-D4*B4/(1-D4*B4/(1-D4*B4/(1-D4*B4/(1-D4*B4))))))))</f>
        <v>1.4374779661425754</v>
      </c>
      <c r="D15" s="93">
        <f>C15*D4*C14</f>
        <v>0.62907457451855653</v>
      </c>
      <c r="E15" s="1">
        <f>D15*D4*C13</f>
        <v>0.27502851958118901</v>
      </c>
      <c r="F15" s="1">
        <f>E15*D4*C12</f>
        <v>0.11997151423525894</v>
      </c>
      <c r="G15" s="1">
        <f>F15*D4*C11</f>
        <v>5.2063188265912816E-2</v>
      </c>
      <c r="H15" s="1">
        <f>G15*D4*C10</f>
        <v>2.2322250565802559E-2</v>
      </c>
      <c r="I15" s="1">
        <f>H15*D4*C9</f>
        <v>9.2969939031495308E-3</v>
      </c>
      <c r="J15" s="1">
        <f>I15*D4*C8</f>
        <v>3.5924894642273453E-3</v>
      </c>
      <c r="K15" s="1">
        <f>J15*D4</f>
        <v>1.094160891018655E-3</v>
      </c>
      <c r="L15" s="1">
        <f>K15*D4</f>
        <v>3.3324747848417758E-4</v>
      </c>
      <c r="M15" s="242"/>
      <c r="N15" s="97">
        <f>B15+L15</f>
        <v>0.99999999999999989</v>
      </c>
      <c r="R15" s="278">
        <f>B15-L15</f>
        <v>0.99933350504303153</v>
      </c>
      <c r="S15" s="279">
        <f>IF(Rules!B20=Rules!E20,SUM(C15:K15)*B4*F4,SUM(C15:K15)*B4*F4*POWER(O2,A15-1))</f>
        <v>1.1947081139573998</v>
      </c>
      <c r="T15" s="261">
        <f>IF(Rules!B20=Rules!E20,SUM(C15:K15)*D4*H4,SUM(C15:K15)*D4*H4*POWER(O2,A15-1))</f>
        <v>-0.85697294298541171</v>
      </c>
      <c r="U15" s="275">
        <f t="shared" si="0"/>
        <v>2.5855285477831584</v>
      </c>
      <c r="V15" s="93">
        <f>(U15+W15*L15)/B15</f>
        <v>2.5893906830054383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0.99985407317791108</v>
      </c>
      <c r="C16" s="131">
        <f>1/(1-D4*B4/(1-D4*B4/(1-D4*B4/(1-D4*B4/(1-D4*B4/(1-D4*B4/(1-D4*B4/(1-D4*B4/(1-D4*B4)))))))))</f>
        <v>1.437747325221981</v>
      </c>
      <c r="D16" s="94">
        <f>C16*D4*C15</f>
        <v>0.62946190133586766</v>
      </c>
      <c r="E16" s="110">
        <f>D16*D4*C14</f>
        <v>0.27546751121417029</v>
      </c>
      <c r="F16" s="110">
        <f>E16*D4*C13</f>
        <v>0.120433132844273</v>
      </c>
      <c r="G16" s="110">
        <f>F16*D4*C12</f>
        <v>5.2534716521128955E-2</v>
      </c>
      <c r="H16" s="110">
        <f>G16*D4*C11</f>
        <v>2.2798118821543225E-2</v>
      </c>
      <c r="I16" s="110">
        <f>H16*D4*C10</f>
        <v>9.7747628932018642E-3</v>
      </c>
      <c r="J16" s="110">
        <f>I16*D4*C9</f>
        <v>4.0710908944840392E-3</v>
      </c>
      <c r="K16" s="110">
        <f>J16*D4*C8</f>
        <v>1.5731268944245706E-3</v>
      </c>
      <c r="L16" s="110">
        <f>K16*D4</f>
        <v>4.7912567082759595E-4</v>
      </c>
      <c r="M16" s="244">
        <f>L16*D4</f>
        <v>1.4592682208892273E-4</v>
      </c>
      <c r="N16" s="131">
        <f>B16+M16</f>
        <v>1</v>
      </c>
      <c r="R16" s="280">
        <f>B16-M16</f>
        <v>0.99970814635582217</v>
      </c>
      <c r="S16" s="281">
        <f>IF(Rules!B20=Rules!E20,SUM(C16:L16)*B4*F4,SUM(C16:L16)*B4*F4*POWER(O2,A16-1))</f>
        <v>1.1967786089524419</v>
      </c>
      <c r="T16" s="262">
        <f>IF(Rules!B20=Rules!E20,SUM(C16:L16)*D4*H4,SUM(C16:L16)*D4*H4*POWER(O2,A16-1))</f>
        <v>-0.85845812431849922</v>
      </c>
      <c r="U16" s="275">
        <f t="shared" si="0"/>
        <v>2.9238490324171011</v>
      </c>
      <c r="V16" s="94">
        <f>(U16+W16*M16)/B16</f>
        <v>2.9257352438844038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7</v>
      </c>
      <c r="D21" s="57">
        <f>SUM($C$21:C21)</f>
        <v>7</v>
      </c>
      <c r="E21" s="57">
        <f t="shared" ref="E21:E30" si="3">D21/R7</f>
        <v>17.909133338241897</v>
      </c>
      <c r="F21" s="8">
        <f t="shared" ref="F21:F30" si="4">U7/E21</f>
        <v>7.3956250009489704E-3</v>
      </c>
      <c r="G21" s="265">
        <f>E21*U7</f>
        <v>2.3720509969395773</v>
      </c>
      <c r="O21" s="100">
        <v>1</v>
      </c>
      <c r="P21" s="108">
        <v>1</v>
      </c>
      <c r="Q21" s="109">
        <f>P21*7+21</f>
        <v>28</v>
      </c>
      <c r="R21" s="57">
        <f>SUM($Q$21)</f>
        <v>28</v>
      </c>
      <c r="S21" s="260">
        <f>R21/R7</f>
        <v>71.636533352967589</v>
      </c>
      <c r="T21" s="8">
        <f>U7/S21</f>
        <v>1.8489062502372426E-3</v>
      </c>
      <c r="U21" s="265">
        <f>S21*U7</f>
        <v>9.4882039877583093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73.238946698657955</v>
      </c>
      <c r="F22" s="9">
        <f t="shared" si="4"/>
        <v>4.8016945689157865E-3</v>
      </c>
      <c r="G22" s="266">
        <f t="shared" ref="G22:G30" si="5">E22*U8</f>
        <v>25.756017476543679</v>
      </c>
      <c r="O22" s="98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61">
        <f t="shared" ref="S22:S30" si="7">R22/R8</f>
        <v>320.42039180662857</v>
      </c>
      <c r="T22" s="9">
        <f>U8/S22</f>
        <v>1.0975301871807511E-3</v>
      </c>
      <c r="U22" s="266">
        <f t="shared" ref="U22:U30" si="8">S22*U8</f>
        <v>112.6825764598786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442.36661763385865</v>
      </c>
      <c r="F23" s="9">
        <f t="shared" si="4"/>
        <v>1.4108106793271399E-3</v>
      </c>
      <c r="G23" s="266">
        <f t="shared" si="5"/>
        <v>276.07903679760011</v>
      </c>
      <c r="O23" s="98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61">
        <f t="shared" si="7"/>
        <v>1979.0085525725256</v>
      </c>
      <c r="T23" s="9">
        <f t="shared" ref="T23:T30" si="11">U9/S23</f>
        <v>3.1535768126136069E-4</v>
      </c>
      <c r="U23" s="266">
        <f t="shared" si="8"/>
        <v>1235.0904277787374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2922.8534815563962</v>
      </c>
      <c r="F24" s="9">
        <f t="shared" si="4"/>
        <v>3.1727627746795488E-4</v>
      </c>
      <c r="G24" s="266">
        <f t="shared" si="5"/>
        <v>2710.5142328947422</v>
      </c>
      <c r="O24" s="98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61">
        <f t="shared" si="7"/>
        <v>13138.226399596</v>
      </c>
      <c r="T24" s="9">
        <f t="shared" si="11"/>
        <v>7.0584266399989959E-5</v>
      </c>
      <c r="U24" s="266">
        <f t="shared" si="8"/>
        <v>12183.761476861864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19971.28308901074</v>
      </c>
      <c r="F25" s="9">
        <f t="shared" si="4"/>
        <v>6.2473376537158424E-5</v>
      </c>
      <c r="G25" s="266">
        <f t="shared" si="5"/>
        <v>24917.640438490442</v>
      </c>
      <c r="O25" s="98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61">
        <f t="shared" si="7"/>
        <v>89852.948763910506</v>
      </c>
      <c r="T25" s="9">
        <f t="shared" si="11"/>
        <v>1.3885726684699313E-5</v>
      </c>
      <c r="U25" s="266">
        <f t="shared" si="8"/>
        <v>112107.14202279775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138356.86525716577</v>
      </c>
      <c r="F26" s="9">
        <f t="shared" si="4"/>
        <v>1.1398791482379226E-5</v>
      </c>
      <c r="G26" s="266">
        <f t="shared" si="5"/>
        <v>218202.75847100781</v>
      </c>
      <c r="O26" s="98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61">
        <f t="shared" si="7"/>
        <v>622584.72522620903</v>
      </c>
      <c r="T26" s="9">
        <f t="shared" si="11"/>
        <v>2.533150900303649E-6</v>
      </c>
      <c r="U26" s="266">
        <f t="shared" si="8"/>
        <v>981879.02836456709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964152.93760938547</v>
      </c>
      <c r="F27" s="9">
        <f t="shared" si="4"/>
        <v>1.9823103432215817E-6</v>
      </c>
      <c r="G27" s="266">
        <f t="shared" si="5"/>
        <v>1842737.6304644563</v>
      </c>
      <c r="O27" s="98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61">
        <f t="shared" si="7"/>
        <v>4338663.633718133</v>
      </c>
      <c r="T27" s="9">
        <f t="shared" si="11"/>
        <v>4.4051590582343905E-7</v>
      </c>
      <c r="U27" s="266">
        <f t="shared" si="8"/>
        <v>8292272.3479987383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6735854.2208362604</v>
      </c>
      <c r="F28" s="9">
        <f t="shared" si="4"/>
        <v>3.3370576368146302E-7</v>
      </c>
      <c r="G28" s="266">
        <f t="shared" si="5"/>
        <v>15140808.504761312</v>
      </c>
      <c r="O28" s="98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61">
        <f t="shared" si="7"/>
        <v>30311315.951072827</v>
      </c>
      <c r="T28" s="9">
        <f t="shared" si="11"/>
        <v>7.4156904980287167E-8</v>
      </c>
      <c r="U28" s="266">
        <f t="shared" si="8"/>
        <v>68133575.23725228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47110605.98130627</v>
      </c>
      <c r="F29" s="9">
        <f t="shared" si="4"/>
        <v>5.4882090644495415E-8</v>
      </c>
      <c r="G29" s="266">
        <f t="shared" si="5"/>
        <v>121805816.66803138</v>
      </c>
      <c r="O29" s="98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61">
        <f t="shared" si="7"/>
        <v>211997695.39486963</v>
      </c>
      <c r="T29" s="9">
        <f t="shared" si="11"/>
        <v>1.2196021956594008E-8</v>
      </c>
      <c r="U29" s="266">
        <f t="shared" si="8"/>
        <v>548126093.50767362</v>
      </c>
    </row>
    <row r="30" spans="1:21" ht="17" thickBot="1" x14ac:dyDescent="0.25">
      <c r="A30" s="131">
        <v>10</v>
      </c>
      <c r="B30" s="94">
        <f t="shared" si="9"/>
        <v>40353607</v>
      </c>
      <c r="C30" s="110">
        <f t="shared" si="2"/>
        <v>282475249</v>
      </c>
      <c r="D30" s="10">
        <f>SUM($C$21:C30)</f>
        <v>329554456</v>
      </c>
      <c r="E30" s="10">
        <f t="shared" si="3"/>
        <v>329650665.74810421</v>
      </c>
      <c r="F30" s="10">
        <f t="shared" si="4"/>
        <v>8.8695377750315243E-9</v>
      </c>
      <c r="G30" s="267">
        <f t="shared" si="5"/>
        <v>963848780.08324778</v>
      </c>
      <c r="O30" s="99">
        <v>10</v>
      </c>
      <c r="P30" s="94">
        <f t="shared" si="10"/>
        <v>181591228</v>
      </c>
      <c r="Q30" s="110">
        <f t="shared" si="6"/>
        <v>1271138617</v>
      </c>
      <c r="R30" s="10">
        <f>SUM($Q$21:Q30)</f>
        <v>1482995017</v>
      </c>
      <c r="S30" s="262">
        <f t="shared" si="7"/>
        <v>1483427960.8562512</v>
      </c>
      <c r="T30" s="10">
        <f t="shared" si="11"/>
        <v>1.9710084409689989E-9</v>
      </c>
      <c r="U30" s="267">
        <f t="shared" si="8"/>
        <v>4337319408.0100231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7</v>
      </c>
      <c r="D33" s="57">
        <f>SUM($C$33:C33)</f>
        <v>7</v>
      </c>
      <c r="E33" s="9">
        <f t="shared" ref="E33:E42" si="13">D33/R7</f>
        <v>17.909133338241897</v>
      </c>
      <c r="F33" s="8">
        <f t="shared" ref="F33:F42" si="14">U7/E33</f>
        <v>7.3956250009489704E-3</v>
      </c>
      <c r="G33" s="268">
        <f>E33*U7</f>
        <v>2.3720509969395773</v>
      </c>
      <c r="O33" s="100">
        <v>1</v>
      </c>
      <c r="P33" s="108">
        <v>1</v>
      </c>
      <c r="Q33" s="109">
        <f>P33*7+21</f>
        <v>28</v>
      </c>
      <c r="R33" s="57">
        <f>SUM($Q$21)</f>
        <v>28</v>
      </c>
      <c r="S33" s="260">
        <f>R33/R7</f>
        <v>71.636533352967589</v>
      </c>
      <c r="T33" s="8">
        <f>U7/S33</f>
        <v>1.8489062502372426E-3</v>
      </c>
      <c r="U33" s="268">
        <f>S33*U7</f>
        <v>9.4882039877583093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82.393815035990201</v>
      </c>
      <c r="F34" s="9">
        <f t="shared" si="14"/>
        <v>4.2681729501473659E-3</v>
      </c>
      <c r="G34" s="266">
        <f t="shared" ref="G34:G42" si="16">E34*U8</f>
        <v>28.97551966111164</v>
      </c>
      <c r="O34" s="98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61">
        <f>R34/R8</f>
        <v>329.5752601439608</v>
      </c>
      <c r="T34" s="9">
        <f t="shared" ref="T34:T42" si="18">U8/S34</f>
        <v>1.0670432375368415E-3</v>
      </c>
      <c r="U34" s="266">
        <f t="shared" ref="U34:U42" si="19">S34*U8</f>
        <v>115.90207864444656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566.53970328546814</v>
      </c>
      <c r="F35" s="9">
        <f t="shared" si="14"/>
        <v>1.1015919002965338E-3</v>
      </c>
      <c r="G35" s="266">
        <f t="shared" si="16"/>
        <v>353.57490677587384</v>
      </c>
      <c r="O35" s="98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61">
        <f t="shared" ref="S35:S42" si="21">R35/R9</f>
        <v>2048.8559132515561</v>
      </c>
      <c r="T35" s="9">
        <f t="shared" si="18"/>
        <v>3.046068512183597E-4</v>
      </c>
      <c r="U35" s="266">
        <f t="shared" si="19"/>
        <v>1278.6818546415166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4274.6732167762293</v>
      </c>
      <c r="F36" s="9">
        <f t="shared" si="14"/>
        <v>2.1694104442253326E-4</v>
      </c>
      <c r="G36" s="266">
        <f t="shared" si="16"/>
        <v>3964.1270656085603</v>
      </c>
      <c r="O36" s="98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61">
        <f t="shared" si="21"/>
        <v>13620.497224052806</v>
      </c>
      <c r="T36" s="9">
        <f t="shared" si="18"/>
        <v>6.8085038083252124E-5</v>
      </c>
      <c r="U36" s="266">
        <f t="shared" si="19"/>
        <v>12630.996325289498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33375.785840649507</v>
      </c>
      <c r="F37" s="9">
        <f t="shared" si="14"/>
        <v>3.73825951037344E-5</v>
      </c>
      <c r="G37" s="266">
        <f t="shared" si="16"/>
        <v>41642.083146224119</v>
      </c>
      <c r="O37" s="98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61">
        <f t="shared" si="21"/>
        <v>93175.554233199699</v>
      </c>
      <c r="T37" s="9">
        <f t="shared" si="18"/>
        <v>1.339056685648766E-5</v>
      </c>
      <c r="U37" s="266">
        <f t="shared" si="19"/>
        <v>116252.66877907643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264245.52463359857</v>
      </c>
      <c r="F38" s="9">
        <f t="shared" si="14"/>
        <v>5.9683170014283923E-6</v>
      </c>
      <c r="G38" s="266">
        <f t="shared" si="16"/>
        <v>416741.89626584924</v>
      </c>
      <c r="O38" s="98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61">
        <f t="shared" si="21"/>
        <v>645637.14662539109</v>
      </c>
      <c r="T38" s="9">
        <f t="shared" si="18"/>
        <v>2.4427049550436266E-6</v>
      </c>
      <c r="U38" s="266">
        <f t="shared" si="19"/>
        <v>1018235.0265247459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2104471.6920609414</v>
      </c>
      <c r="F39" s="9">
        <f t="shared" si="14"/>
        <v>9.0818534071077967E-7</v>
      </c>
      <c r="G39" s="266">
        <f t="shared" si="16"/>
        <v>4022172.2383830175</v>
      </c>
      <c r="O39" s="98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61">
        <f t="shared" si="21"/>
        <v>4499347.594811663</v>
      </c>
      <c r="T39" s="9">
        <f t="shared" si="18"/>
        <v>4.247838826398918E-7</v>
      </c>
      <c r="U39" s="266">
        <f t="shared" si="19"/>
        <v>8599379.6233790424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16802794.467650086</v>
      </c>
      <c r="F40" s="9">
        <f t="shared" si="14"/>
        <v>1.337749730343235E-7</v>
      </c>
      <c r="G40" s="266">
        <f t="shared" si="16"/>
        <v>37769210.116303235</v>
      </c>
      <c r="O40" s="98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61">
        <f t="shared" si="21"/>
        <v>31433948.973648757</v>
      </c>
      <c r="T40" s="9">
        <f t="shared" si="18"/>
        <v>7.1508462989982809E-8</v>
      </c>
      <c r="U40" s="266">
        <f t="shared" si="19"/>
        <v>70657022.309987962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134307242.09954369</v>
      </c>
      <c r="F41" s="9">
        <f t="shared" si="14"/>
        <v>1.9250849822877443E-8</v>
      </c>
      <c r="G41" s="266">
        <f t="shared" si="16"/>
        <v>347255208.62239426</v>
      </c>
      <c r="O41" s="98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61">
        <f t="shared" si="21"/>
        <v>219849452.5514178</v>
      </c>
      <c r="T41" s="9">
        <f t="shared" si="18"/>
        <v>1.1760450243461315E-8</v>
      </c>
      <c r="U41" s="266">
        <f t="shared" si="19"/>
        <v>568427035.78618968</v>
      </c>
    </row>
    <row r="42" spans="1:21" ht="17" thickBot="1" x14ac:dyDescent="0.25">
      <c r="A42" s="131">
        <v>10</v>
      </c>
      <c r="B42" s="94">
        <f t="shared" si="15"/>
        <v>134217728</v>
      </c>
      <c r="C42" s="110">
        <f t="shared" si="12"/>
        <v>939524096</v>
      </c>
      <c r="D42" s="10">
        <f>SUM($C$33:C42)</f>
        <v>1073741823</v>
      </c>
      <c r="E42" s="9">
        <f t="shared" si="13"/>
        <v>1074055289.9504206</v>
      </c>
      <c r="F42" s="10">
        <f t="shared" si="14"/>
        <v>2.722251880116962E-9</v>
      </c>
      <c r="G42" s="267">
        <f t="shared" si="16"/>
        <v>3140375520.2840061</v>
      </c>
      <c r="O42" s="99">
        <v>10</v>
      </c>
      <c r="P42" s="94">
        <f t="shared" si="20"/>
        <v>188316829</v>
      </c>
      <c r="Q42" s="110">
        <f t="shared" si="17"/>
        <v>1318217824</v>
      </c>
      <c r="R42" s="10">
        <f>SUM($Q$33:Q42)</f>
        <v>1537920748</v>
      </c>
      <c r="S42" s="262">
        <f t="shared" si="21"/>
        <v>1538369726.8108625</v>
      </c>
      <c r="T42" s="10">
        <f t="shared" si="18"/>
        <v>1.9006152951790236E-9</v>
      </c>
      <c r="U42" s="267">
        <f t="shared" si="19"/>
        <v>4497960837.2357006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7</v>
      </c>
      <c r="D45" s="57">
        <f>SUM(C45:C45)</f>
        <v>7</v>
      </c>
      <c r="E45" s="57">
        <f t="shared" ref="E45:E54" si="23">D45/R7</f>
        <v>17.909133338241897</v>
      </c>
      <c r="F45" s="8">
        <f t="shared" ref="F45:F54" si="24">U7/E45</f>
        <v>7.3956250009489704E-3</v>
      </c>
      <c r="G45" s="265">
        <f>E45*U7</f>
        <v>2.3720509969395773</v>
      </c>
      <c r="O45" s="100">
        <v>1</v>
      </c>
      <c r="P45" s="108">
        <v>1</v>
      </c>
      <c r="Q45" s="109">
        <f>P45*7+21</f>
        <v>28</v>
      </c>
      <c r="R45" s="57">
        <f>SUM($Q$21)</f>
        <v>28</v>
      </c>
      <c r="S45" s="260">
        <f>R45/R7</f>
        <v>71.636533352967589</v>
      </c>
      <c r="T45" s="8">
        <f>U7/S45</f>
        <v>1.8489062502372426E-3</v>
      </c>
      <c r="U45" s="268">
        <f>S45*U7</f>
        <v>9.4882039877583093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137.32302505998368</v>
      </c>
      <c r="F46" s="9">
        <f t="shared" si="24"/>
        <v>2.5609037700884195E-3</v>
      </c>
      <c r="G46" s="266">
        <f t="shared" ref="G46:G54" si="26">E46*U8</f>
        <v>48.292532768519408</v>
      </c>
      <c r="O46" s="98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61">
        <f t="shared" ref="S46:S54" si="28">R46/R8</f>
        <v>576.75670525193141</v>
      </c>
      <c r="T46" s="9">
        <f t="shared" ref="T46:T54" si="29">U8/S46</f>
        <v>6.097389928781951E-4</v>
      </c>
      <c r="U46" s="266">
        <f t="shared" ref="U46:U54" si="30">S46*U8</f>
        <v>202.82863762778149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1637.5325670305997</v>
      </c>
      <c r="F47" s="9">
        <f t="shared" si="24"/>
        <v>3.8111947261444061E-4</v>
      </c>
      <c r="G47" s="266">
        <f t="shared" si="26"/>
        <v>1021.9767853384848</v>
      </c>
      <c r="O47" s="98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61">
        <f t="shared" si="28"/>
        <v>6922.6495250772268</v>
      </c>
      <c r="T47" s="9">
        <f t="shared" si="29"/>
        <v>9.015270036059077E-5</v>
      </c>
      <c r="U47" s="266">
        <f t="shared" si="30"/>
        <v>4320.3947512887598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21592.580094997877</v>
      </c>
      <c r="F48" s="9">
        <f t="shared" si="24"/>
        <v>4.2947719454207087E-5</v>
      </c>
      <c r="G48" s="266">
        <f t="shared" si="26"/>
        <v>20023.923895509906</v>
      </c>
      <c r="O48" s="98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61">
        <f t="shared" si="28"/>
        <v>91346.478432341275</v>
      </c>
      <c r="T48" s="9">
        <f t="shared" si="29"/>
        <v>1.0152028716677221E-5</v>
      </c>
      <c r="U48" s="266">
        <f t="shared" si="30"/>
        <v>84710.346063542936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294977.49113725929</v>
      </c>
      <c r="F49" s="9">
        <f t="shared" si="24"/>
        <v>4.2297243885954111E-6</v>
      </c>
      <c r="G49" s="266">
        <f t="shared" si="26"/>
        <v>368035.59535194142</v>
      </c>
      <c r="O49" s="98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61">
        <f t="shared" si="28"/>
        <v>1247973.4662868795</v>
      </c>
      <c r="T49" s="9">
        <f t="shared" si="29"/>
        <v>9.9975962795281246E-7</v>
      </c>
      <c r="U49" s="266">
        <f t="shared" si="30"/>
        <v>1557063.4080503325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4086883.1381387254</v>
      </c>
      <c r="F50" s="9">
        <f t="shared" si="24"/>
        <v>3.858933578267973E-7</v>
      </c>
      <c r="G50" s="266">
        <f t="shared" si="26"/>
        <v>6445427.7179016406</v>
      </c>
      <c r="O50" s="98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61">
        <f t="shared" si="28"/>
        <v>17290649.660541821</v>
      </c>
      <c r="T50" s="9">
        <f t="shared" si="29"/>
        <v>9.1211208843187638E-8</v>
      </c>
      <c r="U50" s="266">
        <f t="shared" si="30"/>
        <v>27269101.859696954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56959257.552870087</v>
      </c>
      <c r="F51" s="9">
        <f t="shared" si="24"/>
        <v>3.3554691946195355E-8</v>
      </c>
      <c r="G51" s="266">
        <f t="shared" si="26"/>
        <v>108863400.40226495</v>
      </c>
      <c r="O51" s="98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61">
        <f t="shared" si="28"/>
        <v>240981462.91497773</v>
      </c>
      <c r="T51" s="9">
        <f t="shared" si="29"/>
        <v>7.9311093789188175E-9</v>
      </c>
      <c r="U51" s="266">
        <f t="shared" si="30"/>
        <v>460575903.0915404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795867220.84046197</v>
      </c>
      <c r="F52" s="9">
        <f t="shared" si="24"/>
        <v>2.8243321473114907E-9</v>
      </c>
      <c r="G52" s="266">
        <f t="shared" si="26"/>
        <v>1788945067.8263035</v>
      </c>
      <c r="O52" s="98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61">
        <f t="shared" si="28"/>
        <v>3367130536.7668667</v>
      </c>
      <c r="T52" s="9">
        <f t="shared" si="29"/>
        <v>6.6756941920330513E-10</v>
      </c>
      <c r="U52" s="266">
        <f t="shared" si="30"/>
        <v>7568613719.403204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11132598857.996807</v>
      </c>
      <c r="F53" s="9">
        <f t="shared" si="24"/>
        <v>2.3224842471764018E-10</v>
      </c>
      <c r="G53" s="266">
        <f t="shared" si="26"/>
        <v>28783652158.368931</v>
      </c>
      <c r="O53" s="98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61">
        <f t="shared" si="28"/>
        <v>47099456692.361412</v>
      </c>
      <c r="T53" s="9">
        <f t="shared" si="29"/>
        <v>5.4895082222943758E-11</v>
      </c>
      <c r="U53" s="266">
        <f t="shared" si="30"/>
        <v>121776989863.17697</v>
      </c>
    </row>
    <row r="54" spans="1:21" ht="17" thickBot="1" x14ac:dyDescent="0.25">
      <c r="A54" s="131">
        <v>10</v>
      </c>
      <c r="B54" s="94">
        <f t="shared" si="25"/>
        <v>20661046784</v>
      </c>
      <c r="C54" s="110">
        <f t="shared" si="22"/>
        <v>144627327488</v>
      </c>
      <c r="D54" s="10">
        <f>SUM($C$45:C54)</f>
        <v>155752506525</v>
      </c>
      <c r="E54" s="10">
        <f t="shared" si="23"/>
        <v>155797976732.26483</v>
      </c>
      <c r="F54" s="10">
        <f t="shared" si="24"/>
        <v>1.8766925564390782E-11</v>
      </c>
      <c r="G54" s="267">
        <f t="shared" si="26"/>
        <v>455529763521.17456</v>
      </c>
      <c r="O54" s="99">
        <v>10</v>
      </c>
      <c r="P54" s="94">
        <f t="shared" si="31"/>
        <v>87412121006</v>
      </c>
      <c r="Q54" s="110">
        <f t="shared" si="27"/>
        <v>611884847063</v>
      </c>
      <c r="R54" s="10">
        <f>SUM($Q$45:Q54)</f>
        <v>658952912205</v>
      </c>
      <c r="S54" s="262">
        <f t="shared" si="28"/>
        <v>659145286158.80811</v>
      </c>
      <c r="T54" s="10">
        <f t="shared" si="29"/>
        <v>4.4358187698738354E-12</v>
      </c>
      <c r="U54" s="267">
        <f t="shared" si="30"/>
        <v>1927241307157.7244</v>
      </c>
    </row>
  </sheetData>
  <mergeCells count="2">
    <mergeCell ref="A18:F18"/>
    <mergeCell ref="O18:T18"/>
  </mergeCells>
  <conditionalFormatting sqref="F45:F54">
    <cfRule type="cellIs" dxfId="849" priority="71" operator="equal">
      <formula>MAX($F$45:$F$54)</formula>
    </cfRule>
  </conditionalFormatting>
  <conditionalFormatting sqref="F21:F30">
    <cfRule type="cellIs" dxfId="848" priority="69" operator="equal">
      <formula>MAX($F$21:$F$30)</formula>
    </cfRule>
  </conditionalFormatting>
  <conditionalFormatting sqref="E33:E42">
    <cfRule type="cellIs" dxfId="847" priority="65" stopIfTrue="1" operator="lessThan">
      <formula>0</formula>
    </cfRule>
    <cfRule type="cellIs" dxfId="846" priority="66" operator="equal">
      <formula>MIN($E$33:$E$42)</formula>
    </cfRule>
  </conditionalFormatting>
  <conditionalFormatting sqref="E21:E30">
    <cfRule type="cellIs" dxfId="845" priority="61" stopIfTrue="1" operator="lessThan">
      <formula>0</formula>
    </cfRule>
    <cfRule type="cellIs" dxfId="844" priority="62" operator="equal">
      <formula>MIN($E$21:$E$30)</formula>
    </cfRule>
  </conditionalFormatting>
  <conditionalFormatting sqref="E45:E54">
    <cfRule type="cellIs" dxfId="843" priority="57" stopIfTrue="1" operator="lessThan">
      <formula>0</formula>
    </cfRule>
    <cfRule type="cellIs" dxfId="842" priority="58" operator="equal">
      <formula>MIN($E$45:$E$54)</formula>
    </cfRule>
  </conditionalFormatting>
  <conditionalFormatting sqref="F33:F42">
    <cfRule type="cellIs" dxfId="841" priority="43" operator="lessThanOrEqual">
      <formula>0</formula>
    </cfRule>
    <cfRule type="cellIs" dxfId="840" priority="44" operator="equal">
      <formula>MAX($F$33:$F$42)</formula>
    </cfRule>
  </conditionalFormatting>
  <conditionalFormatting sqref="R7:R16">
    <cfRule type="cellIs" dxfId="839" priority="29" operator="lessThanOrEqual">
      <formula>0</formula>
    </cfRule>
    <cfRule type="cellIs" dxfId="838" priority="30" operator="greaterThan">
      <formula>0</formula>
    </cfRule>
  </conditionalFormatting>
  <conditionalFormatting sqref="T21:T30">
    <cfRule type="cellIs" dxfId="837" priority="21" operator="equal">
      <formula>MAX($T$21:$T$30)</formula>
    </cfRule>
  </conditionalFormatting>
  <conditionalFormatting sqref="S33:S42">
    <cfRule type="cellIs" dxfId="836" priority="19" stopIfTrue="1" operator="lessThan">
      <formula>0</formula>
    </cfRule>
    <cfRule type="cellIs" dxfId="835" priority="20" operator="equal">
      <formula>MIN($E$21:$E$30)</formula>
    </cfRule>
  </conditionalFormatting>
  <conditionalFormatting sqref="T33:T42">
    <cfRule type="cellIs" dxfId="834" priority="18" operator="equal">
      <formula>MAX($T$21:$T$30)</formula>
    </cfRule>
  </conditionalFormatting>
  <conditionalFormatting sqref="S45:S54">
    <cfRule type="cellIs" dxfId="833" priority="16" stopIfTrue="1" operator="lessThan">
      <formula>0</formula>
    </cfRule>
    <cfRule type="cellIs" dxfId="832" priority="17" operator="equal">
      <formula>MIN($E$21:$E$30)</formula>
    </cfRule>
  </conditionalFormatting>
  <conditionalFormatting sqref="T45:T54">
    <cfRule type="cellIs" dxfId="831" priority="15" operator="equal">
      <formula>MAX($T$21:$T$30)</formula>
    </cfRule>
  </conditionalFormatting>
  <conditionalFormatting sqref="S21:S30">
    <cfRule type="cellIs" dxfId="830" priority="13" stopIfTrue="1" operator="lessThan">
      <formula>0</formula>
    </cfRule>
    <cfRule type="cellIs" dxfId="829" priority="14" operator="equal">
      <formula>MIN($E$21:$E$30)</formula>
    </cfRule>
  </conditionalFormatting>
  <conditionalFormatting sqref="U7:U16">
    <cfRule type="cellIs" dxfId="828" priority="9" operator="lessThanOrEqual">
      <formula>0</formula>
    </cfRule>
    <cfRule type="cellIs" dxfId="827" priority="10" operator="greaterThan">
      <formula>0</formula>
    </cfRule>
  </conditionalFormatting>
  <conditionalFormatting sqref="S7:T16">
    <cfRule type="cellIs" dxfId="826" priority="1" operator="lessThanOrEqual">
      <formula>0</formula>
    </cfRule>
    <cfRule type="cellIs" dxfId="825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Analysis!B15</f>
        <v>0.70174850040046388</v>
      </c>
      <c r="D2" s="135" t="s">
        <v>126</v>
      </c>
      <c r="E2" s="141">
        <f>Analysis!K15</f>
        <v>0.29825149959953606</v>
      </c>
      <c r="F2" s="135" t="s">
        <v>47</v>
      </c>
      <c r="G2" s="141">
        <f>Analysis!S15</f>
        <v>0.78989548381469843</v>
      </c>
      <c r="H2" t="s">
        <v>155</v>
      </c>
      <c r="I2" s="155">
        <f>Analysis!T15</f>
        <v>-1.2937289460104922</v>
      </c>
      <c r="J2" t="s">
        <v>48</v>
      </c>
      <c r="K2" s="155">
        <f>C2*G2+E2*I2</f>
        <v>0.16845137301710694</v>
      </c>
      <c r="L2" t="s">
        <v>47</v>
      </c>
      <c r="M2" s="162">
        <v>1</v>
      </c>
      <c r="N2" t="s">
        <v>155</v>
      </c>
      <c r="O2" s="162">
        <v>8</v>
      </c>
    </row>
    <row r="4" spans="1:23" x14ac:dyDescent="0.2">
      <c r="A4" t="s">
        <v>123</v>
      </c>
      <c r="B4">
        <f>$C$2</f>
        <v>0.70174850040046388</v>
      </c>
      <c r="C4" t="s">
        <v>124</v>
      </c>
      <c r="D4">
        <f>$E$2</f>
        <v>0.29825149959953606</v>
      </c>
      <c r="E4" t="s">
        <v>47</v>
      </c>
      <c r="F4">
        <f>G2</f>
        <v>0.78989548381469843</v>
      </c>
      <c r="G4" t="s">
        <v>155</v>
      </c>
      <c r="H4">
        <f>I2</f>
        <v>-1.2937289460104922</v>
      </c>
      <c r="I4" t="s">
        <v>48</v>
      </c>
      <c r="J4">
        <f>K2</f>
        <v>0.16845137301710694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0.70174850040046388</v>
      </c>
      <c r="C7" s="95">
        <v>1</v>
      </c>
      <c r="D7" s="108">
        <f>C7*D4</f>
        <v>0.29825149959953606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1</v>
      </c>
      <c r="R7" s="276">
        <f>B7-D7</f>
        <v>0.40349700080092782</v>
      </c>
      <c r="S7" s="277">
        <f>IF(Rules!B20=Rules!E20,SUM(C7)*B4*F4,SUM(C7)*B4*F4*POWER(O2,A7-1))</f>
        <v>0.55430797124006348</v>
      </c>
      <c r="T7" s="260">
        <f>IF(Rules!B20=Rules!E20,SUM(C7)*D4*H4,SUM(C7)*D4*H4*POWER(O2,A7-1))</f>
        <v>-0.38585659822295654</v>
      </c>
      <c r="U7" s="274">
        <f>S7+T7</f>
        <v>0.16845137301710694</v>
      </c>
      <c r="V7" s="108">
        <f>(U7+W7*D7)/B7</f>
        <v>0.66505717126621811</v>
      </c>
      <c r="W7" s="57">
        <f>COUNT(D7:M7)</f>
        <v>1</v>
      </c>
    </row>
    <row r="8" spans="1:23" x14ac:dyDescent="0.2">
      <c r="A8" s="98">
        <v>2</v>
      </c>
      <c r="B8" s="97">
        <f>C8*B4</f>
        <v>0.88750008782783429</v>
      </c>
      <c r="C8" s="97">
        <f>1/(1-B4*D4)</f>
        <v>1.2646982320893716</v>
      </c>
      <c r="D8" s="93">
        <f>C8*D4</f>
        <v>0.37719814426153719</v>
      </c>
      <c r="E8" s="1">
        <f>D8*D4</f>
        <v>0.11249991217216561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0.99999999999999989</v>
      </c>
      <c r="R8" s="278">
        <f>B8-E8</f>
        <v>0.7750001756556687</v>
      </c>
      <c r="S8" s="279">
        <f>IF(Rules!B20=Rules!E20,SUM(C8:D8)*B4*F4,SUM(C8:D8)*B4*F4*POWER(O2,A8-1))</f>
        <v>0.91011624936148405</v>
      </c>
      <c r="T8" s="261">
        <f>IF(Rules!B20=Rules!E20,SUM(C8:D8)*D4*H4,SUM(C8:D8)*D4*H4*POWER(O2,A8-1))</f>
        <v>-0.63353655041336077</v>
      </c>
      <c r="U8" s="275">
        <f>S8+T8+U7</f>
        <v>0.44503107196523023</v>
      </c>
      <c r="V8" s="93">
        <f>(U8+W8*E8)/B8</f>
        <v>0.7549643154959782</v>
      </c>
      <c r="W8" s="9">
        <f>COUNT(D8:M8)</f>
        <v>2</v>
      </c>
    </row>
    <row r="9" spans="1:23" x14ac:dyDescent="0.2">
      <c r="A9" s="98">
        <v>3</v>
      </c>
      <c r="B9" s="97">
        <f>C9*B4</f>
        <v>0.95436803095753919</v>
      </c>
      <c r="C9" s="97">
        <f>1/(1-D4*B4/(1-D4*B4))</f>
        <v>1.3599858502197211</v>
      </c>
      <c r="D9" s="93">
        <f>C9*D4*C8</f>
        <v>0.51298413892482764</v>
      </c>
      <c r="E9" s="1">
        <f>D9*(D4)</f>
        <v>0.15299828870510659</v>
      </c>
      <c r="F9" s="1">
        <f>E9*D4</f>
        <v>4.56319690424608E-2</v>
      </c>
      <c r="G9" s="1"/>
      <c r="H9" s="1"/>
      <c r="I9" s="1"/>
      <c r="J9" s="1"/>
      <c r="K9" s="1"/>
      <c r="L9" s="1"/>
      <c r="M9" s="242"/>
      <c r="N9" s="97">
        <f>B9+F9</f>
        <v>1</v>
      </c>
      <c r="R9" s="278">
        <f>B9-F9</f>
        <v>0.90873606191507839</v>
      </c>
      <c r="S9" s="279">
        <f>IF(Rules!B20=Rules!E20,SUM(C9:E9)*B4*F4,SUM(C9:E9)*B4*F4*POWER(O2,A9-1))</f>
        <v>1.1230103658915678</v>
      </c>
      <c r="T9" s="261">
        <f>IF(Rules!B20=Rules!E20,SUM(C9:E9)*D4*H4,SUM(C9:E9)*D4*H4*POWER(O2,A9-1))</f>
        <v>-0.78173322779868959</v>
      </c>
      <c r="U9" s="275">
        <f t="shared" ref="U9:U16" si="0">S9+T9+U8</f>
        <v>0.78630821005810847</v>
      </c>
      <c r="V9" s="93">
        <f>(U9+W9*F9)/B9</f>
        <v>0.96734602086285226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0.98097484417506731</v>
      </c>
      <c r="C10" s="97">
        <f>1/(1-D4*B4/(1-D4*B4/(1-D4*B4)))</f>
        <v>1.3979008770453496</v>
      </c>
      <c r="D10" s="93">
        <f>C10*D4*C9</f>
        <v>0.56701350529182604</v>
      </c>
      <c r="E10" s="1">
        <f>D10*D4*C8</f>
        <v>0.2138764419673061</v>
      </c>
      <c r="F10" s="1">
        <f>E10*D4</f>
        <v>6.3788969545762186E-2</v>
      </c>
      <c r="G10" s="1">
        <f>F10*D4</f>
        <v>1.9025155824932707E-2</v>
      </c>
      <c r="H10" s="1"/>
      <c r="I10" s="1"/>
      <c r="J10" s="1"/>
      <c r="K10" s="1"/>
      <c r="L10" s="1"/>
      <c r="M10" s="242"/>
      <c r="N10" s="97">
        <f>B10+G10</f>
        <v>1</v>
      </c>
      <c r="R10" s="278">
        <f>B10-G10</f>
        <v>0.96194968835013461</v>
      </c>
      <c r="S10" s="279">
        <f>IF(Rules!B20=Rules!E20,SUM(C10:F10)*B4*F4,SUM(C10:F10)*B4*F4*POWER(O2,A10-1))</f>
        <v>1.2430798558730884</v>
      </c>
      <c r="T10" s="261">
        <f>IF(Rules!B20=Rules!E20,SUM(C10:F10)*D4*H4,SUM(C10:F10)*D4*H4*POWER(O2,A10-1))</f>
        <v>-0.86531421049859425</v>
      </c>
      <c r="U10" s="275">
        <f t="shared" si="0"/>
        <v>1.1640738554326027</v>
      </c>
      <c r="V10" s="93">
        <f>(U10+W10*G10)/B10</f>
        <v>1.2642265865392657</v>
      </c>
      <c r="W10" s="9">
        <f t="shared" si="1"/>
        <v>4</v>
      </c>
    </row>
    <row r="11" spans="1:23" x14ac:dyDescent="0.2">
      <c r="A11" s="98">
        <v>5</v>
      </c>
      <c r="B11" s="97">
        <f>C11*B4</f>
        <v>0.99197893904176604</v>
      </c>
      <c r="C11" s="97">
        <f>1/(1-D4*B4/(1-D4*B4/(1-D4*B4/(1-D4*B4))))</f>
        <v>1.413581843745555</v>
      </c>
      <c r="D11" s="93">
        <f>C11*D4*C10</f>
        <v>0.58935907025029344</v>
      </c>
      <c r="E11" s="1">
        <f>D11*D4*C9</f>
        <v>0.23905454083731106</v>
      </c>
      <c r="F11" s="1">
        <f>E11*D4*C8</f>
        <v>9.0170929181127582E-2</v>
      </c>
      <c r="G11" s="1">
        <f>F11*D4</f>
        <v>2.6893614848554868E-2</v>
      </c>
      <c r="H11" s="1">
        <f>G11*D4</f>
        <v>8.0210609582338395E-3</v>
      </c>
      <c r="I11" s="1"/>
      <c r="J11" s="1"/>
      <c r="K11" s="1"/>
      <c r="L11" s="1"/>
      <c r="M11" s="242"/>
      <c r="N11" s="97">
        <f>B11+H11</f>
        <v>0.99999999999999989</v>
      </c>
      <c r="R11" s="278">
        <f>B11-H11</f>
        <v>0.98395787808353219</v>
      </c>
      <c r="S11" s="279">
        <f>IF(Rules!B20=Rules!E20,SUM(C11:G11)*B4*F4,SUM(C11:G11)*B4*F4*POWER(O2,A11-1))</f>
        <v>1.3076457620032487</v>
      </c>
      <c r="T11" s="261">
        <f>IF(Rules!B20=Rules!E20,SUM(C11:G11)*D4*H4,SUM(C11:G11)*D4*H4*POWER(O2,A11-1))</f>
        <v>-0.91025886616506801</v>
      </c>
      <c r="U11" s="275">
        <f t="shared" si="0"/>
        <v>1.5614607512707832</v>
      </c>
      <c r="V11" s="93">
        <f>(U11+W11*H11)/B11</f>
        <v>1.6145161888306183</v>
      </c>
      <c r="W11" s="9">
        <f t="shared" si="1"/>
        <v>5</v>
      </c>
    </row>
    <row r="12" spans="1:23" x14ac:dyDescent="0.2">
      <c r="A12" s="98">
        <v>6</v>
      </c>
      <c r="B12" s="97">
        <f>C12*B4</f>
        <v>0.99660253534515497</v>
      </c>
      <c r="C12" s="97">
        <f>1/(1-D4*B4/(1-D4*B4/(1-D4*B4/(1-D4*B4/(1-D4*B4)))))</f>
        <v>1.4201705237366777</v>
      </c>
      <c r="D12" s="93">
        <f>C12*D4*C11</f>
        <v>0.59874801798208444</v>
      </c>
      <c r="E12" s="1">
        <f>D12*D4*C10</f>
        <v>0.24963363582621487</v>
      </c>
      <c r="F12" s="1">
        <f>E12*D4*C9</f>
        <v>0.10125585097831895</v>
      </c>
      <c r="G12" s="1">
        <f>F12*D4*C8</f>
        <v>3.8193519084644661E-2</v>
      </c>
      <c r="H12" s="1">
        <f>G12*D4</f>
        <v>1.139127434197877E-2</v>
      </c>
      <c r="I12" s="1">
        <f>H12*D4</f>
        <v>3.3974646548448864E-3</v>
      </c>
      <c r="J12" s="1"/>
      <c r="K12" s="1"/>
      <c r="L12" s="1"/>
      <c r="M12" s="242"/>
      <c r="N12" s="97">
        <f>B12+I12</f>
        <v>0.99999999999999989</v>
      </c>
      <c r="R12" s="278">
        <f>B12-I12</f>
        <v>0.99320507069031005</v>
      </c>
      <c r="S12" s="279">
        <f>IF(Rules!B20=Rules!E20,SUM(C12:H12)*B4*F4,SUM(C12:H12)*B4*F4*POWER(O2,A12-1))</f>
        <v>1.341088726767832</v>
      </c>
      <c r="T12" s="261">
        <f>IF(Rules!B20=Rules!E20,SUM(C12:H12)*D4*H4,SUM(C12:H12)*D4*H4*POWER(O2,A12-1))</f>
        <v>-0.93353868404263507</v>
      </c>
      <c r="U12" s="275">
        <f t="shared" si="0"/>
        <v>1.96901079399598</v>
      </c>
      <c r="V12" s="93">
        <f>(U12+W12*I12)/B12</f>
        <v>1.9961775245093658</v>
      </c>
      <c r="W12" s="9">
        <f t="shared" si="1"/>
        <v>6</v>
      </c>
    </row>
    <row r="13" spans="1:23" x14ac:dyDescent="0.2">
      <c r="A13" s="98">
        <v>7</v>
      </c>
      <c r="B13" s="97">
        <f>C13*B4</f>
        <v>0.99855811893999913</v>
      </c>
      <c r="C13" s="97">
        <f>1/(1-D4*B4/(1-D4*B4/(1-D4*B4/(1-D4*B4/(1-D4*B4/(1-D4*B4))))))</f>
        <v>1.4229572537314381</v>
      </c>
      <c r="D13" s="93">
        <f>C13*D4*C12</f>
        <v>0.60271914153015071</v>
      </c>
      <c r="E13" s="1">
        <f>D13*D4*C11</f>
        <v>0.25410814078968552</v>
      </c>
      <c r="F13" s="1">
        <f>E13*D4*C10</f>
        <v>0.10594429905948673</v>
      </c>
      <c r="G13" s="1">
        <f>F13*D4*C9</f>
        <v>4.2972895547769431E-2</v>
      </c>
      <c r="H13" s="1">
        <f>G13*D4*C8</f>
        <v>1.6209296454163503E-2</v>
      </c>
      <c r="I13" s="1">
        <f>H13*D4</f>
        <v>4.8344469749077076E-3</v>
      </c>
      <c r="J13" s="1">
        <f>I13*D4</f>
        <v>1.4418810600006645E-3</v>
      </c>
      <c r="K13" s="1"/>
      <c r="L13" s="1"/>
      <c r="M13" s="242"/>
      <c r="N13" s="97">
        <f>B13+J13</f>
        <v>0.99999999999999978</v>
      </c>
      <c r="R13" s="278">
        <f>B13-J13</f>
        <v>0.99711623787999848</v>
      </c>
      <c r="S13" s="279">
        <f>IF(Rules!B20=Rules!E20,SUM(C13:I13)*B4*F4,SUM(C13:I13)*B4*F4*POWER(O2,A13-1))</f>
        <v>1.3579134437960259</v>
      </c>
      <c r="T13" s="261">
        <f>IF(Rules!B20=Rules!E20,SUM(C13:I13)*D4*H4,SUM(C13:I13)*D4*H4*POWER(O2,A13-1))</f>
        <v>-0.94525045514352557</v>
      </c>
      <c r="U13" s="275">
        <f t="shared" si="0"/>
        <v>2.3816737826484804</v>
      </c>
      <c r="V13" s="93">
        <f>(U13+W13*J13)/B13</f>
        <v>2.3952205732475749</v>
      </c>
      <c r="W13" s="9">
        <f t="shared" si="1"/>
        <v>7</v>
      </c>
    </row>
    <row r="14" spans="1:23" x14ac:dyDescent="0.2">
      <c r="A14" s="98">
        <v>8</v>
      </c>
      <c r="B14" s="97">
        <f>C14*B4</f>
        <v>0.99938755863118289</v>
      </c>
      <c r="C14" s="97">
        <f>1/(1-D4*B4/(1-D4*B4/(1-D4*B4/(1-D4*B4/(1-D4*B4/(1-D4*B4/(1-D4*B4)))))))</f>
        <v>1.4241392152044023</v>
      </c>
      <c r="D14" s="93">
        <f>C14*D4*C13</f>
        <v>0.60440345075530721</v>
      </c>
      <c r="E14" s="1">
        <f>D14*D4*C12</f>
        <v>0.2560059538133202</v>
      </c>
      <c r="F14" s="1">
        <f>E14*D4*C11</f>
        <v>0.10793285374915981</v>
      </c>
      <c r="G14" s="1">
        <f>F14*D4*C10</f>
        <v>4.5000016530005564E-2</v>
      </c>
      <c r="H14" s="1">
        <f>G14*D4*C9</f>
        <v>1.8252808571662994E-2</v>
      </c>
      <c r="I14" s="1">
        <f>H14*D4*C8</f>
        <v>6.8849255207923607E-3</v>
      </c>
      <c r="J14" s="1">
        <f>I14*D4</f>
        <v>2.0534393612074383E-3</v>
      </c>
      <c r="K14" s="1">
        <f>J14*D4</f>
        <v>6.1244136881683192E-4</v>
      </c>
      <c r="L14" s="1"/>
      <c r="M14" s="242"/>
      <c r="N14" s="97">
        <f>B14+K14</f>
        <v>0.99999999999999978</v>
      </c>
      <c r="R14" s="278">
        <f>B14-K14</f>
        <v>0.99877511726236601</v>
      </c>
      <c r="S14" s="279">
        <f>IF(Rules!B20=Rules!E20,SUM(C14:J14)*B4*F4,SUM(C14:J14)*B4*F4*POWER(O2,A14-1))</f>
        <v>1.366187703878776</v>
      </c>
      <c r="T14" s="261">
        <f>IF(Rules!B20=Rules!E20,SUM(C14:J14)*D4*H4,SUM(C14:J14)*D4*H4*POWER(O2,A14-1))</f>
        <v>-0.95101020967348393</v>
      </c>
      <c r="U14" s="275">
        <f t="shared" si="0"/>
        <v>2.7968512768537725</v>
      </c>
      <c r="V14" s="93">
        <f>(U14+W14*K14)/B14</f>
        <v>2.8034677674412336</v>
      </c>
      <c r="W14" s="9">
        <f t="shared" si="1"/>
        <v>8</v>
      </c>
    </row>
    <row r="15" spans="1:23" x14ac:dyDescent="0.2">
      <c r="A15" s="98">
        <v>9</v>
      </c>
      <c r="B15" s="97">
        <f>C15*B4</f>
        <v>0.99973977283447957</v>
      </c>
      <c r="C15" s="97">
        <f>1/(1-D4*B4/(1-D4*B4/(1-D4*B4/(1-D4*B4/(1-D4*B4/(1-D4*B4/(1-D4*B4/(1-D4*B4))))))))</f>
        <v>1.4246411246535793</v>
      </c>
      <c r="D15" s="93">
        <f>C15*D4*C14</f>
        <v>0.60511867771894212</v>
      </c>
      <c r="E15" s="1">
        <f>D15*D4*C13</f>
        <v>0.25681184327005863</v>
      </c>
      <c r="F15" s="1">
        <f>E15*D4*C12</f>
        <v>0.10877727584901774</v>
      </c>
      <c r="G15" s="1">
        <f>F15*D4*C11</f>
        <v>4.5860815463711173E-2</v>
      </c>
      <c r="H15" s="1">
        <f>G15*D4*C10</f>
        <v>1.9120567855481191E-2</v>
      </c>
      <c r="I15" s="1">
        <f>H15*D4*C9</f>
        <v>7.7556430365948534E-3</v>
      </c>
      <c r="J15" s="1">
        <f>I15*D4*C8</f>
        <v>2.9254141609584916E-3</v>
      </c>
      <c r="K15" s="1">
        <f>J15*D4</f>
        <v>8.7250916045558875E-4</v>
      </c>
      <c r="L15" s="1">
        <f>K15*D4</f>
        <v>2.6022716552021155E-4</v>
      </c>
      <c r="M15" s="242"/>
      <c r="N15" s="97">
        <f>B15+L15</f>
        <v>0.99999999999999978</v>
      </c>
      <c r="R15" s="278">
        <f>B15-L15</f>
        <v>0.99947954566895936</v>
      </c>
      <c r="S15" s="279">
        <f>IF(Rules!B20=Rules!E20,SUM(C15:K15)*B4*F4,SUM(C15:K15)*B4*F4*POWER(O2,A15-1))</f>
        <v>1.3701849337686121</v>
      </c>
      <c r="T15" s="261">
        <f>IF(Rules!B20=Rules!E20,SUM(C15:K15)*D4*H4,SUM(C15:K15)*D4*H4*POWER(O2,A15-1))</f>
        <v>-0.95379270173138597</v>
      </c>
      <c r="U15" s="275">
        <f t="shared" si="0"/>
        <v>3.2132435088909985</v>
      </c>
      <c r="V15" s="93">
        <f>(U15+W15*L15)/B15</f>
        <v>3.2164225539049989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0.99988941257548647</v>
      </c>
      <c r="C16" s="131">
        <f>1/(1-D4*B4/(1-D4*B4/(1-D4*B4/(1-D4*B4/(1-D4*B4/(1-D4*B4/(1-D4*B4/(1-D4*B4/(1-D4*B4)))))))))</f>
        <v>1.4248543630729296</v>
      </c>
      <c r="D16" s="94">
        <f>C16*D4*C15</f>
        <v>0.6054225450150299</v>
      </c>
      <c r="E16" s="110">
        <f>D16*D4*C14</f>
        <v>0.25715422892190842</v>
      </c>
      <c r="F16" s="110">
        <f>E16*D4*C13</f>
        <v>0.10913603226241757</v>
      </c>
      <c r="G16" s="110">
        <f>F16*D4*C12</f>
        <v>4.6226529646424527E-2</v>
      </c>
      <c r="H16" s="110">
        <f>G16*D4*C11</f>
        <v>1.948923917330839E-2</v>
      </c>
      <c r="I16" s="110">
        <f>H16*D4*C10</f>
        <v>8.1255711721875644E-3</v>
      </c>
      <c r="J16" s="110">
        <f>I16*D4*C9</f>
        <v>3.2958764591223709E-3</v>
      </c>
      <c r="K16" s="110">
        <f>J16*D4*C8</f>
        <v>1.2431984840962445E-3</v>
      </c>
      <c r="L16" s="110">
        <f>K16*D4</f>
        <v>3.7078581218157492E-4</v>
      </c>
      <c r="M16" s="244">
        <f>L16*D4</f>
        <v>1.1058742451338665E-4</v>
      </c>
      <c r="N16" s="131">
        <f>B16+M16</f>
        <v>0.99999999999999989</v>
      </c>
      <c r="R16" s="280">
        <f>B16-M16</f>
        <v>0.99977882515097305</v>
      </c>
      <c r="S16" s="281">
        <f>IF(Rules!B20=Rules!E20,SUM(C16:L16)*B4*F4,SUM(C16:L16)*B4*F4*POWER(O2,A16-1))</f>
        <v>1.3720887038588285</v>
      </c>
      <c r="T16" s="262">
        <f>IF(Rules!B20=Rules!E20,SUM(C16:L16)*D4*H4,SUM(C16:L16)*D4*H4*POWER(O2,A16-1))</f>
        <v>-0.95511792577455867</v>
      </c>
      <c r="U16" s="275">
        <f t="shared" si="0"/>
        <v>3.6302142869752685</v>
      </c>
      <c r="V16" s="94">
        <f>(U16+W16*M16)/B16</f>
        <v>3.6317217839790423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8</v>
      </c>
      <c r="D21" s="57">
        <f>SUM($C$21:C21)</f>
        <v>8</v>
      </c>
      <c r="E21" s="57">
        <f t="shared" ref="E21:E30" si="3">D21/R7</f>
        <v>19.826665338578159</v>
      </c>
      <c r="F21" s="8">
        <f t="shared" ref="F21:F30" si="4">U7/E21</f>
        <v>8.4962029741501247E-3</v>
      </c>
      <c r="G21" s="265">
        <f>E21*U7</f>
        <v>3.3398289986341743</v>
      </c>
      <c r="O21" s="100">
        <v>1</v>
      </c>
      <c r="P21" s="108">
        <v>1</v>
      </c>
      <c r="Q21" s="109">
        <f>P21*8+28</f>
        <v>36</v>
      </c>
      <c r="R21" s="57">
        <f>SUM($Q$21)</f>
        <v>36</v>
      </c>
      <c r="S21" s="260">
        <f>R21/R7</f>
        <v>89.219994023601728</v>
      </c>
      <c r="T21" s="8">
        <f>U7/S21</f>
        <v>1.8880451053666942E-3</v>
      </c>
      <c r="U21" s="265">
        <f>S21*U7</f>
        <v>15.029230493853786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92.903204749710255</v>
      </c>
      <c r="F22" s="9">
        <f t="shared" si="4"/>
        <v>4.790266096462277E-3</v>
      </c>
      <c r="G22" s="266">
        <f t="shared" ref="G22:G30" si="5">E22*U8</f>
        <v>41.344812798768821</v>
      </c>
      <c r="O22" s="98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61">
        <f t="shared" ref="S22:S30" si="7">R22/R8</f>
        <v>454.19344544302788</v>
      </c>
      <c r="T22" s="9">
        <f>U8/S22</f>
        <v>9.7982715609455672E-4</v>
      </c>
      <c r="U22" s="266">
        <f t="shared" ref="U22:U30" si="8">S22*U8</f>
        <v>202.13019590509202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642.65084712196108</v>
      </c>
      <c r="F23" s="9">
        <f t="shared" si="4"/>
        <v>1.2235387435953762E-3</v>
      </c>
      <c r="G23" s="266">
        <f t="shared" si="5"/>
        <v>505.32163729279631</v>
      </c>
      <c r="O23" s="98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61">
        <f t="shared" si="7"/>
        <v>3200.0490812168882</v>
      </c>
      <c r="T23" s="9">
        <f t="shared" ref="T23:T30" si="11">U9/S23</f>
        <v>2.4571754685684313E-4</v>
      </c>
      <c r="U23" s="266">
        <f t="shared" si="8"/>
        <v>2516.2248651497462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4865.119305799446</v>
      </c>
      <c r="F24" s="9">
        <f t="shared" si="4"/>
        <v>2.3926933385682301E-4</v>
      </c>
      <c r="G24" s="266">
        <f t="shared" si="5"/>
        <v>5663.3581874415486</v>
      </c>
      <c r="O24" s="98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61">
        <f t="shared" si="7"/>
        <v>24308.963642481674</v>
      </c>
      <c r="T24" s="9">
        <f t="shared" si="11"/>
        <v>4.7886609752391884E-5</v>
      </c>
      <c r="U24" s="266">
        <f t="shared" si="8"/>
        <v>28297.429028874609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38058.539734381688</v>
      </c>
      <c r="F25" s="9">
        <f t="shared" si="4"/>
        <v>4.1027868178036683E-5</v>
      </c>
      <c r="G25" s="266">
        <f t="shared" si="5"/>
        <v>59426.916045916587</v>
      </c>
      <c r="O25" s="98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61">
        <f t="shared" si="7"/>
        <v>190272.37259856172</v>
      </c>
      <c r="T25" s="9">
        <f t="shared" si="11"/>
        <v>8.2064502058066327E-6</v>
      </c>
      <c r="U25" s="266">
        <f t="shared" si="8"/>
        <v>297102.84186382458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301641.63357701519</v>
      </c>
      <c r="F26" s="9">
        <f t="shared" si="4"/>
        <v>6.5276492858312671E-6</v>
      </c>
      <c r="G26" s="266">
        <f t="shared" si="5"/>
        <v>593935.63243172318</v>
      </c>
      <c r="O26" s="98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61">
        <f t="shared" si="7"/>
        <v>1508184.0036910861</v>
      </c>
      <c r="T26" s="9">
        <f t="shared" si="11"/>
        <v>1.3055507744261175E-6</v>
      </c>
      <c r="U26" s="266">
        <f t="shared" si="8"/>
        <v>2969630.5825998215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2403675.6287268936</v>
      </c>
      <c r="F27" s="9">
        <f t="shared" si="4"/>
        <v>9.9084658270214828E-7</v>
      </c>
      <c r="G27" s="266">
        <f t="shared" si="5"/>
        <v>5724771.2269299449</v>
      </c>
      <c r="O27" s="98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61">
        <f t="shared" si="7"/>
        <v>12018350.062655604</v>
      </c>
      <c r="T27" s="9">
        <f t="shared" si="11"/>
        <v>1.9816977956475167E-7</v>
      </c>
      <c r="U27" s="266">
        <f t="shared" si="8"/>
        <v>28623789.254918572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19197474.655311458</v>
      </c>
      <c r="F28" s="9">
        <f t="shared" si="4"/>
        <v>1.4568849950688459E-7</v>
      </c>
      <c r="G28" s="266">
        <f t="shared" si="5"/>
        <v>53692481.502075791</v>
      </c>
      <c r="O28" s="98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61">
        <f t="shared" si="7"/>
        <v>95987341.237312973</v>
      </c>
      <c r="T28" s="9">
        <f t="shared" si="11"/>
        <v>2.9137709627137353E-8</v>
      </c>
      <c r="U28" s="266">
        <f t="shared" si="8"/>
        <v>268462317.90137756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153471562.9396235</v>
      </c>
      <c r="F29" s="9">
        <f t="shared" si="4"/>
        <v>2.0937061220619125E-8</v>
      </c>
      <c r="G29" s="266">
        <f t="shared" si="5"/>
        <v>493141503.41510159</v>
      </c>
      <c r="O29" s="98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61">
        <f t="shared" si="7"/>
        <v>767357778.67937136</v>
      </c>
      <c r="T29" s="9">
        <f t="shared" si="11"/>
        <v>4.1874124406753465E-9</v>
      </c>
      <c r="U29" s="266">
        <f t="shared" si="8"/>
        <v>2465707401.3385053</v>
      </c>
    </row>
    <row r="30" spans="1:21" ht="17" thickBot="1" x14ac:dyDescent="0.25">
      <c r="A30" s="131">
        <v>10</v>
      </c>
      <c r="B30" s="94">
        <f t="shared" si="9"/>
        <v>134217728</v>
      </c>
      <c r="C30" s="110">
        <f t="shared" si="2"/>
        <v>1073741824</v>
      </c>
      <c r="D30" s="10">
        <f>SUM($C$21:C30)</f>
        <v>1227133512</v>
      </c>
      <c r="E30" s="10">
        <f t="shared" si="3"/>
        <v>1227404983.1118348</v>
      </c>
      <c r="F30" s="10">
        <f t="shared" si="4"/>
        <v>2.9576336554961683E-9</v>
      </c>
      <c r="G30" s="267">
        <f t="shared" si="5"/>
        <v>4455743105.5972204</v>
      </c>
      <c r="O30" s="99">
        <v>10</v>
      </c>
      <c r="P30" s="94">
        <f t="shared" si="10"/>
        <v>671088636</v>
      </c>
      <c r="Q30" s="110">
        <f t="shared" si="6"/>
        <v>5368709116</v>
      </c>
      <c r="R30" s="10">
        <f>SUM($Q$21:Q30)</f>
        <v>6135667520</v>
      </c>
      <c r="S30" s="262">
        <f t="shared" si="7"/>
        <v>6137024875.5503244</v>
      </c>
      <c r="T30" s="10">
        <f t="shared" si="11"/>
        <v>5.9152673495554913E-10</v>
      </c>
      <c r="U30" s="267">
        <f t="shared" si="8"/>
        <v>22278715382.745407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8</v>
      </c>
      <c r="D33" s="57">
        <f>SUM($C$33:C33)</f>
        <v>8</v>
      </c>
      <c r="E33" s="9">
        <f t="shared" ref="E33:E42" si="13">D33/R7</f>
        <v>19.826665338578159</v>
      </c>
      <c r="F33" s="8">
        <f t="shared" ref="F33:F42" si="14">U7/E33</f>
        <v>8.4962029741501247E-3</v>
      </c>
      <c r="G33" s="268">
        <f>E33*U7</f>
        <v>3.3398289986341743</v>
      </c>
      <c r="O33" s="100">
        <v>1</v>
      </c>
      <c r="P33" s="108">
        <v>1</v>
      </c>
      <c r="Q33" s="109">
        <f>P33*8+28</f>
        <v>36</v>
      </c>
      <c r="R33" s="57">
        <f>SUM($Q$21)</f>
        <v>36</v>
      </c>
      <c r="S33" s="260">
        <f>R33/R7</f>
        <v>89.219994023601728</v>
      </c>
      <c r="T33" s="8">
        <f>U7/S33</f>
        <v>1.8880451053666942E-3</v>
      </c>
      <c r="U33" s="268">
        <f>S33*U7</f>
        <v>15.029230493853786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103.22578305523362</v>
      </c>
      <c r="F34" s="9">
        <f t="shared" si="14"/>
        <v>4.311239486816049E-3</v>
      </c>
      <c r="G34" s="266">
        <f t="shared" ref="G34:G42" si="16">E34*U8</f>
        <v>45.938680887520917</v>
      </c>
      <c r="O34" s="98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61">
        <f>R34/R8</f>
        <v>464.51602374855128</v>
      </c>
      <c r="T34" s="9">
        <f t="shared" ref="T34:T42" si="18">U8/S34</f>
        <v>9.5805321929245545E-4</v>
      </c>
      <c r="U34" s="266">
        <f t="shared" ref="U34:U42" si="19">S34*U8</f>
        <v>206.72406399384411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801.11269983696513</v>
      </c>
      <c r="F35" s="9">
        <f t="shared" si="14"/>
        <v>9.8152009101607103E-4</v>
      </c>
      <c r="G35" s="266">
        <f t="shared" si="16"/>
        <v>629.92149306362273</v>
      </c>
      <c r="O35" s="98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61">
        <f t="shared" ref="S35:S42" si="21">R35/R9</f>
        <v>3288.0834438363349</v>
      </c>
      <c r="T35" s="9">
        <f t="shared" si="18"/>
        <v>2.3913876380846712E-4</v>
      </c>
      <c r="U35" s="266">
        <f t="shared" si="19"/>
        <v>2585.4470072446497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6819.4834713770006</v>
      </c>
      <c r="F36" s="9">
        <f t="shared" si="14"/>
        <v>1.7069824427590424E-4</v>
      </c>
      <c r="G36" s="266">
        <f t="shared" si="16"/>
        <v>7938.3824165847336</v>
      </c>
      <c r="O36" s="98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61">
        <f t="shared" si="21"/>
        <v>24999.228432877153</v>
      </c>
      <c r="T36" s="9">
        <f t="shared" si="18"/>
        <v>4.6564391319441603E-5</v>
      </c>
      <c r="U36" s="266">
        <f t="shared" si="19"/>
        <v>29100.948224699649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60010.698948829573</v>
      </c>
      <c r="F37" s="9">
        <f t="shared" si="14"/>
        <v>2.6019706129439063E-5</v>
      </c>
      <c r="G37" s="266">
        <f t="shared" si="16"/>
        <v>93704.351064924223</v>
      </c>
      <c r="O37" s="98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61">
        <f t="shared" si="21"/>
        <v>195703.49939680289</v>
      </c>
      <c r="T37" s="9">
        <f t="shared" si="18"/>
        <v>7.9787063393527238E-6</v>
      </c>
      <c r="U37" s="266">
        <f t="shared" si="19"/>
        <v>305583.33319445309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535075.80225162546</v>
      </c>
      <c r="F38" s="9">
        <f t="shared" si="14"/>
        <v>3.6798726193752085E-6</v>
      </c>
      <c r="G38" s="266">
        <f t="shared" si="16"/>
        <v>1053570.030239509</v>
      </c>
      <c r="O38" s="98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61">
        <f t="shared" si="21"/>
        <v>1551268.7615752339</v>
      </c>
      <c r="T38" s="9">
        <f t="shared" si="18"/>
        <v>1.269290559294542E-6</v>
      </c>
      <c r="U38" s="266">
        <f t="shared" si="19"/>
        <v>3054464.9359304118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4796800.8325380646</v>
      </c>
      <c r="F39" s="9">
        <f t="shared" si="14"/>
        <v>4.965129605742456E-7</v>
      </c>
      <c r="G39" s="266">
        <f t="shared" si="16"/>
        <v>11424414.783442313</v>
      </c>
      <c r="O39" s="98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61">
        <f t="shared" si="21"/>
        <v>12361724.272194056</v>
      </c>
      <c r="T39" s="9">
        <f t="shared" si="18"/>
        <v>1.926651760066933E-7</v>
      </c>
      <c r="U39" s="266">
        <f t="shared" si="19"/>
        <v>29441594.607413951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43099511.848063141</v>
      </c>
      <c r="F40" s="9">
        <f t="shared" si="14"/>
        <v>6.4892875973013157E-8</v>
      </c>
      <c r="G40" s="266">
        <f t="shared" si="16"/>
        <v>120542924.7440297</v>
      </c>
      <c r="O40" s="98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61">
        <f t="shared" si="21"/>
        <v>98729828.462573364</v>
      </c>
      <c r="T40" s="9">
        <f t="shared" si="18"/>
        <v>2.8328331168062411E-8</v>
      </c>
      <c r="U40" s="266">
        <f t="shared" si="19"/>
        <v>276132646.79910225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387622227.66719699</v>
      </c>
      <c r="F41" s="9">
        <f t="shared" si="14"/>
        <v>8.2896265475513727E-9</v>
      </c>
      <c r="G41" s="266">
        <f t="shared" si="16"/>
        <v>1245524606.9534895</v>
      </c>
      <c r="O41" s="98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61">
        <f t="shared" si="21"/>
        <v>789282277.37967587</v>
      </c>
      <c r="T41" s="9">
        <f t="shared" si="18"/>
        <v>4.0710954762073064E-9</v>
      </c>
      <c r="U41" s="266">
        <f t="shared" si="19"/>
        <v>2536156154.4729481</v>
      </c>
    </row>
    <row r="42" spans="1:21" ht="17" thickBot="1" x14ac:dyDescent="0.25">
      <c r="A42" s="131">
        <v>10</v>
      </c>
      <c r="B42" s="94">
        <f t="shared" si="15"/>
        <v>387420489</v>
      </c>
      <c r="C42" s="110">
        <f t="shared" si="12"/>
        <v>3099363912</v>
      </c>
      <c r="D42" s="10">
        <f>SUM($C$33:C42)</f>
        <v>3486784400</v>
      </c>
      <c r="E42" s="9">
        <f t="shared" si="13"/>
        <v>3487555759.6186066</v>
      </c>
      <c r="F42" s="10">
        <f t="shared" si="14"/>
        <v>1.0409050169200056E-9</v>
      </c>
      <c r="G42" s="267">
        <f t="shared" si="16"/>
        <v>12660574745.190351</v>
      </c>
      <c r="O42" s="99">
        <v>10</v>
      </c>
      <c r="P42" s="94">
        <f t="shared" si="20"/>
        <v>690262597</v>
      </c>
      <c r="Q42" s="110">
        <f t="shared" si="17"/>
        <v>5522100804</v>
      </c>
      <c r="R42" s="10">
        <f>SUM($Q$33:Q42)</f>
        <v>6310972296</v>
      </c>
      <c r="S42" s="262">
        <f t="shared" si="21"/>
        <v>6312368433.1352015</v>
      </c>
      <c r="T42" s="10">
        <f t="shared" si="18"/>
        <v>5.7509543769963829E-10</v>
      </c>
      <c r="U42" s="267">
        <f t="shared" si="19"/>
        <v>22915250070.619099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8</v>
      </c>
      <c r="D45" s="57">
        <f>SUM(C45:C45)</f>
        <v>8</v>
      </c>
      <c r="E45" s="57">
        <f t="shared" ref="E45:E54" si="23">D45/R7</f>
        <v>19.826665338578159</v>
      </c>
      <c r="F45" s="8">
        <f t="shared" ref="F45:F54" si="24">U7/E45</f>
        <v>8.4962029741501247E-3</v>
      </c>
      <c r="G45" s="265">
        <f>E45*U7</f>
        <v>3.3398289986341743</v>
      </c>
      <c r="O45" s="100">
        <v>1</v>
      </c>
      <c r="P45" s="108">
        <v>1</v>
      </c>
      <c r="Q45" s="109">
        <f>P45*8+28</f>
        <v>36</v>
      </c>
      <c r="R45" s="57">
        <f>SUM($Q$21)</f>
        <v>36</v>
      </c>
      <c r="S45" s="260">
        <f>R45/R7</f>
        <v>89.219994023601728</v>
      </c>
      <c r="T45" s="8">
        <f>U7/S45</f>
        <v>1.8880451053666942E-3</v>
      </c>
      <c r="U45" s="268">
        <f>S45*U7</f>
        <v>15.029230493853786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175.48383119389715</v>
      </c>
      <c r="F46" s="9">
        <f t="shared" si="24"/>
        <v>2.5360232275388524E-3</v>
      </c>
      <c r="G46" s="266">
        <f t="shared" ref="G46:G54" si="26">E46*U8</f>
        <v>78.095757508785553</v>
      </c>
      <c r="O46" s="98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61">
        <f t="shared" ref="S46:S54" si="28">R46/R8</f>
        <v>825.80626444186896</v>
      </c>
      <c r="T46" s="9">
        <f t="shared" ref="T46:T54" si="29">U8/S46</f>
        <v>5.3890493585200612E-4</v>
      </c>
      <c r="U46" s="266">
        <f t="shared" ref="U46:U54" si="30">S46*U8</f>
        <v>367.50944710016734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2403.3380995108955</v>
      </c>
      <c r="F47" s="9">
        <f t="shared" si="24"/>
        <v>3.2717336367202369E-4</v>
      </c>
      <c r="G47" s="266">
        <f t="shared" si="26"/>
        <v>1889.7644791908685</v>
      </c>
      <c r="O47" s="98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61">
        <f t="shared" si="28"/>
        <v>11369.637932301544</v>
      </c>
      <c r="T47" s="9">
        <f t="shared" si="29"/>
        <v>6.9158597198964357E-5</v>
      </c>
      <c r="U47" s="266">
        <f t="shared" si="30"/>
        <v>8940.0396515568009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36334.540593226971</v>
      </c>
      <c r="F48" s="9">
        <f t="shared" si="24"/>
        <v>3.2037665439743982E-5</v>
      </c>
      <c r="G48" s="266">
        <f t="shared" si="26"/>
        <v>42296.088753730124</v>
      </c>
      <c r="O48" s="98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61">
        <f t="shared" si="28"/>
        <v>171975.73012756708</v>
      </c>
      <c r="T48" s="9">
        <f t="shared" si="29"/>
        <v>6.7688263603772653E-6</v>
      </c>
      <c r="U48" s="266">
        <f t="shared" si="30"/>
        <v>200192.45121043382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568357.6629207331</v>
      </c>
      <c r="F49" s="9">
        <f t="shared" si="24"/>
        <v>2.7473206629195298E-6</v>
      </c>
      <c r="G49" s="266">
        <f t="shared" si="26"/>
        <v>887468.1833347145</v>
      </c>
      <c r="O49" s="98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61">
        <f t="shared" si="28"/>
        <v>2690216.7856572415</v>
      </c>
      <c r="T49" s="9">
        <f t="shared" si="29"/>
        <v>5.8042190487979791E-7</v>
      </c>
      <c r="U49" s="266">
        <f t="shared" si="30"/>
        <v>4200667.9232136281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9009063.9527051076</v>
      </c>
      <c r="F50" s="9">
        <f t="shared" si="24"/>
        <v>2.1855886519761631E-7</v>
      </c>
      <c r="G50" s="266">
        <f t="shared" si="26"/>
        <v>17738944.166676447</v>
      </c>
      <c r="O50" s="98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61">
        <f t="shared" si="28"/>
        <v>42642891.432846978</v>
      </c>
      <c r="T50" s="9">
        <f t="shared" si="29"/>
        <v>4.6174420350851015E-8</v>
      </c>
      <c r="U50" s="266">
        <f t="shared" si="30"/>
        <v>83964313.5184744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143579625.48517817</v>
      </c>
      <c r="F51" s="9">
        <f t="shared" si="24"/>
        <v>1.6587825567871693E-8</v>
      </c>
      <c r="G51" s="266">
        <f t="shared" si="26"/>
        <v>341959829.74053645</v>
      </c>
      <c r="O51" s="98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61">
        <f t="shared" si="28"/>
        <v>679610214.1920532</v>
      </c>
      <c r="T51" s="9">
        <f t="shared" si="29"/>
        <v>3.5044702579697186E-9</v>
      </c>
      <c r="U51" s="266">
        <f t="shared" si="30"/>
        <v>1618609829.5613313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2293458441.6546636</v>
      </c>
      <c r="F52" s="9">
        <f t="shared" si="24"/>
        <v>1.2194907158796938E-9</v>
      </c>
      <c r="G52" s="266">
        <f t="shared" si="26"/>
        <v>6414462170.9529095</v>
      </c>
      <c r="O52" s="98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61">
        <f t="shared" si="28"/>
        <v>10855703275.547094</v>
      </c>
      <c r="T52" s="9">
        <f t="shared" si="29"/>
        <v>2.5763888399140312E-10</v>
      </c>
      <c r="U52" s="266">
        <f t="shared" si="30"/>
        <v>30361787567.359573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36669472377.715958</v>
      </c>
      <c r="F53" s="9">
        <f t="shared" si="24"/>
        <v>8.7627208698090977E-11</v>
      </c>
      <c r="G53" s="266">
        <f t="shared" si="26"/>
        <v>117827944092.15356</v>
      </c>
      <c r="O53" s="98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61">
        <f t="shared" si="28"/>
        <v>173568835904.38013</v>
      </c>
      <c r="T53" s="9">
        <f t="shared" si="29"/>
        <v>1.8512790571812035E-11</v>
      </c>
      <c r="U53" s="266">
        <f t="shared" si="30"/>
        <v>557718935315.51636</v>
      </c>
    </row>
    <row r="54" spans="1:21" ht="17" thickBot="1" x14ac:dyDescent="0.25">
      <c r="A54" s="131">
        <v>10</v>
      </c>
      <c r="B54" s="94">
        <f t="shared" si="25"/>
        <v>68719476736</v>
      </c>
      <c r="C54" s="110">
        <f t="shared" si="22"/>
        <v>549755813888</v>
      </c>
      <c r="D54" s="10">
        <f>SUM($C$45:C54)</f>
        <v>586406201480</v>
      </c>
      <c r="E54" s="10">
        <f t="shared" si="23"/>
        <v>586535928475.42944</v>
      </c>
      <c r="F54" s="10">
        <f t="shared" si="24"/>
        <v>6.1892445300174677E-12</v>
      </c>
      <c r="G54" s="267">
        <f t="shared" si="26"/>
        <v>2129251107375.8081</v>
      </c>
      <c r="O54" s="99">
        <v>10</v>
      </c>
      <c r="P54" s="94">
        <f t="shared" si="31"/>
        <v>325272189880</v>
      </c>
      <c r="Q54" s="110">
        <f t="shared" si="27"/>
        <v>2602177519068</v>
      </c>
      <c r="R54" s="10">
        <f>SUM($Q$45:Q54)</f>
        <v>2775656020320</v>
      </c>
      <c r="S54" s="262">
        <f t="shared" si="28"/>
        <v>2776270061431.6953</v>
      </c>
      <c r="T54" s="10">
        <f t="shared" si="29"/>
        <v>1.3075868725476953E-12</v>
      </c>
      <c r="U54" s="267">
        <f t="shared" si="30"/>
        <v>10078455241511.047</v>
      </c>
    </row>
  </sheetData>
  <mergeCells count="2">
    <mergeCell ref="A18:F18"/>
    <mergeCell ref="O18:T18"/>
  </mergeCells>
  <conditionalFormatting sqref="F45:F54">
    <cfRule type="cellIs" dxfId="820" priority="71" operator="equal">
      <formula>MAX($F$45:$F$54)</formula>
    </cfRule>
  </conditionalFormatting>
  <conditionalFormatting sqref="F21:F30">
    <cfRule type="cellIs" dxfId="819" priority="69" operator="equal">
      <formula>MAX($F$21:$F$30)</formula>
    </cfRule>
  </conditionalFormatting>
  <conditionalFormatting sqref="E33:E42">
    <cfRule type="cellIs" dxfId="818" priority="65" stopIfTrue="1" operator="lessThan">
      <formula>0</formula>
    </cfRule>
    <cfRule type="cellIs" dxfId="817" priority="66" operator="equal">
      <formula>MIN($E$33:$E$42)</formula>
    </cfRule>
  </conditionalFormatting>
  <conditionalFormatting sqref="E21:E30">
    <cfRule type="cellIs" dxfId="816" priority="61" stopIfTrue="1" operator="lessThan">
      <formula>0</formula>
    </cfRule>
    <cfRule type="cellIs" dxfId="815" priority="62" operator="equal">
      <formula>MIN($E$21:$E$30)</formula>
    </cfRule>
  </conditionalFormatting>
  <conditionalFormatting sqref="E45:E54">
    <cfRule type="cellIs" dxfId="814" priority="57" stopIfTrue="1" operator="lessThan">
      <formula>0</formula>
    </cfRule>
    <cfRule type="cellIs" dxfId="813" priority="58" operator="equal">
      <formula>MIN($E$45:$E$54)</formula>
    </cfRule>
  </conditionalFormatting>
  <conditionalFormatting sqref="F33:F42">
    <cfRule type="cellIs" dxfId="812" priority="43" operator="lessThanOrEqual">
      <formula>0</formula>
    </cfRule>
    <cfRule type="cellIs" dxfId="811" priority="44" operator="equal">
      <formula>MAX($F$33:$F$42)</formula>
    </cfRule>
  </conditionalFormatting>
  <conditionalFormatting sqref="R7:R16">
    <cfRule type="cellIs" dxfId="810" priority="29" operator="lessThanOrEqual">
      <formula>0</formula>
    </cfRule>
    <cfRule type="cellIs" dxfId="809" priority="30" operator="greaterThan">
      <formula>0</formula>
    </cfRule>
  </conditionalFormatting>
  <conditionalFormatting sqref="T21:T30">
    <cfRule type="cellIs" dxfId="808" priority="21" operator="equal">
      <formula>MAX($T$21:$T$30)</formula>
    </cfRule>
  </conditionalFormatting>
  <conditionalFormatting sqref="S33:S42">
    <cfRule type="cellIs" dxfId="807" priority="19" stopIfTrue="1" operator="lessThan">
      <formula>0</formula>
    </cfRule>
    <cfRule type="cellIs" dxfId="806" priority="20" operator="equal">
      <formula>MIN($E$21:$E$30)</formula>
    </cfRule>
  </conditionalFormatting>
  <conditionalFormatting sqref="T33:T42">
    <cfRule type="cellIs" dxfId="805" priority="18" operator="equal">
      <formula>MAX($T$21:$T$30)</formula>
    </cfRule>
  </conditionalFormatting>
  <conditionalFormatting sqref="S45:S54">
    <cfRule type="cellIs" dxfId="804" priority="16" stopIfTrue="1" operator="lessThan">
      <formula>0</formula>
    </cfRule>
    <cfRule type="cellIs" dxfId="803" priority="17" operator="equal">
      <formula>MIN($E$21:$E$30)</formula>
    </cfRule>
  </conditionalFormatting>
  <conditionalFormatting sqref="T45:T54">
    <cfRule type="cellIs" dxfId="802" priority="15" operator="equal">
      <formula>MAX($T$21:$T$30)</formula>
    </cfRule>
  </conditionalFormatting>
  <conditionalFormatting sqref="S21:S30">
    <cfRule type="cellIs" dxfId="801" priority="13" stopIfTrue="1" operator="lessThan">
      <formula>0</formula>
    </cfRule>
    <cfRule type="cellIs" dxfId="800" priority="14" operator="equal">
      <formula>MIN($E$21:$E$30)</formula>
    </cfRule>
  </conditionalFormatting>
  <conditionalFormatting sqref="U7:U16">
    <cfRule type="cellIs" dxfId="799" priority="9" operator="lessThanOrEqual">
      <formula>0</formula>
    </cfRule>
    <cfRule type="cellIs" dxfId="798" priority="10" operator="greaterThan">
      <formula>0</formula>
    </cfRule>
  </conditionalFormatting>
  <conditionalFormatting sqref="S7:T16">
    <cfRule type="cellIs" dxfId="797" priority="1" operator="lessThanOrEqual">
      <formula>0</formula>
    </cfRule>
    <cfRule type="cellIs" dxfId="79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Analysis!B16</f>
        <v>0.70611685802635826</v>
      </c>
      <c r="D2" s="135" t="s">
        <v>126</v>
      </c>
      <c r="E2" s="141">
        <f>Analysis!L16</f>
        <v>0.29388314197364163</v>
      </c>
      <c r="F2" s="135" t="s">
        <v>47</v>
      </c>
      <c r="G2" s="141">
        <f>Analysis!S16</f>
        <v>0.9092841978734657</v>
      </c>
      <c r="H2" t="s">
        <v>155</v>
      </c>
      <c r="I2" s="155">
        <f>Analysis!T16</f>
        <v>-1.4892695439372821</v>
      </c>
      <c r="J2" t="s">
        <v>48</v>
      </c>
      <c r="K2" s="155">
        <f>C2*G2+E2*I2</f>
        <v>0.20438968803748819</v>
      </c>
      <c r="L2" t="s">
        <v>47</v>
      </c>
      <c r="M2" s="162">
        <v>1</v>
      </c>
      <c r="N2" t="s">
        <v>155</v>
      </c>
      <c r="O2" s="162">
        <v>9</v>
      </c>
    </row>
    <row r="4" spans="1:23" x14ac:dyDescent="0.2">
      <c r="A4" t="s">
        <v>123</v>
      </c>
      <c r="B4">
        <f>$C$2</f>
        <v>0.70611685802635826</v>
      </c>
      <c r="C4" t="s">
        <v>124</v>
      </c>
      <c r="D4">
        <f>$E$2</f>
        <v>0.29388314197364163</v>
      </c>
      <c r="E4" t="s">
        <v>47</v>
      </c>
      <c r="F4">
        <f>G2</f>
        <v>0.9092841978734657</v>
      </c>
      <c r="G4" t="s">
        <v>155</v>
      </c>
      <c r="H4">
        <f>I2</f>
        <v>-1.4892695439372821</v>
      </c>
      <c r="I4" t="s">
        <v>48</v>
      </c>
      <c r="J4">
        <f>K2</f>
        <v>0.20438968803748819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0.70611685802635826</v>
      </c>
      <c r="C7" s="95">
        <v>1</v>
      </c>
      <c r="D7" s="108">
        <f>C7*D4</f>
        <v>0.29388314197364163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0.99999999999999989</v>
      </c>
      <c r="R7" s="276">
        <f>B7-D7</f>
        <v>0.41223371605271664</v>
      </c>
      <c r="S7" s="277">
        <f>IF(Rules!B20=Rules!E20,SUM(C7)*B4*F4,SUM(C7)*B4*F4*POWER(O2,A7-1))</f>
        <v>0.642060900855429</v>
      </c>
      <c r="T7" s="260">
        <f>IF(Rules!B20=Rules!E20,SUM(C7)*D4*H4,SUM(C7)*D4*H4*POWER(O2,A7-1))</f>
        <v>-0.4376712128179408</v>
      </c>
      <c r="U7" s="274">
        <f>S7+T7</f>
        <v>0.20438968803748819</v>
      </c>
      <c r="V7" s="108">
        <f>(U7+W7*D7)/B7</f>
        <v>0.70565208059730256</v>
      </c>
      <c r="W7" s="57">
        <f>COUNT(D7:M7)</f>
        <v>1</v>
      </c>
    </row>
    <row r="8" spans="1:23" x14ac:dyDescent="0.2">
      <c r="A8" s="98">
        <v>2</v>
      </c>
      <c r="B8" s="97">
        <f>C8*B4</f>
        <v>0.89101699997693862</v>
      </c>
      <c r="C8" s="97">
        <f>1/(1-B4*D4)</f>
        <v>1.2618548755051509</v>
      </c>
      <c r="D8" s="93">
        <f>C8*D4</f>
        <v>0.37083787552821212</v>
      </c>
      <c r="E8" s="1">
        <f>D8*D4</f>
        <v>0.1089830000230612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0.78203399995387746</v>
      </c>
      <c r="S8" s="279">
        <f>IF(Rules!B20=Rules!E20,SUM(C8:D8)*B4*F4,SUM(C8:D8)*B4*F4*POWER(O2,A8-1))</f>
        <v>1.0482881785486098</v>
      </c>
      <c r="T8" s="261">
        <f>IF(Rules!B20=Rules!E20,SUM(C8:D8)*D4*H4,SUM(C8:D8)*D4*H4*POWER(O2,A8-1))</f>
        <v>-0.71458261650383226</v>
      </c>
      <c r="U8" s="275">
        <f>S8+T8+U7</f>
        <v>0.53809525008226577</v>
      </c>
      <c r="V8" s="93">
        <f>(U8+W8*E8)/B8</f>
        <v>0.84853740180934445</v>
      </c>
      <c r="W8" s="9">
        <f>COUNT(D8:M8)</f>
        <v>2</v>
      </c>
    </row>
    <row r="9" spans="1:23" x14ac:dyDescent="0.2">
      <c r="A9" s="98">
        <v>3</v>
      </c>
      <c r="B9" s="97">
        <f>C9*B4</f>
        <v>0.95660979744273267</v>
      </c>
      <c r="C9" s="97">
        <f>1/(1-D4*B4/(1-D4*B4))</f>
        <v>1.3547471449931363</v>
      </c>
      <c r="D9" s="93">
        <f>C9*D4*C8</f>
        <v>0.50239155312716544</v>
      </c>
      <c r="E9" s="1">
        <f>D9*(D4)</f>
        <v>0.14764440813402907</v>
      </c>
      <c r="F9" s="1">
        <f>E9*D4</f>
        <v>4.3390202557267152E-2</v>
      </c>
      <c r="G9" s="1"/>
      <c r="H9" s="1"/>
      <c r="I9" s="1"/>
      <c r="J9" s="1"/>
      <c r="K9" s="1"/>
      <c r="L9" s="1"/>
      <c r="M9" s="242"/>
      <c r="N9" s="97">
        <f>B9+F9</f>
        <v>0.99999999999999978</v>
      </c>
      <c r="R9" s="278">
        <f>B9-F9</f>
        <v>0.91321959488546556</v>
      </c>
      <c r="S9" s="279">
        <f>IF(Rules!B20=Rules!E20,SUM(C9:E9)*B4*F4,SUM(C9:E9)*B4*F4*POWER(O2,A9-1))</f>
        <v>1.2871928472214009</v>
      </c>
      <c r="T9" s="261">
        <f>IF(Rules!B20=Rules!E20,SUM(C9:E9)*D4*H4,SUM(C9:E9)*D4*H4*POWER(O2,A9-1))</f>
        <v>-0.87743585355125164</v>
      </c>
      <c r="U9" s="275">
        <f t="shared" ref="U9:U16" si="0">S9+T9+U8</f>
        <v>0.94785224375241506</v>
      </c>
      <c r="V9" s="93">
        <f>(U9+W9*F9)/B9</f>
        <v>1.1269201447717268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0.98226149993673451</v>
      </c>
      <c r="C10" s="97">
        <f>1/(1-D4*B4/(1-D4*B4/(1-D4*B4)))</f>
        <v>1.3910749881856923</v>
      </c>
      <c r="D10" s="93">
        <f>C10*D4*C9</f>
        <v>0.55383890603996044</v>
      </c>
      <c r="E10" s="1">
        <f>D10*D4*C8</f>
        <v>0.20538444330072803</v>
      </c>
      <c r="F10" s="1">
        <f>E10*D4</f>
        <v>6.0359025509725203E-2</v>
      </c>
      <c r="G10" s="1">
        <f>F10*D4</f>
        <v>1.7738500063265227E-2</v>
      </c>
      <c r="H10" s="1"/>
      <c r="I10" s="1"/>
      <c r="J10" s="1"/>
      <c r="K10" s="1"/>
      <c r="L10" s="1"/>
      <c r="M10" s="242"/>
      <c r="N10" s="97">
        <f>B10+G10</f>
        <v>0.99999999999999978</v>
      </c>
      <c r="R10" s="278">
        <f>B10-G10</f>
        <v>0.96452299987346923</v>
      </c>
      <c r="S10" s="279">
        <f>IF(Rules!B20=Rules!E20,SUM(C10:F10)*B4*F4,SUM(C10:F10)*B4*F4*POWER(O2,A10-1))</f>
        <v>1.4193766579936493</v>
      </c>
      <c r="T10" s="261">
        <f>IF(Rules!B20=Rules!E20,SUM(C10:F10)*D4*H4,SUM(C10:F10)*D4*H4*POWER(O2,A10-1))</f>
        <v>-0.96754108920492332</v>
      </c>
      <c r="U10" s="275">
        <f t="shared" si="0"/>
        <v>1.3996878125411412</v>
      </c>
      <c r="V10" s="93">
        <f>(U10+W10*G10)/B10</f>
        <v>1.4971998931943511</v>
      </c>
      <c r="W10" s="9">
        <f t="shared" si="1"/>
        <v>4</v>
      </c>
    </row>
    <row r="11" spans="1:23" x14ac:dyDescent="0.2">
      <c r="A11" s="98">
        <v>5</v>
      </c>
      <c r="B11" s="97">
        <f>C11*B4</f>
        <v>0.99267140872046322</v>
      </c>
      <c r="C11" s="97">
        <f>1/(1-D4*B4/(1-D4*B4/(1-D4*B4/(1-D4*B4))))</f>
        <v>1.4058174612840193</v>
      </c>
      <c r="D11" s="93">
        <f>C11*D4*C10</f>
        <v>0.57471714018881392</v>
      </c>
      <c r="E11" s="1">
        <f>D11*D4*C9</f>
        <v>0.22881635778652779</v>
      </c>
      <c r="F11" s="1">
        <f>E11*D4*C8</f>
        <v>8.4853772007659256E-2</v>
      </c>
      <c r="G11" s="1">
        <f>F11*D4</f>
        <v>2.4937093125925944E-2</v>
      </c>
      <c r="H11" s="1">
        <f>G11*D4</f>
        <v>7.3285912795364172E-3</v>
      </c>
      <c r="I11" s="1"/>
      <c r="J11" s="1"/>
      <c r="K11" s="1"/>
      <c r="L11" s="1"/>
      <c r="M11" s="242"/>
      <c r="N11" s="97">
        <f>B11+H11</f>
        <v>0.99999999999999967</v>
      </c>
      <c r="R11" s="278">
        <f>B11-H11</f>
        <v>0.98534281744092678</v>
      </c>
      <c r="S11" s="279">
        <f>IF(Rules!B20=Rules!E20,SUM(C11:G11)*B4*F4,SUM(C11:G11)*B4*F4*POWER(O2,A11-1))</f>
        <v>1.4890302889812383</v>
      </c>
      <c r="T11" s="261">
        <f>IF(Rules!B20=Rules!E20,SUM(C11:G11)*D4*H4,SUM(C11:G11)*D4*H4*POWER(O2,A11-1))</f>
        <v>-1.0150216149788727</v>
      </c>
      <c r="U11" s="275">
        <f t="shared" si="0"/>
        <v>1.8736964865435068</v>
      </c>
      <c r="V11" s="93">
        <f>(U11+W11*H11)/B11</f>
        <v>1.9244428983842541</v>
      </c>
      <c r="W11" s="9">
        <f t="shared" si="1"/>
        <v>5</v>
      </c>
    </row>
    <row r="12" spans="1:23" x14ac:dyDescent="0.2">
      <c r="A12" s="98">
        <v>6</v>
      </c>
      <c r="B12" s="97">
        <f>C12*B4</f>
        <v>0.99695914328677071</v>
      </c>
      <c r="C12" s="97">
        <f>1/(1-D4*B4/(1-D4*B4/(1-D4*B4/(1-D4*B4/(1-D4*B4)))))</f>
        <v>1.4118897346160737</v>
      </c>
      <c r="D12" s="93">
        <f>C12*D4*C11</f>
        <v>0.58331667051163738</v>
      </c>
      <c r="E12" s="1">
        <f>D12*D4*C10</f>
        <v>0.23846772282563036</v>
      </c>
      <c r="F12" s="1">
        <f>E12*D4*C9</f>
        <v>9.4942906642181302E-2</v>
      </c>
      <c r="G12" s="1">
        <f>F12*D4*C8</f>
        <v>3.5208425795659894E-2</v>
      </c>
      <c r="H12" s="1">
        <f>G12*D4</f>
        <v>1.0347162796774343E-2</v>
      </c>
      <c r="I12" s="1">
        <f>H12*D4</f>
        <v>3.0408567132288169E-3</v>
      </c>
      <c r="J12" s="1"/>
      <c r="K12" s="1"/>
      <c r="L12" s="1"/>
      <c r="M12" s="242"/>
      <c r="N12" s="97">
        <f>B12+I12</f>
        <v>0.99999999999999956</v>
      </c>
      <c r="R12" s="278">
        <f>B12-I12</f>
        <v>0.99391828657354186</v>
      </c>
      <c r="S12" s="279">
        <f>IF(Rules!B20=Rules!E20,SUM(C12:H12)*B4*F4,SUM(C12:H12)*B4*F4*POWER(O2,A12-1))</f>
        <v>1.5243634132303567</v>
      </c>
      <c r="T12" s="261">
        <f>IF(Rules!B20=Rules!E20,SUM(C12:H12)*D4*H4,SUM(C12:H12)*D4*H4*POWER(O2,A12-1))</f>
        <v>-1.0391070114298251</v>
      </c>
      <c r="U12" s="275">
        <f t="shared" si="0"/>
        <v>2.3589528883440387</v>
      </c>
      <c r="V12" s="93">
        <f>(U12+W12*I12)/B12</f>
        <v>2.3844487957513234</v>
      </c>
      <c r="W12" s="9">
        <f t="shared" si="1"/>
        <v>6</v>
      </c>
    </row>
    <row r="13" spans="1:23" x14ac:dyDescent="0.2">
      <c r="A13" s="98">
        <v>7</v>
      </c>
      <c r="B13" s="97">
        <f>C13*B4</f>
        <v>0.99873600673995289</v>
      </c>
      <c r="C13" s="97">
        <f>1/(1-D4*B4/(1-D4*B4/(1-D4*B4/(1-D4*B4/(1-D4*B4/(1-D4*B4))))))</f>
        <v>1.4144061218584751</v>
      </c>
      <c r="D13" s="93">
        <f>C13*D4*C12</f>
        <v>0.5868803685225229</v>
      </c>
      <c r="E13" s="1">
        <f>D13*D4*C11</f>
        <v>0.24246730758212529</v>
      </c>
      <c r="F13" s="1">
        <f>E13*D4*C10</f>
        <v>9.9123905798981587E-2</v>
      </c>
      <c r="G13" s="1">
        <f>F13*D4*C9</f>
        <v>3.946492893364259E-2</v>
      </c>
      <c r="H13" s="1">
        <f>G13*D4*C8</f>
        <v>1.4635090403623888E-2</v>
      </c>
      <c r="I13" s="1">
        <f>H13*D4</f>
        <v>4.3010063508852787E-3</v>
      </c>
      <c r="J13" s="1">
        <f>I13*D4</f>
        <v>1.2639932600467527E-3</v>
      </c>
      <c r="K13" s="1"/>
      <c r="L13" s="1"/>
      <c r="M13" s="242"/>
      <c r="N13" s="97">
        <f>B13+J13</f>
        <v>0.99999999999999967</v>
      </c>
      <c r="R13" s="278">
        <f>B13-J13</f>
        <v>0.99747201347990611</v>
      </c>
      <c r="S13" s="279">
        <f>IF(Rules!B20=Rules!E20,SUM(C13:I13)*B4*F4,SUM(C13:I13)*B4*F4*POWER(O2,A13-1))</f>
        <v>1.5417671842358118</v>
      </c>
      <c r="T13" s="261">
        <f>IF(Rules!B20=Rules!E20,SUM(C13:I13)*D4*H4,SUM(C13:I13)*D4*H4*POWER(O2,A13-1))</f>
        <v>-1.0509705738324178</v>
      </c>
      <c r="U13" s="275">
        <f t="shared" si="0"/>
        <v>2.8497494987474328</v>
      </c>
      <c r="V13" s="93">
        <f>(U13+W13*J13)/B13</f>
        <v>2.8622152723808534</v>
      </c>
      <c r="W13" s="9">
        <f t="shared" si="1"/>
        <v>7</v>
      </c>
    </row>
    <row r="14" spans="1:23" x14ac:dyDescent="0.2">
      <c r="A14" s="98">
        <v>8</v>
      </c>
      <c r="B14" s="97">
        <f>C14*B4</f>
        <v>0.99947420743146054</v>
      </c>
      <c r="C14" s="97">
        <f>1/(1-D4*B4/(1-D4*B4/(1-D4*B4/(1-D4*B4/(1-D4*B4/(1-D4*B4/(1-D4*B4)))))))</f>
        <v>1.4154515588610288</v>
      </c>
      <c r="D14" s="93">
        <f>C14*D4*C13</f>
        <v>0.58836091241645538</v>
      </c>
      <c r="E14" s="1">
        <f>D14*D4*C12</f>
        <v>0.24412894130400795</v>
      </c>
      <c r="F14" s="1">
        <f>E14*D4*C11</f>
        <v>0.10086090841627092</v>
      </c>
      <c r="G14" s="1">
        <f>F14*D4*C10</f>
        <v>4.1233299797614364E-2</v>
      </c>
      <c r="H14" s="1">
        <f>G14*D4*C9</f>
        <v>1.6416516612172773E-2</v>
      </c>
      <c r="I14" s="1">
        <f>H14*D4*C8</f>
        <v>6.0878661440317535E-3</v>
      </c>
      <c r="J14" s="1">
        <f>I14*D4</f>
        <v>1.7891212303230101E-3</v>
      </c>
      <c r="K14" s="1">
        <f>J14*D4</f>
        <v>5.2579256853907354E-4</v>
      </c>
      <c r="L14" s="1"/>
      <c r="M14" s="242"/>
      <c r="N14" s="97">
        <f>B14+K14</f>
        <v>0.99999999999999956</v>
      </c>
      <c r="R14" s="278">
        <f>B14-K14</f>
        <v>0.99894841486292152</v>
      </c>
      <c r="S14" s="279">
        <f>IF(Rules!B20=Rules!E20,SUM(C14:J14)*B4*F4,SUM(C14:J14)*B4*F4*POWER(O2,A14-1))</f>
        <v>1.5501463328189693</v>
      </c>
      <c r="T14" s="261">
        <f>IF(Rules!B20=Rules!E20,SUM(C14:J14)*D4*H4,SUM(C14:J14)*D4*H4*POWER(O2,A14-1))</f>
        <v>-1.0566823561849739</v>
      </c>
      <c r="U14" s="275">
        <f t="shared" si="0"/>
        <v>3.343213475381428</v>
      </c>
      <c r="V14" s="93">
        <f>(U14+W14*K14)/B14</f>
        <v>3.3491807902999753</v>
      </c>
      <c r="W14" s="9">
        <f t="shared" si="1"/>
        <v>8</v>
      </c>
    </row>
    <row r="15" spans="1:23" x14ac:dyDescent="0.2">
      <c r="A15" s="98">
        <v>9</v>
      </c>
      <c r="B15" s="97">
        <f>C15*B4</f>
        <v>0.99978121501658912</v>
      </c>
      <c r="C15" s="97">
        <f>1/(1-D4*B4/(1-D4*B4/(1-D4*B4/(1-D4*B4/(1-D4*B4/(1-D4*B4/(1-D4*B4/(1-D4*B4))))))))</f>
        <v>1.4158863418316361</v>
      </c>
      <c r="D15" s="93">
        <f>C15*D4*C14</f>
        <v>0.58897665040042402</v>
      </c>
      <c r="E15" s="1">
        <f>D15*D4*C13</f>
        <v>0.24481999207406582</v>
      </c>
      <c r="F15" s="1">
        <f>E15*D4*C12</f>
        <v>0.10158330408052736</v>
      </c>
      <c r="G15" s="1">
        <f>F15*D4*C11</f>
        <v>4.1968741087233238E-2</v>
      </c>
      <c r="H15" s="1">
        <f>G15*D4*C10</f>
        <v>1.7157387441289172E-2</v>
      </c>
      <c r="I15" s="1">
        <f>H15*D4*C9</f>
        <v>6.830996726769476E-3</v>
      </c>
      <c r="J15" s="1">
        <f>I15*D4*C8</f>
        <v>2.5331923138953633E-3</v>
      </c>
      <c r="K15" s="1">
        <f>J15*D4</f>
        <v>7.4446251643104885E-4</v>
      </c>
      <c r="L15" s="1">
        <f>K15*D4</f>
        <v>2.1878498341036044E-4</v>
      </c>
      <c r="M15" s="242"/>
      <c r="N15" s="97">
        <f>B15+L15</f>
        <v>0.99999999999999944</v>
      </c>
      <c r="R15" s="278">
        <f>B15-L15</f>
        <v>0.99956243003317879</v>
      </c>
      <c r="S15" s="279">
        <f>IF(Rules!B20=Rules!E20,SUM(C15:K15)*B4*F4,SUM(C15:K15)*B4*F4*POWER(O2,A15-1))</f>
        <v>1.554109096544835</v>
      </c>
      <c r="T15" s="261">
        <f>IF(Rules!B20=Rules!E20,SUM(C15:K15)*D4*H4,SUM(C15:K15)*D4*H4*POWER(O2,A15-1))</f>
        <v>-1.0593836382653805</v>
      </c>
      <c r="U15" s="275">
        <f t="shared" si="0"/>
        <v>3.8379389336608822</v>
      </c>
      <c r="V15" s="93">
        <f>(U15+W15*L15)/B15</f>
        <v>3.8407482965639246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0.99990895081543307</v>
      </c>
      <c r="C16" s="131">
        <f>1/(1-D4*B4/(1-D4*B4/(1-D4*B4/(1-D4*B4/(1-D4*B4/(1-D4*B4/(1-D4*B4/(1-D4*B4/(1-D4*B4)))))))))</f>
        <v>1.4160672407825561</v>
      </c>
      <c r="D16" s="94">
        <f>C16*D4*C15</f>
        <v>0.58923283880445887</v>
      </c>
      <c r="E16" s="110">
        <f>D16*D4*C14</f>
        <v>0.24510751566120442</v>
      </c>
      <c r="F16" s="110">
        <f>E16*D4*C13</f>
        <v>0.1018838692513078</v>
      </c>
      <c r="G16" s="110">
        <f>F16*D4*C12</f>
        <v>4.2274734115362513E-2</v>
      </c>
      <c r="H16" s="110">
        <f>G16*D4*C11</f>
        <v>1.7465639522935911E-2</v>
      </c>
      <c r="I16" s="110">
        <f>H16*D4*C10</f>
        <v>7.1401890178702902E-3</v>
      </c>
      <c r="J16" s="110">
        <f>I16*D4*C9</f>
        <v>2.8427759165833982E-3</v>
      </c>
      <c r="K16" s="110">
        <f>J16*D4*C8</f>
        <v>1.0542089815085533E-3</v>
      </c>
      <c r="L16" s="110">
        <f>K16*D4</f>
        <v>3.0981424778256633E-4</v>
      </c>
      <c r="M16" s="244">
        <f>L16*D4</f>
        <v>9.1049184566540926E-5</v>
      </c>
      <c r="N16" s="131">
        <f>B16+M16</f>
        <v>0.99999999999999967</v>
      </c>
      <c r="R16" s="280">
        <f>B16-M16</f>
        <v>0.99981790163086648</v>
      </c>
      <c r="S16" s="281">
        <f>IF(Rules!B20=Rules!E20,SUM(C16:L16)*B4*F4,SUM(C16:L16)*B4*F4*POWER(O2,A16-1))</f>
        <v>1.5559567923291584</v>
      </c>
      <c r="T16" s="262">
        <f>IF(Rules!B20=Rules!E20,SUM(C16:L16)*D4*H4,SUM(C16:L16)*D4*H4*POWER(O2,A16-1))</f>
        <v>-1.060643150024726</v>
      </c>
      <c r="U16" s="275">
        <f t="shared" si="0"/>
        <v>4.3332525759653144</v>
      </c>
      <c r="V16" s="94">
        <f>(U16+W16*M16)/B16</f>
        <v>4.3345577257573682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9</v>
      </c>
      <c r="D21" s="57">
        <f>SUM($C$21:C21)</f>
        <v>9</v>
      </c>
      <c r="E21" s="57">
        <f t="shared" ref="E21:E30" si="3">D21/R7</f>
        <v>21.832275356266774</v>
      </c>
      <c r="F21" s="8">
        <f t="shared" ref="F21:F30" si="4">U7/E21</f>
        <v>9.3618134025054717E-3</v>
      </c>
      <c r="G21" s="265">
        <f>E21*U7</f>
        <v>4.4622919492159072</v>
      </c>
      <c r="O21" s="100">
        <v>1</v>
      </c>
      <c r="P21" s="108">
        <v>1</v>
      </c>
      <c r="Q21" s="109">
        <f>P21*9+36</f>
        <v>45</v>
      </c>
      <c r="R21" s="57">
        <f>SUM($Q$21)</f>
        <v>45</v>
      </c>
      <c r="S21" s="260">
        <f>R21/R7</f>
        <v>109.16137678133387</v>
      </c>
      <c r="T21" s="8">
        <f>U7/S21</f>
        <v>1.8723626805010941E-3</v>
      </c>
      <c r="U21" s="265">
        <f>S21*U7</f>
        <v>22.311459746079535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115.08451039891871</v>
      </c>
      <c r="F22" s="9">
        <f t="shared" si="4"/>
        <v>4.6756531197557367E-3</v>
      </c>
      <c r="G22" s="266">
        <f t="shared" ref="G22:G30" si="5">E22*U8</f>
        <v>61.92642840370128</v>
      </c>
      <c r="O22" s="98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61">
        <f t="shared" ref="S22:S30" si="7">R22/R8</f>
        <v>621.45635615416097</v>
      </c>
      <c r="T22" s="9">
        <f>U8/S22</f>
        <v>8.6586168884365496E-4</v>
      </c>
      <c r="U22" s="266">
        <f t="shared" ref="U22:U30" si="8">S22*U8</f>
        <v>334.40271337998689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896.82701136380854</v>
      </c>
      <c r="F23" s="9">
        <f t="shared" si="4"/>
        <v>1.0568952894393895E-3</v>
      </c>
      <c r="G23" s="266">
        <f t="shared" si="5"/>
        <v>850.05949497895858</v>
      </c>
      <c r="O23" s="98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61">
        <f t="shared" si="7"/>
        <v>4917.7656996762689</v>
      </c>
      <c r="T23" s="9">
        <f t="shared" ref="T23:T30" si="11">U9/S23</f>
        <v>1.9274042352501893E-4</v>
      </c>
      <c r="U23" s="266">
        <f t="shared" si="8"/>
        <v>4661.3152526868171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7651.4505107375808</v>
      </c>
      <c r="F24" s="9">
        <f t="shared" si="4"/>
        <v>1.8293104171253599E-4</v>
      </c>
      <c r="G24" s="266">
        <f t="shared" si="5"/>
        <v>10709.642028141081</v>
      </c>
      <c r="O24" s="98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61">
        <f t="shared" si="7"/>
        <v>42064.315734640266</v>
      </c>
      <c r="T24" s="9">
        <f t="shared" si="11"/>
        <v>3.3274945475660932E-5</v>
      </c>
      <c r="U24" s="266">
        <f t="shared" si="8"/>
        <v>58876.91007665854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67417.145407854507</v>
      </c>
      <c r="F25" s="9">
        <f t="shared" si="4"/>
        <v>2.7792581178099092E-5</v>
      </c>
      <c r="G25" s="266">
        <f t="shared" si="5"/>
        <v>126319.26848348971</v>
      </c>
      <c r="O25" s="98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61">
        <f t="shared" si="7"/>
        <v>370771.46505094675</v>
      </c>
      <c r="T25" s="9">
        <f t="shared" si="11"/>
        <v>5.0535077889180252E-6</v>
      </c>
      <c r="U25" s="266">
        <f t="shared" si="8"/>
        <v>694713.19137654756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601528.32287763979</v>
      </c>
      <c r="F26" s="9">
        <f t="shared" si="4"/>
        <v>3.9215990313790865E-6</v>
      </c>
      <c r="G26" s="266">
        <f t="shared" si="5"/>
        <v>1418976.9746729538</v>
      </c>
      <c r="O26" s="98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61">
        <f t="shared" si="7"/>
        <v>3308378.6106159901</v>
      </c>
      <c r="T26" s="9">
        <f t="shared" si="11"/>
        <v>7.1302386032075787E-7</v>
      </c>
      <c r="U26" s="266">
        <f t="shared" si="8"/>
        <v>7804309.2792482274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5394476.16302309</v>
      </c>
      <c r="F27" s="9">
        <f t="shared" si="4"/>
        <v>5.282717751690684E-7</v>
      </c>
      <c r="G27" s="266">
        <f t="shared" si="5"/>
        <v>15372905.741580024</v>
      </c>
      <c r="O27" s="98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61">
        <f t="shared" si="7"/>
        <v>29669587.316793602</v>
      </c>
      <c r="T27" s="9">
        <f t="shared" si="11"/>
        <v>9.6049515900560418E-8</v>
      </c>
      <c r="U27" s="266">
        <f t="shared" si="8"/>
        <v>84550891.584075749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48478539.311407149</v>
      </c>
      <c r="F28" s="9">
        <f t="shared" si="4"/>
        <v>6.8962751825213501E-8</v>
      </c>
      <c r="G28" s="266">
        <f t="shared" si="5"/>
        <v>162074105.89270467</v>
      </c>
      <c r="O28" s="98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61">
        <f t="shared" si="7"/>
        <v>266631930.17484242</v>
      </c>
      <c r="T28" s="9">
        <f t="shared" si="11"/>
        <v>1.2538683844763581E-8</v>
      </c>
      <c r="U28" s="266">
        <f t="shared" si="8"/>
        <v>891407461.92749321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436038846.50359732</v>
      </c>
      <c r="F29" s="9">
        <f t="shared" si="4"/>
        <v>8.8018280124250797E-9</v>
      </c>
      <c r="G29" s="266">
        <f t="shared" si="5"/>
        <v>1673490465.5847373</v>
      </c>
      <c r="O29" s="98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61">
        <f t="shared" si="7"/>
        <v>2398213615.2520561</v>
      </c>
      <c r="T29" s="9">
        <f t="shared" si="11"/>
        <v>1.6003323929330243E-9</v>
      </c>
      <c r="U29" s="266">
        <f t="shared" si="8"/>
        <v>9204197405.2114849</v>
      </c>
    </row>
    <row r="30" spans="1:21" ht="17" thickBot="1" x14ac:dyDescent="0.25">
      <c r="A30" s="131">
        <v>10</v>
      </c>
      <c r="B30" s="94">
        <f t="shared" si="9"/>
        <v>387420489</v>
      </c>
      <c r="C30" s="110">
        <f t="shared" si="2"/>
        <v>3486784401</v>
      </c>
      <c r="D30" s="10">
        <f>SUM($C$21:C30)</f>
        <v>3922632450</v>
      </c>
      <c r="E30" s="10">
        <f t="shared" si="3"/>
        <v>3923346885.0693164</v>
      </c>
      <c r="F30" s="10">
        <f t="shared" si="4"/>
        <v>1.1044785747739856E-9</v>
      </c>
      <c r="G30" s="267">
        <f t="shared" si="5"/>
        <v>17000852996.132107</v>
      </c>
      <c r="O30" s="99">
        <v>10</v>
      </c>
      <c r="P30" s="94">
        <f t="shared" si="10"/>
        <v>2130812685</v>
      </c>
      <c r="Q30" s="110">
        <f t="shared" si="6"/>
        <v>19177314201</v>
      </c>
      <c r="R30" s="10">
        <f>SUM($Q$21:Q30)</f>
        <v>21574478430</v>
      </c>
      <c r="S30" s="262">
        <f t="shared" si="7"/>
        <v>21578407822.873043</v>
      </c>
      <c r="T30" s="10">
        <f t="shared" si="11"/>
        <v>2.0081428674140085E-10</v>
      </c>
      <c r="U30" s="267">
        <f t="shared" si="8"/>
        <v>93504691283.694702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9</v>
      </c>
      <c r="D33" s="57">
        <f>SUM($C$33:C33)</f>
        <v>9</v>
      </c>
      <c r="E33" s="9">
        <f t="shared" ref="E33:E42" si="13">D33/R7</f>
        <v>21.832275356266774</v>
      </c>
      <c r="F33" s="8">
        <f t="shared" ref="F33:F42" si="14">U7/E33</f>
        <v>9.3618134025054717E-3</v>
      </c>
      <c r="G33" s="268">
        <f>E33*U7</f>
        <v>4.4622919492159072</v>
      </c>
      <c r="O33" s="100">
        <v>1</v>
      </c>
      <c r="P33" s="108">
        <v>1</v>
      </c>
      <c r="Q33" s="109">
        <f>P33*9+36</f>
        <v>45</v>
      </c>
      <c r="R33" s="57">
        <f>SUM($Q$21)</f>
        <v>45</v>
      </c>
      <c r="S33" s="260">
        <f>R33/R7</f>
        <v>109.16137678133387</v>
      </c>
      <c r="T33" s="8">
        <f>U7/S33</f>
        <v>1.8723626805010941E-3</v>
      </c>
      <c r="U33" s="268">
        <f>S33*U7</f>
        <v>22.311459746079535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126.59296143881058</v>
      </c>
      <c r="F34" s="9">
        <f t="shared" si="14"/>
        <v>4.2505937452324881E-3</v>
      </c>
      <c r="G34" s="266">
        <f t="shared" ref="G34:G42" si="16">E34*U8</f>
        <v>68.119071244071407</v>
      </c>
      <c r="O34" s="98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61">
        <f>R34/R8</f>
        <v>632.96480719405292</v>
      </c>
      <c r="T34" s="9">
        <f t="shared" ref="T34:T42" si="18">U8/S34</f>
        <v>8.5011874904649754E-4</v>
      </c>
      <c r="U34" s="266">
        <f t="shared" ref="U34:U42" si="19">S34*U8</f>
        <v>340.59535622035702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1093.931849026184</v>
      </c>
      <c r="F35" s="9">
        <f t="shared" si="14"/>
        <v>8.6646370575661671E-4</v>
      </c>
      <c r="G35" s="266">
        <f t="shared" si="16"/>
        <v>1036.8857576116966</v>
      </c>
      <c r="O35" s="98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61">
        <f t="shared" ref="S35:S42" si="21">R35/R9</f>
        <v>5026.173360390575</v>
      </c>
      <c r="T35" s="9">
        <f t="shared" si="18"/>
        <v>1.8858327713526361E-4</v>
      </c>
      <c r="U35" s="266">
        <f t="shared" si="19"/>
        <v>4764.0696971348225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10366.782338328601</v>
      </c>
      <c r="F36" s="9">
        <f t="shared" si="14"/>
        <v>1.3501661044489603E-4</v>
      </c>
      <c r="G36" s="266">
        <f t="shared" si="16"/>
        <v>14510.258894225297</v>
      </c>
      <c r="O36" s="98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61">
        <f t="shared" si="21"/>
        <v>43016.081529878349</v>
      </c>
      <c r="T36" s="9">
        <f t="shared" si="18"/>
        <v>3.2538710239540024E-5</v>
      </c>
      <c r="U36" s="266">
        <f t="shared" si="19"/>
        <v>60209.085060646808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101486.50624937969</v>
      </c>
      <c r="F37" s="9">
        <f t="shared" si="14"/>
        <v>1.8462518375983205E-5</v>
      </c>
      <c r="G37" s="266">
        <f t="shared" si="16"/>
        <v>190154.91019103836</v>
      </c>
      <c r="O37" s="98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61">
        <f t="shared" si="21"/>
        <v>379192.89955386531</v>
      </c>
      <c r="T37" s="9">
        <f t="shared" si="18"/>
        <v>4.9412752420944097E-6</v>
      </c>
      <c r="U37" s="266">
        <f t="shared" si="19"/>
        <v>710492.40361632232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1006117.9208679427</v>
      </c>
      <c r="F38" s="9">
        <f t="shared" si="14"/>
        <v>2.3446087574993719E-6</v>
      </c>
      <c r="G38" s="266">
        <f t="shared" si="16"/>
        <v>2373384.7754461323</v>
      </c>
      <c r="O38" s="98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61">
        <f t="shared" si="21"/>
        <v>3383562.859672938</v>
      </c>
      <c r="T38" s="9">
        <f t="shared" si="18"/>
        <v>6.9718015777370836E-7</v>
      </c>
      <c r="U38" s="266">
        <f t="shared" si="19"/>
        <v>7981665.3807190927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10025342.931790886</v>
      </c>
      <c r="F39" s="9">
        <f t="shared" si="14"/>
        <v>2.84254565468352E-7</v>
      </c>
      <c r="G39" s="266">
        <f t="shared" si="16"/>
        <v>28569715.994642198</v>
      </c>
      <c r="O39" s="98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61">
        <f t="shared" si="21"/>
        <v>30343888.94221314</v>
      </c>
      <c r="T39" s="9">
        <f t="shared" si="18"/>
        <v>9.3915104427599633E-8</v>
      </c>
      <c r="U39" s="266">
        <f t="shared" si="19"/>
        <v>86472482.303119659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100105268.2121952</v>
      </c>
      <c r="F40" s="9">
        <f t="shared" si="14"/>
        <v>3.3396978351776149E-8</v>
      </c>
      <c r="G40" s="266">
        <f t="shared" si="16"/>
        <v>334673281.64368314</v>
      </c>
      <c r="O40" s="98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61">
        <f t="shared" si="21"/>
        <v>272691738.57929409</v>
      </c>
      <c r="T40" s="9">
        <f t="shared" si="18"/>
        <v>1.226004679422761E-8</v>
      </c>
      <c r="U40" s="266">
        <f t="shared" si="19"/>
        <v>911666695.04348564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1000437760.5176764</v>
      </c>
      <c r="F41" s="9">
        <f t="shared" si="14"/>
        <v>3.8362595706852779E-9</v>
      </c>
      <c r="G41" s="266">
        <f t="shared" si="16"/>
        <v>3839619031.7952919</v>
      </c>
      <c r="O41" s="98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61">
        <f t="shared" si="21"/>
        <v>2452718460.9355731</v>
      </c>
      <c r="T41" s="9">
        <f t="shared" si="18"/>
        <v>1.5647694567426732E-9</v>
      </c>
      <c r="U41" s="266">
        <f t="shared" si="19"/>
        <v>9413383674.5334339</v>
      </c>
    </row>
    <row r="42" spans="1:21" ht="17" thickBot="1" x14ac:dyDescent="0.25">
      <c r="A42" s="131">
        <v>10</v>
      </c>
      <c r="B42" s="94">
        <f t="shared" si="15"/>
        <v>1000000000</v>
      </c>
      <c r="C42" s="110">
        <f t="shared" si="12"/>
        <v>9000000000</v>
      </c>
      <c r="D42" s="10">
        <f>SUM($C$33:C42)</f>
        <v>9999999999</v>
      </c>
      <c r="E42" s="9">
        <f t="shared" si="13"/>
        <v>10001821314.349709</v>
      </c>
      <c r="F42" s="10">
        <f t="shared" si="14"/>
        <v>4.3324634981714335E-10</v>
      </c>
      <c r="G42" s="267">
        <f t="shared" si="16"/>
        <v>43340417974.750664</v>
      </c>
      <c r="O42" s="99">
        <v>10</v>
      </c>
      <c r="P42" s="94">
        <f t="shared" si="20"/>
        <v>2179240246</v>
      </c>
      <c r="Q42" s="110">
        <f t="shared" si="17"/>
        <v>19613162250</v>
      </c>
      <c r="R42" s="10">
        <f>SUM($Q$33:Q42)</f>
        <v>22064807475</v>
      </c>
      <c r="S42" s="262">
        <f t="shared" si="21"/>
        <v>22068826172.254658</v>
      </c>
      <c r="T42" s="10">
        <f t="shared" si="18"/>
        <v>1.963517471270475E-10</v>
      </c>
      <c r="U42" s="267">
        <f t="shared" si="19"/>
        <v>95629797859.453247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9</v>
      </c>
      <c r="D45" s="57">
        <f>SUM(C45:C45)</f>
        <v>9</v>
      </c>
      <c r="E45" s="57">
        <f t="shared" ref="E45:E54" si="23">D45/R7</f>
        <v>21.832275356266774</v>
      </c>
      <c r="F45" s="8">
        <f t="shared" ref="F45:F54" si="24">U7/E45</f>
        <v>9.3618134025054717E-3</v>
      </c>
      <c r="G45" s="265">
        <f>E45*U7</f>
        <v>4.4622919492159072</v>
      </c>
      <c r="O45" s="100">
        <v>1</v>
      </c>
      <c r="P45" s="108">
        <v>1</v>
      </c>
      <c r="Q45" s="109">
        <f>P45*9+36</f>
        <v>45</v>
      </c>
      <c r="R45" s="57">
        <f>SUM($Q$21)</f>
        <v>45</v>
      </c>
      <c r="S45" s="260">
        <f>R45/R7</f>
        <v>109.16137678133387</v>
      </c>
      <c r="T45" s="8">
        <f>U7/S45</f>
        <v>1.8723626805010941E-3</v>
      </c>
      <c r="U45" s="268">
        <f>S45*U7</f>
        <v>22.311459746079535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218.66056975794555</v>
      </c>
      <c r="F46" s="9">
        <f t="shared" si="24"/>
        <v>2.4608700630293352E-3</v>
      </c>
      <c r="G46" s="266">
        <f t="shared" ref="G46:G54" si="26">E46*U8</f>
        <v>117.66021396703243</v>
      </c>
      <c r="O46" s="98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61">
        <f t="shared" ref="S46:S54" si="28">R46/R8</f>
        <v>1139.3366529492953</v>
      </c>
      <c r="T46" s="9">
        <f t="shared" ref="T46:T54" si="29">U8/S46</f>
        <v>4.7228819391472083E-4</v>
      </c>
      <c r="U46" s="266">
        <f t="shared" ref="U46:U54" si="30">S46*U8</f>
        <v>613.07164119664264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3380.3479659097397</v>
      </c>
      <c r="F47" s="9">
        <f t="shared" si="24"/>
        <v>2.8040079107575643E-4</v>
      </c>
      <c r="G47" s="266">
        <f t="shared" si="26"/>
        <v>3204.0704041514591</v>
      </c>
      <c r="O47" s="98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61">
        <f t="shared" si="28"/>
        <v>17690.159180198199</v>
      </c>
      <c r="T47" s="9">
        <f t="shared" si="29"/>
        <v>5.3580763977150116E-5</v>
      </c>
      <c r="U47" s="266">
        <f t="shared" si="30"/>
        <v>16767.657071288246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57619.15476073727</v>
      </c>
      <c r="F48" s="9">
        <f t="shared" si="24"/>
        <v>2.4292057361016924E-5</v>
      </c>
      <c r="G48" s="266">
        <f t="shared" si="26"/>
        <v>80648.828687525835</v>
      </c>
      <c r="O48" s="98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61">
        <f t="shared" si="28"/>
        <v>301644.43983001681</v>
      </c>
      <c r="T48" s="9">
        <f t="shared" si="29"/>
        <v>4.6401909921823708E-6</v>
      </c>
      <c r="U48" s="266">
        <f t="shared" si="30"/>
        <v>422208.04615087411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1015239.5514467466</v>
      </c>
      <c r="F49" s="9">
        <f t="shared" si="24"/>
        <v>1.8455708151573032E-6</v>
      </c>
      <c r="G49" s="266">
        <f t="shared" si="26"/>
        <v>1902250.7805457748</v>
      </c>
      <c r="O49" s="98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61">
        <f t="shared" si="28"/>
        <v>5315066.9059542604</v>
      </c>
      <c r="T49" s="9">
        <f t="shared" si="29"/>
        <v>3.5252547516278268E-7</v>
      </c>
      <c r="U49" s="266">
        <f t="shared" si="30"/>
        <v>9958822.1874301657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18116651.281340186</v>
      </c>
      <c r="F50" s="9">
        <f t="shared" si="24"/>
        <v>1.3020910165521132E-7</v>
      </c>
      <c r="G50" s="266">
        <f t="shared" si="26"/>
        <v>42736326.867239162</v>
      </c>
      <c r="O50" s="98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61">
        <f t="shared" si="28"/>
        <v>94845985.101034611</v>
      </c>
      <c r="T50" s="9">
        <f t="shared" si="29"/>
        <v>2.4871404792002171E-8</v>
      </c>
      <c r="U50" s="266">
        <f t="shared" si="30"/>
        <v>223737210.50192127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324937925.6960268</v>
      </c>
      <c r="F51" s="9">
        <f t="shared" si="24"/>
        <v>8.7701350731626165E-9</v>
      </c>
      <c r="G51" s="266">
        <f t="shared" si="26"/>
        <v>925991690.87628293</v>
      </c>
      <c r="O51" s="98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61">
        <f t="shared" si="28"/>
        <v>1701145596.1357481</v>
      </c>
      <c r="T51" s="9">
        <f t="shared" si="29"/>
        <v>1.675194354451968E-9</v>
      </c>
      <c r="U51" s="266">
        <f t="shared" si="30"/>
        <v>4847838809.8842506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5840238282.7751627</v>
      </c>
      <c r="F52" s="9">
        <f t="shared" si="24"/>
        <v>5.7244470405286291E-10</v>
      </c>
      <c r="G52" s="266">
        <f t="shared" si="26"/>
        <v>19525163326.412415</v>
      </c>
      <c r="O52" s="98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61">
        <f t="shared" si="28"/>
        <v>30575365110.51096</v>
      </c>
      <c r="T52" s="9">
        <f t="shared" si="29"/>
        <v>1.0934337049771237E-10</v>
      </c>
      <c r="U52" s="266">
        <f t="shared" si="30"/>
        <v>102219972652.1674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105059712934.10281</v>
      </c>
      <c r="F53" s="9">
        <f t="shared" si="24"/>
        <v>3.6531024371522639E-11</v>
      </c>
      <c r="G53" s="266">
        <f t="shared" si="26"/>
        <v>403212762629.02893</v>
      </c>
      <c r="O53" s="98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61">
        <f t="shared" si="28"/>
        <v>550018497106.52991</v>
      </c>
      <c r="T53" s="9">
        <f t="shared" si="29"/>
        <v>6.9778361161507154E-12</v>
      </c>
      <c r="U53" s="266">
        <f t="shared" si="30"/>
        <v>2110937404278.7964</v>
      </c>
    </row>
    <row r="54" spans="1:21" ht="17" thickBot="1" x14ac:dyDescent="0.25">
      <c r="A54" s="131">
        <v>10</v>
      </c>
      <c r="B54" s="94">
        <f t="shared" si="25"/>
        <v>198359290368</v>
      </c>
      <c r="C54" s="110">
        <f t="shared" si="22"/>
        <v>1785233613312</v>
      </c>
      <c r="D54" s="10">
        <f>SUM($C$45:C54)</f>
        <v>1890247355271</v>
      </c>
      <c r="E54" s="10">
        <f t="shared" si="23"/>
        <v>1890591628923.3245</v>
      </c>
      <c r="F54" s="10">
        <f t="shared" si="24"/>
        <v>2.292008760470956E-12</v>
      </c>
      <c r="G54" s="267">
        <f t="shared" si="26"/>
        <v>8192411046130.4561</v>
      </c>
      <c r="O54" s="99">
        <v>10</v>
      </c>
      <c r="P54" s="94">
        <f t="shared" si="31"/>
        <v>1038469226040</v>
      </c>
      <c r="Q54" s="110">
        <f t="shared" si="27"/>
        <v>9346223034396</v>
      </c>
      <c r="R54" s="10">
        <f>SUM($Q$45:Q54)</f>
        <v>9896000859927</v>
      </c>
      <c r="S54" s="262">
        <f t="shared" si="28"/>
        <v>9897803233753.8711</v>
      </c>
      <c r="T54" s="10">
        <f t="shared" si="29"/>
        <v>4.3779942615831048E-13</v>
      </c>
      <c r="U54" s="267">
        <f t="shared" si="30"/>
        <v>42889681359061.781</v>
      </c>
    </row>
  </sheetData>
  <mergeCells count="2">
    <mergeCell ref="A18:F18"/>
    <mergeCell ref="O18:T18"/>
  </mergeCells>
  <conditionalFormatting sqref="F45:F54">
    <cfRule type="cellIs" dxfId="791" priority="79" operator="equal">
      <formula>MAX($F$45:$F$54)</formula>
    </cfRule>
  </conditionalFormatting>
  <conditionalFormatting sqref="F21:F30">
    <cfRule type="cellIs" dxfId="790" priority="77" operator="equal">
      <formula>MAX($F$21:$F$30)</formula>
    </cfRule>
  </conditionalFormatting>
  <conditionalFormatting sqref="E33:E42">
    <cfRule type="cellIs" dxfId="789" priority="73" stopIfTrue="1" operator="lessThan">
      <formula>0</formula>
    </cfRule>
    <cfRule type="cellIs" dxfId="788" priority="74" operator="equal">
      <formula>MIN($E$33:$E$42)</formula>
    </cfRule>
  </conditionalFormatting>
  <conditionalFormatting sqref="E21:E30">
    <cfRule type="cellIs" dxfId="787" priority="69" stopIfTrue="1" operator="lessThan">
      <formula>0</formula>
    </cfRule>
    <cfRule type="cellIs" dxfId="786" priority="70" operator="equal">
      <formula>MIN($E$21:$E$30)</formula>
    </cfRule>
  </conditionalFormatting>
  <conditionalFormatting sqref="E45:E54">
    <cfRule type="cellIs" dxfId="785" priority="65" stopIfTrue="1" operator="lessThan">
      <formula>0</formula>
    </cfRule>
    <cfRule type="cellIs" dxfId="784" priority="66" operator="equal">
      <formula>MIN($E$45:$E$54)</formula>
    </cfRule>
  </conditionalFormatting>
  <conditionalFormatting sqref="F33:F42">
    <cfRule type="cellIs" dxfId="783" priority="47" operator="lessThanOrEqual">
      <formula>0</formula>
    </cfRule>
    <cfRule type="cellIs" dxfId="782" priority="48" operator="equal">
      <formula>MAX($F$33:$F$42)</formula>
    </cfRule>
  </conditionalFormatting>
  <conditionalFormatting sqref="R7:R16">
    <cfRule type="cellIs" dxfId="781" priority="29" operator="lessThanOrEqual">
      <formula>0</formula>
    </cfRule>
    <cfRule type="cellIs" dxfId="780" priority="30" operator="greaterThan">
      <formula>0</formula>
    </cfRule>
  </conditionalFormatting>
  <conditionalFormatting sqref="T21:T30">
    <cfRule type="cellIs" dxfId="779" priority="21" operator="equal">
      <formula>MAX($T$21:$T$30)</formula>
    </cfRule>
  </conditionalFormatting>
  <conditionalFormatting sqref="S33:S42">
    <cfRule type="cellIs" dxfId="778" priority="19" stopIfTrue="1" operator="lessThan">
      <formula>0</formula>
    </cfRule>
    <cfRule type="cellIs" dxfId="777" priority="20" operator="equal">
      <formula>MIN($E$21:$E$30)</formula>
    </cfRule>
  </conditionalFormatting>
  <conditionalFormatting sqref="T33:T42">
    <cfRule type="cellIs" dxfId="776" priority="18" operator="equal">
      <formula>MAX($T$21:$T$30)</formula>
    </cfRule>
  </conditionalFormatting>
  <conditionalFormatting sqref="S45:S54">
    <cfRule type="cellIs" dxfId="775" priority="16" stopIfTrue="1" operator="lessThan">
      <formula>0</formula>
    </cfRule>
    <cfRule type="cellIs" dxfId="774" priority="17" operator="equal">
      <formula>MIN($E$21:$E$30)</formula>
    </cfRule>
  </conditionalFormatting>
  <conditionalFormatting sqref="T45:T54">
    <cfRule type="cellIs" dxfId="773" priority="15" operator="equal">
      <formula>MAX($T$21:$T$30)</formula>
    </cfRule>
  </conditionalFormatting>
  <conditionalFormatting sqref="S21:S30">
    <cfRule type="cellIs" dxfId="772" priority="13" stopIfTrue="1" operator="lessThan">
      <formula>0</formula>
    </cfRule>
    <cfRule type="cellIs" dxfId="771" priority="14" operator="equal">
      <formula>MIN($E$21:$E$30)</formula>
    </cfRule>
  </conditionalFormatting>
  <conditionalFormatting sqref="U7:U16">
    <cfRule type="cellIs" dxfId="770" priority="9" operator="lessThanOrEqual">
      <formula>0</formula>
    </cfRule>
    <cfRule type="cellIs" dxfId="769" priority="10" operator="greaterThan">
      <formula>0</formula>
    </cfRule>
  </conditionalFormatting>
  <conditionalFormatting sqref="S7:T16">
    <cfRule type="cellIs" dxfId="768" priority="1" operator="lessThanOrEqual">
      <formula>0</formula>
    </cfRule>
    <cfRule type="cellIs" dxfId="767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35" t="s">
        <v>125</v>
      </c>
      <c r="C2" s="141">
        <f>Analysis!B17</f>
        <v>0.70916938988868072</v>
      </c>
      <c r="D2" s="135" t="s">
        <v>126</v>
      </c>
      <c r="E2" s="141">
        <f>Analysis!M17</f>
        <v>0.29083061011131911</v>
      </c>
      <c r="F2" s="135" t="s">
        <v>47</v>
      </c>
      <c r="G2" s="141">
        <f>Analysis!S17</f>
        <v>1.0313636555114831</v>
      </c>
      <c r="H2" t="s">
        <v>155</v>
      </c>
      <c r="I2" s="155">
        <f>Analysis!T17</f>
        <v>-1.6892171715611608</v>
      </c>
      <c r="J2" t="s">
        <v>48</v>
      </c>
      <c r="K2" s="155">
        <f>C2*G2+E2*I2</f>
        <v>0.24013547371678878</v>
      </c>
      <c r="L2" t="s">
        <v>47</v>
      </c>
      <c r="M2" s="162">
        <v>1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0.70916938988868072</v>
      </c>
      <c r="C4" t="s">
        <v>124</v>
      </c>
      <c r="D4">
        <f>$E$2</f>
        <v>0.29083061011131911</v>
      </c>
      <c r="E4" t="s">
        <v>47</v>
      </c>
      <c r="F4">
        <f>G2</f>
        <v>1.0313636555114831</v>
      </c>
      <c r="G4" t="s">
        <v>155</v>
      </c>
      <c r="H4">
        <f>I2</f>
        <v>-1.6892171715611608</v>
      </c>
      <c r="I4" t="s">
        <v>48</v>
      </c>
      <c r="J4">
        <f>K2</f>
        <v>0.24013547371678878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167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0.70916938988868072</v>
      </c>
      <c r="C7" s="95">
        <v>1</v>
      </c>
      <c r="D7" s="108">
        <f>C7*D4</f>
        <v>0.29083061011131911</v>
      </c>
      <c r="E7" s="109"/>
      <c r="F7" s="109"/>
      <c r="G7" s="109"/>
      <c r="H7" s="109"/>
      <c r="I7" s="109"/>
      <c r="J7" s="109"/>
      <c r="K7" s="109"/>
      <c r="L7" s="109"/>
      <c r="M7" s="243"/>
      <c r="N7" s="95">
        <f>B7+D7</f>
        <v>0.99999999999999978</v>
      </c>
      <c r="R7" s="276">
        <f>B7-D7</f>
        <v>0.41833877977736161</v>
      </c>
      <c r="S7" s="277">
        <f>IF(Rules!B20=Rules!E20,SUM(C7)*B4*F4,SUM(C7)*B4*F4*POWER(O2,A7-1))</f>
        <v>0.731411534332438</v>
      </c>
      <c r="T7" s="260">
        <f>IF(Rules!B20=Rules!E20,SUM(C7)*D4*H4,SUM(C7)*D4*H4*POWER(O2,A7-1))</f>
        <v>-0.49127606061564921</v>
      </c>
      <c r="U7" s="274">
        <f>S7+T7</f>
        <v>0.24013547371678878</v>
      </c>
      <c r="V7" s="108">
        <f>(U7+W7*D7)/B7</f>
        <v>0.74871545698194097</v>
      </c>
      <c r="W7" s="57">
        <f>COUNT(D7:M7)</f>
        <v>1</v>
      </c>
    </row>
    <row r="8" spans="1:23" x14ac:dyDescent="0.2">
      <c r="A8" s="98">
        <v>2</v>
      </c>
      <c r="B8" s="97">
        <f>C8*B4</f>
        <v>0.89343968707822785</v>
      </c>
      <c r="C8" s="97">
        <f>1/(1-B4*D4)</f>
        <v>1.259839609290627</v>
      </c>
      <c r="D8" s="93">
        <f>C8*D4</f>
        <v>0.36639992221239892</v>
      </c>
      <c r="E8" s="1">
        <f>D8*D4</f>
        <v>0.10656031292177184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0.99999999999999967</v>
      </c>
      <c r="R8" s="278">
        <f>B8-E8</f>
        <v>0.78687937415645604</v>
      </c>
      <c r="S8" s="279">
        <f>IF(Rules!B20=Rules!E20,SUM(C8:D8)*B4*F4,SUM(C8:D8)*B4*F4*POWER(O2,A8-1))</f>
        <v>1.1894503509286933</v>
      </c>
      <c r="T8" s="261">
        <f>IF(Rules!B20=Rules!E20,SUM(C8:D8)*D4*H4,SUM(C8:D8)*D4*H4*POWER(O2,A8-1))</f>
        <v>-0.79893255065424551</v>
      </c>
      <c r="U8" s="275">
        <f>S8+T8+U7</f>
        <v>0.63065327399123661</v>
      </c>
      <c r="V8" s="93">
        <f>(U8+W8*E8)/B8</f>
        <v>0.94441058757321705</v>
      </c>
      <c r="W8" s="9">
        <f>COUNT(D8:M8)</f>
        <v>2</v>
      </c>
    </row>
    <row r="9" spans="1:23" x14ac:dyDescent="0.2">
      <c r="A9" s="98">
        <v>3</v>
      </c>
      <c r="B9" s="97">
        <f>C9*B4</f>
        <v>0.95812934438305952</v>
      </c>
      <c r="C9" s="97">
        <f>1/(1-D4*B4/(1-D4*B4))</f>
        <v>1.3510585172513698</v>
      </c>
      <c r="D9" s="93">
        <f>C9*D4*C8</f>
        <v>0.49502773562530095</v>
      </c>
      <c r="E9" s="1">
        <f>D9*(D4)</f>
        <v>0.14396921837393106</v>
      </c>
      <c r="F9" s="1">
        <f>E9*D4</f>
        <v>4.1870655616940103E-2</v>
      </c>
      <c r="G9" s="1"/>
      <c r="H9" s="1"/>
      <c r="I9" s="1"/>
      <c r="J9" s="1"/>
      <c r="K9" s="1"/>
      <c r="L9" s="1"/>
      <c r="M9" s="242"/>
      <c r="N9" s="97">
        <f>B9+F9</f>
        <v>0.99999999999999967</v>
      </c>
      <c r="R9" s="278">
        <f>B9-F9</f>
        <v>0.91625868876611938</v>
      </c>
      <c r="S9" s="279">
        <f>IF(Rules!B20=Rules!E20,SUM(C9:E9)*B4*F4,SUM(C9:E9)*B4*F4*POWER(O2,A9-1))</f>
        <v>1.4555495256340658</v>
      </c>
      <c r="T9" s="261">
        <f>IF(Rules!B20=Rules!E20,SUM(C9:E9)*D4*H4,SUM(C9:E9)*D4*H4*POWER(O2,A9-1))</f>
        <v>-0.9776666123226152</v>
      </c>
      <c r="U9" s="275">
        <f t="shared" ref="U9:U16" si="0">S9+T9+U8</f>
        <v>1.1085361873026871</v>
      </c>
      <c r="V9" s="93">
        <f>(U9+W9*F9)/B9</f>
        <v>1.2880809479310718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0.98311870141729729</v>
      </c>
      <c r="C10" s="97">
        <f>1/(1-D4*B4/(1-D4*B4/(1-D4*B4)))</f>
        <v>1.3862960181792656</v>
      </c>
      <c r="D10" s="93">
        <f>C10*D4*C9</f>
        <v>0.54471614777381061</v>
      </c>
      <c r="E10" s="1">
        <f>D10*D4*C8</f>
        <v>0.19958395417216182</v>
      </c>
      <c r="F10" s="1">
        <f>E10*D4</f>
        <v>5.8045123160319373E-2</v>
      </c>
      <c r="G10" s="1">
        <f>F10*D4</f>
        <v>1.6881298582702344E-2</v>
      </c>
      <c r="H10" s="1"/>
      <c r="I10" s="1"/>
      <c r="J10" s="1"/>
      <c r="K10" s="1"/>
      <c r="L10" s="1"/>
      <c r="M10" s="242"/>
      <c r="N10" s="97">
        <f>B10+G10</f>
        <v>0.99999999999999967</v>
      </c>
      <c r="R10" s="278">
        <f>B10-G10</f>
        <v>0.96623740283459492</v>
      </c>
      <c r="S10" s="279">
        <f>IF(Rules!B20=Rules!E20,SUM(C10:F10)*B4*F4,SUM(C10:F10)*B4*F4*POWER(O2,A10-1))</f>
        <v>1.6007974498547439</v>
      </c>
      <c r="T10" s="261">
        <f>IF(Rules!B20=Rules!E20,SUM(C10:F10)*D4*H4,SUM(C10:F10)*D4*H4*POWER(O2,A10-1))</f>
        <v>-1.0752270481022652</v>
      </c>
      <c r="U10" s="275">
        <f t="shared" si="0"/>
        <v>1.6341065890551658</v>
      </c>
      <c r="V10" s="93">
        <f>(U10+W10*G10)/B10</f>
        <v>1.7308507924148375</v>
      </c>
      <c r="W10" s="9">
        <f t="shared" si="1"/>
        <v>4</v>
      </c>
    </row>
    <row r="11" spans="1:23" x14ac:dyDescent="0.2">
      <c r="A11" s="98">
        <v>5</v>
      </c>
      <c r="B11" s="97">
        <f>C11*B4</f>
        <v>0.99312457242541641</v>
      </c>
      <c r="C11" s="97">
        <f>1/(1-D4*B4/(1-D4*B4/(1-D4*B4/(1-D4*B4))))</f>
        <v>1.4004053003208563</v>
      </c>
      <c r="D11" s="93">
        <f>C11*D4*C10</f>
        <v>0.56461165136260105</v>
      </c>
      <c r="E11" s="1">
        <f>D11*D4*C9</f>
        <v>0.22185238916171748</v>
      </c>
      <c r="F11" s="1">
        <f>E11*D4*C8</f>
        <v>8.1286698131488144E-2</v>
      </c>
      <c r="G11" s="1">
        <f>F11*D4</f>
        <v>2.3640660011515321E-2</v>
      </c>
      <c r="H11" s="1">
        <f>G11*D4</f>
        <v>6.8754275745832646E-3</v>
      </c>
      <c r="I11" s="1"/>
      <c r="J11" s="1"/>
      <c r="K11" s="1"/>
      <c r="L11" s="1"/>
      <c r="M11" s="242"/>
      <c r="N11" s="97">
        <f>B11+H11</f>
        <v>0.99999999999999967</v>
      </c>
      <c r="R11" s="278">
        <f>B11-H11</f>
        <v>0.98624914485083315</v>
      </c>
      <c r="S11" s="279">
        <f>IF(Rules!B20=Rules!E20,SUM(C11:G11)*B4*F4,SUM(C11:G11)*B4*F4*POWER(O2,A11-1))</f>
        <v>1.67624653998496</v>
      </c>
      <c r="T11" s="261">
        <f>IF(Rules!B20=Rules!E20,SUM(C11:G11)*D4*H4,SUM(C11:G11)*D4*H4*POWER(O2,A11-1))</f>
        <v>-1.1259048540108609</v>
      </c>
      <c r="U11" s="275">
        <f t="shared" si="0"/>
        <v>2.1844482750292649</v>
      </c>
      <c r="V11" s="93">
        <f>(U11+W11*H11)/B11</f>
        <v>2.2341863996813096</v>
      </c>
      <c r="W11" s="9">
        <f t="shared" si="1"/>
        <v>5</v>
      </c>
    </row>
    <row r="12" spans="1:23" x14ac:dyDescent="0.2">
      <c r="A12" s="98">
        <v>6</v>
      </c>
      <c r="B12" s="97">
        <f>C12*B4</f>
        <v>0.99718831266904151</v>
      </c>
      <c r="C12" s="97">
        <f>1/(1-D4*B4/(1-D4*B4/(1-D4*B4/(1-D4*B4/(1-D4*B4)))))</f>
        <v>1.4061355818326726</v>
      </c>
      <c r="D12" s="93">
        <f>C12*D4*C11</f>
        <v>0.5726919232884885</v>
      </c>
      <c r="E12" s="1">
        <f>D12*D4*C10</f>
        <v>0.2308963929627037</v>
      </c>
      <c r="F12" s="1">
        <f>E12*D4*C9</f>
        <v>9.0725928705111453E-2</v>
      </c>
      <c r="G12" s="1">
        <f>F12*D4*C8</f>
        <v>3.3241973220200484E-2</v>
      </c>
      <c r="H12" s="1">
        <f>G12*D4</f>
        <v>9.6677833529350381E-3</v>
      </c>
      <c r="I12" s="1">
        <f>H12*D4</f>
        <v>2.8116873309581513E-3</v>
      </c>
      <c r="J12" s="1"/>
      <c r="K12" s="1"/>
      <c r="L12" s="1"/>
      <c r="M12" s="242"/>
      <c r="N12" s="97">
        <f>B12+I12</f>
        <v>0.99999999999999967</v>
      </c>
      <c r="R12" s="278">
        <f>B12-I12</f>
        <v>0.99437662533808335</v>
      </c>
      <c r="S12" s="279">
        <f>IF(Rules!B20=Rules!E20,SUM(C12:H12)*B4*F4,SUM(C12:H12)*B4*F4*POWER(O2,A12-1))</f>
        <v>1.7139602283595046</v>
      </c>
      <c r="T12" s="261">
        <f>IF(Rules!B20=Rules!E20,SUM(C12:H12)*D4*H4,SUM(C12:H12)*D4*H4*POWER(O2,A12-1))</f>
        <v>-1.1512364647200672</v>
      </c>
      <c r="U12" s="275">
        <f t="shared" si="0"/>
        <v>2.747172038668702</v>
      </c>
      <c r="V12" s="93">
        <f>(U12+W12*I12)/B12</f>
        <v>2.771835697969931</v>
      </c>
      <c r="W12" s="9">
        <f t="shared" si="1"/>
        <v>6</v>
      </c>
    </row>
    <row r="13" spans="1:23" x14ac:dyDescent="0.2">
      <c r="A13" s="98">
        <v>7</v>
      </c>
      <c r="B13" s="97">
        <f>C13*B4</f>
        <v>0.99884825410904732</v>
      </c>
      <c r="C13" s="97">
        <f>1/(1-D4*B4/(1-D4*B4/(1-D4*B4/(1-D4*B4/(1-D4*B4/(1-D4*B4))))))</f>
        <v>1.4084762658267553</v>
      </c>
      <c r="D13" s="93">
        <f>C13*D4*C12</f>
        <v>0.5759925225916398</v>
      </c>
      <c r="E13" s="1">
        <f>D13*D4*C11</f>
        <v>0.23459065386345354</v>
      </c>
      <c r="F13" s="1">
        <f>E13*D4*C10</f>
        <v>9.4581630362102834E-2</v>
      </c>
      <c r="G13" s="1">
        <f>F13*D4*C9</f>
        <v>3.7163881786717305E-2</v>
      </c>
      <c r="H13" s="1">
        <f>G13*D4*C8</f>
        <v>1.3616843395764012E-2</v>
      </c>
      <c r="I13" s="1">
        <f>H13*D4</f>
        <v>3.9601948725803337E-3</v>
      </c>
      <c r="J13" s="1">
        <f>I13*D4</f>
        <v>1.151745890952256E-3</v>
      </c>
      <c r="K13" s="1"/>
      <c r="L13" s="1"/>
      <c r="M13" s="242"/>
      <c r="N13" s="97">
        <f>B13+J13</f>
        <v>0.99999999999999956</v>
      </c>
      <c r="R13" s="278">
        <f>B13-J13</f>
        <v>0.99769650821809508</v>
      </c>
      <c r="S13" s="279">
        <f>IF(Rules!B20=Rules!E20,SUM(C13:I13)*B4*F4,SUM(C13:I13)*B4*F4*POWER(O2,A13-1))</f>
        <v>1.7322619071653025</v>
      </c>
      <c r="T13" s="261">
        <f>IF(Rules!B20=Rules!E20,SUM(C13:I13)*D4*H4,SUM(C13:I13)*D4*H4*POWER(O2,A13-1))</f>
        <v>-1.1635293754062126</v>
      </c>
      <c r="U13" s="275">
        <f t="shared" si="0"/>
        <v>3.3159045704277919</v>
      </c>
      <c r="V13" s="93">
        <f>(U13+W13*J13)/B13</f>
        <v>3.3277995711464396</v>
      </c>
      <c r="W13" s="9">
        <f t="shared" si="1"/>
        <v>7</v>
      </c>
    </row>
    <row r="14" spans="1:23" x14ac:dyDescent="0.2">
      <c r="A14" s="98">
        <v>8</v>
      </c>
      <c r="B14" s="97">
        <f>C14*B4</f>
        <v>0.9995278916065643</v>
      </c>
      <c r="C14" s="97">
        <f>1/(1-D4*B4/(1-D4*B4/(1-D4*B4/(1-D4*B4/(1-D4*B4/(1-D4*B4/(1-D4*B4)))))))</f>
        <v>1.4094346228951895</v>
      </c>
      <c r="D14" s="93">
        <f>C14*D4*C13</f>
        <v>0.57734390222265364</v>
      </c>
      <c r="E14" s="1">
        <f>D14*D4*C12</f>
        <v>0.23610321218222852</v>
      </c>
      <c r="F14" s="1">
        <f>E14*D4*C11</f>
        <v>9.6160288116029474E-2</v>
      </c>
      <c r="G14" s="1">
        <f>F14*D4*C10</f>
        <v>3.8769646941678539E-2</v>
      </c>
      <c r="H14" s="1">
        <f>G14*D4*C9</f>
        <v>1.5233725305190154E-2</v>
      </c>
      <c r="I14" s="1">
        <f>H14*D4*C8</f>
        <v>5.5816357668267251E-3</v>
      </c>
      <c r="J14" s="1">
        <f>I14*D4</f>
        <v>1.6233105354853769E-3</v>
      </c>
      <c r="K14" s="1">
        <f>J14*D4</f>
        <v>4.7210839343534431E-4</v>
      </c>
      <c r="L14" s="1"/>
      <c r="M14" s="242"/>
      <c r="N14" s="97">
        <f>B14+K14</f>
        <v>0.99999999999999967</v>
      </c>
      <c r="R14" s="278">
        <f>B14-K14</f>
        <v>0.99905578321312893</v>
      </c>
      <c r="S14" s="279">
        <f>IF(Rules!B20=Rules!E20,SUM(C14:J14)*B4*F4,SUM(C14:J14)*B4*F4*POWER(O2,A14-1))</f>
        <v>1.7409425561749601</v>
      </c>
      <c r="T14" s="261">
        <f>IF(Rules!B20=Rules!E20,SUM(C14:J14)*D4*H4,SUM(C14:J14)*D4*H4*POWER(O2,A14-1))</f>
        <v>-1.1693600122623076</v>
      </c>
      <c r="U14" s="275">
        <f t="shared" si="0"/>
        <v>3.8874871143404444</v>
      </c>
      <c r="V14" s="93">
        <f>(U14+W14*K14)/B14</f>
        <v>3.8931019475938871</v>
      </c>
      <c r="W14" s="9">
        <f t="shared" si="1"/>
        <v>8</v>
      </c>
    </row>
    <row r="15" spans="1:23" x14ac:dyDescent="0.2">
      <c r="A15" s="98">
        <v>9</v>
      </c>
      <c r="B15" s="97">
        <f>C15*B4</f>
        <v>0.99980642566414835</v>
      </c>
      <c r="C15" s="97">
        <f>1/(1-D4*B4/(1-D4*B4/(1-D4*B4/(1-D4*B4/(1-D4*B4/(1-D4*B4/(1-D4*B4/(1-D4*B4))))))))</f>
        <v>1.4098273838653546</v>
      </c>
      <c r="D15" s="93">
        <f>C15*D4*C14</f>
        <v>0.57789773460144089</v>
      </c>
      <c r="E15" s="1">
        <f>D15*D4*C13</f>
        <v>0.23672310000095578</v>
      </c>
      <c r="F15" s="1">
        <f>E15*D4*C12</f>
        <v>9.6807265293339981E-2</v>
      </c>
      <c r="G15" s="1">
        <f>F15*D4*C11</f>
        <v>3.9427733474238447E-2</v>
      </c>
      <c r="H15" s="1">
        <f>G15*D4*C10</f>
        <v>1.5896367788149488E-2</v>
      </c>
      <c r="I15" s="1">
        <f>H15*D4*C9</f>
        <v>6.246146646608026E-3</v>
      </c>
      <c r="J15" s="1">
        <f>I15*D4*C8</f>
        <v>2.2885876454444174E-3</v>
      </c>
      <c r="K15" s="1">
        <f>J15*D4</f>
        <v>6.655913412178272E-4</v>
      </c>
      <c r="L15" s="1">
        <f>K15*D4</f>
        <v>1.9357433585119187E-4</v>
      </c>
      <c r="M15" s="242"/>
      <c r="N15" s="97">
        <f>B15+L15</f>
        <v>0.99999999999999956</v>
      </c>
      <c r="R15" s="278">
        <f>B15-L15</f>
        <v>0.99961285132829714</v>
      </c>
      <c r="S15" s="279">
        <f>IF(Rules!B20=Rules!E20,SUM(C15:K15)*B4*F4,SUM(C15:K15)*B4*F4*POWER(O2,A15-1))</f>
        <v>1.7449869450329598</v>
      </c>
      <c r="T15" s="261">
        <f>IF(Rules!B20=Rules!E20,SUM(C15:K15)*D4*H4,SUM(C15:K15)*D4*H4*POWER(O2,A15-1))</f>
        <v>-1.1720765560034034</v>
      </c>
      <c r="U15" s="275">
        <f t="shared" si="0"/>
        <v>4.4603975033700003</v>
      </c>
      <c r="V15" s="93">
        <f>(U15+W15*L15)/B15</f>
        <v>4.4630035953495346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0.99992062139991345</v>
      </c>
      <c r="C16" s="131">
        <f>1/(1-D4*B4/(1-D4*B4/(1-D4*B4/(1-D4*B4/(1-D4*B4/(1-D4*B4/(1-D4*B4/(1-D4*B4/(1-D4*B4)))))))))</f>
        <v>1.4099884113115377</v>
      </c>
      <c r="D16" s="94">
        <f>C16*D4*C15</f>
        <v>0.57812479945855277</v>
      </c>
      <c r="E16" s="110">
        <f>D16*D4*C14</f>
        <v>0.23697724682294716</v>
      </c>
      <c r="F16" s="110">
        <f>E16*D4*C13</f>
        <v>9.7072518438420324E-2</v>
      </c>
      <c r="G16" s="110">
        <f>F16*D4*C12</f>
        <v>3.96975413262282E-2</v>
      </c>
      <c r="H16" s="110">
        <f>G16*D4*C11</f>
        <v>1.6168043527005519E-2</v>
      </c>
      <c r="I16" s="110">
        <f>H16*D4*C10</f>
        <v>6.5185884065087924E-3</v>
      </c>
      <c r="J16" s="110">
        <f>I16*D4*C9</f>
        <v>2.5613435508384549E-3</v>
      </c>
      <c r="K16" s="110">
        <f>J16*D4*C8</f>
        <v>9.3847607778643955E-4</v>
      </c>
      <c r="L16" s="110">
        <f>K16*D4</f>
        <v>2.72937570277508E-4</v>
      </c>
      <c r="M16" s="244">
        <f>L16*D4</f>
        <v>7.9378600086108691E-5</v>
      </c>
      <c r="N16" s="131">
        <f>B16+M16</f>
        <v>0.99999999999999956</v>
      </c>
      <c r="R16" s="280">
        <f>B16-M16</f>
        <v>0.99984124279982733</v>
      </c>
      <c r="S16" s="281">
        <f>IF(Rules!B20=Rules!E20,SUM(C16:L16)*B4*F4,SUM(C16:L16)*B4*F4*POWER(O2,A16-1))</f>
        <v>1.7468447272826311</v>
      </c>
      <c r="T16" s="262">
        <f>IF(Rules!B20=Rules!E20,SUM(C16:L16)*D4*H4,SUM(C16:L16)*D4*H4*POWER(O2,A16-1))</f>
        <v>-1.1733243951503936</v>
      </c>
      <c r="U16" s="275">
        <f t="shared" si="0"/>
        <v>5.0339178355022378</v>
      </c>
      <c r="V16" s="94">
        <f>(U16+W16*M16)/B16</f>
        <v>5.0351113015894988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2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23.90407125373833</v>
      </c>
      <c r="F21" s="8">
        <f t="shared" ref="F21:F30" si="4">U7/E21</f>
        <v>1.0045798105594011E-2</v>
      </c>
      <c r="G21" s="265">
        <f>E21*U7</f>
        <v>5.7402154742763267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131.47239189556083</v>
      </c>
      <c r="T21" s="8">
        <f>U7/S21</f>
        <v>1.8265087464716383E-3</v>
      </c>
      <c r="U21" s="265">
        <f>S21*U7</f>
        <v>31.571185108519803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139.79270980119577</v>
      </c>
      <c r="F22" s="9">
        <f t="shared" si="4"/>
        <v>4.5113459413449472E-3</v>
      </c>
      <c r="G22" s="266">
        <f t="shared" ref="G22:G30" si="5">E22*U8</f>
        <v>88.160730116230937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826.04783064342951</v>
      </c>
      <c r="T22" s="9">
        <f>U8/S22</f>
        <v>7.6345854391991427E-4</v>
      </c>
      <c r="U22" s="266">
        <f t="shared" ref="U22:U30" si="8">S22*U8</f>
        <v>520.94976886863731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1211.4482663130677</v>
      </c>
      <c r="F23" s="9">
        <f t="shared" si="4"/>
        <v>9.1505037245743549E-4</v>
      </c>
      <c r="G23" s="266">
        <f t="shared" si="5"/>
        <v>1342.9342422531383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7252.3186753606624</v>
      </c>
      <c r="T23" s="9">
        <f t="shared" ref="T23:T30" si="11">U9/S23</f>
        <v>1.5285265815316077E-4</v>
      </c>
      <c r="U23" s="266">
        <f t="shared" si="8"/>
        <v>8039.4576934883826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11498.209412518325</v>
      </c>
      <c r="F24" s="9">
        <f t="shared" si="4"/>
        <v>1.4211835342606321E-4</v>
      </c>
      <c r="G24" s="266">
        <f t="shared" si="5"/>
        <v>18789.299763332321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68968.557628282739</v>
      </c>
      <c r="T24" s="9">
        <f t="shared" si="11"/>
        <v>2.369350099885297E-5</v>
      </c>
      <c r="U24" s="266">
        <f t="shared" si="8"/>
        <v>112701.97445800774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112659.15978746426</v>
      </c>
      <c r="F25" s="9">
        <f t="shared" si="4"/>
        <v>1.9389886087827288E-5</v>
      </c>
      <c r="G25" s="266">
        <f t="shared" si="5"/>
        <v>246098.10726397263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675929.61016034777</v>
      </c>
      <c r="T25" s="9">
        <f t="shared" si="11"/>
        <v>3.231768873849243E-6</v>
      </c>
      <c r="U25" s="266">
        <f t="shared" si="8"/>
        <v>1476533.2709559752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1117393.5224213742</v>
      </c>
      <c r="F26" s="9">
        <f t="shared" si="4"/>
        <v>2.4585537534848272E-6</v>
      </c>
      <c r="G26" s="266">
        <f t="shared" si="5"/>
        <v>3069672.2409855286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6704330.9648729702</v>
      </c>
      <c r="T26" s="9">
        <f t="shared" si="11"/>
        <v>4.0976080283959455E-7</v>
      </c>
      <c r="U26" s="266">
        <f t="shared" si="8"/>
        <v>18417950.564679783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11136763.443068126</v>
      </c>
      <c r="F27" s="9">
        <f t="shared" si="4"/>
        <v>2.9774400680942145E-7</v>
      </c>
      <c r="G27" s="266">
        <f t="shared" si="5"/>
        <v>36928444.800642751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66820545.577600405</v>
      </c>
      <c r="T27" s="9">
        <f t="shared" si="11"/>
        <v>4.9624027187520449E-8</v>
      </c>
      <c r="U27" s="266">
        <f t="shared" si="8"/>
        <v>221570552.47924376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111216122.12948537</v>
      </c>
      <c r="F28" s="9">
        <f t="shared" si="4"/>
        <v>3.495434870327854E-8</v>
      </c>
      <c r="G28" s="266">
        <f t="shared" si="5"/>
        <v>432351241.68528754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667296692.73910785</v>
      </c>
      <c r="T28" s="9">
        <f t="shared" si="11"/>
        <v>5.8257251334232679E-9</v>
      </c>
      <c r="U28" s="266">
        <f t="shared" si="8"/>
        <v>2594107294.4652767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1111541441.7927327</v>
      </c>
      <c r="F29" s="9">
        <f t="shared" si="4"/>
        <v>4.0128036037739772E-9</v>
      </c>
      <c r="G29" s="266">
        <f t="shared" si="5"/>
        <v>4957916671.8645954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6669248605.7389679</v>
      </c>
      <c r="T29" s="9">
        <f t="shared" si="11"/>
        <v>6.6880060514340025E-10</v>
      </c>
      <c r="U29" s="266">
        <f t="shared" si="8"/>
        <v>29747499830.391949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11112875358.977859</v>
      </c>
      <c r="F30" s="10">
        <f t="shared" si="4"/>
        <v>4.5298067987736773E-10</v>
      </c>
      <c r="G30" s="267">
        <f t="shared" si="5"/>
        <v>55941301473.27198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66677252103.859215</v>
      </c>
      <c r="T30" s="10">
        <f t="shared" si="11"/>
        <v>7.5496780036183879E-11</v>
      </c>
      <c r="U30" s="267">
        <f t="shared" si="8"/>
        <v>335647808587.896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2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23.90407125373833</v>
      </c>
      <c r="F33" s="8">
        <f t="shared" ref="F33:F42" si="14">U7/E33</f>
        <v>1.0045798105594011E-2</v>
      </c>
      <c r="G33" s="268">
        <f>E33*U7</f>
        <v>5.7402154742763267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131.47239189556083</v>
      </c>
      <c r="T33" s="8">
        <f>U7/S33</f>
        <v>1.8265087464716383E-3</v>
      </c>
      <c r="U33" s="268">
        <f>S33*U7</f>
        <v>31.571185108519803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152.50113796494082</v>
      </c>
      <c r="F34" s="9">
        <f t="shared" si="14"/>
        <v>4.1354004462328692E-3</v>
      </c>
      <c r="G34" s="266">
        <f t="shared" ref="G34:G42" si="16">E34*U8</f>
        <v>96.175341944979195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838.75625880717462</v>
      </c>
      <c r="T34" s="9">
        <f t="shared" ref="T34:T42" si="18">U8/S34</f>
        <v>7.5189099022415795E-4</v>
      </c>
      <c r="U34" s="266">
        <f t="shared" ref="U34:U42" si="19">S34*U8</f>
        <v>528.96438069738565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1451.5551299066487</v>
      </c>
      <c r="F35" s="9">
        <f t="shared" si="14"/>
        <v>7.6368865671259652E-4</v>
      </c>
      <c r="G35" s="266">
        <f t="shared" si="16"/>
        <v>1609.101389366373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7383.2860555026155</v>
      </c>
      <c r="T35" s="9">
        <f t="shared" si="18"/>
        <v>1.5014130279789406E-4</v>
      </c>
      <c r="U35" s="266">
        <f t="shared" si="19"/>
        <v>8184.6397737319649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15151.555877521898</v>
      </c>
      <c r="F36" s="9">
        <f t="shared" si="14"/>
        <v>1.0785074498384987E-4</v>
      </c>
      <c r="G36" s="266">
        <f t="shared" si="16"/>
        <v>24759.257293896058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70241.536708156505</v>
      </c>
      <c r="T36" s="9">
        <f t="shared" si="18"/>
        <v>2.3264106476551672E-5</v>
      </c>
      <c r="U36" s="266">
        <f t="shared" si="19"/>
        <v>114782.15796015885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163295.45210846115</v>
      </c>
      <c r="F37" s="9">
        <f t="shared" si="14"/>
        <v>1.337727564867116E-5</v>
      </c>
      <c r="G37" s="266">
        <f t="shared" si="16"/>
        <v>356710.4686784519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688441.6615668576</v>
      </c>
      <c r="T37" s="9">
        <f t="shared" si="18"/>
        <v>3.1730332386589934E-6</v>
      </c>
      <c r="U37" s="266">
        <f t="shared" si="19"/>
        <v>1503865.200068003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1781578.4833012118</v>
      </c>
      <c r="F38" s="9">
        <f t="shared" si="14"/>
        <v>1.5419876611768874E-6</v>
      </c>
      <c r="G38" s="266">
        <f t="shared" si="16"/>
        <v>4894302.594018884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6828479.0963297281</v>
      </c>
      <c r="T38" s="9">
        <f t="shared" si="18"/>
        <v>4.0231096850619231E-7</v>
      </c>
      <c r="U38" s="266">
        <f t="shared" si="19"/>
        <v>18759006.840070754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19532162.175053068</v>
      </c>
      <c r="F39" s="9">
        <f t="shared" si="14"/>
        <v>1.6976638534483101E-7</v>
      </c>
      <c r="G39" s="266">
        <f t="shared" si="16"/>
        <v>64766785.826595306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68057955.942206115</v>
      </c>
      <c r="T39" s="9">
        <f t="shared" si="18"/>
        <v>4.8721777263537165E-8</v>
      </c>
      <c r="U39" s="266">
        <f t="shared" si="19"/>
        <v>225673687.16273454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214561472.54419202</v>
      </c>
      <c r="F40" s="9">
        <f t="shared" si="14"/>
        <v>1.8118290615011327E-8</v>
      </c>
      <c r="G40" s="266">
        <f t="shared" si="16"/>
        <v>834104959.74945748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679654030.74509406</v>
      </c>
      <c r="T40" s="9">
        <f t="shared" si="18"/>
        <v>5.7198029269077578E-9</v>
      </c>
      <c r="U40" s="266">
        <f t="shared" si="19"/>
        <v>2642146286.7310972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2358860919.87186</v>
      </c>
      <c r="F41" s="9">
        <f t="shared" si="14"/>
        <v>1.8909116115299843E-9</v>
      </c>
      <c r="G41" s="266">
        <f t="shared" si="16"/>
        <v>10521457357.793507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6792753200.3787317</v>
      </c>
      <c r="T41" s="9">
        <f t="shared" si="18"/>
        <v>6.5664059502725786E-10</v>
      </c>
      <c r="U41" s="266">
        <f t="shared" si="19"/>
        <v>30298379415.977875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25941543006.735909</v>
      </c>
      <c r="F42" s="10">
        <f t="shared" si="14"/>
        <v>1.9404851261912774E-10</v>
      </c>
      <c r="G42" s="267">
        <f t="shared" si="16"/>
        <v>130587596022.05624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67912016021.52166</v>
      </c>
      <c r="T42" s="10">
        <f t="shared" si="18"/>
        <v>7.4124111319371875E-11</v>
      </c>
      <c r="U42" s="267">
        <f t="shared" si="19"/>
        <v>341863508695.65161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2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23.90407125373833</v>
      </c>
      <c r="F45" s="8">
        <f t="shared" ref="F45:F54" si="24">U7/E45</f>
        <v>1.0045798105594011E-2</v>
      </c>
      <c r="G45" s="265">
        <f>E45*U7</f>
        <v>5.7402154742763267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131.47239189556083</v>
      </c>
      <c r="T45" s="8">
        <f>U7/S45</f>
        <v>1.8265087464716383E-3</v>
      </c>
      <c r="U45" s="268">
        <f>S45*U7</f>
        <v>31.571185108519803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266.87699143864648</v>
      </c>
      <c r="F46" s="9">
        <f t="shared" si="24"/>
        <v>2.3630859692759247E-3</v>
      </c>
      <c r="G46" s="266">
        <f t="shared" ref="G46:G54" si="26">E46*U8</f>
        <v>168.30684840371362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1525.0113796494084</v>
      </c>
      <c r="T46" s="9">
        <f t="shared" ref="T46:T54" si="29">U8/S46</f>
        <v>4.1354004462328689E-4</v>
      </c>
      <c r="U46" s="266">
        <f t="shared" ref="U46:U54" si="30">S46*U8</f>
        <v>961.75341944979209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4594.7722533135275</v>
      </c>
      <c r="F47" s="9">
        <f t="shared" si="24"/>
        <v>2.4126031197808866E-4</v>
      </c>
      <c r="G47" s="266">
        <f t="shared" si="26"/>
        <v>5093.4713152123541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26351.728279395513</v>
      </c>
      <c r="T47" s="9">
        <f t="shared" si="29"/>
        <v>4.2066925385286953E-5</v>
      </c>
      <c r="U47" s="266">
        <f t="shared" si="30"/>
        <v>29211.844395677501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87152.494565991728</v>
      </c>
      <c r="F48" s="9">
        <f t="shared" si="24"/>
        <v>1.8749969202749818E-5</v>
      </c>
      <c r="G48" s="266">
        <f t="shared" si="26"/>
        <v>142416.46562288163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499970.29568798182</v>
      </c>
      <c r="T48" s="9">
        <f t="shared" si="29"/>
        <v>3.2684073496937672E-6</v>
      </c>
      <c r="U48" s="266">
        <f t="shared" si="30"/>
        <v>817004.75451559061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1707692.2284730915</v>
      </c>
      <c r="F49" s="9">
        <f t="shared" si="24"/>
        <v>1.2791814816551914E-6</v>
      </c>
      <c r="G49" s="266">
        <f t="shared" si="26"/>
        <v>3730365.3427689262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9796748.6719203703</v>
      </c>
      <c r="T49" s="9">
        <f t="shared" si="29"/>
        <v>2.2297686183278056E-7</v>
      </c>
      <c r="U49" s="266">
        <f t="shared" si="30"/>
        <v>21400490.737271693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33874700.130393282</v>
      </c>
      <c r="F50" s="9">
        <f t="shared" si="24"/>
        <v>8.1098047454119484E-8</v>
      </c>
      <c r="G50" s="266">
        <f t="shared" si="26"/>
        <v>93059629.016503453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194333791.7203142</v>
      </c>
      <c r="T50" s="9">
        <f t="shared" si="29"/>
        <v>1.4136357935229506E-8</v>
      </c>
      <c r="U50" s="266">
        <f t="shared" si="30"/>
        <v>533868358.78251451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675239618.9129827</v>
      </c>
      <c r="F51" s="9">
        <f t="shared" si="24"/>
        <v>4.9107079584071449E-9</v>
      </c>
      <c r="G51" s="266">
        <f t="shared" si="26"/>
        <v>2239030138.4874797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3873743060.3046231</v>
      </c>
      <c r="T51" s="9">
        <f t="shared" si="29"/>
        <v>8.559949688989016E-10</v>
      </c>
      <c r="U51" s="266">
        <f t="shared" si="30"/>
        <v>12844962318.327042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13486418312.565489</v>
      </c>
      <c r="F52" s="9">
        <f t="shared" si="24"/>
        <v>2.8825200466445693E-10</v>
      </c>
      <c r="G52" s="266">
        <f t="shared" si="26"/>
        <v>52428277408.703339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77369452405.752533</v>
      </c>
      <c r="T52" s="9">
        <f t="shared" si="29"/>
        <v>5.0245762293276929E-11</v>
      </c>
      <c r="U52" s="266">
        <f t="shared" si="30"/>
        <v>300772749270.93927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269578050994.3627</v>
      </c>
      <c r="F53" s="9">
        <f t="shared" si="24"/>
        <v>1.6545848176130907E-11</v>
      </c>
      <c r="G53" s="266">
        <f t="shared" si="26"/>
        <v>1202425265618.606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1546526713577.9148</v>
      </c>
      <c r="T53" s="9">
        <f t="shared" si="29"/>
        <v>2.8841386729433195E-12</v>
      </c>
      <c r="U53" s="266">
        <f t="shared" si="30"/>
        <v>6898123892137.9424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5390329437819.5566</v>
      </c>
      <c r="F54" s="10">
        <f t="shared" si="24"/>
        <v>9.338794397580473E-13</v>
      </c>
      <c r="G54" s="267">
        <f t="shared" si="26"/>
        <v>27134475496272.617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30923468880099.031</v>
      </c>
      <c r="T54" s="10">
        <f t="shared" si="29"/>
        <v>1.627863243616192E-13</v>
      </c>
      <c r="U54" s="267">
        <f t="shared" si="30"/>
        <v>155666201531128.94</v>
      </c>
    </row>
  </sheetData>
  <mergeCells count="2">
    <mergeCell ref="A18:F18"/>
    <mergeCell ref="O18:T18"/>
  </mergeCells>
  <conditionalFormatting sqref="F45:F54">
    <cfRule type="cellIs" dxfId="762" priority="71" operator="equal">
      <formula>MAX($F$45:$F$54)</formula>
    </cfRule>
  </conditionalFormatting>
  <conditionalFormatting sqref="F21:F30">
    <cfRule type="cellIs" dxfId="761" priority="69" operator="equal">
      <formula>MAX($F$21:$F$30)</formula>
    </cfRule>
  </conditionalFormatting>
  <conditionalFormatting sqref="E33:E42">
    <cfRule type="cellIs" dxfId="760" priority="65" stopIfTrue="1" operator="lessThan">
      <formula>0</formula>
    </cfRule>
    <cfRule type="cellIs" dxfId="759" priority="66" operator="equal">
      <formula>MIN($E$33:$E$42)</formula>
    </cfRule>
  </conditionalFormatting>
  <conditionalFormatting sqref="E21:E30">
    <cfRule type="cellIs" dxfId="758" priority="61" stopIfTrue="1" operator="lessThan">
      <formula>0</formula>
    </cfRule>
    <cfRule type="cellIs" dxfId="757" priority="62" operator="equal">
      <formula>MIN($E$21:$E$30)</formula>
    </cfRule>
  </conditionalFormatting>
  <conditionalFormatting sqref="E45:E54">
    <cfRule type="cellIs" dxfId="756" priority="57" stopIfTrue="1" operator="lessThan">
      <formula>0</formula>
    </cfRule>
    <cfRule type="cellIs" dxfId="755" priority="58" operator="equal">
      <formula>MIN($E$45:$E$54)</formula>
    </cfRule>
  </conditionalFormatting>
  <conditionalFormatting sqref="F33:F42">
    <cfRule type="cellIs" dxfId="754" priority="43" operator="lessThanOrEqual">
      <formula>0</formula>
    </cfRule>
    <cfRule type="cellIs" dxfId="753" priority="44" operator="equal">
      <formula>MAX($F$33:$F$42)</formula>
    </cfRule>
  </conditionalFormatting>
  <conditionalFormatting sqref="R7:R16">
    <cfRule type="cellIs" dxfId="752" priority="29" operator="lessThanOrEqual">
      <formula>0</formula>
    </cfRule>
    <cfRule type="cellIs" dxfId="751" priority="30" operator="greaterThan">
      <formula>0</formula>
    </cfRule>
  </conditionalFormatting>
  <conditionalFormatting sqref="T21:T30">
    <cfRule type="cellIs" dxfId="750" priority="21" operator="equal">
      <formula>MAX($T$21:$T$30)</formula>
    </cfRule>
  </conditionalFormatting>
  <conditionalFormatting sqref="S33:S42">
    <cfRule type="cellIs" dxfId="749" priority="19" stopIfTrue="1" operator="lessThan">
      <formula>0</formula>
    </cfRule>
    <cfRule type="cellIs" dxfId="748" priority="20" operator="equal">
      <formula>MIN($E$21:$E$30)</formula>
    </cfRule>
  </conditionalFormatting>
  <conditionalFormatting sqref="T33:T42">
    <cfRule type="cellIs" dxfId="747" priority="18" operator="equal">
      <formula>MAX($T$21:$T$30)</formula>
    </cfRule>
  </conditionalFormatting>
  <conditionalFormatting sqref="S45:S54">
    <cfRule type="cellIs" dxfId="746" priority="16" stopIfTrue="1" operator="lessThan">
      <formula>0</formula>
    </cfRule>
    <cfRule type="cellIs" dxfId="745" priority="17" operator="equal">
      <formula>MIN($E$21:$E$30)</formula>
    </cfRule>
  </conditionalFormatting>
  <conditionalFormatting sqref="T45:T54">
    <cfRule type="cellIs" dxfId="744" priority="15" operator="equal">
      <formula>MAX($T$21:$T$30)</formula>
    </cfRule>
  </conditionalFormatting>
  <conditionalFormatting sqref="S21:S30">
    <cfRule type="cellIs" dxfId="743" priority="13" stopIfTrue="1" operator="lessThan">
      <formula>0</formula>
    </cfRule>
    <cfRule type="cellIs" dxfId="742" priority="14" operator="equal">
      <formula>MIN($E$21:$E$30)</formula>
    </cfRule>
  </conditionalFormatting>
  <conditionalFormatting sqref="U7:U16">
    <cfRule type="cellIs" dxfId="741" priority="9" operator="lessThanOrEqual">
      <formula>0</formula>
    </cfRule>
    <cfRule type="cellIs" dxfId="740" priority="10" operator="greaterThan">
      <formula>0</formula>
    </cfRule>
  </conditionalFormatting>
  <conditionalFormatting sqref="S7:T16">
    <cfRule type="cellIs" dxfId="739" priority="1" operator="lessThanOrEqual">
      <formula>0</formula>
    </cfRule>
    <cfRule type="cellIs" dxfId="73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35" t="s">
        <v>125</v>
      </c>
      <c r="C2" s="141">
        <f>Analysis!B26</f>
        <v>0.40017763744625984</v>
      </c>
      <c r="D2" s="135" t="s">
        <v>126</v>
      </c>
      <c r="E2" s="141">
        <f>Analysis!G26</f>
        <v>0.59982236255373989</v>
      </c>
      <c r="F2" s="135" t="s">
        <v>47</v>
      </c>
      <c r="G2" s="141">
        <f>Analysis!S26</f>
        <v>0.46856914634837038</v>
      </c>
      <c r="H2" t="s">
        <v>155</v>
      </c>
      <c r="I2" s="155">
        <f>Analysis!T26</f>
        <v>-0.76744516237862448</v>
      </c>
      <c r="J2" t="s">
        <v>48</v>
      </c>
      <c r="K2" s="155">
        <f>C2*G2+E2*I2</f>
        <v>-0.2728198764624834</v>
      </c>
      <c r="L2" t="s">
        <v>47</v>
      </c>
      <c r="M2" s="162">
        <v>2</v>
      </c>
      <c r="N2" t="s">
        <v>155</v>
      </c>
      <c r="O2" s="162">
        <v>3</v>
      </c>
    </row>
    <row r="4" spans="1:23" x14ac:dyDescent="0.2">
      <c r="A4" t="s">
        <v>123</v>
      </c>
      <c r="B4">
        <f>$C$2</f>
        <v>0.40017763744625984</v>
      </c>
      <c r="C4" t="s">
        <v>124</v>
      </c>
      <c r="D4">
        <f>$E$2</f>
        <v>0.59982236255373989</v>
      </c>
      <c r="E4" t="s">
        <v>47</v>
      </c>
      <c r="F4">
        <f>G2</f>
        <v>0.46856914634837038</v>
      </c>
      <c r="G4" t="s">
        <v>155</v>
      </c>
      <c r="H4">
        <f>I2</f>
        <v>-0.76744516237862448</v>
      </c>
      <c r="I4" t="s">
        <v>48</v>
      </c>
      <c r="J4">
        <f>K2</f>
        <v>-0.2728198764624834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0.40017763744625984</v>
      </c>
      <c r="C7" s="95">
        <v>1</v>
      </c>
      <c r="D7" s="22">
        <f>C7*D4</f>
        <v>0.59982236255373989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0.99999999999999978</v>
      </c>
      <c r="R7" s="276">
        <f>B7-D7</f>
        <v>-0.19964472510748005</v>
      </c>
      <c r="S7" s="277">
        <f>IF(Rules!B20=Rules!E20,SUM(C7)*B4*F4,SUM(C7)*B4*F4*POWER(O2,A7-1))</f>
        <v>0.18751089396590162</v>
      </c>
      <c r="T7" s="260">
        <f>IF(Rules!B20=Rules!E20,SUM(C7)*D4*H4,SUM(C7)*D4*H4*POWER(O2,A7-1))</f>
        <v>-0.46033077042838505</v>
      </c>
      <c r="U7" s="274">
        <f>S7+T7</f>
        <v>-0.2728198764624834</v>
      </c>
      <c r="V7" s="108">
        <f>(U7+W7*D7)/B7</f>
        <v>0.81714332709350834</v>
      </c>
      <c r="W7" s="57">
        <f>COUNT(D7:M7)</f>
        <v>1</v>
      </c>
    </row>
    <row r="8" spans="1:23" x14ac:dyDescent="0.2">
      <c r="A8" s="98">
        <v>2</v>
      </c>
      <c r="B8" s="97">
        <f>C8*B4</f>
        <v>0.52657411669269982</v>
      </c>
      <c r="C8" s="97">
        <f>1/(1-B4*D4)</f>
        <v>1.3158509307342638</v>
      </c>
      <c r="D8" s="130">
        <f>C8*D4</f>
        <v>0.78927681404156369</v>
      </c>
      <c r="E8" s="1">
        <f>D8*D4</f>
        <v>0.47342588330729957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0.99999999999999933</v>
      </c>
      <c r="R8" s="278">
        <f>B8-E8</f>
        <v>5.3148233385400256E-2</v>
      </c>
      <c r="S8" s="279">
        <f>IF(Rules!B20=Rules!E20,SUM(C8:D8)*B4*F4,SUM(C8:D8)*B4*F4*POWER(O2,A8-1))</f>
        <v>0.39473438533533783</v>
      </c>
      <c r="T8" s="261">
        <f>IF(Rules!B20=Rules!E20,SUM(C8:D8)*D4*H4,SUM(C8:D8)*D4*H4*POWER(O2,A8-1))</f>
        <v>-0.96905507660282553</v>
      </c>
      <c r="U8" s="275">
        <f>S8+T8+U7</f>
        <v>-0.84714056772997104</v>
      </c>
      <c r="V8" s="93">
        <f>(U8+W8*E8)/B8</f>
        <v>0.1893583366970123</v>
      </c>
      <c r="W8" s="9">
        <f>COUNT(D8:M8)</f>
        <v>2</v>
      </c>
    </row>
    <row r="9" spans="1:23" x14ac:dyDescent="0.2">
      <c r="A9" s="98">
        <v>3</v>
      </c>
      <c r="B9" s="97">
        <f>C9*B4</f>
        <v>0.58492754784531242</v>
      </c>
      <c r="C9" s="97">
        <f>1/(1-D4*B4/(1-D4*B4))</f>
        <v>1.4616697514084924</v>
      </c>
      <c r="D9" s="130">
        <f>C9*D4*C8</f>
        <v>1.1536620445726193</v>
      </c>
      <c r="E9" s="1">
        <f>D9*(D4)</f>
        <v>0.69199229316412647</v>
      </c>
      <c r="F9" s="1">
        <f>E9*D4</f>
        <v>0.41507245215468652</v>
      </c>
      <c r="G9" s="1"/>
      <c r="H9" s="1"/>
      <c r="I9" s="1"/>
      <c r="J9" s="1"/>
      <c r="K9" s="1"/>
      <c r="L9" s="1"/>
      <c r="M9" s="242"/>
      <c r="N9" s="97">
        <f>B9+F9</f>
        <v>0.99999999999999889</v>
      </c>
      <c r="R9" s="278">
        <f>B9-F9</f>
        <v>0.1698550956906259</v>
      </c>
      <c r="S9" s="279">
        <f>IF(Rules!B20=Rules!E20,SUM(C9:E9)*B4*F4,SUM(C9:E9)*B4*F4*POWER(O2,A9-1))</f>
        <v>0.62015929659058489</v>
      </c>
      <c r="T9" s="261">
        <f>IF(Rules!B20=Rules!E20,SUM(C9:E9)*D4*H4,SUM(C9:E9)*D4*H4*POWER(O2,A9-1))</f>
        <v>-1.5224630460125845</v>
      </c>
      <c r="U9" s="275">
        <f t="shared" ref="U9:U16" si="0">S9+T9+U8</f>
        <v>-1.7494443171519707</v>
      </c>
      <c r="V9" s="93">
        <f>(U9+W9*F9)/B9</f>
        <v>-0.86203319119662469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0.61646654063291251</v>
      </c>
      <c r="C10" s="97">
        <f>1/(1-D4*B4/(1-D4*B4/(1-D4*B4)))</f>
        <v>1.5404822332574699</v>
      </c>
      <c r="D10" s="130">
        <f>C10*D4*C9</f>
        <v>1.3506057877360822</v>
      </c>
      <c r="E10" s="1">
        <f>D10*D4*C8</f>
        <v>1.0660018331704313</v>
      </c>
      <c r="F10" s="1">
        <f>E10*D4</f>
        <v>0.63941173805890583</v>
      </c>
      <c r="G10" s="1">
        <f>F10*D4</f>
        <v>0.38353345936708599</v>
      </c>
      <c r="H10" s="1"/>
      <c r="I10" s="1"/>
      <c r="J10" s="1"/>
      <c r="K10" s="1"/>
      <c r="L10" s="1"/>
      <c r="M10" s="242"/>
      <c r="N10" s="97">
        <f>B10+G10</f>
        <v>0.99999999999999845</v>
      </c>
      <c r="R10" s="278">
        <f>B10-G10</f>
        <v>0.23293308126582651</v>
      </c>
      <c r="S10" s="279">
        <f>IF(Rules!B20=Rules!E20,SUM(C10:F10)*B4*F4,SUM(C10:F10)*B4*F4*POWER(O2,A10-1))</f>
        <v>0.86189412267340426</v>
      </c>
      <c r="T10" s="261">
        <f>IF(Rules!B20=Rules!E20,SUM(C10:F10)*D4*H4,SUM(C10:F10)*D4*H4*POWER(O2,A10-1))</f>
        <v>-2.1159111192232611</v>
      </c>
      <c r="U10" s="275">
        <f t="shared" si="0"/>
        <v>-3.0034613137018278</v>
      </c>
      <c r="V10" s="93">
        <f>(U10+W10*G10)/B10</f>
        <v>-2.3834667080632763</v>
      </c>
      <c r="W10" s="9">
        <f t="shared" si="1"/>
        <v>4</v>
      </c>
    </row>
    <row r="11" spans="1:23" x14ac:dyDescent="0.2">
      <c r="A11" s="98">
        <v>5</v>
      </c>
      <c r="B11" s="97">
        <f>C11*B4</f>
        <v>0.6349712043638629</v>
      </c>
      <c r="C11" s="97">
        <f>1/(1-D4*B4/(1-D4*B4/(1-D4*B4/(1-D4*B4))))</f>
        <v>1.5867233571969239</v>
      </c>
      <c r="D11" s="130">
        <f>C11*D4*C10</f>
        <v>1.466157281903878</v>
      </c>
      <c r="E11" s="1">
        <f>D11*D4*C9</f>
        <v>1.2854419661066079</v>
      </c>
      <c r="F11" s="1">
        <f>E11*D4*C8</f>
        <v>1.0145695396439471</v>
      </c>
      <c r="G11" s="1">
        <f>F11*D4</f>
        <v>0.60856149824429262</v>
      </c>
      <c r="H11" s="1">
        <f>G11*D4</f>
        <v>0.36502879563613522</v>
      </c>
      <c r="I11" s="1"/>
      <c r="J11" s="1"/>
      <c r="K11" s="1"/>
      <c r="L11" s="1"/>
      <c r="M11" s="242"/>
      <c r="N11" s="97">
        <f>B11+H11</f>
        <v>0.99999999999999811</v>
      </c>
      <c r="R11" s="278">
        <f>B11-H11</f>
        <v>0.26994240872772768</v>
      </c>
      <c r="S11" s="279">
        <f>IF(Rules!B20=Rules!E20,SUM(C11:G11)*B4*F4,SUM(C11:G11)*B4*F4*POWER(O2,A11-1))</f>
        <v>1.1178375019531461</v>
      </c>
      <c r="T11" s="261">
        <f>IF(Rules!B20=Rules!E20,SUM(C11:G11)*D4*H4,SUM(C11:G11)*D4*H4*POWER(O2,A11-1))</f>
        <v>-2.7442405483993233</v>
      </c>
      <c r="U11" s="275">
        <f t="shared" si="0"/>
        <v>-4.6298643601480052</v>
      </c>
      <c r="V11" s="93">
        <f>(U11+W11*H11)/B11</f>
        <v>-4.4170827947657862</v>
      </c>
      <c r="W11" s="9">
        <f t="shared" si="1"/>
        <v>5</v>
      </c>
    </row>
    <row r="12" spans="1:23" x14ac:dyDescent="0.2">
      <c r="A12" s="98">
        <v>6</v>
      </c>
      <c r="B12" s="97">
        <f>C12*B4</f>
        <v>0.64635470883290447</v>
      </c>
      <c r="C12" s="97">
        <f>1/(1-D4*B4/(1-D4*B4/(1-D4*B4/(1-D4*B4/(1-D4*B4)))))</f>
        <v>1.6151694856255028</v>
      </c>
      <c r="D12" s="130">
        <f>C12*D4*C11</f>
        <v>1.5372410351343393</v>
      </c>
      <c r="E12" s="1">
        <f>D12*D4*C10</f>
        <v>1.4204348398105475</v>
      </c>
      <c r="F12" s="1">
        <f>E12*D4*C9</f>
        <v>1.2453551714734115</v>
      </c>
      <c r="G12" s="1">
        <f>F12*D4*C8</f>
        <v>0.98292996209071937</v>
      </c>
      <c r="H12" s="1">
        <f>G12*D4</f>
        <v>0.58958337208611322</v>
      </c>
      <c r="I12" s="1">
        <f>H12*D4</f>
        <v>0.35364529116709315</v>
      </c>
      <c r="J12" s="1"/>
      <c r="K12" s="1"/>
      <c r="L12" s="1"/>
      <c r="M12" s="242"/>
      <c r="N12" s="97">
        <f>B12+I12</f>
        <v>0.99999999999999756</v>
      </c>
      <c r="R12" s="278">
        <f>B12-I12</f>
        <v>0.29270941766581132</v>
      </c>
      <c r="S12" s="279">
        <f>IF(Rules!B20=Rules!E20,SUM(C12:H12)*B4*F4,SUM(C12:H12)*B4*F4*POWER(O2,A12-1))</f>
        <v>1.3858393641012161</v>
      </c>
      <c r="T12" s="261">
        <f>IF(Rules!B20=Rules!E20,SUM(C12:H12)*D4*H4,SUM(C12:H12)*D4*H4*POWER(O2,A12-1))</f>
        <v>-3.4021730080530923</v>
      </c>
      <c r="U12" s="275">
        <f t="shared" si="0"/>
        <v>-6.6461980040998814</v>
      </c>
      <c r="V12" s="93">
        <f>(U12+W12*I12)/B12</f>
        <v>-6.9997575561361778</v>
      </c>
      <c r="W12" s="9">
        <f t="shared" si="1"/>
        <v>6</v>
      </c>
    </row>
    <row r="13" spans="1:23" x14ac:dyDescent="0.2">
      <c r="A13" s="98">
        <v>7</v>
      </c>
      <c r="B13" s="97">
        <f>C13*B4</f>
        <v>0.65356252797062186</v>
      </c>
      <c r="C13" s="97">
        <f>1/(1-D4*B4/(1-D4*B4/(1-D4*B4/(1-D4*B4/(1-D4*B4/(1-D4*B4))))))</f>
        <v>1.633181034655864</v>
      </c>
      <c r="D13" s="130">
        <f>C13*D4*C12</f>
        <v>1.582249919552025</v>
      </c>
      <c r="E13" s="1">
        <f>D13*D4*C11</f>
        <v>1.5059097672535766</v>
      </c>
      <c r="F13" s="1">
        <f>E13*D4*C10</f>
        <v>1.391484256618899</v>
      </c>
      <c r="G13" s="1">
        <f>F13*D4*C9</f>
        <v>1.2199729733715263</v>
      </c>
      <c r="H13" s="1">
        <f>G13*D4*C8</f>
        <v>0.96289638163949176</v>
      </c>
      <c r="I13" s="1">
        <f>H13*D4</f>
        <v>0.57756678252944749</v>
      </c>
      <c r="J13" s="1">
        <f>I13*D4</f>
        <v>0.3464374720293753</v>
      </c>
      <c r="K13" s="1"/>
      <c r="L13" s="1"/>
      <c r="M13" s="242"/>
      <c r="N13" s="97">
        <f>B13+J13</f>
        <v>0.99999999999999711</v>
      </c>
      <c r="R13" s="278">
        <f>B13-J13</f>
        <v>0.30712505594124656</v>
      </c>
      <c r="S13" s="279">
        <f>IF(Rules!B20=Rules!E20,SUM(C13:I13)*B4*F4,SUM(C13:I13)*B4*F4*POWER(O2,A13-1))</f>
        <v>1.6638331241829356</v>
      </c>
      <c r="T13" s="261">
        <f>IF(Rules!B20=Rules!E20,SUM(C13:I13)*D4*H4,SUM(C13:I13)*D4*H4*POWER(O2,A13-1))</f>
        <v>-4.0846351255659696</v>
      </c>
      <c r="U13" s="275">
        <f t="shared" si="0"/>
        <v>-9.0670000054829156</v>
      </c>
      <c r="V13" s="93">
        <f>(U13+W13*J13)/B13</f>
        <v>-10.162666029677652</v>
      </c>
      <c r="W13" s="9">
        <f t="shared" si="1"/>
        <v>7</v>
      </c>
    </row>
    <row r="14" spans="1:23" x14ac:dyDescent="0.2">
      <c r="A14" s="98">
        <v>8</v>
      </c>
      <c r="B14" s="97">
        <f>C14*B4</f>
        <v>0.65821009218049198</v>
      </c>
      <c r="C14" s="97">
        <f>1/(1-D4*B4/(1-D4*B4/(1-D4*B4/(1-D4*B4/(1-D4*B4/(1-D4*B4/(1-D4*B4)))))))</f>
        <v>1.6447947875870088</v>
      </c>
      <c r="D14" s="130">
        <f>C14*D4*C13</f>
        <v>1.6112714136196549</v>
      </c>
      <c r="E14" s="1">
        <f>D14*D4*C12</f>
        <v>1.5610235549382196</v>
      </c>
      <c r="F14" s="1">
        <f>E14*D4*C11</f>
        <v>1.4857075290355681</v>
      </c>
      <c r="G14" s="1">
        <f>F14*D4*C10</f>
        <v>1.3728170714793195</v>
      </c>
      <c r="H14" s="1">
        <f>G14*D4*C9</f>
        <v>1.2036066643379295</v>
      </c>
      <c r="I14" s="1">
        <f>H14*D4*C8</f>
        <v>0.94997883338783473</v>
      </c>
      <c r="J14" s="1">
        <f>I14*D4</f>
        <v>0.56981854821873668</v>
      </c>
      <c r="K14" s="1">
        <f>J14*D4</f>
        <v>0.3417899078195048</v>
      </c>
      <c r="L14" s="1"/>
      <c r="M14" s="242"/>
      <c r="N14" s="97">
        <f>B14+K14</f>
        <v>0.99999999999999678</v>
      </c>
      <c r="R14" s="278">
        <f>B14-K14</f>
        <v>0.31642018436098718</v>
      </c>
      <c r="S14" s="279">
        <f>IF(Rules!B20=Rules!E20,SUM(C14:J14)*B4*F4,SUM(C14:J14)*B4*F4*POWER(O2,A14-1))</f>
        <v>1.9499292370401891</v>
      </c>
      <c r="T14" s="261">
        <f>IF(Rules!B20=Rules!E20,SUM(C14:J14)*D4*H4,SUM(C14:J14)*D4*H4*POWER(O2,A14-1))</f>
        <v>-4.7869881529697782</v>
      </c>
      <c r="U14" s="275">
        <f t="shared" si="0"/>
        <v>-11.904058921412505</v>
      </c>
      <c r="V14" s="93">
        <f>(U14+W14*K14)/B14</f>
        <v>-13.931326437854091</v>
      </c>
      <c r="W14" s="9">
        <f t="shared" si="1"/>
        <v>8</v>
      </c>
    </row>
    <row r="15" spans="1:23" x14ac:dyDescent="0.2">
      <c r="A15" s="98">
        <v>9</v>
      </c>
      <c r="B15" s="97">
        <f>C15*B4</f>
        <v>0.66124202952926336</v>
      </c>
      <c r="C15" s="97">
        <f>1/(1-D4*B4/(1-D4*B4/(1-D4*B4/(1-D4*B4/(1-D4*B4/(1-D4*B4/(1-D4*B4/(1-D4*B4))))))))</f>
        <v>1.6523712662931149</v>
      </c>
      <c r="D15" s="130">
        <f>C15*D4*C14</f>
        <v>1.6302042024542724</v>
      </c>
      <c r="E15" s="1">
        <f>D15*D4*C13</f>
        <v>1.5969782064002598</v>
      </c>
      <c r="F15" s="1">
        <f>E15*D4*C12</f>
        <v>1.547176084576311</v>
      </c>
      <c r="G15" s="1">
        <f>F15*D4*C11</f>
        <v>1.4725281693073293</v>
      </c>
      <c r="H15" s="1">
        <f>G15*D4*C10</f>
        <v>1.3606391362716828</v>
      </c>
      <c r="I15" s="1">
        <f>H15*D4*C9</f>
        <v>1.1929297545891366</v>
      </c>
      <c r="J15" s="1">
        <f>I15*D4*C8</f>
        <v>0.94155179607749817</v>
      </c>
      <c r="K15" s="1">
        <f>J15*D4</f>
        <v>0.5647638227899221</v>
      </c>
      <c r="L15" s="1">
        <f>K15*D4</f>
        <v>0.33875797047073275</v>
      </c>
      <c r="M15" s="242"/>
      <c r="N15" s="97">
        <f>B15+L15</f>
        <v>0.99999999999999611</v>
      </c>
      <c r="R15" s="278">
        <f>B15-L15</f>
        <v>0.32248405905853061</v>
      </c>
      <c r="S15" s="279">
        <f>IF(Rules!B20=Rules!E20,SUM(C15:K15)*B4*F4,SUM(C15:K15)*B4*F4*POWER(O2,A15-1))</f>
        <v>2.2424694897573518</v>
      </c>
      <c r="T15" s="261">
        <f>IF(Rules!B20=Rules!E20,SUM(C15:K15)*D4*H4,SUM(C15:K15)*D4*H4*POWER(O2,A15-1))</f>
        <v>-5.5051612524969684</v>
      </c>
      <c r="U15" s="275">
        <f t="shared" si="0"/>
        <v>-15.16675068415212</v>
      </c>
      <c r="V15" s="93">
        <f>(U15+W15*L15)/B15</f>
        <v>-18.32601136764136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0.66323507863088149</v>
      </c>
      <c r="C16" s="131">
        <f>1/(1-D4*B4/(1-D4*B4/(1-D4*B4/(1-D4*B4/(1-D4*B4/(1-D4*B4/(1-D4*B4/(1-D4*B4/(1-D4*B4)))))))))</f>
        <v>1.6573516772784382</v>
      </c>
      <c r="D16" s="139">
        <f>C16*D4*C15</f>
        <v>1.6426497029502669</v>
      </c>
      <c r="E16" s="110">
        <f>D16*D4*C14</f>
        <v>1.6206130568447936</v>
      </c>
      <c r="F16" s="110">
        <f>E16*D4*C13</f>
        <v>1.5875825426609014</v>
      </c>
      <c r="G16" s="110">
        <f>F16*D4*C12</f>
        <v>1.5380734267078462</v>
      </c>
      <c r="H16" s="110">
        <f>G16*D4*C11</f>
        <v>1.4638646950845153</v>
      </c>
      <c r="I16" s="110">
        <f>H16*D4*C10</f>
        <v>1.3526339501371543</v>
      </c>
      <c r="J16" s="110">
        <f>I16*D4*C9</f>
        <v>1.1859112700576167</v>
      </c>
      <c r="K16" s="110">
        <f>J16*D4*C8</f>
        <v>0.93601226896706002</v>
      </c>
      <c r="L16" s="110">
        <f>K16*D4</f>
        <v>0.56144109055110858</v>
      </c>
      <c r="M16" s="244">
        <f>L16*D4</f>
        <v>0.33676492136911418</v>
      </c>
      <c r="N16" s="131">
        <f>B16+M16</f>
        <v>0.99999999999999567</v>
      </c>
      <c r="R16" s="280">
        <f>B16-M16</f>
        <v>0.32647015726176731</v>
      </c>
      <c r="S16" s="281">
        <f>IF(Rules!B20=Rules!E20,SUM(C16:L16)*B4*F4,SUM(C16:L16)*B4*F4*POWER(O2,A16-1))</f>
        <v>2.5400476363508662</v>
      </c>
      <c r="T16" s="262">
        <f>IF(Rules!B20=Rules!E20,SUM(C16:L16)*D4*H4,SUM(C16:L16)*D4*H4*POWER(O2,A16-1))</f>
        <v>-6.2357021538109674</v>
      </c>
      <c r="U16" s="275">
        <f t="shared" si="0"/>
        <v>-18.862405201612223</v>
      </c>
      <c r="V16" s="94">
        <f>(U16+W16*M16)/B16</f>
        <v>-23.362389124391552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3</v>
      </c>
      <c r="D21" s="57">
        <f>SUM($C$21:C21)</f>
        <v>3</v>
      </c>
      <c r="E21" s="57">
        <f t="shared" ref="E21:E30" si="3">D21/R7</f>
        <v>-15.026693033762502</v>
      </c>
      <c r="F21" s="8">
        <f t="shared" ref="F21:F30" si="4">U7/E21</f>
        <v>1.8155683080069721E-2</v>
      </c>
      <c r="G21" s="265">
        <f>E21*U7</f>
        <v>4.0995805371107457</v>
      </c>
      <c r="O21" s="100">
        <v>1</v>
      </c>
      <c r="P21" s="108">
        <v>1</v>
      </c>
      <c r="Q21" s="109">
        <f>P21*3+3</f>
        <v>6</v>
      </c>
      <c r="R21" s="57">
        <f>SUM($Q$21)</f>
        <v>6</v>
      </c>
      <c r="S21" s="260">
        <f>R21/R7</f>
        <v>-30.053386067525004</v>
      </c>
      <c r="T21" s="8">
        <f>U7/S21</f>
        <v>9.0778415400348603E-3</v>
      </c>
      <c r="U21" s="265">
        <f>S21*U7</f>
        <v>8.1991610742214913</v>
      </c>
    </row>
    <row r="22" spans="1:21" x14ac:dyDescent="0.2">
      <c r="A22" s="97">
        <v>2</v>
      </c>
      <c r="B22" s="93">
        <f>C21</f>
        <v>3</v>
      </c>
      <c r="C22" s="1">
        <f t="shared" si="2"/>
        <v>9</v>
      </c>
      <c r="D22" s="9">
        <f>SUM($C$21:C22)</f>
        <v>12</v>
      </c>
      <c r="E22" s="9">
        <f t="shared" si="3"/>
        <v>225.78361002110717</v>
      </c>
      <c r="F22" s="9">
        <f t="shared" si="4"/>
        <v>-3.7520020503294146E-3</v>
      </c>
      <c r="G22" s="266">
        <f t="shared" ref="G22:G30" si="5">E22*U8</f>
        <v>-191.27045557740311</v>
      </c>
      <c r="O22" s="98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261">
        <f t="shared" ref="S22:S30" si="6">R22/R8</f>
        <v>508.01312254749115</v>
      </c>
      <c r="T22" s="9">
        <f>U8/S22</f>
        <v>-1.6675564668130729E-3</v>
      </c>
      <c r="U22" s="266">
        <f t="shared" ref="U22:U30" si="7">S22*U8</f>
        <v>-430.35852504915698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2"/>
        <v>27</v>
      </c>
      <c r="D23" s="9">
        <f>SUM($C$21:C23)</f>
        <v>39</v>
      </c>
      <c r="E23" s="9">
        <f t="shared" si="3"/>
        <v>229.60747713471375</v>
      </c>
      <c r="F23" s="9">
        <f t="shared" si="4"/>
        <v>-7.6192828691094786E-3</v>
      </c>
      <c r="G23" s="266">
        <f t="shared" si="5"/>
        <v>-401.68549604892604</v>
      </c>
      <c r="O23" s="98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261">
        <f t="shared" si="6"/>
        <v>547.5255223981635</v>
      </c>
      <c r="T23" s="9">
        <f t="shared" ref="T23:T30" si="11">U9/S23</f>
        <v>-3.1951831386588139E-3</v>
      </c>
      <c r="U23" s="266">
        <f t="shared" si="7"/>
        <v>-957.86541365513119</v>
      </c>
    </row>
    <row r="24" spans="1:21" x14ac:dyDescent="0.2">
      <c r="A24" s="97">
        <v>4</v>
      </c>
      <c r="B24" s="93">
        <f t="shared" si="8"/>
        <v>27</v>
      </c>
      <c r="C24" s="1">
        <f t="shared" si="2"/>
        <v>81</v>
      </c>
      <c r="D24" s="9">
        <f>SUM($C$21:C24)</f>
        <v>120</v>
      </c>
      <c r="E24" s="9">
        <f t="shared" si="3"/>
        <v>515.16941839211881</v>
      </c>
      <c r="F24" s="9">
        <f t="shared" si="4"/>
        <v>-5.8300458188606163E-3</v>
      </c>
      <c r="G24" s="266">
        <f t="shared" si="5"/>
        <v>-1547.2914181429996</v>
      </c>
      <c r="O24" s="98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261">
        <f t="shared" si="6"/>
        <v>1262.1650750606912</v>
      </c>
      <c r="T24" s="9">
        <f t="shared" si="11"/>
        <v>-2.3796105383104556E-3</v>
      </c>
      <c r="U24" s="266">
        <f t="shared" si="7"/>
        <v>-3790.8639744503494</v>
      </c>
    </row>
    <row r="25" spans="1:21" x14ac:dyDescent="0.2">
      <c r="A25" s="97">
        <v>5</v>
      </c>
      <c r="B25" s="93">
        <f t="shared" si="8"/>
        <v>81</v>
      </c>
      <c r="C25" s="1">
        <f t="shared" si="2"/>
        <v>243</v>
      </c>
      <c r="D25" s="9">
        <f>SUM($C$21:C25)</f>
        <v>363</v>
      </c>
      <c r="E25" s="9">
        <f t="shared" si="3"/>
        <v>1344.7312769818732</v>
      </c>
      <c r="F25" s="9">
        <f t="shared" si="4"/>
        <v>-3.4429662189008601E-3</v>
      </c>
      <c r="G25" s="266">
        <f t="shared" si="5"/>
        <v>-6225.9234132746906</v>
      </c>
      <c r="O25" s="98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261">
        <f t="shared" si="6"/>
        <v>3334.0444883848095</v>
      </c>
      <c r="T25" s="9">
        <f t="shared" si="11"/>
        <v>-1.388663041623347E-3</v>
      </c>
      <c r="U25" s="266">
        <f t="shared" si="7"/>
        <v>-15436.17375192072</v>
      </c>
    </row>
    <row r="26" spans="1:21" x14ac:dyDescent="0.2">
      <c r="A26" s="97">
        <v>6</v>
      </c>
      <c r="B26" s="93">
        <f t="shared" si="8"/>
        <v>243</v>
      </c>
      <c r="C26" s="1">
        <f t="shared" si="2"/>
        <v>729</v>
      </c>
      <c r="D26" s="9">
        <f>SUM($C$21:C26)</f>
        <v>1092</v>
      </c>
      <c r="E26" s="9">
        <f t="shared" si="3"/>
        <v>3730.6623364156499</v>
      </c>
      <c r="F26" s="9">
        <f t="shared" si="4"/>
        <v>-1.7815061790034375E-3</v>
      </c>
      <c r="G26" s="266">
        <f t="shared" si="5"/>
        <v>-24794.720574256291</v>
      </c>
      <c r="O26" s="98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261">
        <f t="shared" si="6"/>
        <v>9295.9086239807548</v>
      </c>
      <c r="T26" s="9">
        <f t="shared" si="11"/>
        <v>-7.1495948087899801E-4</v>
      </c>
      <c r="U26" s="266">
        <f t="shared" si="7"/>
        <v>-61782.449342995766</v>
      </c>
    </row>
    <row r="27" spans="1:21" x14ac:dyDescent="0.2">
      <c r="A27" s="97">
        <v>7</v>
      </c>
      <c r="B27" s="93">
        <f t="shared" si="8"/>
        <v>729</v>
      </c>
      <c r="C27" s="1">
        <f t="shared" si="2"/>
        <v>2187</v>
      </c>
      <c r="D27" s="9">
        <f>SUM($C$21:C27)</f>
        <v>3279</v>
      </c>
      <c r="E27" s="9">
        <f t="shared" si="3"/>
        <v>10676.432731777108</v>
      </c>
      <c r="F27" s="9">
        <f t="shared" si="4"/>
        <v>-8.4925370048893661E-4</v>
      </c>
      <c r="G27" s="266">
        <f t="shared" si="5"/>
        <v>-96803.215637561021</v>
      </c>
      <c r="O27" s="98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261">
        <f t="shared" si="6"/>
        <v>26656.89380148191</v>
      </c>
      <c r="T27" s="9">
        <f t="shared" si="11"/>
        <v>-3.4013715450143195E-4</v>
      </c>
      <c r="U27" s="266">
        <f t="shared" si="7"/>
        <v>-241698.05624419398</v>
      </c>
    </row>
    <row r="28" spans="1:21" x14ac:dyDescent="0.2">
      <c r="A28" s="97">
        <v>8</v>
      </c>
      <c r="B28" s="93">
        <f t="shared" si="8"/>
        <v>2187</v>
      </c>
      <c r="C28" s="1">
        <f t="shared" si="2"/>
        <v>6561</v>
      </c>
      <c r="D28" s="9">
        <f>SUM($C$21:C28)</f>
        <v>9840</v>
      </c>
      <c r="E28" s="9">
        <f t="shared" si="3"/>
        <v>31097.889724930003</v>
      </c>
      <c r="F28" s="9">
        <f t="shared" si="4"/>
        <v>-3.8279314212981695E-4</v>
      </c>
      <c r="G28" s="266">
        <f t="shared" si="5"/>
        <v>-370191.11161715526</v>
      </c>
      <c r="O28" s="98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261">
        <f t="shared" si="6"/>
        <v>77706.80005656289</v>
      </c>
      <c r="T28" s="9">
        <f t="shared" si="11"/>
        <v>-1.531919846493167E-4</v>
      </c>
      <c r="U28" s="266">
        <f t="shared" si="7"/>
        <v>-925026.32646774524</v>
      </c>
    </row>
    <row r="29" spans="1:21" x14ac:dyDescent="0.2">
      <c r="A29" s="97">
        <v>9</v>
      </c>
      <c r="B29" s="93">
        <f t="shared" si="8"/>
        <v>6561</v>
      </c>
      <c r="C29" s="1">
        <f t="shared" si="2"/>
        <v>19683</v>
      </c>
      <c r="D29" s="9">
        <f>SUM($C$21:C29)</f>
        <v>29523</v>
      </c>
      <c r="E29" s="9">
        <f t="shared" si="3"/>
        <v>91548.711233015085</v>
      </c>
      <c r="F29" s="9">
        <f t="shared" si="4"/>
        <v>-1.6566864218928027E-4</v>
      </c>
      <c r="G29" s="266">
        <f t="shared" si="5"/>
        <v>-1388496.4787265765</v>
      </c>
      <c r="O29" s="98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261">
        <f t="shared" si="6"/>
        <v>228829.91554818666</v>
      </c>
      <c r="T29" s="9">
        <f t="shared" si="11"/>
        <v>-6.6279579957098439E-5</v>
      </c>
      <c r="U29" s="266">
        <f t="shared" si="7"/>
        <v>-3470606.2781949318</v>
      </c>
    </row>
    <row r="30" spans="1:21" ht="17" thickBot="1" x14ac:dyDescent="0.25">
      <c r="A30" s="131">
        <v>10</v>
      </c>
      <c r="B30" s="94">
        <f t="shared" si="8"/>
        <v>19683</v>
      </c>
      <c r="C30" s="110">
        <f t="shared" si="2"/>
        <v>59049</v>
      </c>
      <c r="D30" s="10">
        <f>SUM($C$21:C30)</f>
        <v>88572</v>
      </c>
      <c r="E30" s="10">
        <f t="shared" si="3"/>
        <v>271301.97976711852</v>
      </c>
      <c r="F30" s="10">
        <f t="shared" si="4"/>
        <v>-6.9525497815399006E-5</v>
      </c>
      <c r="G30" s="267">
        <f t="shared" si="5"/>
        <v>-5117407.8743669903</v>
      </c>
      <c r="O30" s="99">
        <v>10</v>
      </c>
      <c r="P30" s="94">
        <f t="shared" si="9"/>
        <v>49206</v>
      </c>
      <c r="Q30" s="110">
        <f t="shared" si="10"/>
        <v>147621</v>
      </c>
      <c r="R30" s="10">
        <f>SUM($Q$21:Q30)</f>
        <v>221415</v>
      </c>
      <c r="S30" s="262">
        <f t="shared" si="6"/>
        <v>678209.0034111971</v>
      </c>
      <c r="T30" s="10">
        <f t="shared" si="11"/>
        <v>-2.7812083158347539E-5</v>
      </c>
      <c r="U30" s="267">
        <f t="shared" si="7"/>
        <v>-12792653.033723606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3</v>
      </c>
      <c r="D33" s="57">
        <f>SUM($C$33:C33)</f>
        <v>3</v>
      </c>
      <c r="E33" s="9">
        <f t="shared" ref="E33:E42" si="13">D33/R7</f>
        <v>-15.026693033762502</v>
      </c>
      <c r="F33" s="8">
        <f t="shared" ref="F33:F42" si="14">U7/E33</f>
        <v>1.8155683080069721E-2</v>
      </c>
      <c r="G33" s="268">
        <f>E33*U7</f>
        <v>4.0995805371107457</v>
      </c>
      <c r="O33" s="100">
        <v>1</v>
      </c>
      <c r="P33" s="108">
        <v>1</v>
      </c>
      <c r="Q33" s="109">
        <f>P33*3+3</f>
        <v>6</v>
      </c>
      <c r="R33" s="57">
        <f>SUM($Q$21)</f>
        <v>6</v>
      </c>
      <c r="S33" s="260">
        <f>R33/R7</f>
        <v>-30.053386067525004</v>
      </c>
      <c r="T33" s="8">
        <f>U7/S33</f>
        <v>9.0778415400348603E-3</v>
      </c>
      <c r="U33" s="268">
        <f>S33*U7</f>
        <v>8.1991610742214913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282.22951252638399</v>
      </c>
      <c r="F34" s="9">
        <f t="shared" si="14"/>
        <v>-3.0016016402635314E-3</v>
      </c>
      <c r="G34" s="266">
        <f t="shared" ref="G34:G42" si="16">E34*U8</f>
        <v>-239.0880694717539</v>
      </c>
      <c r="O34" s="98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61">
        <f>R34/R8</f>
        <v>564.45902505276797</v>
      </c>
      <c r="T34" s="9">
        <f t="shared" ref="T34:T42" si="18">U8/S34</f>
        <v>-1.5008008201317657E-3</v>
      </c>
      <c r="U34" s="266">
        <f t="shared" ref="U34:U42" si="19">S34*U8</f>
        <v>-478.17613894350779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370.90438614069143</v>
      </c>
      <c r="F35" s="9">
        <f t="shared" si="14"/>
        <v>-4.7166989189725344E-3</v>
      </c>
      <c r="G35" s="266">
        <f t="shared" si="16"/>
        <v>-648.87657054057274</v>
      </c>
      <c r="O35" s="98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61">
        <f t="shared" ref="S35:S42" si="21">R35/R9</f>
        <v>635.83609052689962</v>
      </c>
      <c r="T35" s="9">
        <f t="shared" si="18"/>
        <v>-2.7514077027339782E-3</v>
      </c>
      <c r="U35" s="266">
        <f t="shared" si="19"/>
        <v>-1112.3598352124104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1094.7350140832525</v>
      </c>
      <c r="F36" s="9">
        <f t="shared" si="14"/>
        <v>-2.7435509735814663E-3</v>
      </c>
      <c r="G36" s="266">
        <f t="shared" si="16"/>
        <v>-3287.9942635538746</v>
      </c>
      <c r="O36" s="98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61">
        <f t="shared" si="21"/>
        <v>1493.9913133371447</v>
      </c>
      <c r="T36" s="9">
        <f t="shared" si="18"/>
        <v>-2.0103606271933156E-3</v>
      </c>
      <c r="U36" s="266">
        <f t="shared" si="19"/>
        <v>-4487.1451126146994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3789.6972351307336</v>
      </c>
      <c r="F37" s="9">
        <f t="shared" si="14"/>
        <v>-1.2216976905777244E-3</v>
      </c>
      <c r="G37" s="266">
        <f t="shared" si="16"/>
        <v>-17545.784164683217</v>
      </c>
      <c r="O37" s="98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61">
        <f t="shared" si="21"/>
        <v>3978.6264228058731</v>
      </c>
      <c r="T37" s="9">
        <f t="shared" si="18"/>
        <v>-1.16368411309219E-3</v>
      </c>
      <c r="U37" s="266">
        <f t="shared" si="19"/>
        <v>-18420.500677292061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13989.983761558688</v>
      </c>
      <c r="F38" s="9">
        <f t="shared" si="14"/>
        <v>-4.7506831440091669E-4</v>
      </c>
      <c r="G38" s="266">
        <f t="shared" si="16"/>
        <v>-92980.202153461098</v>
      </c>
      <c r="O38" s="98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61">
        <f t="shared" si="21"/>
        <v>11130.492575130209</v>
      </c>
      <c r="T38" s="9">
        <f t="shared" si="18"/>
        <v>-5.9711625152601407E-4</v>
      </c>
      <c r="U38" s="266">
        <f t="shared" si="19"/>
        <v>-73975.457537478942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53343.091626930269</v>
      </c>
      <c r="F39" s="9">
        <f t="shared" si="14"/>
        <v>-1.6997515008870313E-4</v>
      </c>
      <c r="G39" s="266">
        <f t="shared" si="16"/>
        <v>-483661.8120738524</v>
      </c>
      <c r="O39" s="98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61">
        <f t="shared" si="21"/>
        <v>31960.922139409602</v>
      </c>
      <c r="T39" s="9">
        <f t="shared" si="18"/>
        <v>-2.8369018784670164E-4</v>
      </c>
      <c r="U39" s="266">
        <f t="shared" si="19"/>
        <v>-289789.68121326593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207113.84178082191</v>
      </c>
      <c r="F40" s="9">
        <f t="shared" si="14"/>
        <v>-5.7475921546614769E-5</v>
      </c>
      <c r="G40" s="266">
        <f t="shared" si="16"/>
        <v>-2465495.3759990111</v>
      </c>
      <c r="O40" s="98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61">
        <f t="shared" si="21"/>
        <v>93217.820663265782</v>
      </c>
      <c r="T40" s="9">
        <f t="shared" si="18"/>
        <v>-1.2770153643061429E-4</v>
      </c>
      <c r="U40" s="266">
        <f t="shared" si="19"/>
        <v>-1109670.42970118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812886.69202846161</v>
      </c>
      <c r="F41" s="9">
        <f t="shared" si="14"/>
        <v>-1.865789024827717E-5</v>
      </c>
      <c r="G41" s="266">
        <f t="shared" si="16"/>
        <v>-12328849.792460823</v>
      </c>
      <c r="O41" s="98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61">
        <f t="shared" si="21"/>
        <v>274562.40863034315</v>
      </c>
      <c r="T41" s="9">
        <f t="shared" si="18"/>
        <v>-5.5239720396581531E-5</v>
      </c>
      <c r="U41" s="266">
        <f t="shared" si="19"/>
        <v>-4164219.598936711</v>
      </c>
    </row>
    <row r="42" spans="1:21" ht="17" thickBot="1" x14ac:dyDescent="0.25">
      <c r="A42" s="131">
        <v>10</v>
      </c>
      <c r="B42" s="94">
        <f t="shared" si="15"/>
        <v>262144</v>
      </c>
      <c r="C42" s="110">
        <f t="shared" si="12"/>
        <v>786432</v>
      </c>
      <c r="D42" s="10">
        <f>SUM($C$33:C42)</f>
        <v>1048575</v>
      </c>
      <c r="E42" s="9">
        <f t="shared" si="13"/>
        <v>3211855.591318998</v>
      </c>
      <c r="F42" s="10">
        <f t="shared" si="14"/>
        <v>-5.872743859528904E-6</v>
      </c>
      <c r="G42" s="267">
        <f t="shared" si="16"/>
        <v>-60583321.612522773</v>
      </c>
      <c r="O42" s="99">
        <v>10</v>
      </c>
      <c r="P42" s="94">
        <f t="shared" si="20"/>
        <v>59047</v>
      </c>
      <c r="Q42" s="110">
        <f t="shared" si="17"/>
        <v>177144</v>
      </c>
      <c r="R42" s="10">
        <f>SUM($Q$33:Q42)</f>
        <v>265686</v>
      </c>
      <c r="S42" s="262">
        <f t="shared" si="21"/>
        <v>813814.04728815716</v>
      </c>
      <c r="T42" s="10">
        <f t="shared" si="18"/>
        <v>-2.3177782768025113E-5</v>
      </c>
      <c r="U42" s="267">
        <f t="shared" si="19"/>
        <v>-15350490.318713231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3</v>
      </c>
      <c r="D45" s="57">
        <f>SUM(C45:C45)</f>
        <v>3</v>
      </c>
      <c r="E45" s="57">
        <f t="shared" ref="E45:E54" si="23">D45/R7</f>
        <v>-15.026693033762502</v>
      </c>
      <c r="F45" s="8">
        <f t="shared" ref="F45:F54" si="24">U7/E45</f>
        <v>1.8155683080069721E-2</v>
      </c>
      <c r="G45" s="265">
        <f>E45*U7</f>
        <v>4.0995805371107457</v>
      </c>
      <c r="O45" s="100">
        <v>1</v>
      </c>
      <c r="P45" s="108">
        <v>1</v>
      </c>
      <c r="Q45" s="109">
        <f>P45*3+3</f>
        <v>6</v>
      </c>
      <c r="R45" s="57">
        <f>SUM($Q$21)</f>
        <v>6</v>
      </c>
      <c r="S45" s="260">
        <f>R45/R7</f>
        <v>-30.053386067525004</v>
      </c>
      <c r="T45" s="8">
        <f>U7/S45</f>
        <v>9.0778415400348603E-3</v>
      </c>
      <c r="U45" s="268">
        <f>S45*U7</f>
        <v>8.1991610742214913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395.12131753693757</v>
      </c>
      <c r="F46" s="9">
        <f t="shared" si="24"/>
        <v>-2.144001171616808E-3</v>
      </c>
      <c r="G46" s="266">
        <f t="shared" ref="G46:G54" si="26">E46*U8</f>
        <v>-334.72329726045547</v>
      </c>
      <c r="O46" s="98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61">
        <f t="shared" ref="S46:S54" si="28">R46/R8</f>
        <v>846.6885375791519</v>
      </c>
      <c r="T46" s="9">
        <f t="shared" ref="T46:T54" si="29">U8/S46</f>
        <v>-1.0005338800878438E-3</v>
      </c>
      <c r="U46" s="266">
        <f t="shared" ref="U46:U54" si="30">S46*U8</f>
        <v>-717.26420841526169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759.47088590713008</v>
      </c>
      <c r="F47" s="9">
        <f t="shared" si="24"/>
        <v>-2.3035041232191446E-3</v>
      </c>
      <c r="G47" s="266">
        <f t="shared" si="26"/>
        <v>-1328.6520253926014</v>
      </c>
      <c r="O47" s="98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61">
        <f t="shared" si="28"/>
        <v>1660.2386808202377</v>
      </c>
      <c r="T47" s="9">
        <f t="shared" si="29"/>
        <v>-1.0537306095576939E-3</v>
      </c>
      <c r="U47" s="266">
        <f t="shared" si="30"/>
        <v>-2904.4951252768492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3335.7219840889697</v>
      </c>
      <c r="F48" s="9">
        <f t="shared" si="24"/>
        <v>-9.0039317665801014E-4</v>
      </c>
      <c r="G48" s="266">
        <f t="shared" si="26"/>
        <v>-10018.711932475924</v>
      </c>
      <c r="O48" s="98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61">
        <f t="shared" si="28"/>
        <v>7328.2849766278905</v>
      </c>
      <c r="T48" s="9">
        <f t="shared" si="29"/>
        <v>-4.0984504877754769E-4</v>
      </c>
      <c r="U48" s="266">
        <f t="shared" si="30"/>
        <v>-22010.220423084171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17281.463931461265</v>
      </c>
      <c r="F49" s="9">
        <f t="shared" si="24"/>
        <v>-2.6790926848038846E-4</v>
      </c>
      <c r="G49" s="266">
        <f t="shared" si="26"/>
        <v>-80010.833947455743</v>
      </c>
      <c r="O49" s="98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61">
        <f t="shared" si="28"/>
        <v>38008.10716758683</v>
      </c>
      <c r="T49" s="9">
        <f t="shared" si="29"/>
        <v>-1.218125475108199E-4</v>
      </c>
      <c r="U49" s="266">
        <f t="shared" si="30"/>
        <v>-175972.38077189622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95634.094123885792</v>
      </c>
      <c r="F50" s="9">
        <f t="shared" si="24"/>
        <v>-6.9496115009886543E-5</v>
      </c>
      <c r="G50" s="266">
        <f t="shared" si="26"/>
        <v>-635603.12549006997</v>
      </c>
      <c r="O50" s="98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61">
        <f t="shared" si="28"/>
        <v>210382.70818572541</v>
      </c>
      <c r="T50" s="9">
        <f t="shared" si="29"/>
        <v>-3.1590989874665133E-5</v>
      </c>
      <c r="U50" s="266">
        <f t="shared" si="30"/>
        <v>-1398245.1352410959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546881.46326990391</v>
      </c>
      <c r="F51" s="9">
        <f t="shared" si="24"/>
        <v>-1.6579461207680491E-5</v>
      </c>
      <c r="G51" s="266">
        <f t="shared" si="26"/>
        <v>-4958574.2304667234</v>
      </c>
      <c r="O51" s="98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61">
        <f t="shared" si="28"/>
        <v>1203125.5439826041</v>
      </c>
      <c r="T51" s="9">
        <f t="shared" si="29"/>
        <v>-7.5362043893351291E-6</v>
      </c>
      <c r="U51" s="266">
        <f t="shared" si="30"/>
        <v>-10908739.313886907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3184907.4420937989</v>
      </c>
      <c r="F52" s="9">
        <f t="shared" si="24"/>
        <v>-3.7376467410263652E-6</v>
      </c>
      <c r="G52" s="266">
        <f t="shared" si="26"/>
        <v>-37913325.849929765</v>
      </c>
      <c r="O52" s="98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61">
        <f t="shared" si="28"/>
        <v>7006781.202904053</v>
      </c>
      <c r="T52" s="9">
        <f t="shared" si="29"/>
        <v>-1.6989340150194373E-6</v>
      </c>
      <c r="U52" s="266">
        <f t="shared" si="30"/>
        <v>-83409136.288815439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18750126.805190526</v>
      </c>
      <c r="F53" s="9">
        <f t="shared" si="24"/>
        <v>-8.0888789935828947E-7</v>
      </c>
      <c r="G53" s="266">
        <f t="shared" si="26"/>
        <v>-284378498.55056244</v>
      </c>
      <c r="O53" s="98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61">
        <f t="shared" si="28"/>
        <v>41250262.226405419</v>
      </c>
      <c r="T53" s="9">
        <f t="shared" si="29"/>
        <v>-3.6767646714360688E-7</v>
      </c>
      <c r="U53" s="266">
        <f t="shared" si="30"/>
        <v>-625632442.84378874</v>
      </c>
    </row>
    <row r="54" spans="1:21" ht="17" thickBot="1" x14ac:dyDescent="0.25">
      <c r="A54" s="131">
        <v>10</v>
      </c>
      <c r="B54" s="94">
        <f t="shared" si="25"/>
        <v>10077696</v>
      </c>
      <c r="C54" s="110">
        <f t="shared" si="22"/>
        <v>30233088</v>
      </c>
      <c r="D54" s="10">
        <f>SUM($C$45:C54)</f>
        <v>36279705</v>
      </c>
      <c r="E54" s="10">
        <f t="shared" si="23"/>
        <v>111127171.02320179</v>
      </c>
      <c r="F54" s="10">
        <f t="shared" si="24"/>
        <v>-1.6973711314646909E-7</v>
      </c>
      <c r="G54" s="267">
        <f t="shared" si="26"/>
        <v>-2096125728.7484925</v>
      </c>
      <c r="O54" s="99">
        <v>10</v>
      </c>
      <c r="P54" s="94">
        <f t="shared" si="31"/>
        <v>22170930</v>
      </c>
      <c r="Q54" s="110">
        <f t="shared" si="27"/>
        <v>66512793</v>
      </c>
      <c r="R54" s="10">
        <f>SUM($Q$45:Q54)</f>
        <v>79815345</v>
      </c>
      <c r="S54" s="262">
        <f t="shared" si="28"/>
        <v>244479757.8726413</v>
      </c>
      <c r="T54" s="10">
        <f t="shared" si="29"/>
        <v>-7.7153239048274746E-8</v>
      </c>
      <c r="U54" s="267">
        <f t="shared" si="30"/>
        <v>-4611476256.5858059</v>
      </c>
    </row>
  </sheetData>
  <mergeCells count="2">
    <mergeCell ref="A18:F18"/>
    <mergeCell ref="O18:T18"/>
  </mergeCells>
  <conditionalFormatting sqref="F45:F54">
    <cfRule type="cellIs" dxfId="733" priority="63" operator="equal">
      <formula>MAX($F$45:$F$54)</formula>
    </cfRule>
  </conditionalFormatting>
  <conditionalFormatting sqref="F21:F30">
    <cfRule type="cellIs" dxfId="732" priority="61" operator="equal">
      <formula>MAX($F$21:$F$30)</formula>
    </cfRule>
  </conditionalFormatting>
  <conditionalFormatting sqref="F33:F42">
    <cfRule type="cellIs" dxfId="731" priority="38" operator="lessThanOrEqual">
      <formula>0</formula>
    </cfRule>
    <cfRule type="cellIs" dxfId="730" priority="59" operator="equal">
      <formula>MAX($F$33:$F$42)</formula>
    </cfRule>
  </conditionalFormatting>
  <conditionalFormatting sqref="E33:E42">
    <cfRule type="cellIs" dxfId="729" priority="57" stopIfTrue="1" operator="lessThan">
      <formula>0</formula>
    </cfRule>
    <cfRule type="cellIs" dxfId="728" priority="58" operator="equal">
      <formula>MIN($E$33:$E$42)</formula>
    </cfRule>
  </conditionalFormatting>
  <conditionalFormatting sqref="E21:E30">
    <cfRule type="cellIs" dxfId="727" priority="53" stopIfTrue="1" operator="lessThan">
      <formula>0</formula>
    </cfRule>
    <cfRule type="cellIs" dxfId="726" priority="54" operator="equal">
      <formula>MIN($E$21:$E$30)</formula>
    </cfRule>
  </conditionalFormatting>
  <conditionalFormatting sqref="E45:E54">
    <cfRule type="cellIs" dxfId="725" priority="49" stopIfTrue="1" operator="lessThan">
      <formula>0</formula>
    </cfRule>
    <cfRule type="cellIs" dxfId="724" priority="50" operator="equal">
      <formula>MIN($E$45:$E$54)</formula>
    </cfRule>
  </conditionalFormatting>
  <conditionalFormatting sqref="R7:R16">
    <cfRule type="cellIs" dxfId="723" priority="31" operator="lessThanOrEqual">
      <formula>0</formula>
    </cfRule>
    <cfRule type="cellIs" dxfId="722" priority="32" operator="greaterThan">
      <formula>0</formula>
    </cfRule>
  </conditionalFormatting>
  <conditionalFormatting sqref="T21:T30">
    <cfRule type="cellIs" dxfId="721" priority="21" operator="equal">
      <formula>MAX($T$21:$T$30)</formula>
    </cfRule>
  </conditionalFormatting>
  <conditionalFormatting sqref="S33:S42">
    <cfRule type="cellIs" dxfId="720" priority="19" stopIfTrue="1" operator="lessThan">
      <formula>0</formula>
    </cfRule>
    <cfRule type="cellIs" dxfId="719" priority="20" operator="equal">
      <formula>MIN($E$21:$E$30)</formula>
    </cfRule>
  </conditionalFormatting>
  <conditionalFormatting sqref="T33:T42">
    <cfRule type="cellIs" dxfId="718" priority="18" operator="equal">
      <formula>MAX($T$21:$T$30)</formula>
    </cfRule>
  </conditionalFormatting>
  <conditionalFormatting sqref="S45:S54">
    <cfRule type="cellIs" dxfId="717" priority="16" stopIfTrue="1" operator="lessThan">
      <formula>0</formula>
    </cfRule>
    <cfRule type="cellIs" dxfId="716" priority="17" operator="equal">
      <formula>MIN($E$21:$E$30)</formula>
    </cfRule>
  </conditionalFormatting>
  <conditionalFormatting sqref="T45:T54">
    <cfRule type="cellIs" dxfId="715" priority="15" operator="equal">
      <formula>MAX($T$21:$T$30)</formula>
    </cfRule>
  </conditionalFormatting>
  <conditionalFormatting sqref="S21:S30">
    <cfRule type="cellIs" dxfId="714" priority="13" stopIfTrue="1" operator="lessThan">
      <formula>0</formula>
    </cfRule>
    <cfRule type="cellIs" dxfId="713" priority="14" operator="equal">
      <formula>MIN($E$21:$E$30)</formula>
    </cfRule>
  </conditionalFormatting>
  <conditionalFormatting sqref="U7:U16">
    <cfRule type="cellIs" dxfId="712" priority="9" operator="lessThanOrEqual">
      <formula>0</formula>
    </cfRule>
    <cfRule type="cellIs" dxfId="711" priority="10" operator="greaterThan">
      <formula>0</formula>
    </cfRule>
  </conditionalFormatting>
  <conditionalFormatting sqref="S7:T16">
    <cfRule type="cellIs" dxfId="710" priority="1" operator="lessThanOrEqual">
      <formula>0</formula>
    </cfRule>
    <cfRule type="cellIs" dxfId="70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-0.57578184676460165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-0.57578184676460153</v>
      </c>
    </row>
    <row r="3" spans="1:11" x14ac:dyDescent="0.2">
      <c r="A3">
        <v>3</v>
      </c>
      <c r="B3">
        <f>B2</f>
        <v>-0.57578184676460165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-0.57578184676460153</v>
      </c>
    </row>
    <row r="4" spans="1:11" x14ac:dyDescent="0.2">
      <c r="A4">
        <v>4</v>
      </c>
      <c r="B4">
        <f t="shared" ref="B4:B16" si="1">B3</f>
        <v>-0.57578184676460165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-0.57578184676460153</v>
      </c>
    </row>
    <row r="5" spans="1:11" x14ac:dyDescent="0.2">
      <c r="A5">
        <v>5</v>
      </c>
      <c r="B5">
        <f t="shared" si="1"/>
        <v>-0.57578184676460165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-0.57578184676460153</v>
      </c>
    </row>
    <row r="6" spans="1:11" x14ac:dyDescent="0.2">
      <c r="A6">
        <v>6</v>
      </c>
      <c r="B6">
        <f t="shared" si="1"/>
        <v>-0.57578184676460165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-0.57578184676460153</v>
      </c>
    </row>
    <row r="7" spans="1:11" x14ac:dyDescent="0.2">
      <c r="A7">
        <v>7</v>
      </c>
      <c r="B7">
        <f t="shared" si="1"/>
        <v>-0.57578184676460165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-0.57578184676460153</v>
      </c>
    </row>
    <row r="8" spans="1:11" x14ac:dyDescent="0.2">
      <c r="A8">
        <v>8</v>
      </c>
      <c r="B8">
        <f t="shared" si="1"/>
        <v>-0.57578184676460165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-0.57578184676460153</v>
      </c>
    </row>
    <row r="9" spans="1:11" x14ac:dyDescent="0.2">
      <c r="A9">
        <v>9</v>
      </c>
      <c r="B9">
        <f t="shared" si="1"/>
        <v>-0.57578184676460165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-0.57578184676460153</v>
      </c>
    </row>
    <row r="10" spans="1:11" x14ac:dyDescent="0.2">
      <c r="A10">
        <v>10</v>
      </c>
      <c r="B10">
        <f t="shared" si="1"/>
        <v>-0.57578184676460165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-0.57578184676460153</v>
      </c>
    </row>
    <row r="11" spans="1:11" x14ac:dyDescent="0.2">
      <c r="A11">
        <v>11</v>
      </c>
      <c r="B11">
        <f t="shared" si="1"/>
        <v>-0.57578184676460165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-0.57578184676460153</v>
      </c>
    </row>
    <row r="12" spans="1:11" x14ac:dyDescent="0.2">
      <c r="A12">
        <v>12</v>
      </c>
      <c r="B12">
        <f t="shared" si="1"/>
        <v>-0.57578184676460165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-0.57578184676460153</v>
      </c>
    </row>
    <row r="13" spans="1:11" x14ac:dyDescent="0.2">
      <c r="A13">
        <v>13</v>
      </c>
      <c r="B13">
        <f t="shared" si="1"/>
        <v>-0.57578184676460165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-0.57578184676460153</v>
      </c>
    </row>
    <row r="14" spans="1:11" x14ac:dyDescent="0.2">
      <c r="A14">
        <v>14</v>
      </c>
      <c r="B14">
        <f t="shared" si="1"/>
        <v>-0.57578184676460165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-0.57578184676460153</v>
      </c>
    </row>
    <row r="15" spans="1:11" x14ac:dyDescent="0.2">
      <c r="A15">
        <v>15</v>
      </c>
      <c r="B15">
        <f t="shared" si="1"/>
        <v>-0.57578184676460165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-0.57578184676460153</v>
      </c>
    </row>
    <row r="16" spans="1:11" x14ac:dyDescent="0.2">
      <c r="A16">
        <v>16</v>
      </c>
      <c r="B16">
        <f t="shared" si="1"/>
        <v>-0.57578184676460165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-0.57578184676460153</v>
      </c>
    </row>
    <row r="17" spans="1:11" x14ac:dyDescent="0.2">
      <c r="A17">
        <v>17</v>
      </c>
      <c r="B17">
        <f>IF(Rules!$B$10=Rules!$F$10,Dealer!B14-SUM(Dealer!B16:B19),Dealer!B3-SUM(Dealer!B5:B8))</f>
        <v>-0.46435750824198752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-0.46435750824198763</v>
      </c>
    </row>
    <row r="18" spans="1:11" x14ac:dyDescent="0.2">
      <c r="A18">
        <v>18</v>
      </c>
      <c r="B18">
        <f>IF(Rules!$B$10=Rules!$F$10,Dealer!B14+Dealer!B15-SUM(Dealer!B17:B19),SUM(Dealer!B3:B4)-SUM(Dealer!B6:B8))</f>
        <v>-0.24150883119675959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-0.24150883119675959</v>
      </c>
    </row>
    <row r="19" spans="1:11" x14ac:dyDescent="0.2">
      <c r="A19">
        <v>19</v>
      </c>
      <c r="B19">
        <f>IF(Rules!$B$10=Rules!$F$10,SUM(Dealer!B14:B16)-Dealer!B18-Dealer!B19,SUM(Dealer!B3:B5)-SUM(Dealer!B7:B8))</f>
        <v>-1.8660154151531549E-2</v>
      </c>
      <c r="C19">
        <f>IF(Rules!$B$10=Rules!$F$10,SUM(Dealer!C14:C16)-Dealer!C18-Dealer!C19,SUM(Dealer!C3:C5)-SUM(Dealer!C7:C8))</f>
        <v>0.38630468602058987</v>
      </c>
      <c r="D19">
        <f>IF(Rules!$B$10=Rules!$F$10,SUM(Dealer!D14:D16)-Dealer!D18-Dealer!D19,SUM(Dealer!D3:D5)-SUM(Dealer!D7:D8))</f>
        <v>0.40436293659776001</v>
      </c>
      <c r="E19">
        <f>IF(Rules!$B$10=Rules!$F$10,SUM(Dealer!E14:E16)-Dealer!E18-Dealer!E19,SUM(Dealer!E3:E5)-SUM(Dealer!E7:E8))</f>
        <v>0.42317892482749647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0.49597707378731909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0.5938536682866945</v>
      </c>
      <c r="J19">
        <f>IF(Rules!$B$10=Rules!$F$10,SUM(Dealer!J14:J16)-Dealer!J18-Dealer!J19,SUM(Dealer!J3:J5)-SUM(Dealer!J7:J8))</f>
        <v>0.28759675706758142</v>
      </c>
      <c r="K19">
        <f>IF(Rules!$B$10=Rules!$F$10,SUM(Dealer!K14:K16)-Dealer!K18-Dealer!K19,SUM(Dealer!K3:K5)-SUM(Dealer!K7:K8))</f>
        <v>-1.8660154151531536E-2</v>
      </c>
    </row>
    <row r="20" spans="1:11" x14ac:dyDescent="0.2">
      <c r="A20">
        <v>20</v>
      </c>
      <c r="B20">
        <f>IF(Rules!$B$10=Rules!$F$10,SUM(Dealer!B14:B17)-Dealer!B19,SUM(Dealer!B3:B6)-Dealer!B8)</f>
        <v>0.20418852289369649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0.43495775366292722</v>
      </c>
    </row>
    <row r="21" spans="1:11" x14ac:dyDescent="0.2">
      <c r="A21">
        <v>21</v>
      </c>
      <c r="B21">
        <f>IF(Rules!$B$13=Rules!$E$13,1,IF(Rules!$B$10=Rules!$F$10,SUM(Dealer!B14:B18),SUM(Dealer!B3:B7)))</f>
        <v>0.65780643070815525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0.88857566147738598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-0.57578184676460165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-0.57578184676460153</v>
      </c>
    </row>
    <row r="35" spans="1:11" x14ac:dyDescent="0.2">
      <c r="A35">
        <v>12</v>
      </c>
      <c r="B35">
        <f t="shared" ref="B35:K35" si="3">B12</f>
        <v>-0.57578184676460165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-0.57578184676460153</v>
      </c>
    </row>
    <row r="36" spans="1:11" x14ac:dyDescent="0.2">
      <c r="A36">
        <v>13</v>
      </c>
      <c r="B36">
        <f t="shared" ref="B36:K36" si="4">B13</f>
        <v>-0.57578184676460165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-0.57578184676460153</v>
      </c>
    </row>
    <row r="37" spans="1:11" x14ac:dyDescent="0.2">
      <c r="A37">
        <v>14</v>
      </c>
      <c r="B37">
        <f t="shared" ref="B37:K37" si="5">B14</f>
        <v>-0.57578184676460165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-0.57578184676460153</v>
      </c>
    </row>
    <row r="38" spans="1:11" x14ac:dyDescent="0.2">
      <c r="A38">
        <v>15</v>
      </c>
      <c r="B38">
        <f t="shared" ref="B38:K38" si="6">B15</f>
        <v>-0.57578184676460165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-0.57578184676460153</v>
      </c>
    </row>
    <row r="39" spans="1:11" x14ac:dyDescent="0.2">
      <c r="A39">
        <v>16</v>
      </c>
      <c r="B39">
        <f t="shared" ref="B39:K39" si="7">B16</f>
        <v>-0.57578184676460165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-0.57578184676460153</v>
      </c>
    </row>
    <row r="40" spans="1:11" x14ac:dyDescent="0.2">
      <c r="A40">
        <v>17</v>
      </c>
      <c r="B40">
        <f t="shared" ref="B40:K40" si="8">B17</f>
        <v>-0.46435750824198752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-0.46435750824198763</v>
      </c>
    </row>
    <row r="41" spans="1:11" x14ac:dyDescent="0.2">
      <c r="A41">
        <v>18</v>
      </c>
      <c r="B41">
        <f t="shared" ref="B41:K41" si="9">B18</f>
        <v>-0.24150883119675959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-0.24150883119675959</v>
      </c>
    </row>
    <row r="42" spans="1:11" x14ac:dyDescent="0.2">
      <c r="A42">
        <v>19</v>
      </c>
      <c r="B42">
        <f t="shared" ref="B42:K42" si="10">B19</f>
        <v>-1.8660154151531549E-2</v>
      </c>
      <c r="C42">
        <f t="shared" si="10"/>
        <v>0.38630468602058987</v>
      </c>
      <c r="D42">
        <f t="shared" si="10"/>
        <v>0.40436293659776001</v>
      </c>
      <c r="E42">
        <f t="shared" si="10"/>
        <v>0.42317892482749647</v>
      </c>
      <c r="F42">
        <f t="shared" si="10"/>
        <v>0.43951210416088371</v>
      </c>
      <c r="G42">
        <f t="shared" si="10"/>
        <v>0.49597707378731909</v>
      </c>
      <c r="H42">
        <f t="shared" si="10"/>
        <v>0.6159764957534315</v>
      </c>
      <c r="I42">
        <f t="shared" si="10"/>
        <v>0.5938536682866945</v>
      </c>
      <c r="J42">
        <f t="shared" si="10"/>
        <v>0.28759675706758142</v>
      </c>
      <c r="K42">
        <f t="shared" si="10"/>
        <v>-1.8660154151531536E-2</v>
      </c>
    </row>
    <row r="43" spans="1:11" x14ac:dyDescent="0.2">
      <c r="A43">
        <v>20</v>
      </c>
      <c r="B43">
        <f t="shared" ref="B43:K43" si="11">B20</f>
        <v>0.20418852289369649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0.43495775366292722</v>
      </c>
    </row>
    <row r="44" spans="1:11" x14ac:dyDescent="0.2">
      <c r="A44">
        <v>21</v>
      </c>
      <c r="B44">
        <f t="shared" ref="B44:K44" si="12">B21</f>
        <v>0.65780643070815525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0.88857566147738598</v>
      </c>
    </row>
    <row r="45" spans="1:11" x14ac:dyDescent="0.2">
      <c r="A45">
        <v>22</v>
      </c>
      <c r="B45">
        <f>B12</f>
        <v>-0.57578184676460165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-0.57578184676460153</v>
      </c>
    </row>
    <row r="46" spans="1:11" x14ac:dyDescent="0.2">
      <c r="A46">
        <v>23</v>
      </c>
      <c r="B46">
        <f t="shared" ref="B46:K46" si="14">B13</f>
        <v>-0.57578184676460165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-0.57578184676460153</v>
      </c>
    </row>
    <row r="47" spans="1:11" x14ac:dyDescent="0.2">
      <c r="A47">
        <v>24</v>
      </c>
      <c r="B47">
        <f t="shared" ref="B47:K47" si="15">B14</f>
        <v>-0.57578184676460165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-0.57578184676460153</v>
      </c>
    </row>
    <row r="48" spans="1:11" x14ac:dyDescent="0.2">
      <c r="A48">
        <v>25</v>
      </c>
      <c r="B48">
        <f t="shared" ref="B48:K48" si="16">B15</f>
        <v>-0.57578184676460165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-0.57578184676460153</v>
      </c>
    </row>
    <row r="49" spans="1:11" x14ac:dyDescent="0.2">
      <c r="A49">
        <v>26</v>
      </c>
      <c r="B49">
        <f t="shared" ref="B49:K49" si="17">B16</f>
        <v>-0.57578184676460165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-0.57578184676460153</v>
      </c>
    </row>
    <row r="50" spans="1:11" x14ac:dyDescent="0.2">
      <c r="A50">
        <v>27</v>
      </c>
      <c r="B50">
        <f t="shared" ref="B50:K50" si="18">B17</f>
        <v>-0.46435750824198752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-0.46435750824198763</v>
      </c>
    </row>
    <row r="51" spans="1:11" x14ac:dyDescent="0.2">
      <c r="A51">
        <v>28</v>
      </c>
      <c r="B51">
        <f t="shared" ref="B51:K51" si="19">B18</f>
        <v>-0.24150883119675959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-0.24150883119675959</v>
      </c>
    </row>
    <row r="52" spans="1:11" x14ac:dyDescent="0.2">
      <c r="A52">
        <v>29</v>
      </c>
      <c r="B52">
        <f t="shared" ref="B52:K52" si="20">B19</f>
        <v>-1.8660154151531549E-2</v>
      </c>
      <c r="C52">
        <f t="shared" si="20"/>
        <v>0.38630468602058987</v>
      </c>
      <c r="D52">
        <f t="shared" si="20"/>
        <v>0.40436293659776001</v>
      </c>
      <c r="E52">
        <f t="shared" si="20"/>
        <v>0.42317892482749647</v>
      </c>
      <c r="F52">
        <f t="shared" si="20"/>
        <v>0.43951210416088371</v>
      </c>
      <c r="G52">
        <f t="shared" si="20"/>
        <v>0.49597707378731909</v>
      </c>
      <c r="H52">
        <f t="shared" si="20"/>
        <v>0.6159764957534315</v>
      </c>
      <c r="I52">
        <f t="shared" si="20"/>
        <v>0.5938536682866945</v>
      </c>
      <c r="J52">
        <f t="shared" si="20"/>
        <v>0.28759675706758142</v>
      </c>
      <c r="K52">
        <f t="shared" si="20"/>
        <v>-1.8660154151531536E-2</v>
      </c>
    </row>
    <row r="53" spans="1:11" x14ac:dyDescent="0.2">
      <c r="A53">
        <v>30</v>
      </c>
      <c r="B53">
        <f t="shared" ref="B53:K53" si="21">B20</f>
        <v>0.20418852289369649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0.43495775366292722</v>
      </c>
    </row>
    <row r="54" spans="1:11" x14ac:dyDescent="0.2">
      <c r="A54">
        <v>31</v>
      </c>
      <c r="B54">
        <f t="shared" ref="B54:K54" si="22">B21</f>
        <v>0.65780643070815525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Analysis!B27</f>
        <v>0.43733323792593504</v>
      </c>
      <c r="D2" s="135" t="s">
        <v>126</v>
      </c>
      <c r="E2" s="141">
        <f>Analysis!H27</f>
        <v>0.56266676207406485</v>
      </c>
      <c r="F2" s="135" t="s">
        <v>47</v>
      </c>
      <c r="G2" s="141">
        <f>Analysis!S27</f>
        <v>0.64532458265949832</v>
      </c>
      <c r="H2" t="s">
        <v>155</v>
      </c>
      <c r="I2" s="155">
        <f>Analysis!T27</f>
        <v>-1.056943746692679</v>
      </c>
      <c r="J2" t="s">
        <v>48</v>
      </c>
      <c r="K2" s="155">
        <f>C2*G2+E2*I2</f>
        <v>-0.31248522639831922</v>
      </c>
      <c r="L2" t="s">
        <v>47</v>
      </c>
      <c r="M2" s="162">
        <v>2</v>
      </c>
      <c r="N2" t="s">
        <v>155</v>
      </c>
      <c r="O2" s="162">
        <v>4</v>
      </c>
    </row>
    <row r="4" spans="1:23" x14ac:dyDescent="0.2">
      <c r="A4" t="s">
        <v>123</v>
      </c>
      <c r="B4">
        <f>$C$2</f>
        <v>0.43733323792593504</v>
      </c>
      <c r="C4" t="s">
        <v>124</v>
      </c>
      <c r="D4">
        <f>$E$2</f>
        <v>0.56266676207406485</v>
      </c>
      <c r="E4" t="s">
        <v>47</v>
      </c>
      <c r="F4">
        <f>G2</f>
        <v>0.64532458265949832</v>
      </c>
      <c r="G4" t="s">
        <v>155</v>
      </c>
      <c r="H4">
        <f>I2</f>
        <v>-1.056943746692679</v>
      </c>
      <c r="I4" t="s">
        <v>48</v>
      </c>
      <c r="J4">
        <f>K2</f>
        <v>-0.31248522639831922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0.43733323792593504</v>
      </c>
      <c r="C7" s="95">
        <v>1</v>
      </c>
      <c r="D7" s="22">
        <f>C7*D4</f>
        <v>0.56266676207406485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0.99999999999999989</v>
      </c>
      <c r="R7" s="276">
        <f>B7-D7</f>
        <v>-0.12533352414812982</v>
      </c>
      <c r="S7" s="277">
        <f>IF(Rules!B20=Rules!E20,SUM(C7)*B4*F4,SUM(C7)*B4*F4*POWER(O2,A7-1))</f>
        <v>0.2822218892476811</v>
      </c>
      <c r="T7" s="260">
        <f>IF(Rules!B20=Rules!E20,SUM(C7)*D4*H4,SUM(C7)*D4*H4*POWER(O2,A7-1))</f>
        <v>-0.59470711564600032</v>
      </c>
      <c r="U7" s="274">
        <f>S7+T7</f>
        <v>-0.31248522639831922</v>
      </c>
      <c r="V7" s="108">
        <f>(U7+W7*D7)/B7</f>
        <v>0.57206156308228129</v>
      </c>
      <c r="W7" s="57">
        <f>COUNT(D7:M7)</f>
        <v>1</v>
      </c>
    </row>
    <row r="8" spans="1:23" x14ac:dyDescent="0.2">
      <c r="A8" s="98">
        <v>2</v>
      </c>
      <c r="B8" s="97">
        <f>C8*B4</f>
        <v>0.580073623224719</v>
      </c>
      <c r="C8" s="97">
        <f>1/(1-B4*D4)</f>
        <v>1.3263881473444237</v>
      </c>
      <c r="D8" s="130">
        <f>C8*D4</f>
        <v>0.74631452411970456</v>
      </c>
      <c r="E8" s="1">
        <f>D8*D4</f>
        <v>0.41992637677528072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0.16014724644943829</v>
      </c>
      <c r="S8" s="279">
        <f>IF(Rules!B20=Rules!E20,SUM(C8:D8)*B4*F4,SUM(C8:D8)*B4*F4*POWER(O2,A8-1))</f>
        <v>0.58496206378932203</v>
      </c>
      <c r="T8" s="261">
        <f>IF(Rules!B20=Rules!E20,SUM(C8:D8)*D4*H4,SUM(C8:D8)*D4*H4*POWER(O2,A8-1))</f>
        <v>-1.232651027338191</v>
      </c>
      <c r="U8" s="275">
        <f>S8+T8+U7</f>
        <v>-0.96017418994718817</v>
      </c>
      <c r="V8" s="93">
        <f>(U8+W8*E8)/B8</f>
        <v>-0.20742442265818131</v>
      </c>
      <c r="W8" s="9">
        <f>COUNT(D8:M8)</f>
        <v>2</v>
      </c>
    </row>
    <row r="9" spans="1:23" x14ac:dyDescent="0.2">
      <c r="A9" s="98">
        <v>3</v>
      </c>
      <c r="B9" s="97">
        <f>C9*B4</f>
        <v>0.64923625705491761</v>
      </c>
      <c r="C9" s="97">
        <f>1/(1-D4*B4/(1-D4*B4))</f>
        <v>1.484534448225199</v>
      </c>
      <c r="D9" s="130">
        <f>C9*D4*C8</f>
        <v>1.1079296202664974</v>
      </c>
      <c r="E9" s="1">
        <f>D9*(D4)</f>
        <v>0.62339517204129835</v>
      </c>
      <c r="F9" s="1">
        <f>E9*D4</f>
        <v>0.35076374294508195</v>
      </c>
      <c r="G9" s="1"/>
      <c r="H9" s="1"/>
      <c r="I9" s="1"/>
      <c r="J9" s="1"/>
      <c r="K9" s="1"/>
      <c r="L9" s="1"/>
      <c r="M9" s="242"/>
      <c r="N9" s="97">
        <f>B9+F9</f>
        <v>0.99999999999999956</v>
      </c>
      <c r="R9" s="278">
        <f>B9-F9</f>
        <v>0.29847251410983566</v>
      </c>
      <c r="S9" s="279">
        <f>IF(Rules!B20=Rules!E20,SUM(C9:E9)*B4*F4,SUM(C9:E9)*B4*F4*POWER(O2,A9-1))</f>
        <v>0.90758587041783489</v>
      </c>
      <c r="T9" s="261">
        <f>IF(Rules!B20=Rules!E20,SUM(C9:E9)*D4*H4,SUM(C9:E9)*D4*H4*POWER(O2,A9-1))</f>
        <v>-1.9124943732609145</v>
      </c>
      <c r="U9" s="275">
        <f t="shared" ref="U9:U16" si="0">S9+T9+U8</f>
        <v>-1.9650826927902676</v>
      </c>
      <c r="V9" s="93">
        <f>(U9+W9*F9)/B9</f>
        <v>-1.4059465318459727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0.68904326705651042</v>
      </c>
      <c r="C10" s="97">
        <f>1/(1-D4*B4/(1-D4*B4/(1-D4*B4)))</f>
        <v>1.5755565946103642</v>
      </c>
      <c r="D10" s="130">
        <f>C10*D4*C9</f>
        <v>1.3160595735644454</v>
      </c>
      <c r="E10" s="1">
        <f>D10*D4*C8</f>
        <v>0.98219437435793022</v>
      </c>
      <c r="F10" s="1">
        <f>E10*D4</f>
        <v>0.55264812834733856</v>
      </c>
      <c r="G10" s="1">
        <f>F10*D4</f>
        <v>0.31095673294348919</v>
      </c>
      <c r="H10" s="1"/>
      <c r="I10" s="1"/>
      <c r="J10" s="1"/>
      <c r="K10" s="1"/>
      <c r="L10" s="1"/>
      <c r="M10" s="242"/>
      <c r="N10" s="97">
        <f>B10+G10</f>
        <v>0.99999999999999956</v>
      </c>
      <c r="R10" s="278">
        <f>B10-G10</f>
        <v>0.37808653411302123</v>
      </c>
      <c r="S10" s="279">
        <f>IF(Rules!B20=Rules!E20,SUM(C10:F10)*B4*F4,SUM(C10:F10)*B4*F4*POWER(O2,A10-1))</f>
        <v>1.2492435287725554</v>
      </c>
      <c r="T10" s="261">
        <f>IF(Rules!B20=Rules!E20,SUM(C10:F10)*D4*H4,SUM(C10:F10)*D4*H4*POWER(O2,A10-1))</f>
        <v>-2.6324464686853197</v>
      </c>
      <c r="U10" s="275">
        <f t="shared" si="0"/>
        <v>-3.3482856327030319</v>
      </c>
      <c r="V10" s="93">
        <f>(U10+W10*G10)/B10</f>
        <v>-3.0541749720870319</v>
      </c>
      <c r="W10" s="9">
        <f t="shared" si="1"/>
        <v>4</v>
      </c>
    </row>
    <row r="11" spans="1:23" x14ac:dyDescent="0.2">
      <c r="A11" s="98">
        <v>5</v>
      </c>
      <c r="B11" s="97">
        <f>C11*B4</f>
        <v>0.71424870746083258</v>
      </c>
      <c r="C11" s="97">
        <f>1/(1-D4*B4/(1-D4*B4/(1-D4*B4/(1-D4*B4))))</f>
        <v>1.6331909983521418</v>
      </c>
      <c r="D11" s="130">
        <f>C11*D4*C10</f>
        <v>1.4478455864801576</v>
      </c>
      <c r="E11" s="1">
        <f>D11*D4*C9</f>
        <v>1.2093827994807504</v>
      </c>
      <c r="F11" s="1">
        <f>E11*D4*C8</f>
        <v>0.90257994847303236</v>
      </c>
      <c r="G11" s="1">
        <f>F11*D4</f>
        <v>0.50785173712029741</v>
      </c>
      <c r="H11" s="1">
        <f>G11*D4</f>
        <v>0.28575129253916692</v>
      </c>
      <c r="I11" s="1"/>
      <c r="J11" s="1"/>
      <c r="K11" s="1"/>
      <c r="L11" s="1"/>
      <c r="M11" s="242"/>
      <c r="N11" s="97">
        <f>B11+H11</f>
        <v>0.99999999999999956</v>
      </c>
      <c r="R11" s="278">
        <f>B11-H11</f>
        <v>0.42849741492166565</v>
      </c>
      <c r="S11" s="279">
        <f>IF(Rules!B20=Rules!E20,SUM(C11:G11)*B4*F4,SUM(C11:G11)*B4*F4*POWER(O2,A11-1))</f>
        <v>1.6089049592686426</v>
      </c>
      <c r="T11" s="261">
        <f>IF(Rules!B20=Rules!E20,SUM(C11:G11)*D4*H4,SUM(C11:G11)*D4*H4*POWER(O2,A11-1))</f>
        <v>-3.3903366965114374</v>
      </c>
      <c r="U11" s="275">
        <f t="shared" si="0"/>
        <v>-5.1297173699458263</v>
      </c>
      <c r="V11" s="93">
        <f>(U11+W11*H11)/B11</f>
        <v>-5.1816137272505216</v>
      </c>
      <c r="W11" s="9">
        <f t="shared" si="1"/>
        <v>5</v>
      </c>
    </row>
    <row r="12" spans="1:23" x14ac:dyDescent="0.2">
      <c r="A12" s="98">
        <v>6</v>
      </c>
      <c r="B12" s="97">
        <f>C12*B4</f>
        <v>0.73118465889718465</v>
      </c>
      <c r="C12" s="97">
        <f>1/(1-D4*B4/(1-D4*B4/(1-D4*B4/(1-D4*B4/(1-D4*B4)))))</f>
        <v>1.6719165055115592</v>
      </c>
      <c r="D12" s="130">
        <f>C12*D4*C11</f>
        <v>1.5363947837537841</v>
      </c>
      <c r="E12" s="1">
        <f>D12*D4*C10</f>
        <v>1.3620344521819505</v>
      </c>
      <c r="F12" s="1">
        <f>E12*D4*C9</f>
        <v>1.1377049142191882</v>
      </c>
      <c r="G12" s="1">
        <f>F12*D4*C8</f>
        <v>0.84908570164414265</v>
      </c>
      <c r="H12" s="1">
        <f>G12*D4</f>
        <v>0.47775230246749523</v>
      </c>
      <c r="I12" s="1">
        <f>H12*D4</f>
        <v>0.2688153411028148</v>
      </c>
      <c r="J12" s="1"/>
      <c r="K12" s="1"/>
      <c r="L12" s="1"/>
      <c r="M12" s="242"/>
      <c r="N12" s="97">
        <f>B12+I12</f>
        <v>0.99999999999999944</v>
      </c>
      <c r="R12" s="278">
        <f>B12-I12</f>
        <v>0.46236931779436985</v>
      </c>
      <c r="S12" s="279">
        <f>IF(Rules!B20=Rules!E20,SUM(C12:H12)*B4*F4,SUM(C12:H12)*B4*F4*POWER(O2,A12-1))</f>
        <v>1.9853995682096686</v>
      </c>
      <c r="T12" s="261">
        <f>IF(Rules!B20=Rules!E20,SUM(C12:H12)*D4*H4,SUM(C12:H12)*D4*H4*POWER(O2,A12-1))</f>
        <v>-4.1836983437474027</v>
      </c>
      <c r="U12" s="275">
        <f t="shared" si="0"/>
        <v>-7.3280161454835602</v>
      </c>
      <c r="V12" s="93">
        <f>(U12+W12*I12)/B12</f>
        <v>-7.8162527472698278</v>
      </c>
      <c r="W12" s="9">
        <f t="shared" si="1"/>
        <v>6</v>
      </c>
    </row>
    <row r="13" spans="1:23" x14ac:dyDescent="0.2">
      <c r="A13" s="98">
        <v>7</v>
      </c>
      <c r="B13" s="97">
        <f>C13*B4</f>
        <v>0.74302263586565731</v>
      </c>
      <c r="C13" s="97">
        <f>1/(1-D4*B4/(1-D4*B4/(1-D4*B4/(1-D4*B4/(1-D4*B4/(1-D4*B4))))))</f>
        <v>1.6989850563141797</v>
      </c>
      <c r="D13" s="130">
        <f>C13*D4*C12</f>
        <v>1.5982893493966652</v>
      </c>
      <c r="E13" s="1">
        <f>D13*D4*C11</f>
        <v>1.4687356762417514</v>
      </c>
      <c r="F13" s="1">
        <f>E13*D4*C10</f>
        <v>1.3020537516421344</v>
      </c>
      <c r="G13" s="1">
        <f>F13*D4*C9</f>
        <v>1.0876031435531535</v>
      </c>
      <c r="H13" s="1">
        <f>G13*D4*C8</f>
        <v>0.81169402251196632</v>
      </c>
      <c r="I13" s="1">
        <f>H13*D4</f>
        <v>0.45671324744168118</v>
      </c>
      <c r="J13" s="1">
        <f>I13*D4</f>
        <v>0.25697736413434191</v>
      </c>
      <c r="K13" s="1"/>
      <c r="L13" s="1"/>
      <c r="M13" s="242"/>
      <c r="N13" s="97">
        <f>B13+J13</f>
        <v>0.99999999999999922</v>
      </c>
      <c r="R13" s="278">
        <f>B13-J13</f>
        <v>0.4860452717313154</v>
      </c>
      <c r="S13" s="279">
        <f>IF(Rules!B20=Rules!E20,SUM(C13:I13)*B4*F4,SUM(C13:I13)*B4*F4*POWER(O2,A13-1))</f>
        <v>2.3774581491797315</v>
      </c>
      <c r="T13" s="261">
        <f>IF(Rules!B20=Rules!E20,SUM(C13:I13)*D4*H4,SUM(C13:I13)*D4*H4*POWER(O2,A13-1))</f>
        <v>-5.0098568974815043</v>
      </c>
      <c r="U13" s="275">
        <f t="shared" si="0"/>
        <v>-9.9604148937853338</v>
      </c>
      <c r="V13" s="93">
        <f>(U13+W13*J13)/B13</f>
        <v>-10.984286279968192</v>
      </c>
      <c r="W13" s="9">
        <f t="shared" si="1"/>
        <v>7</v>
      </c>
    </row>
    <row r="14" spans="1:23" x14ac:dyDescent="0.2">
      <c r="A14" s="98">
        <v>8</v>
      </c>
      <c r="B14" s="97">
        <f>C14*B4</f>
        <v>0.75152741696280456</v>
      </c>
      <c r="C14" s="97">
        <f>1/(1-D4*B4/(1-D4*B4/(1-D4*B4/(1-D4*B4/(1-D4*B4/(1-D4*B4/(1-D4*B4)))))))</f>
        <v>1.7184319685531886</v>
      </c>
      <c r="D14" s="130">
        <f>C14*D4*C13</f>
        <v>1.6427563840342252</v>
      </c>
      <c r="E14" s="1">
        <f>D14*D4*C12</f>
        <v>1.5453932466900691</v>
      </c>
      <c r="F14" s="1">
        <f>E14*D4*C11</f>
        <v>1.4201272104413298</v>
      </c>
      <c r="G14" s="1">
        <f>F14*D4*C10</f>
        <v>1.2589616988781152</v>
      </c>
      <c r="H14" s="1">
        <f>G14*D4*C9</f>
        <v>1.0516084298255537</v>
      </c>
      <c r="I14" s="1">
        <f>H14*D4*C8</f>
        <v>0.78483064486552767</v>
      </c>
      <c r="J14" s="1">
        <f>I14*D4</f>
        <v>0.44159811772298674</v>
      </c>
      <c r="K14" s="1">
        <f>J14*D4</f>
        <v>0.24847258303719466</v>
      </c>
      <c r="L14" s="1"/>
      <c r="M14" s="242"/>
      <c r="N14" s="97">
        <f>B14+K14</f>
        <v>0.99999999999999922</v>
      </c>
      <c r="R14" s="278">
        <f>B14-K14</f>
        <v>0.5030548339256099</v>
      </c>
      <c r="S14" s="279">
        <f>IF(Rules!B20=Rules!E20,SUM(C14:J14)*B4*F4,SUM(C14:J14)*B4*F4*POWER(O2,A14-1))</f>
        <v>2.7837542223662246</v>
      </c>
      <c r="T14" s="261">
        <f>IF(Rules!B20=Rules!E20,SUM(C14:J14)*D4*H4,SUM(C14:J14)*D4*H4*POWER(O2,A14-1))</f>
        <v>-5.8660171564434904</v>
      </c>
      <c r="U14" s="275">
        <f t="shared" si="0"/>
        <v>-13.042677827862599</v>
      </c>
      <c r="V14" s="93">
        <f>(U14+W14*K14)/B14</f>
        <v>-14.70990533950431</v>
      </c>
      <c r="W14" s="9">
        <f t="shared" si="1"/>
        <v>8</v>
      </c>
    </row>
    <row r="15" spans="1:23" x14ac:dyDescent="0.2">
      <c r="A15" s="98">
        <v>9</v>
      </c>
      <c r="B15" s="97">
        <f>C15*B4</f>
        <v>0.75775870285849145</v>
      </c>
      <c r="C15" s="97">
        <f>1/(1-D4*B4/(1-D4*B4/(1-D4*B4/(1-D4*B4/(1-D4*B4/(1-D4*B4/(1-D4*B4/(1-D4*B4))))))))</f>
        <v>1.7326803388011005</v>
      </c>
      <c r="D15" s="130">
        <f>C15*D4*C14</f>
        <v>1.6753365060379526</v>
      </c>
      <c r="E15" s="1">
        <f>D15*D4*C13</f>
        <v>1.6015587413778114</v>
      </c>
      <c r="F15" s="1">
        <f>E15*D4*C12</f>
        <v>1.5066373122377419</v>
      </c>
      <c r="G15" s="1">
        <f>F15*D4*C11</f>
        <v>1.384512743250075</v>
      </c>
      <c r="H15" s="1">
        <f>G15*D4*C10</f>
        <v>1.2273889990593383</v>
      </c>
      <c r="I15" s="1">
        <f>H15*D4*C9</f>
        <v>1.0252358107765671</v>
      </c>
      <c r="J15" s="1">
        <f>I15*D4*C8</f>
        <v>0.76514837623019316</v>
      </c>
      <c r="K15" s="1">
        <f>J15*D4</f>
        <v>0.43052355935967118</v>
      </c>
      <c r="L15" s="1">
        <f>K15*D4</f>
        <v>0.24224129714150763</v>
      </c>
      <c r="M15" s="242"/>
      <c r="N15" s="97">
        <f>B15+L15</f>
        <v>0.99999999999999911</v>
      </c>
      <c r="R15" s="278">
        <f>B15-L15</f>
        <v>0.51551740571698379</v>
      </c>
      <c r="S15" s="279">
        <f>IF(Rules!B20=Rules!E20,SUM(C15:K15)*B4*F4,SUM(C15:K15)*B4*F4*POWER(O2,A15-1))</f>
        <v>3.2029425392101833</v>
      </c>
      <c r="T15" s="261">
        <f>IF(Rules!B20=Rules!E20,SUM(C15:K15)*D4*H4,SUM(C15:K15)*D4*H4*POWER(O2,A15-1))</f>
        <v>-6.7493443692522348</v>
      </c>
      <c r="U15" s="275">
        <f t="shared" si="0"/>
        <v>-16.589079657904652</v>
      </c>
      <c r="V15" s="93">
        <f>(U15+W15*L15)/B15</f>
        <v>-19.015166608151635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0.76239023530887817</v>
      </c>
      <c r="C16" s="131">
        <f>1/(1-D4*B4/(1-D4*B4/(1-D4*B4/(1-D4*B4/(1-D4*B4/(1-D4*B4/(1-D4*B4/(1-D4*B4/(1-D4*B4)))))))))</f>
        <v>1.743270735434002</v>
      </c>
      <c r="D16" s="139">
        <f>C16*D4*C15</f>
        <v>1.699552357280192</v>
      </c>
      <c r="E16" s="110">
        <f>D16*D4*C14</f>
        <v>1.643304909920384</v>
      </c>
      <c r="F16" s="110">
        <f>E16*D4*C13</f>
        <v>1.5709377392224311</v>
      </c>
      <c r="G16" s="110">
        <f>F16*D4*C12</f>
        <v>1.4778311603349281</v>
      </c>
      <c r="H16" s="110">
        <f>G16*D4*C11</f>
        <v>1.3580415520287403</v>
      </c>
      <c r="I16" s="110">
        <f>H16*D4*C10</f>
        <v>1.2039219352453985</v>
      </c>
      <c r="J16" s="110">
        <f>I16*D4*C9</f>
        <v>1.0056338148207058</v>
      </c>
      <c r="K16" s="110">
        <f>J16*D4*C8</f>
        <v>0.75051912194659809</v>
      </c>
      <c r="L16" s="110">
        <f>K16*D4</f>
        <v>0.42229216422036259</v>
      </c>
      <c r="M16" s="244">
        <f>L16*D4</f>
        <v>0.23760976469112069</v>
      </c>
      <c r="N16" s="131">
        <f>B16+M16</f>
        <v>0.99999999999999889</v>
      </c>
      <c r="R16" s="280">
        <f>B16-M16</f>
        <v>0.52478047061775746</v>
      </c>
      <c r="S16" s="281">
        <f>IF(Rules!B20=Rules!E20,SUM(C16:L16)*B4*F4,SUM(C16:L16)*B4*F4*POWER(O2,A16-1))</f>
        <v>3.6336930401568965</v>
      </c>
      <c r="T16" s="262">
        <f>IF(Rules!B20=Rules!E20,SUM(C16:L16)*D4*H4,SUM(C16:L16)*D4*H4*POWER(O2,A16-1))</f>
        <v>-7.6570357912888563</v>
      </c>
      <c r="U16" s="275">
        <f t="shared" si="0"/>
        <v>-20.612422409036611</v>
      </c>
      <c r="V16" s="94">
        <f>(U16+W16*M16)/B16</f>
        <v>-23.919934854277166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4</v>
      </c>
      <c r="D21" s="57">
        <f>SUM($C$21:C21)</f>
        <v>4</v>
      </c>
      <c r="E21" s="57">
        <f t="shared" ref="E21:E30" si="3">D21/R7</f>
        <v>-31.914845027994744</v>
      </c>
      <c r="F21" s="8">
        <f t="shared" ref="F21:F30" si="4">U7/E21</f>
        <v>9.7912186671818887E-3</v>
      </c>
      <c r="G21" s="265">
        <f>E21*U7</f>
        <v>9.9729175740402098</v>
      </c>
      <c r="O21" s="100">
        <v>1</v>
      </c>
      <c r="P21" s="108">
        <v>1</v>
      </c>
      <c r="Q21" s="109">
        <f>P21*4+6</f>
        <v>10</v>
      </c>
      <c r="R21" s="57">
        <f>SUM($Q$21)</f>
        <v>10</v>
      </c>
      <c r="S21" s="260">
        <f>R21/R7</f>
        <v>-79.78711256998686</v>
      </c>
      <c r="T21" s="8">
        <f>U7/S21</f>
        <v>3.9164874668727555E-3</v>
      </c>
      <c r="U21" s="265">
        <f>S21*U7</f>
        <v>24.932293935100525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124.88506948081935</v>
      </c>
      <c r="F22" s="9">
        <f t="shared" si="4"/>
        <v>-7.6884626315931051E-3</v>
      </c>
      <c r="G22" s="266">
        <f t="shared" ref="G22:G30" si="5">E22*U8</f>
        <v>-119.91142042524403</v>
      </c>
      <c r="O22" s="98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261">
        <f t="shared" ref="S22:S30" si="7">R22/R8</f>
        <v>349.67819454629415</v>
      </c>
      <c r="T22" s="9">
        <f>U8/S22</f>
        <v>-2.7458795112832524E-3</v>
      </c>
      <c r="U22" s="266">
        <f t="shared" ref="U22:U30" si="8">S22*U8</f>
        <v>-335.75197719068325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281.43294953145545</v>
      </c>
      <c r="F23" s="9">
        <f t="shared" si="4"/>
        <v>-6.9824187113194875E-3</v>
      </c>
      <c r="G23" s="266">
        <f t="shared" si="5"/>
        <v>-553.03901830517998</v>
      </c>
      <c r="O23" s="98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261">
        <f t="shared" si="7"/>
        <v>824.19649505640518</v>
      </c>
      <c r="T23" s="9">
        <f t="shared" ref="T23:T30" si="11">U9/S23</f>
        <v>-2.3842405355725084E-3</v>
      </c>
      <c r="U23" s="266">
        <f t="shared" si="8"/>
        <v>-1619.6142678937413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899.265034121432</v>
      </c>
      <c r="F24" s="9">
        <f t="shared" si="4"/>
        <v>-3.7233579708503346E-3</v>
      </c>
      <c r="G24" s="266">
        <f t="shared" si="5"/>
        <v>-3010.9961937409926</v>
      </c>
      <c r="O24" s="98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261">
        <f t="shared" si="7"/>
        <v>2676.6359250908504</v>
      </c>
      <c r="T24" s="9">
        <f t="shared" si="11"/>
        <v>-1.250930543566318E-3</v>
      </c>
      <c r="U24" s="266">
        <f t="shared" si="8"/>
        <v>-8962.1416119584828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3183.2164034160046</v>
      </c>
      <c r="F25" s="9">
        <f t="shared" si="4"/>
        <v>-1.6114887333581762E-3</v>
      </c>
      <c r="G25" s="266">
        <f t="shared" si="5"/>
        <v>-16329.000476899559</v>
      </c>
      <c r="O25" s="98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261">
        <f t="shared" si="7"/>
        <v>9526.3118465866064</v>
      </c>
      <c r="T25" s="9">
        <f t="shared" si="11"/>
        <v>-5.3847884181787171E-4</v>
      </c>
      <c r="U25" s="266">
        <f t="shared" si="8"/>
        <v>-48867.287350956016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11808.742037740993</v>
      </c>
      <c r="F26" s="9">
        <f t="shared" si="4"/>
        <v>-6.2055857618559739E-4</v>
      </c>
      <c r="G26" s="266">
        <f t="shared" si="5"/>
        <v>-86534.652310416437</v>
      </c>
      <c r="O26" s="98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261">
        <f t="shared" si="7"/>
        <v>35400.272834019153</v>
      </c>
      <c r="T26" s="9">
        <f t="shared" si="11"/>
        <v>-2.0700451038449178E-4</v>
      </c>
      <c r="U26" s="266">
        <f t="shared" si="8"/>
        <v>-259413.77088221541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44942.315604039672</v>
      </c>
      <c r="F27" s="9">
        <f t="shared" si="4"/>
        <v>-2.216266509616615E-4</v>
      </c>
      <c r="G27" s="266">
        <f t="shared" si="5"/>
        <v>-447644.10970367776</v>
      </c>
      <c r="O27" s="98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261">
        <f t="shared" si="7"/>
        <v>134798.14291088955</v>
      </c>
      <c r="T27" s="9">
        <f t="shared" si="11"/>
        <v>-7.3891336176417678E-5</v>
      </c>
      <c r="U27" s="266">
        <f t="shared" si="8"/>
        <v>-1342645.4303042283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173698.7582807354</v>
      </c>
      <c r="F28" s="9">
        <f t="shared" si="4"/>
        <v>-7.5087916326855737E-5</v>
      </c>
      <c r="G28" s="266">
        <f t="shared" si="5"/>
        <v>-2265496.9433554127</v>
      </c>
      <c r="O28" s="98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261">
        <f t="shared" si="7"/>
        <v>521064.46916433377</v>
      </c>
      <c r="T28" s="9">
        <f t="shared" si="11"/>
        <v>-2.5030833226414422E-5</v>
      </c>
      <c r="U28" s="266">
        <f t="shared" si="8"/>
        <v>-6796075.9988566507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678006.20526843425</v>
      </c>
      <c r="F29" s="9">
        <f t="shared" si="4"/>
        <v>-2.4467445178229232E-5</v>
      </c>
      <c r="G29" s="266">
        <f t="shared" si="5"/>
        <v>-11247498.947751708</v>
      </c>
      <c r="O29" s="98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261">
        <f t="shared" si="7"/>
        <v>2033983.6994284736</v>
      </c>
      <c r="T29" s="9">
        <f t="shared" si="11"/>
        <v>-8.1559550661915317E-6</v>
      </c>
      <c r="U29" s="266">
        <f t="shared" si="8"/>
        <v>-33741917.61269854</v>
      </c>
    </row>
    <row r="30" spans="1:21" ht="17" thickBot="1" x14ac:dyDescent="0.25">
      <c r="A30" s="131">
        <v>10</v>
      </c>
      <c r="B30" s="94">
        <f t="shared" si="9"/>
        <v>262144</v>
      </c>
      <c r="C30" s="110">
        <f t="shared" si="2"/>
        <v>1048576</v>
      </c>
      <c r="D30" s="10">
        <f>SUM($C$21:C30)</f>
        <v>1398100</v>
      </c>
      <c r="E30" s="10">
        <f t="shared" si="3"/>
        <v>2664161.6414463636</v>
      </c>
      <c r="F30" s="10">
        <f t="shared" si="4"/>
        <v>-7.7369263517532672E-6</v>
      </c>
      <c r="G30" s="267">
        <f t="shared" si="5"/>
        <v>-54914825.119444788</v>
      </c>
      <c r="O30" s="99">
        <v>10</v>
      </c>
      <c r="P30" s="94">
        <f t="shared" si="10"/>
        <v>786430</v>
      </c>
      <c r="Q30" s="110">
        <f t="shared" si="6"/>
        <v>3145726</v>
      </c>
      <c r="R30" s="10">
        <f>SUM($Q$21:Q30)</f>
        <v>4194280</v>
      </c>
      <c r="S30" s="262">
        <f t="shared" si="7"/>
        <v>7992446.8131647632</v>
      </c>
      <c r="T30" s="10">
        <f t="shared" si="11"/>
        <v>-2.5789877481680389E-6</v>
      </c>
      <c r="U30" s="267">
        <f t="shared" si="8"/>
        <v>-164743689.79471061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4</v>
      </c>
      <c r="D33" s="57">
        <f>SUM($C$33:C33)</f>
        <v>4</v>
      </c>
      <c r="E33" s="9">
        <f t="shared" ref="E33:E42" si="13">D33/R7</f>
        <v>-31.914845027994744</v>
      </c>
      <c r="F33" s="8">
        <f t="shared" ref="F33:F42" si="14">U7/E33</f>
        <v>9.7912186671818887E-3</v>
      </c>
      <c r="G33" s="268">
        <f>E33*U7</f>
        <v>9.9729175740402098</v>
      </c>
      <c r="O33" s="100">
        <v>1</v>
      </c>
      <c r="P33" s="108">
        <v>1</v>
      </c>
      <c r="Q33" s="109">
        <f>P33*4+6</f>
        <v>10</v>
      </c>
      <c r="R33" s="57">
        <f>SUM($Q$21)</f>
        <v>10</v>
      </c>
      <c r="S33" s="260">
        <f>R33/R7</f>
        <v>-79.78711256998686</v>
      </c>
      <c r="T33" s="8">
        <f>U7/S33</f>
        <v>3.9164874668727555E-3</v>
      </c>
      <c r="U33" s="268">
        <f>S33*U7</f>
        <v>24.932293935100525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149.86208337698321</v>
      </c>
      <c r="F34" s="9">
        <f t="shared" si="14"/>
        <v>-6.407052192994255E-3</v>
      </c>
      <c r="G34" s="266">
        <f t="shared" ref="G34:G42" si="16">E34*U8</f>
        <v>-143.89370451029282</v>
      </c>
      <c r="O34" s="98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61">
        <f>R34/R8</f>
        <v>374.65520844245805</v>
      </c>
      <c r="T34" s="9">
        <f t="shared" ref="T34:T42" si="18">U8/S34</f>
        <v>-2.562820877197702E-3</v>
      </c>
      <c r="U34" s="266">
        <f t="shared" ref="U34:U42" si="19">S34*U8</f>
        <v>-359.73426127573208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415.44863978452946</v>
      </c>
      <c r="F35" s="9">
        <f t="shared" si="14"/>
        <v>-4.7300255786357822E-3</v>
      </c>
      <c r="G35" s="266">
        <f t="shared" si="16"/>
        <v>-816.390931783837</v>
      </c>
      <c r="O35" s="98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61">
        <f t="shared" ref="S35:S42" si="21">R35/R9</f>
        <v>904.60590920824961</v>
      </c>
      <c r="T35" s="9">
        <f t="shared" si="18"/>
        <v>-2.1723080435216186E-3</v>
      </c>
      <c r="U35" s="266">
        <f t="shared" si="19"/>
        <v>-1777.6254159809355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1650.4158273287458</v>
      </c>
      <c r="F36" s="9">
        <f t="shared" si="14"/>
        <v>-2.0287527405274258E-3</v>
      </c>
      <c r="G36" s="266">
        <f t="shared" si="16"/>
        <v>-5526.0636026305274</v>
      </c>
      <c r="O36" s="98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61">
        <f t="shared" si="21"/>
        <v>2962.2848182823641</v>
      </c>
      <c r="T36" s="9">
        <f t="shared" si="18"/>
        <v>-1.1303050982938516E-3</v>
      </c>
      <c r="U36" s="266">
        <f t="shared" si="19"/>
        <v>-9918.5756970291513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7290.5924078237531</v>
      </c>
      <c r="F37" s="9">
        <f t="shared" si="14"/>
        <v>-7.036077568183585E-4</v>
      </c>
      <c r="G37" s="266">
        <f t="shared" si="16"/>
        <v>-37398.678511608668</v>
      </c>
      <c r="O37" s="98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61">
        <f t="shared" si="21"/>
        <v>10571.82573861767</v>
      </c>
      <c r="T37" s="9">
        <f t="shared" si="18"/>
        <v>-4.8522530514360975E-4</v>
      </c>
      <c r="U37" s="266">
        <f t="shared" si="19"/>
        <v>-54230.478123427427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33791.169523381919</v>
      </c>
      <c r="F38" s="9">
        <f t="shared" si="14"/>
        <v>-2.1686186802184854E-4</v>
      </c>
      <c r="G38" s="266">
        <f t="shared" si="16"/>
        <v>-247622.23584211472</v>
      </c>
      <c r="O38" s="98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61">
        <f t="shared" si="21"/>
        <v>39319.217993796934</v>
      </c>
      <c r="T38" s="9">
        <f t="shared" si="18"/>
        <v>-1.8637237766630152E-4</v>
      </c>
      <c r="U38" s="266">
        <f t="shared" si="19"/>
        <v>-288131.86428633163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160733.99854651143</v>
      </c>
      <c r="F39" s="9">
        <f t="shared" si="14"/>
        <v>-6.1968314008582943E-5</v>
      </c>
      <c r="G39" s="266">
        <f t="shared" si="16"/>
        <v>-1600977.3130603426</v>
      </c>
      <c r="O39" s="98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61">
        <f t="shared" si="21"/>
        <v>149759.71217808314</v>
      </c>
      <c r="T39" s="9">
        <f t="shared" si="18"/>
        <v>-6.6509308471033571E-5</v>
      </c>
      <c r="U39" s="266">
        <f t="shared" si="19"/>
        <v>-1491668.8676675842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776503.81957717997</v>
      </c>
      <c r="F40" s="9">
        <f t="shared" si="14"/>
        <v>-1.679666924879335E-5</v>
      </c>
      <c r="G40" s="266">
        <f t="shared" si="16"/>
        <v>-10127689.150849905</v>
      </c>
      <c r="O40" s="98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61">
        <f t="shared" si="21"/>
        <v>578942.85147266393</v>
      </c>
      <c r="T40" s="9">
        <f t="shared" si="18"/>
        <v>-2.2528437469580603E-5</v>
      </c>
      <c r="U40" s="266">
        <f t="shared" si="19"/>
        <v>-7550965.0925020641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3788667.4210031508</v>
      </c>
      <c r="F41" s="9">
        <f t="shared" si="14"/>
        <v>-4.3786054077853712E-6</v>
      </c>
      <c r="G41" s="266">
        <f t="shared" si="16"/>
        <v>-62850505.644329444</v>
      </c>
      <c r="O41" s="98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61">
        <f t="shared" si="21"/>
        <v>2259962.4902667324</v>
      </c>
      <c r="T41" s="9">
        <f t="shared" si="18"/>
        <v>-7.3404225642465079E-6</v>
      </c>
      <c r="U41" s="266">
        <f t="shared" si="19"/>
        <v>-37490697.774911389</v>
      </c>
    </row>
    <row r="42" spans="1:21" ht="17" thickBot="1" x14ac:dyDescent="0.25">
      <c r="A42" s="131">
        <v>10</v>
      </c>
      <c r="B42" s="94">
        <f t="shared" si="15"/>
        <v>1953125</v>
      </c>
      <c r="C42" s="110">
        <f t="shared" si="12"/>
        <v>7812500</v>
      </c>
      <c r="D42" s="10">
        <f>SUM($C$33:C42)</f>
        <v>9765624</v>
      </c>
      <c r="E42" s="9">
        <f t="shared" si="13"/>
        <v>18608969.934616983</v>
      </c>
      <c r="F42" s="10">
        <f t="shared" si="14"/>
        <v>-1.1076605788207946E-6</v>
      </c>
      <c r="G42" s="267">
        <f t="shared" si="16"/>
        <v>-383575948.88938767</v>
      </c>
      <c r="O42" s="99">
        <v>10</v>
      </c>
      <c r="P42" s="94">
        <f t="shared" si="20"/>
        <v>873811</v>
      </c>
      <c r="Q42" s="110">
        <f t="shared" si="17"/>
        <v>3495250</v>
      </c>
      <c r="R42" s="10">
        <f>SUM($Q$33:Q42)</f>
        <v>4660300</v>
      </c>
      <c r="S42" s="262">
        <f t="shared" si="21"/>
        <v>8880475.2861973308</v>
      </c>
      <c r="T42" s="10">
        <f t="shared" si="18"/>
        <v>-2.3210945073034447E-6</v>
      </c>
      <c r="U42" s="267">
        <f t="shared" si="19"/>
        <v>-183048107.79210967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4</v>
      </c>
      <c r="D45" s="57">
        <f>SUM(C45:C45)</f>
        <v>4</v>
      </c>
      <c r="E45" s="57">
        <f t="shared" ref="E45:E54" si="23">D45/R7</f>
        <v>-31.914845027994744</v>
      </c>
      <c r="F45" s="8">
        <f t="shared" ref="F45:F54" si="24">U7/E45</f>
        <v>9.7912186671818887E-3</v>
      </c>
      <c r="G45" s="265">
        <f>E45*U7</f>
        <v>9.9729175740402098</v>
      </c>
      <c r="O45" s="100">
        <v>1</v>
      </c>
      <c r="P45" s="108">
        <v>1</v>
      </c>
      <c r="Q45" s="109">
        <f>P45*4+6</f>
        <v>10</v>
      </c>
      <c r="R45" s="57">
        <f>SUM($Q$21)</f>
        <v>10</v>
      </c>
      <c r="S45" s="260">
        <f>R45/R7</f>
        <v>-79.78711256998686</v>
      </c>
      <c r="T45" s="8">
        <f>U7/S45</f>
        <v>3.9164874668727555E-3</v>
      </c>
      <c r="U45" s="268">
        <f>S45*U7</f>
        <v>24.932293935100525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224.79312506547484</v>
      </c>
      <c r="F46" s="9">
        <f t="shared" si="24"/>
        <v>-4.2713681286628358E-3</v>
      </c>
      <c r="G46" s="266">
        <f t="shared" ref="G46:G54" si="26">E46*U8</f>
        <v>-215.84055676543926</v>
      </c>
      <c r="O46" s="98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61">
        <f t="shared" ref="S46:S54" si="28">R46/R8</f>
        <v>599.44833350793283</v>
      </c>
      <c r="T46" s="9">
        <f t="shared" ref="T46:T54" si="29">U8/S46</f>
        <v>-1.6017630482485638E-3</v>
      </c>
      <c r="U46" s="266">
        <f t="shared" ref="U46:U54" si="30">S46*U8</f>
        <v>-575.57481804117128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978.3145388474403</v>
      </c>
      <c r="F47" s="9">
        <f t="shared" si="24"/>
        <v>-2.0086409991467019E-3</v>
      </c>
      <c r="G47" s="266">
        <f t="shared" si="26"/>
        <v>-1922.4689683941967</v>
      </c>
      <c r="O47" s="98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61">
        <f t="shared" si="28"/>
        <v>2646.8098824982117</v>
      </c>
      <c r="T47" s="9">
        <f t="shared" si="29"/>
        <v>-7.4243439462131266E-4</v>
      </c>
      <c r="U47" s="266">
        <f t="shared" si="30"/>
        <v>-5201.2002912034777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6189.0593524827964</v>
      </c>
      <c r="F48" s="9">
        <f t="shared" si="24"/>
        <v>-5.4100073080731357E-4</v>
      </c>
      <c r="G48" s="266">
        <f t="shared" si="26"/>
        <v>-20722.738509864477</v>
      </c>
      <c r="O48" s="98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61">
        <f t="shared" si="28"/>
        <v>16789.807166478971</v>
      </c>
      <c r="T48" s="9">
        <f t="shared" si="29"/>
        <v>-1.9942370984390577E-4</v>
      </c>
      <c r="U48" s="266">
        <f t="shared" si="30"/>
        <v>-56217.070111375942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43696.879719619697</v>
      </c>
      <c r="F49" s="9">
        <f t="shared" si="24"/>
        <v>-1.1739321898635721E-4</v>
      </c>
      <c r="G49" s="266">
        <f t="shared" si="26"/>
        <v>-224152.64291016667</v>
      </c>
      <c r="O49" s="98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61">
        <f t="shared" si="28"/>
        <v>118595.81465454143</v>
      </c>
      <c r="T49" s="9">
        <f t="shared" si="29"/>
        <v>-4.3253780792249839E-5</v>
      </c>
      <c r="U49" s="266">
        <f t="shared" si="30"/>
        <v>-608363.01043627702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323974.78430136445</v>
      </c>
      <c r="F50" s="9">
        <f t="shared" si="24"/>
        <v>-2.2619094141187757E-5</v>
      </c>
      <c r="G50" s="266">
        <f t="shared" si="26"/>
        <v>-2374092.4500899524</v>
      </c>
      <c r="O50" s="98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61">
        <f t="shared" si="28"/>
        <v>879349.00598404475</v>
      </c>
      <c r="T50" s="9">
        <f t="shared" si="29"/>
        <v>-8.3334558811300037E-6</v>
      </c>
      <c r="U50" s="266">
        <f t="shared" si="30"/>
        <v>-6443883.713366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2465556.337440223</v>
      </c>
      <c r="F51" s="9">
        <f t="shared" si="24"/>
        <v>-4.0398244982413921E-6</v>
      </c>
      <c r="G51" s="266">
        <f t="shared" si="26"/>
        <v>-24557964.064906415</v>
      </c>
      <c r="O51" s="98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61">
        <f t="shared" si="28"/>
        <v>6692211.999951507</v>
      </c>
      <c r="T51" s="9">
        <f t="shared" si="29"/>
        <v>-1.4883591395277838E-6</v>
      </c>
      <c r="U51" s="266">
        <f t="shared" si="30"/>
        <v>-66657208.076685928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19057524.853081308</v>
      </c>
      <c r="F52" s="9">
        <f t="shared" si="24"/>
        <v>-6.843846684399732E-7</v>
      </c>
      <c r="G52" s="266">
        <f t="shared" si="26"/>
        <v>-248561156.85522401</v>
      </c>
      <c r="O52" s="98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61">
        <f t="shared" si="28"/>
        <v>51727553.827358745</v>
      </c>
      <c r="T52" s="9">
        <f t="shared" si="29"/>
        <v>-2.5214178639478438E-7</v>
      </c>
      <c r="U52" s="266">
        <f t="shared" si="30"/>
        <v>-674665819.39366102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148774499.4629834</v>
      </c>
      <c r="F53" s="9">
        <f t="shared" si="24"/>
        <v>-1.1150485948724151E-7</v>
      </c>
      <c r="G53" s="266">
        <f t="shared" si="26"/>
        <v>-2468032022.6563244</v>
      </c>
      <c r="O53" s="98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61">
        <f t="shared" si="28"/>
        <v>403816483.57822204</v>
      </c>
      <c r="T53" s="9">
        <f t="shared" si="29"/>
        <v>-4.1080739228148009E-8</v>
      </c>
      <c r="U53" s="266">
        <f t="shared" si="30"/>
        <v>-6698943813.2540712</v>
      </c>
    </row>
    <row r="54" spans="1:21" ht="17" thickBot="1" x14ac:dyDescent="0.25">
      <c r="A54" s="131">
        <v>10</v>
      </c>
      <c r="B54" s="94">
        <f t="shared" si="25"/>
        <v>134217728</v>
      </c>
      <c r="C54" s="110">
        <f t="shared" si="22"/>
        <v>536870912</v>
      </c>
      <c r="D54" s="10">
        <f>SUM($C$45:C54)</f>
        <v>613566756</v>
      </c>
      <c r="E54" s="10">
        <f t="shared" si="23"/>
        <v>1169187480.0099282</v>
      </c>
      <c r="F54" s="10">
        <f t="shared" si="24"/>
        <v>-1.7629698197641989E-8</v>
      </c>
      <c r="G54" s="267">
        <f t="shared" si="26"/>
        <v>-24099786213.32169</v>
      </c>
      <c r="O54" s="99">
        <v>10</v>
      </c>
      <c r="P54" s="94">
        <f t="shared" si="31"/>
        <v>364305260</v>
      </c>
      <c r="Q54" s="110">
        <f t="shared" si="27"/>
        <v>1457221046</v>
      </c>
      <c r="R54" s="10">
        <f>SUM($Q$45:Q54)</f>
        <v>1665395472</v>
      </c>
      <c r="S54" s="262">
        <f t="shared" si="28"/>
        <v>3173508857.9793019</v>
      </c>
      <c r="T54" s="10">
        <f t="shared" si="29"/>
        <v>-6.4951520009814474E-9</v>
      </c>
      <c r="U54" s="267">
        <f t="shared" si="30"/>
        <v>-65413705099.488747</v>
      </c>
    </row>
  </sheetData>
  <mergeCells count="2">
    <mergeCell ref="A18:F18"/>
    <mergeCell ref="O18:T18"/>
  </mergeCells>
  <conditionalFormatting sqref="F45:F54">
    <cfRule type="cellIs" dxfId="704" priority="65" operator="equal">
      <formula>MAX($F$45:$F$54)</formula>
    </cfRule>
  </conditionalFormatting>
  <conditionalFormatting sqref="F21:F30">
    <cfRule type="cellIs" dxfId="703" priority="63" operator="equal">
      <formula>MAX($F$21:$F$30)</formula>
    </cfRule>
  </conditionalFormatting>
  <conditionalFormatting sqref="F33:F42">
    <cfRule type="cellIs" dxfId="702" priority="44" operator="lessThanOrEqual">
      <formula>0</formula>
    </cfRule>
    <cfRule type="cellIs" dxfId="701" priority="61" operator="equal">
      <formula>MAX($F$33:$F$42)</formula>
    </cfRule>
  </conditionalFormatting>
  <conditionalFormatting sqref="E33:E42">
    <cfRule type="cellIs" dxfId="700" priority="59" stopIfTrue="1" operator="lessThan">
      <formula>0</formula>
    </cfRule>
    <cfRule type="cellIs" dxfId="699" priority="60" operator="equal">
      <formula>MIN($E$33:$E$42)</formula>
    </cfRule>
  </conditionalFormatting>
  <conditionalFormatting sqref="E21:E30">
    <cfRule type="cellIs" dxfId="698" priority="55" stopIfTrue="1" operator="lessThan">
      <formula>0</formula>
    </cfRule>
    <cfRule type="cellIs" dxfId="697" priority="56" operator="equal">
      <formula>MIN($E$21:$E$30)</formula>
    </cfRule>
  </conditionalFormatting>
  <conditionalFormatting sqref="E45:E54">
    <cfRule type="cellIs" dxfId="696" priority="51" stopIfTrue="1" operator="lessThan">
      <formula>0</formula>
    </cfRule>
    <cfRule type="cellIs" dxfId="695" priority="52" operator="equal">
      <formula>MIN($E$45:$E$54)</formula>
    </cfRule>
  </conditionalFormatting>
  <conditionalFormatting sqref="R7:R16">
    <cfRule type="cellIs" dxfId="694" priority="29" operator="lessThanOrEqual">
      <formula>0</formula>
    </cfRule>
    <cfRule type="cellIs" dxfId="693" priority="30" operator="greaterThan">
      <formula>0</formula>
    </cfRule>
  </conditionalFormatting>
  <conditionalFormatting sqref="T21:T30">
    <cfRule type="cellIs" dxfId="692" priority="21" operator="equal">
      <formula>MAX($T$21:$T$30)</formula>
    </cfRule>
  </conditionalFormatting>
  <conditionalFormatting sqref="S33:S42">
    <cfRule type="cellIs" dxfId="691" priority="19" stopIfTrue="1" operator="lessThan">
      <formula>0</formula>
    </cfRule>
    <cfRule type="cellIs" dxfId="690" priority="20" operator="equal">
      <formula>MIN($E$21:$E$30)</formula>
    </cfRule>
  </conditionalFormatting>
  <conditionalFormatting sqref="T33:T42">
    <cfRule type="cellIs" dxfId="689" priority="18" operator="equal">
      <formula>MAX($T$21:$T$30)</formula>
    </cfRule>
  </conditionalFormatting>
  <conditionalFormatting sqref="S45:S54">
    <cfRule type="cellIs" dxfId="688" priority="16" stopIfTrue="1" operator="lessThan">
      <formula>0</formula>
    </cfRule>
    <cfRule type="cellIs" dxfId="687" priority="17" operator="equal">
      <formula>MIN($E$21:$E$30)</formula>
    </cfRule>
  </conditionalFormatting>
  <conditionalFormatting sqref="T45:T54">
    <cfRule type="cellIs" dxfId="686" priority="15" operator="equal">
      <formula>MAX($T$21:$T$30)</formula>
    </cfRule>
  </conditionalFormatting>
  <conditionalFormatting sqref="S21:S30">
    <cfRule type="cellIs" dxfId="685" priority="13" stopIfTrue="1" operator="lessThan">
      <formula>0</formula>
    </cfRule>
    <cfRule type="cellIs" dxfId="684" priority="14" operator="equal">
      <formula>MIN($E$21:$E$30)</formula>
    </cfRule>
  </conditionalFormatting>
  <conditionalFormatting sqref="U7:U16">
    <cfRule type="cellIs" dxfId="683" priority="9" operator="lessThanOrEqual">
      <formula>0</formula>
    </cfRule>
    <cfRule type="cellIs" dxfId="682" priority="10" operator="greaterThan">
      <formula>0</formula>
    </cfRule>
  </conditionalFormatting>
  <conditionalFormatting sqref="S7:T16">
    <cfRule type="cellIs" dxfId="681" priority="1" operator="lessThanOrEqual">
      <formula>0</formula>
    </cfRule>
    <cfRule type="cellIs" dxfId="68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Analysis!B28</f>
        <v>0.46124847474265235</v>
      </c>
      <c r="D2" s="135" t="s">
        <v>126</v>
      </c>
      <c r="E2" s="141">
        <f>Analysis!I28</f>
        <v>0.5387515252573476</v>
      </c>
      <c r="F2" s="135" t="s">
        <v>47</v>
      </c>
      <c r="G2" s="141">
        <f>Analysis!S28</f>
        <v>0.830695916795675</v>
      </c>
      <c r="H2" t="s">
        <v>155</v>
      </c>
      <c r="I2" s="155">
        <f>Analysis!T28</f>
        <v>-1.3605538642925081</v>
      </c>
      <c r="J2" t="s">
        <v>48</v>
      </c>
      <c r="K2" s="155">
        <f>C2*G2+E2*I2</f>
        <v>-0.34984324498541275</v>
      </c>
      <c r="L2" t="s">
        <v>47</v>
      </c>
      <c r="M2" s="162">
        <v>2</v>
      </c>
      <c r="N2" t="s">
        <v>155</v>
      </c>
      <c r="O2" s="162">
        <v>5</v>
      </c>
    </row>
    <row r="4" spans="1:23" x14ac:dyDescent="0.2">
      <c r="A4" t="s">
        <v>123</v>
      </c>
      <c r="B4">
        <f>$C$2</f>
        <v>0.46124847474265235</v>
      </c>
      <c r="C4" t="s">
        <v>124</v>
      </c>
      <c r="D4">
        <f>$E$2</f>
        <v>0.5387515252573476</v>
      </c>
      <c r="E4" t="s">
        <v>47</v>
      </c>
      <c r="F4">
        <f>G2</f>
        <v>0.830695916795675</v>
      </c>
      <c r="G4" t="s">
        <v>155</v>
      </c>
      <c r="H4">
        <f>I2</f>
        <v>-1.3605538642925081</v>
      </c>
      <c r="I4" t="s">
        <v>48</v>
      </c>
      <c r="J4">
        <f>K2</f>
        <v>-0.34984324498541275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0.46124847474265235</v>
      </c>
      <c r="C7" s="95">
        <v>1</v>
      </c>
      <c r="D7" s="22">
        <f>C7*D4</f>
        <v>0.5387515252573476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-7.7503050514695249E-2</v>
      </c>
      <c r="S7" s="277">
        <f>IF(Rules!B20=Rules!E20,SUM(C7)*B4*F4,SUM(C7)*B4*F4*POWER(O2,A7-1))</f>
        <v>0.38315722459695434</v>
      </c>
      <c r="T7" s="260">
        <f>IF(Rules!B20=Rules!E20,SUM(C7)*D4*H4,SUM(C7)*D4*H4*POWER(O2,A7-1))</f>
        <v>-0.73300046958236709</v>
      </c>
      <c r="U7" s="274">
        <f>S7+T7</f>
        <v>-0.34984324498541275</v>
      </c>
      <c r="V7" s="108">
        <f>(U7+W7*D7)/B7</f>
        <v>0.4095586015267233</v>
      </c>
      <c r="W7" s="57">
        <f>COUNT(D7:M7)</f>
        <v>1</v>
      </c>
    </row>
    <row r="8" spans="1:23" x14ac:dyDescent="0.2">
      <c r="A8" s="98">
        <v>2</v>
      </c>
      <c r="B8" s="97">
        <f>C8*B4</f>
        <v>0.61376905279442218</v>
      </c>
      <c r="C8" s="97">
        <f>1/(1-B4*D4)</f>
        <v>1.3306690133487524</v>
      </c>
      <c r="D8" s="130">
        <f>C8*D4</f>
        <v>0.71689996055433025</v>
      </c>
      <c r="E8" s="1">
        <f>D8*D4</f>
        <v>0.38623094720557777</v>
      </c>
      <c r="F8" s="1"/>
      <c r="G8" s="1"/>
      <c r="H8" s="1"/>
      <c r="I8" s="1"/>
      <c r="J8" s="1"/>
      <c r="K8" s="1"/>
      <c r="L8" s="1"/>
      <c r="M8" s="242"/>
      <c r="N8" s="97">
        <f>B8+E8</f>
        <v>1</v>
      </c>
      <c r="R8" s="278">
        <f>B8-E8</f>
        <v>0.22753810558884441</v>
      </c>
      <c r="S8" s="279">
        <f>IF(Rules!B20=Rules!E20,SUM(C8:D8)*B4*F4,SUM(C8:D8)*B4*F4*POWER(O2,A8-1))</f>
        <v>0.78454084521153877</v>
      </c>
      <c r="T8" s="261">
        <f>IF(Rules!B20=Rules!E20,SUM(C8:D8)*D4*H4,SUM(C8:D8)*D4*H4*POWER(O2,A8-1))</f>
        <v>-1.500869019373245</v>
      </c>
      <c r="U8" s="275">
        <f>S8+T8+U7</f>
        <v>-1.066171419147119</v>
      </c>
      <c r="V8" s="93">
        <f>(U8+W8*E8)/B8</f>
        <v>-0.47853426854732523</v>
      </c>
      <c r="W8" s="9">
        <f>COUNT(D8:M8)</f>
        <v>2</v>
      </c>
    </row>
    <row r="9" spans="1:23" x14ac:dyDescent="0.2">
      <c r="A9" s="98">
        <v>3</v>
      </c>
      <c r="B9" s="97">
        <f>C9*B4</f>
        <v>0.68911866317491166</v>
      </c>
      <c r="C9" s="97">
        <f>1/(1-D4*B4/(1-D4*B4))</f>
        <v>1.4940291424473469</v>
      </c>
      <c r="D9" s="130">
        <f>C9*D4*C8</f>
        <v>1.0710694332875228</v>
      </c>
      <c r="E9" s="1">
        <f>D9*(D4)</f>
        <v>0.57704029084017583</v>
      </c>
      <c r="F9" s="1">
        <f>E9*D4</f>
        <v>0.31088133682508817</v>
      </c>
      <c r="G9" s="1"/>
      <c r="H9" s="1"/>
      <c r="I9" s="1"/>
      <c r="J9" s="1"/>
      <c r="K9" s="1"/>
      <c r="L9" s="1"/>
      <c r="M9" s="242"/>
      <c r="N9" s="97">
        <f>B9+F9</f>
        <v>0.99999999999999978</v>
      </c>
      <c r="R9" s="278">
        <f>B9-F9</f>
        <v>0.37823732634982349</v>
      </c>
      <c r="S9" s="279">
        <f>IF(Rules!B20=Rules!E20,SUM(C9:E9)*B4*F4,SUM(C9:E9)*B4*F4*POWER(O2,A9-1))</f>
        <v>1.2039332074151141</v>
      </c>
      <c r="T9" s="261">
        <f>IF(Rules!B20=Rules!E20,SUM(C9:E9)*D4*H4,SUM(C9:E9)*D4*H4*POWER(O2,A9-1))</f>
        <v>-2.3031892646925147</v>
      </c>
      <c r="U9" s="275">
        <f t="shared" ref="U9:U16" si="0">S9+T9+U8</f>
        <v>-2.1654274764245196</v>
      </c>
      <c r="V9" s="93">
        <f>(U9+W9*F9)/B9</f>
        <v>-1.7889277011735072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0.7336120045691108</v>
      </c>
      <c r="C10" s="97">
        <f>1/(1-D4*B4/(1-D4*B4/(1-D4*B4)))</f>
        <v>1.590491990197735</v>
      </c>
      <c r="D10" s="130">
        <f>C10*D4*C9</f>
        <v>1.2802036701090282</v>
      </c>
      <c r="E10" s="1">
        <f>D10*D4*C8</f>
        <v>0.91777796060267114</v>
      </c>
      <c r="F10" s="1">
        <f>E10*D4</f>
        <v>0.49445427612226694</v>
      </c>
      <c r="G10" s="1">
        <f>F10*D4</f>
        <v>0.26638799543088904</v>
      </c>
      <c r="H10" s="1"/>
      <c r="I10" s="1"/>
      <c r="J10" s="1"/>
      <c r="K10" s="1"/>
      <c r="L10" s="1"/>
      <c r="M10" s="242"/>
      <c r="N10" s="97">
        <f>B10+G10</f>
        <v>0.99999999999999978</v>
      </c>
      <c r="R10" s="278">
        <f>B10-G10</f>
        <v>0.46722400913822176</v>
      </c>
      <c r="S10" s="279">
        <f>IF(Rules!B20=Rules!E20,SUM(C10:F10)*B4*F4,SUM(C10:F10)*B4*F4*POWER(O2,A10-1))</f>
        <v>1.6410347661755369</v>
      </c>
      <c r="T10" s="261">
        <f>IF(Rules!B20=Rules!E20,SUM(C10:F10)*D4*H4,SUM(C10:F10)*D4*H4*POWER(O2,A10-1))</f>
        <v>-3.1393881597116571</v>
      </c>
      <c r="U10" s="275">
        <f t="shared" si="0"/>
        <v>-3.6637808699606396</v>
      </c>
      <c r="V10" s="93">
        <f>(U10+W10*G10)/B10</f>
        <v>-3.5416935274432446</v>
      </c>
      <c r="W10" s="9">
        <f t="shared" si="1"/>
        <v>4</v>
      </c>
    </row>
    <row r="11" spans="1:23" x14ac:dyDescent="0.2">
      <c r="A11" s="98">
        <v>5</v>
      </c>
      <c r="B11" s="97">
        <f>C11*B4</f>
        <v>0.76268990318677565</v>
      </c>
      <c r="C11" s="97">
        <f>1/(1-D4*B4/(1-D4*B4/(1-D4*B4/(1-D4*B4))))</f>
        <v>1.6535337132817809</v>
      </c>
      <c r="D11" s="130">
        <f>C11*D4*C10</f>
        <v>1.4168799444733378</v>
      </c>
      <c r="E11" s="1">
        <f>D11*D4*C9</f>
        <v>1.1404615151775355</v>
      </c>
      <c r="F11" s="1">
        <f>E11*D4*C8</f>
        <v>0.81759681524450689</v>
      </c>
      <c r="G11" s="1">
        <f>F11*D4</f>
        <v>0.4404815312585279</v>
      </c>
      <c r="H11" s="1">
        <f>G11*D4</f>
        <v>0.23731009681322393</v>
      </c>
      <c r="I11" s="1"/>
      <c r="J11" s="1"/>
      <c r="K11" s="1"/>
      <c r="L11" s="1"/>
      <c r="M11" s="242"/>
      <c r="N11" s="97">
        <f>B11+H11</f>
        <v>0.99999999999999956</v>
      </c>
      <c r="R11" s="278">
        <f>B11-H11</f>
        <v>0.52537980637355175</v>
      </c>
      <c r="S11" s="279">
        <f>IF(Rules!B20=Rules!E20,SUM(C11:G11)*B4*F4,SUM(C11:G11)*B4*F4*POWER(O2,A11-1))</f>
        <v>2.0954690519567243</v>
      </c>
      <c r="T11" s="261">
        <f>IF(Rules!B20=Rules!E20,SUM(C11:G11)*D4*H4,SUM(C11:G11)*D4*H4*POWER(O2,A11-1))</f>
        <v>-4.0087454978704988</v>
      </c>
      <c r="U11" s="275">
        <f t="shared" si="0"/>
        <v>-5.5770573158744146</v>
      </c>
      <c r="V11" s="93">
        <f>(U11+W11*H11)/B11</f>
        <v>-5.7566080440599476</v>
      </c>
      <c r="W11" s="9">
        <f t="shared" si="1"/>
        <v>5</v>
      </c>
    </row>
    <row r="12" spans="1:23" x14ac:dyDescent="0.2">
      <c r="A12" s="98">
        <v>6</v>
      </c>
      <c r="B12" s="97">
        <f>C12*B4</f>
        <v>0.78297190242433445</v>
      </c>
      <c r="C12" s="97">
        <f>1/(1-D4*B4/(1-D4*B4/(1-D4*B4/(1-D4*B4/(1-D4*B4)))))</f>
        <v>1.6975056727530287</v>
      </c>
      <c r="D12" s="130">
        <f>C12*D4*C11</f>
        <v>1.5122124211731929</v>
      </c>
      <c r="E12" s="1">
        <f>D12*D4*C10</f>
        <v>1.2957845577223124</v>
      </c>
      <c r="F12" s="1">
        <f>E12*D4*C9</f>
        <v>1.0429905693900869</v>
      </c>
      <c r="G12" s="1">
        <f>F12*D4*C8</f>
        <v>0.74771989805429173</v>
      </c>
      <c r="H12" s="1">
        <f>G12*D4</f>
        <v>0.40283523554201811</v>
      </c>
      <c r="I12" s="1">
        <f>H12*D4</f>
        <v>0.21702809757566513</v>
      </c>
      <c r="J12" s="1"/>
      <c r="K12" s="1"/>
      <c r="L12" s="1"/>
      <c r="M12" s="242"/>
      <c r="N12" s="97">
        <f>B12+I12</f>
        <v>0.99999999999999956</v>
      </c>
      <c r="R12" s="278">
        <f>B12-I12</f>
        <v>0.56594380484866935</v>
      </c>
      <c r="S12" s="279">
        <f>IF(Rules!B20=Rules!E20,SUM(C12:H12)*B4*F4,SUM(C12:H12)*B4*F4*POWER(O2,A12-1))</f>
        <v>2.5667887750027134</v>
      </c>
      <c r="T12" s="261">
        <f>IF(Rules!B20=Rules!E20,SUM(C12:H12)*D4*H4,SUM(C12:H12)*D4*H4*POWER(O2,A12-1))</f>
        <v>-4.9104055897023873</v>
      </c>
      <c r="U12" s="275">
        <f t="shared" si="0"/>
        <v>-7.9206741305740884</v>
      </c>
      <c r="V12" s="93">
        <f>(U12+W12*I12)/B12</f>
        <v>-8.4530562650167411</v>
      </c>
      <c r="W12" s="9">
        <f t="shared" si="1"/>
        <v>6</v>
      </c>
    </row>
    <row r="13" spans="1:23" x14ac:dyDescent="0.2">
      <c r="A13" s="98">
        <v>7</v>
      </c>
      <c r="B13" s="97">
        <f>C13*B4</f>
        <v>0.79776938630895533</v>
      </c>
      <c r="C13" s="97">
        <f>1/(1-D4*B4/(1-D4*B4/(1-D4*B4/(1-D4*B4/(1-D4*B4/(1-D4*B4))))))</f>
        <v>1.7295870447139374</v>
      </c>
      <c r="D13" s="130">
        <f>C13*D4*C12</f>
        <v>1.5817657611139009</v>
      </c>
      <c r="E13" s="1">
        <f>D13*D4*C11</f>
        <v>1.4091062373085332</v>
      </c>
      <c r="F13" s="1">
        <f>E13*D4*C10</f>
        <v>1.2074349323741405</v>
      </c>
      <c r="G13" s="1">
        <f>F13*D4*C9</f>
        <v>0.97187703010754978</v>
      </c>
      <c r="H13" s="1">
        <f>G13*D4*C8</f>
        <v>0.69673860454776204</v>
      </c>
      <c r="I13" s="1">
        <f>H13*D4</f>
        <v>0.37536898590578271</v>
      </c>
      <c r="J13" s="1">
        <f>I13*D4</f>
        <v>0.20223061369104425</v>
      </c>
      <c r="K13" s="1"/>
      <c r="L13" s="1"/>
      <c r="M13" s="242"/>
      <c r="N13" s="97">
        <f>B13+J13</f>
        <v>0.99999999999999956</v>
      </c>
      <c r="R13" s="278">
        <f>B13-J13</f>
        <v>0.59553877261791111</v>
      </c>
      <c r="S13" s="279">
        <f>IF(Rules!B20=Rules!E20,SUM(C13:I13)*B4*F4,SUM(C13:I13)*B4*F4*POWER(O2,A13-1))</f>
        <v>3.0544828776946615</v>
      </c>
      <c r="T13" s="261">
        <f>IF(Rules!B20=Rules!E20,SUM(C13:I13)*D4*H4,SUM(C13:I13)*D4*H4*POWER(O2,A13-1))</f>
        <v>-5.8433907543741084</v>
      </c>
      <c r="U13" s="275">
        <f t="shared" si="0"/>
        <v>-10.709582007253536</v>
      </c>
      <c r="V13" s="93">
        <f>(U13+W13*J13)/B13</f>
        <v>-11.649942791633915</v>
      </c>
      <c r="W13" s="9">
        <f t="shared" si="1"/>
        <v>7</v>
      </c>
    </row>
    <row r="14" spans="1:23" x14ac:dyDescent="0.2">
      <c r="A14" s="98">
        <v>8</v>
      </c>
      <c r="B14" s="97">
        <f>C14*B4</f>
        <v>0.80892327076146797</v>
      </c>
      <c r="C14" s="97">
        <f>1/(1-D4*B4/(1-D4*B4/(1-D4*B4/(1-D4*B4/(1-D4*B4/(1-D4*B4/(1-D4*B4)))))))</f>
        <v>1.7537689879902503</v>
      </c>
      <c r="D14" s="130">
        <f>C14*D4*C13</f>
        <v>1.6341929117723502</v>
      </c>
      <c r="E14" s="1">
        <f>D14*D4*C12</f>
        <v>1.4945246050475944</v>
      </c>
      <c r="F14" s="1">
        <f>E14*D4*C11</f>
        <v>1.3313879934413317</v>
      </c>
      <c r="G14" s="1">
        <f>F14*D4*C10</f>
        <v>1.140839724686131</v>
      </c>
      <c r="H14" s="1">
        <f>G14*D4*C9</f>
        <v>0.91827384957014679</v>
      </c>
      <c r="I14" s="1">
        <f>H14*D4*C8</f>
        <v>0.6583104865349112</v>
      </c>
      <c r="J14" s="1">
        <f>I14*D4</f>
        <v>0.35466577871359001</v>
      </c>
      <c r="K14" s="1">
        <f>J14*D4</f>
        <v>0.19107672923853153</v>
      </c>
      <c r="L14" s="1"/>
      <c r="M14" s="242"/>
      <c r="N14" s="97">
        <f>B14+K14</f>
        <v>0.99999999999999956</v>
      </c>
      <c r="R14" s="278">
        <f>B14-K14</f>
        <v>0.61784654152293639</v>
      </c>
      <c r="S14" s="279">
        <f>IF(Rules!B20=Rules!E20,SUM(C14:J14)*B4*F4,SUM(C14:J14)*B4*F4*POWER(O2,A14-1))</f>
        <v>3.5579843233610013</v>
      </c>
      <c r="T14" s="261">
        <f>IF(Rules!B20=Rules!E20,SUM(C14:J14)*D4*H4,SUM(C14:J14)*D4*H4*POWER(O2,A14-1))</f>
        <v>-6.8066162201004863</v>
      </c>
      <c r="U14" s="275">
        <f t="shared" si="0"/>
        <v>-13.95821390399302</v>
      </c>
      <c r="V14" s="93">
        <f>(U14+W14*K14)/B14</f>
        <v>-15.365610706667329</v>
      </c>
      <c r="W14" s="9">
        <f t="shared" si="1"/>
        <v>8</v>
      </c>
    </row>
    <row r="15" spans="1:23" x14ac:dyDescent="0.2">
      <c r="A15" s="98">
        <v>9</v>
      </c>
      <c r="B15" s="97">
        <f>C15*B4</f>
        <v>0.81753906971907153</v>
      </c>
      <c r="C15" s="97">
        <f>1/(1-D4*B4/(1-D4*B4/(1-D4*B4/(1-D4*B4/(1-D4*B4/(1-D4*B4/(1-D4*B4/(1-D4*B4))))))))</f>
        <v>1.7724482886912676</v>
      </c>
      <c r="D15" s="130">
        <f>C15*D4*C14</f>
        <v>1.6746901745794283</v>
      </c>
      <c r="E15" s="1">
        <f>D15*D4*C13</f>
        <v>1.5605058770304334</v>
      </c>
      <c r="F15" s="1">
        <f>E15*D4*C12</f>
        <v>1.4271353233407278</v>
      </c>
      <c r="G15" s="1">
        <f>F15*D4*C11</f>
        <v>1.2713546689660211</v>
      </c>
      <c r="H15" s="1">
        <f>G15*D4*C10</f>
        <v>1.0893983704724883</v>
      </c>
      <c r="I15" s="1">
        <f>H15*D4*C9</f>
        <v>0.87686816449562055</v>
      </c>
      <c r="J15" s="1">
        <f>I15*D4*C8</f>
        <v>0.62862675253825828</v>
      </c>
      <c r="K15" s="1">
        <f>J15*D4</f>
        <v>0.33867362174755983</v>
      </c>
      <c r="L15" s="1">
        <f>K15*D4</f>
        <v>0.18246093028092786</v>
      </c>
      <c r="M15" s="242"/>
      <c r="N15" s="97">
        <f>B15+L15</f>
        <v>0.99999999999999933</v>
      </c>
      <c r="R15" s="278">
        <f>B15-L15</f>
        <v>0.63507813943814373</v>
      </c>
      <c r="S15" s="279">
        <f>IF(Rules!B20=Rules!E20,SUM(C15:K15)*B4*F4,SUM(C15:K15)*B4*F4*POWER(O2,A15-1))</f>
        <v>4.076678398372537</v>
      </c>
      <c r="T15" s="261">
        <f>IF(Rules!B20=Rules!E20,SUM(C15:K15)*D4*H4,SUM(C15:K15)*D4*H4*POWER(O2,A15-1))</f>
        <v>-7.798906006500796</v>
      </c>
      <c r="U15" s="275">
        <f t="shared" si="0"/>
        <v>-17.680441512121277</v>
      </c>
      <c r="V15" s="93">
        <f>(U15+W15*L15)/B15</f>
        <v>-19.617769637730117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0.8243210107962986</v>
      </c>
      <c r="C16" s="131">
        <f>1/(1-D4*B4/(1-D4*B4/(1-D4*B4/(1-D4*B4/(1-D4*B4/(1-D4*B4/(1-D4*B4/(1-D4*B4/(1-D4*B4)))))))))</f>
        <v>1.7871517326018647</v>
      </c>
      <c r="D16" s="139">
        <f>C16*D4*C15</f>
        <v>1.7065676651636534</v>
      </c>
      <c r="E16" s="110">
        <f>D16*D4*C14</f>
        <v>1.6124431495910005</v>
      </c>
      <c r="F16" s="110">
        <f>E16*D4*C13</f>
        <v>1.5025029999630404</v>
      </c>
      <c r="G16" s="110">
        <f>F16*D4*C12</f>
        <v>1.3740897334863731</v>
      </c>
      <c r="H16" s="110">
        <f>G16*D4*C11</f>
        <v>1.2240993335914307</v>
      </c>
      <c r="I16" s="110">
        <f>H16*D4*C10</f>
        <v>1.0489062193758334</v>
      </c>
      <c r="J16" s="110">
        <f>I16*D4*C9</f>
        <v>0.84427560774964006</v>
      </c>
      <c r="K16" s="110">
        <f>J16*D4*C8</f>
        <v>0.60526114989270008</v>
      </c>
      <c r="L16" s="110">
        <f>K16*D4</f>
        <v>0.32608536768370827</v>
      </c>
      <c r="M16" s="244">
        <f>L16*D4</f>
        <v>0.17567898920370084</v>
      </c>
      <c r="N16" s="131">
        <f>B16+M16</f>
        <v>0.99999999999999944</v>
      </c>
      <c r="R16" s="280">
        <f>B16-M16</f>
        <v>0.64864202159259776</v>
      </c>
      <c r="S16" s="281">
        <f>IF(Rules!B20=Rules!E20,SUM(C16:L16)*B4*F4,SUM(C16:L16)*B4*F4*POWER(O2,A16-1))</f>
        <v>4.6099113026715592</v>
      </c>
      <c r="T16" s="262">
        <f>IF(Rules!B20=Rules!E20,SUM(C16:L16)*D4*H4,SUM(C16:L16)*D4*H4*POWER(O2,A16-1))</f>
        <v>-8.8190093587450367</v>
      </c>
      <c r="U16" s="275">
        <f t="shared" si="0"/>
        <v>-21.889539568194756</v>
      </c>
      <c r="V16" s="94">
        <f>(U16+W16*M16)/B16</f>
        <v>-24.423433847342313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5</v>
      </c>
      <c r="D21" s="57">
        <f>SUM($C$21:C21)</f>
        <v>5</v>
      </c>
      <c r="E21" s="57">
        <f t="shared" ref="E21:E30" si="3">D21/R7</f>
        <v>-64.513589681892029</v>
      </c>
      <c r="F21" s="8">
        <f t="shared" ref="F21:F30" si="4">U7/E21</f>
        <v>5.4227837376658698E-3</v>
      </c>
      <c r="G21" s="265">
        <f>E21*U7</f>
        <v>22.569643559970547</v>
      </c>
      <c r="O21" s="100">
        <v>1</v>
      </c>
      <c r="P21" s="108">
        <v>1</v>
      </c>
      <c r="Q21" s="109">
        <f>P21*5+10</f>
        <v>15</v>
      </c>
      <c r="R21" s="57">
        <f>SUM($Q$21)</f>
        <v>15</v>
      </c>
      <c r="S21" s="260">
        <f>R21/R7</f>
        <v>-193.54076904567609</v>
      </c>
      <c r="T21" s="8">
        <f>U7/S21</f>
        <v>1.8075945792219567E-3</v>
      </c>
      <c r="U21" s="265">
        <f>S21*U7</f>
        <v>67.708930679911646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131.8460480382536</v>
      </c>
      <c r="F22" s="9">
        <f t="shared" si="4"/>
        <v>-8.0864874981901747E-3</v>
      </c>
      <c r="G22" s="266">
        <f t="shared" ref="G22:G30" si="5">E22*U8</f>
        <v>-140.57048814588407</v>
      </c>
      <c r="O22" s="98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61">
        <f t="shared" ref="S22:S30" si="7">R22/R8</f>
        <v>439.48682679417868</v>
      </c>
      <c r="T22" s="9">
        <f>U8/S22</f>
        <v>-2.4259462494570522E-3</v>
      </c>
      <c r="U22" s="266">
        <f t="shared" ref="U22:U30" si="8">S22*U8</f>
        <v>-468.56829381961359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409.79562090242746</v>
      </c>
      <c r="F23" s="9">
        <f t="shared" si="4"/>
        <v>-5.2841645102403596E-3</v>
      </c>
      <c r="G23" s="266">
        <f t="shared" si="5"/>
        <v>-887.38269722056259</v>
      </c>
      <c r="O23" s="98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61">
        <f t="shared" si="7"/>
        <v>1414.4558527922495</v>
      </c>
      <c r="T23" s="9">
        <f t="shared" ref="T23:T30" si="11">U9/S23</f>
        <v>-1.5309261665182351E-3</v>
      </c>
      <c r="U23" s="266">
        <f t="shared" si="8"/>
        <v>-3062.9015678258124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1669.4347566570532</v>
      </c>
      <c r="F24" s="9">
        <f t="shared" si="4"/>
        <v>-2.1946235726499124E-3</v>
      </c>
      <c r="G24" s="266">
        <f t="shared" si="5"/>
        <v>-6116.4431250875068</v>
      </c>
      <c r="O24" s="98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61">
        <f t="shared" si="7"/>
        <v>5821.618638598954</v>
      </c>
      <c r="T24" s="9">
        <f t="shared" si="11"/>
        <v>-6.2934058333343086E-4</v>
      </c>
      <c r="U24" s="266">
        <f t="shared" si="8"/>
        <v>-21329.135000305148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7432.7181072191706</v>
      </c>
      <c r="F25" s="9">
        <f t="shared" si="4"/>
        <v>-7.5033887138240723E-4</v>
      </c>
      <c r="G25" s="266">
        <f t="shared" si="5"/>
        <v>-41452.694896698908</v>
      </c>
      <c r="O25" s="98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61">
        <f t="shared" si="7"/>
        <v>25990.721063784324</v>
      </c>
      <c r="T25" s="9">
        <f t="shared" si="11"/>
        <v>-2.1457878379701941E-4</v>
      </c>
      <c r="U25" s="266">
        <f t="shared" si="8"/>
        <v>-144951.74105362961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34508.726542597688</v>
      </c>
      <c r="F26" s="9">
        <f t="shared" si="4"/>
        <v>-2.2952670017529572E-4</v>
      </c>
      <c r="G26" s="266">
        <f t="shared" si="5"/>
        <v>-273332.37760500889</v>
      </c>
      <c r="O26" s="98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61">
        <f t="shared" si="7"/>
        <v>120754.03850082569</v>
      </c>
      <c r="T26" s="9">
        <f t="shared" si="11"/>
        <v>-6.559345119144756E-5</v>
      </c>
      <c r="U26" s="266">
        <f t="shared" si="8"/>
        <v>-956453.38891583751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163977.56869921551</v>
      </c>
      <c r="F27" s="9">
        <f t="shared" si="4"/>
        <v>-6.5311262340388466E-5</v>
      </c>
      <c r="G27" s="266">
        <f t="shared" si="5"/>
        <v>-1756131.219334299</v>
      </c>
      <c r="O27" s="98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61">
        <f t="shared" si="7"/>
        <v>573892.10529081337</v>
      </c>
      <c r="T27" s="9">
        <f t="shared" si="11"/>
        <v>-1.8661316140298838E-5</v>
      </c>
      <c r="U27" s="266">
        <f t="shared" si="8"/>
        <v>-6146144.5649273461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790293.32881986117</v>
      </c>
      <c r="F28" s="9">
        <f t="shared" si="4"/>
        <v>-1.7662067228679144E-5</v>
      </c>
      <c r="G28" s="266">
        <f t="shared" si="5"/>
        <v>-11031083.330566313</v>
      </c>
      <c r="O28" s="98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61">
        <f t="shared" si="7"/>
        <v>2765994.2803718974</v>
      </c>
      <c r="T28" s="9">
        <f t="shared" si="11"/>
        <v>-5.046363979507684E-6</v>
      </c>
      <c r="U28" s="266">
        <f t="shared" si="8"/>
        <v>-38608339.822652183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3844259.2310922891</v>
      </c>
      <c r="F29" s="9">
        <f t="shared" si="4"/>
        <v>-4.5991803490051429E-6</v>
      </c>
      <c r="G29" s="266">
        <f t="shared" si="5"/>
        <v>-67968200.492759526</v>
      </c>
      <c r="O29" s="98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61">
        <f t="shared" si="7"/>
        <v>13454871.880111799</v>
      </c>
      <c r="T29" s="9">
        <f t="shared" si="11"/>
        <v>-1.3140549883834618E-6</v>
      </c>
      <c r="U29" s="266">
        <f t="shared" si="8"/>
        <v>-237888075.32940191</v>
      </c>
    </row>
    <row r="30" spans="1:21" ht="17" thickBot="1" x14ac:dyDescent="0.25">
      <c r="A30" s="131">
        <v>10</v>
      </c>
      <c r="B30" s="94">
        <f t="shared" si="9"/>
        <v>1953125</v>
      </c>
      <c r="C30" s="110">
        <f t="shared" si="2"/>
        <v>9765625</v>
      </c>
      <c r="D30" s="10">
        <f>SUM($C$21:C30)</f>
        <v>12207030</v>
      </c>
      <c r="E30" s="10">
        <f t="shared" si="3"/>
        <v>18819363.522006057</v>
      </c>
      <c r="F30" s="10">
        <f t="shared" si="4"/>
        <v>-1.1631392072637658E-6</v>
      </c>
      <c r="G30" s="267">
        <f t="shared" si="5"/>
        <v>-411947202.46319264</v>
      </c>
      <c r="O30" s="99">
        <v>10</v>
      </c>
      <c r="P30" s="94">
        <f t="shared" si="10"/>
        <v>6835935</v>
      </c>
      <c r="Q30" s="110">
        <f t="shared" si="6"/>
        <v>34179685</v>
      </c>
      <c r="R30" s="10">
        <f>SUM($Q$21:Q30)</f>
        <v>42724580</v>
      </c>
      <c r="S30" s="262">
        <f t="shared" si="7"/>
        <v>65867733.784960762</v>
      </c>
      <c r="T30" s="10">
        <f t="shared" si="11"/>
        <v>-3.3232568224766647E-7</v>
      </c>
      <c r="U30" s="267">
        <f t="shared" si="8"/>
        <v>-1441814364.953217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5</v>
      </c>
      <c r="D33" s="57">
        <f>SUM($C$33:C33)</f>
        <v>5</v>
      </c>
      <c r="E33" s="9">
        <f t="shared" ref="E33:E42" si="13">D33/R7</f>
        <v>-64.513589681892029</v>
      </c>
      <c r="F33" s="8">
        <f t="shared" ref="F33:F42" si="14">U7/E33</f>
        <v>5.4227837376658698E-3</v>
      </c>
      <c r="G33" s="268">
        <f>E33*U7</f>
        <v>22.569643559970547</v>
      </c>
      <c r="O33" s="100">
        <v>1</v>
      </c>
      <c r="P33" s="108">
        <v>1</v>
      </c>
      <c r="Q33" s="109">
        <f>P33*5+10</f>
        <v>15</v>
      </c>
      <c r="R33" s="57">
        <f>SUM($Q$21)</f>
        <v>15</v>
      </c>
      <c r="S33" s="260">
        <f>R33/R7</f>
        <v>-193.54076904567609</v>
      </c>
      <c r="T33" s="8">
        <f>U7/S33</f>
        <v>1.8075945792219567E-3</v>
      </c>
      <c r="U33" s="268">
        <f>S33*U7</f>
        <v>67.708930679911646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153.82038937796253</v>
      </c>
      <c r="F34" s="9">
        <f t="shared" si="14"/>
        <v>-6.9312749984487216E-3</v>
      </c>
      <c r="G34" s="266">
        <f t="shared" ref="G34:G42" si="16">E34*U8</f>
        <v>-163.99890283686474</v>
      </c>
      <c r="O34" s="98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61">
        <f>R34/R8</f>
        <v>461.46116813388761</v>
      </c>
      <c r="T34" s="9">
        <f t="shared" ref="T34:T42" si="18">U8/S34</f>
        <v>-2.3104249994829072E-3</v>
      </c>
      <c r="U34" s="266">
        <f t="shared" ref="U34:U42" si="19">S34*U8</f>
        <v>-491.99670851059426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568.42618383239937</v>
      </c>
      <c r="F35" s="9">
        <f t="shared" si="14"/>
        <v>-3.8095139492430497E-3</v>
      </c>
      <c r="G35" s="266">
        <f t="shared" si="16"/>
        <v>-1230.8856767898126</v>
      </c>
      <c r="O35" s="98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61">
        <f t="shared" ref="S35:S42" si="21">R35/R9</f>
        <v>1506.9903478347333</v>
      </c>
      <c r="T35" s="9">
        <f t="shared" si="18"/>
        <v>-1.4369219282232557E-3</v>
      </c>
      <c r="U35" s="266">
        <f t="shared" si="19"/>
        <v>-3263.2783059078756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2771.689756244723</v>
      </c>
      <c r="F36" s="9">
        <f t="shared" si="14"/>
        <v>-1.3218582136424184E-3</v>
      </c>
      <c r="G36" s="266">
        <f t="shared" si="16"/>
        <v>-10154.863906395283</v>
      </c>
      <c r="O36" s="98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61">
        <f t="shared" si="21"/>
        <v>6228.2758229128522</v>
      </c>
      <c r="T36" s="9">
        <f t="shared" si="18"/>
        <v>-5.8824961741131684E-4</v>
      </c>
      <c r="U36" s="266">
        <f t="shared" si="19"/>
        <v>-22819.037812826467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14798.817742286568</v>
      </c>
      <c r="F37" s="9">
        <f t="shared" si="14"/>
        <v>-3.7685830131810934E-4</v>
      </c>
      <c r="G37" s="266">
        <f t="shared" si="16"/>
        <v>-82533.854755911394</v>
      </c>
      <c r="O37" s="98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61">
        <f t="shared" si="21"/>
        <v>27837.004434847728</v>
      </c>
      <c r="T37" s="9">
        <f t="shared" si="18"/>
        <v>-2.0034689181184958E-4</v>
      </c>
      <c r="U37" s="266">
        <f t="shared" si="19"/>
        <v>-155248.56923539605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82437.513407316685</v>
      </c>
      <c r="F38" s="9">
        <f t="shared" si="14"/>
        <v>-9.6080944259426131E-5</v>
      </c>
      <c r="G38" s="266">
        <f t="shared" si="16"/>
        <v>-652960.67983418785</v>
      </c>
      <c r="O38" s="98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61">
        <f t="shared" si="21"/>
        <v>129367.96793734201</v>
      </c>
      <c r="T38" s="9">
        <f t="shared" si="18"/>
        <v>-6.1225929856225164E-5</v>
      </c>
      <c r="U38" s="266">
        <f t="shared" si="19"/>
        <v>-1024681.5169662429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470053.35818764928</v>
      </c>
      <c r="F39" s="9">
        <f t="shared" si="14"/>
        <v>-2.2783758100454162E-5</v>
      </c>
      <c r="G39" s="266">
        <f t="shared" si="16"/>
        <v>-5034074.9872955503</v>
      </c>
      <c r="O39" s="98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61">
        <f t="shared" si="21"/>
        <v>614871.80488739675</v>
      </c>
      <c r="T39" s="9">
        <f t="shared" si="18"/>
        <v>-1.7417585132586806E-5</v>
      </c>
      <c r="U39" s="266">
        <f t="shared" si="19"/>
        <v>-6585020.0183895705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2718498.6677434486</v>
      </c>
      <c r="F40" s="9">
        <f t="shared" si="14"/>
        <v>-5.1345303455967305E-6</v>
      </c>
      <c r="G40" s="266">
        <f t="shared" si="16"/>
        <v>-37945385.902083106</v>
      </c>
      <c r="O40" s="98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61">
        <f t="shared" si="21"/>
        <v>2963551.4273280543</v>
      </c>
      <c r="T40" s="9">
        <f t="shared" si="18"/>
        <v>-4.709961762525505E-6</v>
      </c>
      <c r="U40" s="266">
        <f t="shared" si="19"/>
        <v>-41365884.738128804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15868433.148896888</v>
      </c>
      <c r="F41" s="9">
        <f t="shared" si="14"/>
        <v>-1.1141894947170857E-6</v>
      </c>
      <c r="G41" s="266">
        <f t="shared" si="16"/>
        <v>-280560904.17807788</v>
      </c>
      <c r="O41" s="98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61">
        <f t="shared" si="21"/>
        <v>14415918.973529264</v>
      </c>
      <c r="T41" s="9">
        <f t="shared" si="18"/>
        <v>-1.2264526142652703E-6</v>
      </c>
      <c r="U41" s="266">
        <f t="shared" si="19"/>
        <v>-254879812.25496355</v>
      </c>
    </row>
    <row r="42" spans="1:21" ht="17" thickBot="1" x14ac:dyDescent="0.25">
      <c r="A42" s="131">
        <v>10</v>
      </c>
      <c r="B42" s="94">
        <f t="shared" si="15"/>
        <v>10077696</v>
      </c>
      <c r="C42" s="110">
        <f t="shared" si="12"/>
        <v>50388480</v>
      </c>
      <c r="D42" s="10">
        <f>SUM($C$33:C42)</f>
        <v>60466175</v>
      </c>
      <c r="E42" s="9">
        <f t="shared" si="13"/>
        <v>93219638.856481448</v>
      </c>
      <c r="F42" s="10">
        <f t="shared" si="14"/>
        <v>-2.3481682440215549E-7</v>
      </c>
      <c r="G42" s="267">
        <f t="shared" si="16"/>
        <v>-2040534973.281776</v>
      </c>
      <c r="O42" s="99">
        <v>10</v>
      </c>
      <c r="P42" s="94">
        <f t="shared" si="20"/>
        <v>7324216</v>
      </c>
      <c r="Q42" s="110">
        <f t="shared" si="17"/>
        <v>36621090</v>
      </c>
      <c r="R42" s="10">
        <f>SUM($Q$33:Q42)</f>
        <v>45776325</v>
      </c>
      <c r="S42" s="262">
        <f t="shared" si="21"/>
        <v>70572555.394432053</v>
      </c>
      <c r="T42" s="10">
        <f t="shared" si="18"/>
        <v>-3.1017070936220866E-7</v>
      </c>
      <c r="U42" s="267">
        <f t="shared" si="19"/>
        <v>-1544800743.7350366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5</v>
      </c>
      <c r="D45" s="57">
        <f>SUM(C45:C45)</f>
        <v>5</v>
      </c>
      <c r="E45" s="57">
        <f t="shared" ref="E45:E54" si="23">D45/R7</f>
        <v>-64.513589681892029</v>
      </c>
      <c r="F45" s="8">
        <f t="shared" ref="F45:F54" si="24">U7/E45</f>
        <v>5.4227837376658698E-3</v>
      </c>
      <c r="G45" s="265">
        <f>E45*U7</f>
        <v>22.569643559970547</v>
      </c>
      <c r="O45" s="100">
        <v>1</v>
      </c>
      <c r="P45" s="108">
        <v>1</v>
      </c>
      <c r="Q45" s="109">
        <f>P45*5+10</f>
        <v>15</v>
      </c>
      <c r="R45" s="57">
        <f>SUM($Q$21)</f>
        <v>15</v>
      </c>
      <c r="S45" s="260">
        <f>R45/R7</f>
        <v>-193.54076904567609</v>
      </c>
      <c r="T45" s="8">
        <f>U7/S45</f>
        <v>1.8075945792219567E-3</v>
      </c>
      <c r="U45" s="268">
        <f>S45*U7</f>
        <v>67.708930679911646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241.71775473679827</v>
      </c>
      <c r="F46" s="9">
        <f t="shared" si="24"/>
        <v>-4.4108113626491864E-3</v>
      </c>
      <c r="G46" s="266">
        <f t="shared" ref="G46:G54" si="26">E46*U8</f>
        <v>-257.71256160078747</v>
      </c>
      <c r="O46" s="98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61">
        <f t="shared" ref="S46:S54" si="28">R46/R8</f>
        <v>769.10194688981267</v>
      </c>
      <c r="T46" s="9">
        <f t="shared" ref="T46:T54" si="29">U8/S46</f>
        <v>-1.3862549996897444E-3</v>
      </c>
      <c r="U46" s="266">
        <f t="shared" ref="U46:U54" si="30">S46*U8</f>
        <v>-819.99451418432375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1467.3327071022402</v>
      </c>
      <c r="F47" s="9">
        <f t="shared" si="24"/>
        <v>-1.4757576560130734E-3</v>
      </c>
      <c r="G47" s="266">
        <f t="shared" si="26"/>
        <v>-3177.4025610155627</v>
      </c>
      <c r="O47" s="98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61">
        <f t="shared" si="28"/>
        <v>4719.2592471666649</v>
      </c>
      <c r="T47" s="9">
        <f t="shared" si="29"/>
        <v>-4.5884901909650178E-4</v>
      </c>
      <c r="U47" s="266">
        <f t="shared" si="30"/>
        <v>-10219.21364218519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11889.371888756321</v>
      </c>
      <c r="F48" s="9">
        <f t="shared" si="24"/>
        <v>-3.0815596519656737E-4</v>
      </c>
      <c r="G48" s="266">
        <f t="shared" si="26"/>
        <v>-43560.053281873203</v>
      </c>
      <c r="O48" s="98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61">
        <f t="shared" si="28"/>
        <v>38300.685859458928</v>
      </c>
      <c r="T48" s="9">
        <f t="shared" si="29"/>
        <v>-9.5658361926064935E-5</v>
      </c>
      <c r="U48" s="266">
        <f t="shared" si="30"/>
        <v>-140325.32015825759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105742.54915404892</v>
      </c>
      <c r="F49" s="9">
        <f t="shared" si="24"/>
        <v>-5.2741846687936283E-5</v>
      </c>
      <c r="G49" s="266">
        <f t="shared" si="26"/>
        <v>-589732.25735879841</v>
      </c>
      <c r="O49" s="98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61">
        <f t="shared" si="28"/>
        <v>340715.41735794308</v>
      </c>
      <c r="T49" s="9">
        <f t="shared" si="29"/>
        <v>-1.6368667315149299E-5</v>
      </c>
      <c r="U49" s="266">
        <f t="shared" si="30"/>
        <v>-1900189.411007321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981643.39858539973</v>
      </c>
      <c r="F50" s="9">
        <f t="shared" si="24"/>
        <v>-8.0687896867520329E-6</v>
      </c>
      <c r="G50" s="266">
        <f t="shared" si="26"/>
        <v>-7775277.4726242041</v>
      </c>
      <c r="O50" s="98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61">
        <f t="shared" si="28"/>
        <v>3163061.3934870586</v>
      </c>
      <c r="T50" s="9">
        <f t="shared" si="29"/>
        <v>-2.5041164698488789E-6</v>
      </c>
      <c r="U50" s="266">
        <f t="shared" si="30"/>
        <v>-25053578.552810572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9328620.1594876889</v>
      </c>
      <c r="F51" s="9">
        <f t="shared" si="24"/>
        <v>-1.1480349530966095E-6</v>
      </c>
      <c r="G51" s="266">
        <f t="shared" si="26"/>
        <v>-99905622.612551957</v>
      </c>
      <c r="O51" s="98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61">
        <f t="shared" si="28"/>
        <v>30058874.120501909</v>
      </c>
      <c r="T51" s="9">
        <f t="shared" si="29"/>
        <v>-3.5628686438222163E-7</v>
      </c>
      <c r="U51" s="266">
        <f t="shared" si="30"/>
        <v>-321917977.43922621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89918048.036751211</v>
      </c>
      <c r="F52" s="9">
        <f t="shared" si="24"/>
        <v>-1.5523261690787631E-7</v>
      </c>
      <c r="G52" s="266">
        <f t="shared" si="26"/>
        <v>-1255095348.326493</v>
      </c>
      <c r="O52" s="98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61">
        <f t="shared" si="28"/>
        <v>289735918.17597723</v>
      </c>
      <c r="T52" s="9">
        <f t="shared" si="29"/>
        <v>-4.817564212220041E-8</v>
      </c>
      <c r="U52" s="266">
        <f t="shared" si="30"/>
        <v>-4044195921.5701094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874782992.04488802</v>
      </c>
      <c r="F53" s="9">
        <f t="shared" si="24"/>
        <v>-2.0211231440144454E-8</v>
      </c>
      <c r="G53" s="266">
        <f t="shared" si="26"/>
        <v>-15466549526.648094</v>
      </c>
      <c r="O53" s="98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61">
        <f t="shared" si="28"/>
        <v>2818745180.8429899</v>
      </c>
      <c r="T53" s="9">
        <f t="shared" si="29"/>
        <v>-6.2724511716357648E-9</v>
      </c>
      <c r="U53" s="266">
        <f t="shared" si="30"/>
        <v>-49836659307.468193</v>
      </c>
    </row>
    <row r="54" spans="1:21" ht="17" thickBot="1" x14ac:dyDescent="0.25">
      <c r="A54" s="131">
        <v>10</v>
      </c>
      <c r="B54" s="94">
        <f t="shared" si="25"/>
        <v>1000000000</v>
      </c>
      <c r="C54" s="110">
        <f t="shared" si="22"/>
        <v>5000000000</v>
      </c>
      <c r="D54" s="10">
        <f>SUM($C$45:C54)</f>
        <v>5555555555</v>
      </c>
      <c r="E54" s="10">
        <f t="shared" si="23"/>
        <v>8564902319.0935974</v>
      </c>
      <c r="F54" s="10">
        <f t="shared" si="24"/>
        <v>-2.5557255357596739E-9</v>
      </c>
      <c r="G54" s="267">
        <f t="shared" si="26"/>
        <v>-187481768211.52234</v>
      </c>
      <c r="O54" s="99">
        <v>10</v>
      </c>
      <c r="P54" s="94">
        <f t="shared" si="31"/>
        <v>3222222220</v>
      </c>
      <c r="Q54" s="110">
        <f t="shared" si="27"/>
        <v>16111111110</v>
      </c>
      <c r="R54" s="10">
        <f>SUM($Q$45:Q54)</f>
        <v>17901234555</v>
      </c>
      <c r="S54" s="262">
        <f t="shared" si="28"/>
        <v>27598018566.616234</v>
      </c>
      <c r="T54" s="10">
        <f t="shared" si="29"/>
        <v>-7.9315620124530594E-10</v>
      </c>
      <c r="U54" s="267">
        <f t="shared" si="30"/>
        <v>-604107919417.7196</v>
      </c>
    </row>
  </sheetData>
  <mergeCells count="2">
    <mergeCell ref="A18:F18"/>
    <mergeCell ref="O18:T18"/>
  </mergeCells>
  <conditionalFormatting sqref="F45:F54">
    <cfRule type="cellIs" dxfId="675" priority="65" operator="equal">
      <formula>MAX($F$45:$F$54)</formula>
    </cfRule>
  </conditionalFormatting>
  <conditionalFormatting sqref="F21:F30">
    <cfRule type="cellIs" dxfId="674" priority="63" operator="equal">
      <formula>MAX($F$21:$F$30)</formula>
    </cfRule>
  </conditionalFormatting>
  <conditionalFormatting sqref="F33:F42">
    <cfRule type="cellIs" dxfId="673" priority="44" operator="lessThanOrEqual">
      <formula>0</formula>
    </cfRule>
    <cfRule type="cellIs" dxfId="672" priority="61" operator="equal">
      <formula>MAX($F$33:$F$42)</formula>
    </cfRule>
  </conditionalFormatting>
  <conditionalFormatting sqref="E33:E42">
    <cfRule type="cellIs" dxfId="671" priority="59" stopIfTrue="1" operator="lessThan">
      <formula>0</formula>
    </cfRule>
    <cfRule type="cellIs" dxfId="670" priority="60" operator="equal">
      <formula>MIN($E$33:$E$42)</formula>
    </cfRule>
  </conditionalFormatting>
  <conditionalFormatting sqref="E21:E30">
    <cfRule type="cellIs" dxfId="669" priority="55" stopIfTrue="1" operator="lessThan">
      <formula>0</formula>
    </cfRule>
    <cfRule type="cellIs" dxfId="668" priority="56" operator="equal">
      <formula>MIN($E$21:$E$30)</formula>
    </cfRule>
  </conditionalFormatting>
  <conditionalFormatting sqref="E45:E54">
    <cfRule type="cellIs" dxfId="667" priority="51" stopIfTrue="1" operator="lessThan">
      <formula>0</formula>
    </cfRule>
    <cfRule type="cellIs" dxfId="666" priority="52" operator="equal">
      <formula>MIN($E$45:$E$54)</formula>
    </cfRule>
  </conditionalFormatting>
  <conditionalFormatting sqref="R7:R16">
    <cfRule type="cellIs" dxfId="665" priority="29" operator="lessThanOrEqual">
      <formula>0</formula>
    </cfRule>
    <cfRule type="cellIs" dxfId="664" priority="30" operator="greaterThan">
      <formula>0</formula>
    </cfRule>
  </conditionalFormatting>
  <conditionalFormatting sqref="T21:T30">
    <cfRule type="cellIs" dxfId="663" priority="21" operator="equal">
      <formula>MAX($T$21:$T$30)</formula>
    </cfRule>
  </conditionalFormatting>
  <conditionalFormatting sqref="S33:S42">
    <cfRule type="cellIs" dxfId="662" priority="19" stopIfTrue="1" operator="lessThan">
      <formula>0</formula>
    </cfRule>
    <cfRule type="cellIs" dxfId="661" priority="20" operator="equal">
      <formula>MIN($E$21:$E$30)</formula>
    </cfRule>
  </conditionalFormatting>
  <conditionalFormatting sqref="T33:T42">
    <cfRule type="cellIs" dxfId="660" priority="18" operator="equal">
      <formula>MAX($T$21:$T$30)</formula>
    </cfRule>
  </conditionalFormatting>
  <conditionalFormatting sqref="S45:S54">
    <cfRule type="cellIs" dxfId="659" priority="16" stopIfTrue="1" operator="lessThan">
      <formula>0</formula>
    </cfRule>
    <cfRule type="cellIs" dxfId="658" priority="17" operator="equal">
      <formula>MIN($E$21:$E$30)</formula>
    </cfRule>
  </conditionalFormatting>
  <conditionalFormatting sqref="T45:T54">
    <cfRule type="cellIs" dxfId="657" priority="15" operator="equal">
      <formula>MAX($T$21:$T$30)</formula>
    </cfRule>
  </conditionalFormatting>
  <conditionalFormatting sqref="S21:S30">
    <cfRule type="cellIs" dxfId="656" priority="13" stopIfTrue="1" operator="lessThan">
      <formula>0</formula>
    </cfRule>
    <cfRule type="cellIs" dxfId="655" priority="14" operator="equal">
      <formula>MIN($E$21:$E$30)</formula>
    </cfRule>
  </conditionalFormatting>
  <conditionalFormatting sqref="U7:U16">
    <cfRule type="cellIs" dxfId="654" priority="9" operator="lessThanOrEqual">
      <formula>0</formula>
    </cfRule>
    <cfRule type="cellIs" dxfId="653" priority="10" operator="greaterThan">
      <formula>0</formula>
    </cfRule>
  </conditionalFormatting>
  <conditionalFormatting sqref="S7:T16">
    <cfRule type="cellIs" dxfId="652" priority="1" operator="lessThanOrEqual">
      <formula>0</formula>
    </cfRule>
    <cfRule type="cellIs" dxfId="651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Analysis!B29</f>
        <v>0.47717298148675991</v>
      </c>
      <c r="D2" s="135" t="s">
        <v>126</v>
      </c>
      <c r="E2" s="141">
        <f>Analysis!J29</f>
        <v>0.52282701851323998</v>
      </c>
      <c r="F2" s="135" t="s">
        <v>47</v>
      </c>
      <c r="G2" s="141">
        <f>Analysis!S29</f>
        <v>1.0236157477610779</v>
      </c>
      <c r="H2" t="s">
        <v>155</v>
      </c>
      <c r="I2" s="155">
        <f>Analysis!T29</f>
        <v>-1.6765272743113244</v>
      </c>
      <c r="J2" t="s">
        <v>48</v>
      </c>
      <c r="K2" s="155">
        <f>C2*G2+E2*I2</f>
        <v>-0.38809197802836592</v>
      </c>
      <c r="L2" t="s">
        <v>47</v>
      </c>
      <c r="M2" s="162">
        <v>2</v>
      </c>
      <c r="N2" t="s">
        <v>155</v>
      </c>
      <c r="O2" s="162">
        <v>6</v>
      </c>
    </row>
    <row r="4" spans="1:23" x14ac:dyDescent="0.2">
      <c r="A4" t="s">
        <v>123</v>
      </c>
      <c r="B4">
        <f>$C$2</f>
        <v>0.47717298148675991</v>
      </c>
      <c r="C4" t="s">
        <v>124</v>
      </c>
      <c r="D4">
        <f>$E$2</f>
        <v>0.52282701851323998</v>
      </c>
      <c r="E4" t="s">
        <v>47</v>
      </c>
      <c r="F4">
        <f>G2</f>
        <v>1.0236157477610779</v>
      </c>
      <c r="G4" t="s">
        <v>155</v>
      </c>
      <c r="H4">
        <f>I2</f>
        <v>-1.6765272743113244</v>
      </c>
      <c r="I4" t="s">
        <v>48</v>
      </c>
      <c r="J4">
        <f>K2</f>
        <v>-0.38809197802836592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0.47717298148675991</v>
      </c>
      <c r="C7" s="95">
        <v>1</v>
      </c>
      <c r="D7" s="22">
        <f>C7*D4</f>
        <v>0.52282701851323998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0.99999999999999989</v>
      </c>
      <c r="R7" s="276">
        <f>B7-D7</f>
        <v>-4.5654037026480077E-2</v>
      </c>
      <c r="S7" s="277">
        <f>IF(Rules!B20=Rules!E20,SUM(C7)*B4*F4,SUM(C7)*B4*F4*POWER(O2,A7-1))</f>
        <v>0.4884417782559527</v>
      </c>
      <c r="T7" s="260">
        <f>IF(Rules!B20=Rules!E20,SUM(C7)*D4*H4,SUM(C7)*D4*H4*POWER(O2,A7-1))</f>
        <v>-0.87653375628431862</v>
      </c>
      <c r="U7" s="274">
        <f>S7+T7</f>
        <v>-0.38809197802836592</v>
      </c>
      <c r="V7" s="108">
        <f>(U7+W7*D7)/B7</f>
        <v>0.28236100054339003</v>
      </c>
      <c r="W7" s="57">
        <f>COUNT(D7:M7)</f>
        <v>1</v>
      </c>
    </row>
    <row r="8" spans="1:23" x14ac:dyDescent="0.2">
      <c r="A8" s="98">
        <v>2</v>
      </c>
      <c r="B8" s="97">
        <f>C8*B4</f>
        <v>0.63578891892129263</v>
      </c>
      <c r="C8" s="97">
        <f>1/(1-B4*D4)</f>
        <v>1.3324076248833754</v>
      </c>
      <c r="D8" s="130">
        <f>C8*D4</f>
        <v>0.69661870596208264</v>
      </c>
      <c r="E8" s="1">
        <f>D8*D4</f>
        <v>0.36421108107870703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0.99999999999999967</v>
      </c>
      <c r="R8" s="278">
        <f>B8-E8</f>
        <v>0.2715778378425856</v>
      </c>
      <c r="S8" s="279">
        <f>IF(Rules!B20=Rules!E20,SUM(C8:D8)*B4*F4,SUM(C8:D8)*B4*F4*POWER(O2,A8-1))</f>
        <v>0.99106122916630657</v>
      </c>
      <c r="T8" s="261">
        <f>IF(Rules!B20=Rules!E20,SUM(C8:D8)*D4*H4,SUM(C8:D8)*D4*H4*POWER(O2,A8-1))</f>
        <v>-1.7785100713757578</v>
      </c>
      <c r="U8" s="275">
        <f>S8+T8+U7</f>
        <v>-1.175540820237817</v>
      </c>
      <c r="V8" s="93">
        <f>(U8+W8*E8)/B8</f>
        <v>-0.70325015862026041</v>
      </c>
      <c r="W8" s="9">
        <f>COUNT(D8:M8)</f>
        <v>2</v>
      </c>
    </row>
    <row r="9" spans="1:23" x14ac:dyDescent="0.2">
      <c r="A9" s="98">
        <v>3</v>
      </c>
      <c r="B9" s="97">
        <f>C9*B4</f>
        <v>0.71476697348947493</v>
      </c>
      <c r="C9" s="97">
        <f>1/(1-D4*B4/(1-D4*B4))</f>
        <v>1.4979200441366725</v>
      </c>
      <c r="D9" s="130">
        <f>C9*D4*C8</f>
        <v>1.0434791227811544</v>
      </c>
      <c r="E9" s="1">
        <f>D9*(D4)</f>
        <v>0.54555907864448205</v>
      </c>
      <c r="F9" s="1">
        <f>E9*D4</f>
        <v>0.28523302651052479</v>
      </c>
      <c r="G9" s="1"/>
      <c r="H9" s="1"/>
      <c r="I9" s="1"/>
      <c r="J9" s="1"/>
      <c r="K9" s="1"/>
      <c r="L9" s="1"/>
      <c r="M9" s="242"/>
      <c r="N9" s="97">
        <f>B9+F9</f>
        <v>0.99999999999999978</v>
      </c>
      <c r="R9" s="278">
        <f>B9-F9</f>
        <v>0.42953394697895014</v>
      </c>
      <c r="S9" s="279">
        <f>IF(Rules!B20=Rules!E20,SUM(C9:E9)*B4*F4,SUM(C9:E9)*B4*F4*POWER(O2,A9-1))</f>
        <v>1.5077993748643301</v>
      </c>
      <c r="T9" s="261">
        <f>IF(Rules!B20=Rules!E20,SUM(C9:E9)*D4*H4,SUM(C9:E9)*D4*H4*POWER(O2,A9-1))</f>
        <v>-2.7058231064755804</v>
      </c>
      <c r="U9" s="275">
        <f t="shared" ref="U9:U16" si="0">S9+T9+U8</f>
        <v>-2.3735645518490673</v>
      </c>
      <c r="V9" s="93">
        <f>(U9+W9*F9)/B9</f>
        <v>-2.1235808712695703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0.76189140927943577</v>
      </c>
      <c r="C10" s="97">
        <f>1/(1-D4*B4/(1-D4*B4/(1-D4*B4)))</f>
        <v>1.5966775966769107</v>
      </c>
      <c r="D10" s="130">
        <f>C10*D4*C9</f>
        <v>1.2504429626711098</v>
      </c>
      <c r="E10" s="1">
        <f>D10*D4*C8</f>
        <v>0.87108195853534132</v>
      </c>
      <c r="F10" s="1">
        <f>E10*D4</f>
        <v>0.45542518326170622</v>
      </c>
      <c r="G10" s="1">
        <f>F10*D4</f>
        <v>0.23810859072056378</v>
      </c>
      <c r="H10" s="1"/>
      <c r="I10" s="1"/>
      <c r="J10" s="1"/>
      <c r="K10" s="1"/>
      <c r="L10" s="1"/>
      <c r="M10" s="242"/>
      <c r="N10" s="97">
        <f>B10+G10</f>
        <v>0.99999999999999956</v>
      </c>
      <c r="R10" s="278">
        <f>B10-G10</f>
        <v>0.52378281855887199</v>
      </c>
      <c r="S10" s="279">
        <f>IF(Rules!B20=Rules!E20,SUM(C10:F10)*B4*F4,SUM(C10:F10)*B4*F4*POWER(O2,A10-1))</f>
        <v>2.0385741361256011</v>
      </c>
      <c r="T10" s="261">
        <f>IF(Rules!B20=Rules!E20,SUM(C10:F10)*D4*H4,SUM(C10:F10)*D4*H4*POWER(O2,A10-1))</f>
        <v>-3.658325566216972</v>
      </c>
      <c r="U10" s="275">
        <f t="shared" si="0"/>
        <v>-3.9933159819404382</v>
      </c>
      <c r="V10" s="93">
        <f>(U10+W10*G10)/B10</f>
        <v>-3.99122707254846</v>
      </c>
      <c r="W10" s="9">
        <f t="shared" si="1"/>
        <v>4</v>
      </c>
    </row>
    <row r="11" spans="1:23" x14ac:dyDescent="0.2">
      <c r="A11" s="98">
        <v>5</v>
      </c>
      <c r="B11" s="97">
        <f>C11*B4</f>
        <v>0.79309066667256312</v>
      </c>
      <c r="C11" s="97">
        <f>1/(1-D4*B4/(1-D4*B4/(1-D4*B4/(1-D4*B4))))</f>
        <v>1.6620611338921103</v>
      </c>
      <c r="D11" s="130">
        <f>C11*D4*C10</f>
        <v>1.3874656771833185</v>
      </c>
      <c r="E11" s="1">
        <f>D11*D4*C9</f>
        <v>1.0865980055037088</v>
      </c>
      <c r="F11" s="1">
        <f>E11*D4*C8</f>
        <v>0.75694449649497353</v>
      </c>
      <c r="G11" s="1">
        <f>F11*D4</f>
        <v>0.39575103428247266</v>
      </c>
      <c r="H11" s="1">
        <f>G11*D4</f>
        <v>0.20690933332743619</v>
      </c>
      <c r="I11" s="1"/>
      <c r="J11" s="1"/>
      <c r="K11" s="1"/>
      <c r="L11" s="1"/>
      <c r="M11" s="242"/>
      <c r="N11" s="97">
        <f>B11+H11</f>
        <v>0.99999999999999933</v>
      </c>
      <c r="R11" s="278">
        <f>B11-H11</f>
        <v>0.5861813333451269</v>
      </c>
      <c r="S11" s="279">
        <f>IF(Rules!B20=Rules!E20,SUM(C11:G11)*B4*F4,SUM(C11:G11)*B4*F4*POWER(O2,A11-1))</f>
        <v>2.5832808153391156</v>
      </c>
      <c r="T11" s="261">
        <f>IF(Rules!B20=Rules!E20,SUM(C11:G11)*D4*H4,SUM(C11:G11)*D4*H4*POWER(O2,A11-1))</f>
        <v>-4.6358295653814006</v>
      </c>
      <c r="U11" s="275">
        <f t="shared" si="0"/>
        <v>-6.0458647319827232</v>
      </c>
      <c r="V11" s="93">
        <f>(U11+W11*H11)/B11</f>
        <v>-6.3187202623007597</v>
      </c>
      <c r="W11" s="9">
        <f t="shared" si="1"/>
        <v>5</v>
      </c>
    </row>
    <row r="12" spans="1:23" x14ac:dyDescent="0.2">
      <c r="A12" s="98">
        <v>6</v>
      </c>
      <c r="B12" s="97">
        <f>C12*B4</f>
        <v>0.81519151397065082</v>
      </c>
      <c r="C12" s="97">
        <f>1/(1-D4*B4/(1-D4*B4/(1-D4*B4/(1-D4*B4/(1-D4*B4)))))</f>
        <v>1.7083773507684863</v>
      </c>
      <c r="D12" s="130">
        <f>C12*D4*C11</f>
        <v>1.4845294646845835</v>
      </c>
      <c r="E12" s="1">
        <f>D12*D4*C10</f>
        <v>1.2392646919032575</v>
      </c>
      <c r="F12" s="1">
        <f>E12*D4*C9</f>
        <v>0.97053394880868904</v>
      </c>
      <c r="G12" s="1">
        <f>F12*D4*C8</f>
        <v>0.67609210351137916</v>
      </c>
      <c r="H12" s="1">
        <f>G12*D4</f>
        <v>0.35347921871919918</v>
      </c>
      <c r="I12" s="1">
        <f>H12*D4</f>
        <v>0.18480848602934835</v>
      </c>
      <c r="J12" s="1"/>
      <c r="K12" s="1"/>
      <c r="L12" s="1"/>
      <c r="M12" s="242"/>
      <c r="N12" s="97">
        <f>B12+I12</f>
        <v>0.99999999999999911</v>
      </c>
      <c r="R12" s="278">
        <f>B12-I12</f>
        <v>0.63038302794130252</v>
      </c>
      <c r="S12" s="279">
        <f>IF(Rules!B20=Rules!E20,SUM(C12:H12)*B4*F4,SUM(C12:H12)*B4*F4*POWER(O2,A12-1))</f>
        <v>3.1417927078740151</v>
      </c>
      <c r="T12" s="261">
        <f>IF(Rules!B20=Rules!E20,SUM(C12:H12)*D4*H4,SUM(C12:H12)*D4*H4*POWER(O2,A12-1))</f>
        <v>-5.6381077260274859</v>
      </c>
      <c r="U12" s="275">
        <f t="shared" si="0"/>
        <v>-8.542179750136194</v>
      </c>
      <c r="V12" s="93">
        <f>(U12+W12*I12)/B12</f>
        <v>-9.1185061504795364</v>
      </c>
      <c r="W12" s="9">
        <f t="shared" si="1"/>
        <v>6</v>
      </c>
    </row>
    <row r="13" spans="1:23" x14ac:dyDescent="0.2">
      <c r="A13" s="98">
        <v>7</v>
      </c>
      <c r="B13" s="97">
        <f>C13*B4</f>
        <v>0.83160758388376244</v>
      </c>
      <c r="C13" s="97">
        <f>1/(1-D4*B4/(1-D4*B4/(1-D4*B4/(1-D4*B4/(1-D4*B4/(1-D4*B4))))))</f>
        <v>1.7427801156986442</v>
      </c>
      <c r="D13" s="130">
        <f>C13*D4*C12</f>
        <v>1.5566265159949217</v>
      </c>
      <c r="E13" s="1">
        <f>D13*D4*C11</f>
        <v>1.3526624708904427</v>
      </c>
      <c r="F13" s="1">
        <f>E13*D4*C10</f>
        <v>1.1291839469102802</v>
      </c>
      <c r="G13" s="1">
        <f>F13*D4*C9</f>
        <v>0.8843238753483077</v>
      </c>
      <c r="H13" s="1">
        <f>G13*D4*C8</f>
        <v>0.61603655369651211</v>
      </c>
      <c r="I13" s="1">
        <f>H13*D4</f>
        <v>0.3220805546643189</v>
      </c>
      <c r="J13" s="1">
        <f>I13*D4</f>
        <v>0.16839241611623645</v>
      </c>
      <c r="K13" s="1"/>
      <c r="L13" s="1"/>
      <c r="M13" s="242"/>
      <c r="N13" s="97">
        <f>B13+J13</f>
        <v>0.99999999999999889</v>
      </c>
      <c r="R13" s="278">
        <f>B13-J13</f>
        <v>0.66321516776752598</v>
      </c>
      <c r="S13" s="279">
        <f>IF(Rules!B20=Rules!E20,SUM(C13:I13)*B4*F4,SUM(C13:I13)*B4*F4*POWER(O2,A13-1))</f>
        <v>3.7139618348920593</v>
      </c>
      <c r="T13" s="261">
        <f>IF(Rules!B20=Rules!E20,SUM(C13:I13)*D4*H4,SUM(C13:I13)*D4*H4*POWER(O2,A13-1))</f>
        <v>-6.6648944925604603</v>
      </c>
      <c r="U13" s="275">
        <f t="shared" si="0"/>
        <v>-11.493112407804595</v>
      </c>
      <c r="V13" s="93">
        <f>(U13+W13*J13)/B13</f>
        <v>-12.402923800695675</v>
      </c>
      <c r="W13" s="9">
        <f t="shared" si="1"/>
        <v>7</v>
      </c>
    </row>
    <row r="14" spans="1:23" x14ac:dyDescent="0.2">
      <c r="A14" s="98">
        <v>8</v>
      </c>
      <c r="B14" s="97">
        <f>C14*B4</f>
        <v>0.84423555118370641</v>
      </c>
      <c r="C14" s="97">
        <f>1/(1-D4*B4/(1-D4*B4/(1-D4*B4/(1-D4*B4/(1-D4*B4/(1-D4*B4/(1-D4*B4)))))))</f>
        <v>1.7692442446201899</v>
      </c>
      <c r="D14" s="130">
        <f>C14*D4*C13</f>
        <v>1.612086757769486</v>
      </c>
      <c r="E14" s="1">
        <f>D14*D4*C12</f>
        <v>1.4398930597290474</v>
      </c>
      <c r="F14" s="1">
        <f>E14*D4*C11</f>
        <v>1.2512245448589332</v>
      </c>
      <c r="G14" s="1">
        <f>F14*D4*C10</f>
        <v>1.0445049673809295</v>
      </c>
      <c r="H14" s="1">
        <f>G14*D4*C9</f>
        <v>0.81800727251062544</v>
      </c>
      <c r="I14" s="1">
        <f>H14*D4*C8</f>
        <v>0.5698391676439245</v>
      </c>
      <c r="J14" s="1">
        <f>I14*D4</f>
        <v>0.2979273130513394</v>
      </c>
      <c r="K14" s="1">
        <f>J14*D4</f>
        <v>0.15576444881629248</v>
      </c>
      <c r="L14" s="1"/>
      <c r="M14" s="242"/>
      <c r="N14" s="97">
        <f>B14+K14</f>
        <v>0.99999999999999889</v>
      </c>
      <c r="R14" s="278">
        <f>B14-K14</f>
        <v>0.68847110236741393</v>
      </c>
      <c r="S14" s="279">
        <f>IF(Rules!B20=Rules!E20,SUM(C14:J14)*B4*F4,SUM(C14:J14)*B4*F4*POWER(O2,A14-1))</f>
        <v>4.2996197893778625</v>
      </c>
      <c r="T14" s="261">
        <f>IF(Rules!B20=Rules!E20,SUM(C14:J14)*D4*H4,SUM(C14:J14)*D4*H4*POWER(O2,A14-1))</f>
        <v>-7.7158876499767119</v>
      </c>
      <c r="U14" s="275">
        <f t="shared" si="0"/>
        <v>-14.909380268403446</v>
      </c>
      <c r="V14" s="93">
        <f>(U14+W14*K14)/B14</f>
        <v>-16.184185395551964</v>
      </c>
      <c r="W14" s="9">
        <f t="shared" si="1"/>
        <v>8</v>
      </c>
    </row>
    <row r="15" spans="1:23" x14ac:dyDescent="0.2">
      <c r="A15" s="98">
        <v>9</v>
      </c>
      <c r="B15" s="97">
        <f>C15*B4</f>
        <v>0.85421360279465819</v>
      </c>
      <c r="C15" s="97">
        <f>1/(1-D4*B4/(1-D4*B4/(1-D4*B4/(1-D4*B4/(1-D4*B4/(1-D4*B4/(1-D4*B4/(1-D4*B4))))))))</f>
        <v>1.7901550086367579</v>
      </c>
      <c r="D15" s="130">
        <f>C15*D4*C14</f>
        <v>1.6559089455878639</v>
      </c>
      <c r="E15" s="1">
        <f>D15*D4*C13</f>
        <v>1.5088187464062048</v>
      </c>
      <c r="F15" s="1">
        <f>E15*D4*C12</f>
        <v>1.3476555345850869</v>
      </c>
      <c r="G15" s="1">
        <f>F15*D4*C11</f>
        <v>1.1710728595394113</v>
      </c>
      <c r="H15" s="1">
        <f>G15*D4*C10</f>
        <v>0.97759544757956363</v>
      </c>
      <c r="I15" s="1">
        <f>H15*D4*C9</f>
        <v>0.76560687662265647</v>
      </c>
      <c r="J15" s="1">
        <f>I15*D4*C8</f>
        <v>0.5333360716685468</v>
      </c>
      <c r="K15" s="1">
        <f>J15*D4</f>
        <v>0.27884250821603002</v>
      </c>
      <c r="L15" s="1">
        <f>K15*D4</f>
        <v>0.14578639720534059</v>
      </c>
      <c r="M15" s="242"/>
      <c r="N15" s="97">
        <f>B15+L15</f>
        <v>0.99999999999999878</v>
      </c>
      <c r="R15" s="278">
        <f>B15-L15</f>
        <v>0.7084272055893176</v>
      </c>
      <c r="S15" s="279">
        <f>IF(Rules!B20=Rules!E20,SUM(C15:K15)*B4*F4,SUM(C15:K15)*B4*F4*POWER(O2,A15-1))</f>
        <v>4.8985786860291682</v>
      </c>
      <c r="T15" s="261">
        <f>IF(Rules!B20=Rules!E20,SUM(C15:K15)*D4*H4,SUM(C15:K15)*D4*H4*POWER(O2,A15-1))</f>
        <v>-8.7907500284904625</v>
      </c>
      <c r="U15" s="275">
        <f t="shared" si="0"/>
        <v>-18.801551610864742</v>
      </c>
      <c r="V15" s="93">
        <f>(U15+W15*L15)/B15</f>
        <v>-20.474356740278836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0.86226619613045397</v>
      </c>
      <c r="C16" s="131">
        <f>1/(1-D4*B4/(1-D4*B4/(1-D4*B4/(1-D4*B4/(1-D4*B4/(1-D4*B4/(1-D4*B4/(1-D4*B4/(1-D4*B4)))))))))</f>
        <v>1.8070306358164565</v>
      </c>
      <c r="D16" s="139">
        <f>C16*D4*C15</f>
        <v>1.6912747936857973</v>
      </c>
      <c r="E16" s="110">
        <f>D16*D4*C14</f>
        <v>1.5644438871493571</v>
      </c>
      <c r="F16" s="110">
        <f>E16*D4*C13</f>
        <v>1.4254782975361946</v>
      </c>
      <c r="G16" s="110">
        <f>F16*D4*C12</f>
        <v>1.2732170260220195</v>
      </c>
      <c r="H16" s="110">
        <f>G16*D4*C11</f>
        <v>1.1063879939742365</v>
      </c>
      <c r="I16" s="110">
        <f>H16*D4*C10</f>
        <v>0.92359741527209305</v>
      </c>
      <c r="J16" s="110">
        <f>I16*D4*C9</f>
        <v>0.72331815181215431</v>
      </c>
      <c r="K16" s="110">
        <f>J16*D4*C8</f>
        <v>0.50387695491426809</v>
      </c>
      <c r="L16" s="110">
        <f>K16*D4</f>
        <v>0.26344048603535702</v>
      </c>
      <c r="M16" s="244">
        <f>L16*D4</f>
        <v>0.13773380386954454</v>
      </c>
      <c r="N16" s="131">
        <f>B16+M16</f>
        <v>0.99999999999999845</v>
      </c>
      <c r="R16" s="280">
        <f>B16-M16</f>
        <v>0.72453239226090949</v>
      </c>
      <c r="S16" s="281">
        <f>IF(Rules!B20=Rules!E20,SUM(C16:L16)*B4*F4,SUM(C16:L16)*B4*F4*POWER(O2,A16-1))</f>
        <v>5.5106322046853151</v>
      </c>
      <c r="T16" s="262">
        <f>IF(Rules!B20=Rules!E20,SUM(C16:L16)*D4*H4,SUM(C16:L16)*D4*H4*POWER(O2,A16-1))</f>
        <v>-9.8891113760195388</v>
      </c>
      <c r="U16" s="275">
        <f t="shared" si="0"/>
        <v>-23.180030782198966</v>
      </c>
      <c r="V16" s="94">
        <f>(U16+W16*M16)/B16</f>
        <v>-25.285338612769817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6</v>
      </c>
      <c r="D21" s="57">
        <f>SUM($C$21:C21)</f>
        <v>6</v>
      </c>
      <c r="E21" s="57">
        <f t="shared" ref="E21:E30" si="3">D21/R7</f>
        <v>-131.42320790864352</v>
      </c>
      <c r="F21" s="8">
        <f t="shared" ref="F21:F30" si="4">U7/E21</f>
        <v>2.9529942557644847E-3</v>
      </c>
      <c r="G21" s="265">
        <f>E21*U7</f>
        <v>51.004292716098647</v>
      </c>
      <c r="O21" s="100">
        <v>1</v>
      </c>
      <c r="P21" s="108">
        <v>1</v>
      </c>
      <c r="Q21" s="109">
        <f>P21*6+15</f>
        <v>21</v>
      </c>
      <c r="R21" s="57">
        <f>SUM($Q$21)</f>
        <v>21</v>
      </c>
      <c r="S21" s="260">
        <f>R21/R7</f>
        <v>-459.98122768025229</v>
      </c>
      <c r="T21" s="8">
        <f>U7/S21</f>
        <v>8.4371264450413858E-4</v>
      </c>
      <c r="U21" s="265">
        <f>S21*U7</f>
        <v>178.51502450634524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154.65179461493622</v>
      </c>
      <c r="F22" s="9">
        <f t="shared" si="4"/>
        <v>-7.6012103394258552E-3</v>
      </c>
      <c r="G22" s="266">
        <f t="shared" ref="G22:G30" si="5">E22*U8</f>
        <v>-181.79949749289253</v>
      </c>
      <c r="O22" s="98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61">
        <f t="shared" ref="S22:S30" si="7">R22/R8</f>
        <v>596.51406494332537</v>
      </c>
      <c r="T22" s="9">
        <f>U8/S22</f>
        <v>-1.9706841620733702E-3</v>
      </c>
      <c r="U22" s="266">
        <f t="shared" ref="U22:U30" si="8">S22*U8</f>
        <v>-701.22663318687114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600.65101213675109</v>
      </c>
      <c r="F23" s="9">
        <f t="shared" si="4"/>
        <v>-3.9516532959885768E-3</v>
      </c>
      <c r="G23" s="266">
        <f t="shared" si="5"/>
        <v>-1425.6839504400564</v>
      </c>
      <c r="O23" s="98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61">
        <f t="shared" si="7"/>
        <v>2381.6511062631644</v>
      </c>
      <c r="T23" s="9">
        <f t="shared" ref="T23:T30" si="11">U9/S23</f>
        <v>-9.9660464356310157E-4</v>
      </c>
      <c r="U23" s="266">
        <f t="shared" si="8"/>
        <v>-5653.0026406983634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2966.8785323574602</v>
      </c>
      <c r="F24" s="9">
        <f t="shared" si="4"/>
        <v>-1.345965444283753E-3</v>
      </c>
      <c r="G24" s="266">
        <f t="shared" si="5"/>
        <v>-11847.683459739037</v>
      </c>
      <c r="O24" s="98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61">
        <f t="shared" si="7"/>
        <v>11844.603870492718</v>
      </c>
      <c r="T24" s="9">
        <f t="shared" si="11"/>
        <v>-3.3714221476740044E-4</v>
      </c>
      <c r="U24" s="266">
        <f t="shared" si="8"/>
        <v>-47299.24593579214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15916.576440189645</v>
      </c>
      <c r="F25" s="9">
        <f t="shared" si="4"/>
        <v>-3.7984705785829704E-4</v>
      </c>
      <c r="G25" s="266">
        <f t="shared" si="5"/>
        <v>-96229.468153649694</v>
      </c>
      <c r="O25" s="98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61">
        <f t="shared" si="7"/>
        <v>63640.716409568566</v>
      </c>
      <c r="T25" s="9">
        <f t="shared" si="11"/>
        <v>-9.499994772330549E-5</v>
      </c>
      <c r="U25" s="266">
        <f t="shared" si="8"/>
        <v>-384763.16285872477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88812.67026309135</v>
      </c>
      <c r="F26" s="9">
        <f t="shared" si="4"/>
        <v>-9.61819943576918E-5</v>
      </c>
      <c r="G26" s="266">
        <f t="shared" si="5"/>
        <v>-758653.79347690183</v>
      </c>
      <c r="O26" s="98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61">
        <f t="shared" si="7"/>
        <v>355222.12698412093</v>
      </c>
      <c r="T26" s="9">
        <f t="shared" si="11"/>
        <v>-2.4047431455524291E-5</v>
      </c>
      <c r="U26" s="266">
        <f t="shared" si="8"/>
        <v>-3034371.2599240653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506505.30374743982</v>
      </c>
      <c r="F27" s="9">
        <f t="shared" si="4"/>
        <v>-2.2691001106546041E-5</v>
      </c>
      <c r="G27" s="266">
        <f t="shared" si="5"/>
        <v>-5821322.3911185358</v>
      </c>
      <c r="O27" s="98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61">
        <f t="shared" si="7"/>
        <v>2025989.5510577194</v>
      </c>
      <c r="T27" s="9">
        <f t="shared" si="11"/>
        <v>-5.6728389353263563E-6</v>
      </c>
      <c r="U27" s="266">
        <f t="shared" si="8"/>
        <v>-23284925.647343937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2927556.426216383</v>
      </c>
      <c r="F28" s="9">
        <f t="shared" si="4"/>
        <v>-5.0927729812103224E-6</v>
      </c>
      <c r="G28" s="266">
        <f t="shared" si="5"/>
        <v>-43648052.015668251</v>
      </c>
      <c r="O28" s="98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61">
        <f t="shared" si="7"/>
        <v>11710190.8450146</v>
      </c>
      <c r="T28" s="9">
        <f t="shared" si="11"/>
        <v>-1.2731970354480466E-6</v>
      </c>
      <c r="U28" s="266">
        <f t="shared" si="8"/>
        <v>-174591688.32389936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17070538.658859141</v>
      </c>
      <c r="F29" s="9">
        <f t="shared" si="4"/>
        <v>-1.1014035342761286E-6</v>
      </c>
      <c r="G29" s="266">
        <f t="shared" si="5"/>
        <v>-320952613.61980194</v>
      </c>
      <c r="O29" s="98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61">
        <f t="shared" si="7"/>
        <v>68282116.52284041</v>
      </c>
      <c r="T29" s="9">
        <f t="shared" si="11"/>
        <v>-2.7535103725988945E-7</v>
      </c>
      <c r="U29" s="266">
        <f t="shared" si="8"/>
        <v>-1283809737.903264</v>
      </c>
    </row>
    <row r="30" spans="1:21" ht="17" thickBot="1" x14ac:dyDescent="0.25">
      <c r="A30" s="131">
        <v>10</v>
      </c>
      <c r="B30" s="94">
        <f t="shared" si="9"/>
        <v>10077696</v>
      </c>
      <c r="C30" s="110">
        <f t="shared" si="2"/>
        <v>60466176</v>
      </c>
      <c r="D30" s="10">
        <f>SUM($C$21:C30)</f>
        <v>72559410</v>
      </c>
      <c r="E30" s="10">
        <f t="shared" si="3"/>
        <v>100146536.95962128</v>
      </c>
      <c r="F30" s="10">
        <f t="shared" si="4"/>
        <v>-2.3146113171686676E-7</v>
      </c>
      <c r="G30" s="267">
        <f t="shared" si="5"/>
        <v>-2321399809.4546475</v>
      </c>
      <c r="O30" s="99">
        <v>10</v>
      </c>
      <c r="P30" s="94">
        <f t="shared" si="10"/>
        <v>40310781</v>
      </c>
      <c r="Q30" s="110">
        <f t="shared" si="6"/>
        <v>241864701</v>
      </c>
      <c r="R30" s="10">
        <f>SUM($Q$21:Q30)</f>
        <v>290237610</v>
      </c>
      <c r="S30" s="262">
        <f t="shared" si="7"/>
        <v>400586106.43246889</v>
      </c>
      <c r="T30" s="10">
        <f t="shared" si="11"/>
        <v>-5.7865288910379803E-8</v>
      </c>
      <c r="U30" s="267">
        <f t="shared" si="8"/>
        <v>-9285598278.0258598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6</v>
      </c>
      <c r="D33" s="57">
        <f>SUM($C$33:C33)</f>
        <v>6</v>
      </c>
      <c r="E33" s="9">
        <f t="shared" ref="E33:E42" si="13">D33/R7</f>
        <v>-131.42320790864352</v>
      </c>
      <c r="F33" s="8">
        <f t="shared" ref="F33:F42" si="14">U7/E33</f>
        <v>2.9529942557644847E-3</v>
      </c>
      <c r="G33" s="268">
        <f>E33*U7</f>
        <v>51.004292716098647</v>
      </c>
      <c r="O33" s="100">
        <v>1</v>
      </c>
      <c r="P33" s="108">
        <v>1</v>
      </c>
      <c r="Q33" s="109">
        <f>P33*6+15</f>
        <v>21</v>
      </c>
      <c r="R33" s="57">
        <f>SUM($Q$21)</f>
        <v>21</v>
      </c>
      <c r="S33" s="260">
        <f>R33/R7</f>
        <v>-459.98122768025229</v>
      </c>
      <c r="T33" s="8">
        <f>U7/S33</f>
        <v>8.4371264450413858E-4</v>
      </c>
      <c r="U33" s="268">
        <f>S33*U7</f>
        <v>178.51502450634524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176.74490813135569</v>
      </c>
      <c r="F34" s="9">
        <f t="shared" si="14"/>
        <v>-6.6510590469976236E-3</v>
      </c>
      <c r="G34" s="266">
        <f t="shared" ref="G34:G42" si="16">E34*U8</f>
        <v>-207.77085427759147</v>
      </c>
      <c r="O34" s="98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61">
        <f>R34/R8</f>
        <v>618.60717845974489</v>
      </c>
      <c r="T34" s="9">
        <f t="shared" ref="T34:T42" si="18">U8/S34</f>
        <v>-1.9003025848564638E-3</v>
      </c>
      <c r="U34" s="266">
        <f t="shared" ref="U34:U42" si="19">S34*U8</f>
        <v>-727.19798997157011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796.21180678592589</v>
      </c>
      <c r="F35" s="9">
        <f t="shared" si="14"/>
        <v>-2.9810717846931369E-3</v>
      </c>
      <c r="G35" s="266">
        <f t="shared" si="16"/>
        <v>-1889.8601203507724</v>
      </c>
      <c r="O35" s="98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61">
        <f t="shared" ref="S35:S42" si="21">R35/R9</f>
        <v>2493.4001317769785</v>
      </c>
      <c r="T35" s="9">
        <f t="shared" si="18"/>
        <v>-9.5193888922974121E-4</v>
      </c>
      <c r="U35" s="266">
        <f t="shared" si="19"/>
        <v>-5918.2461663616295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4582.0517874246489</v>
      </c>
      <c r="F36" s="9">
        <f t="shared" si="14"/>
        <v>-8.7151262517373013E-4</v>
      </c>
      <c r="G36" s="266">
        <f t="shared" si="16"/>
        <v>-18297.580632801601</v>
      </c>
      <c r="O36" s="98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61">
        <f t="shared" si="21"/>
        <v>12428.815473389361</v>
      </c>
      <c r="T36" s="9">
        <f t="shared" si="18"/>
        <v>-3.2129497702257332E-4</v>
      </c>
      <c r="U36" s="266">
        <f t="shared" si="19"/>
        <v>-49632.187466474345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28670.309073293374</v>
      </c>
      <c r="F37" s="9">
        <f t="shared" si="14"/>
        <v>-2.1087546410912241E-4</v>
      </c>
      <c r="G37" s="266">
        <f t="shared" si="16"/>
        <v>-173336.81048126868</v>
      </c>
      <c r="O37" s="98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61">
        <f t="shared" si="21"/>
        <v>66813.795957130496</v>
      </c>
      <c r="T37" s="9">
        <f t="shared" si="18"/>
        <v>-9.0488268857855499E-5</v>
      </c>
      <c r="U37" s="266">
        <f t="shared" si="19"/>
        <v>-403947.17258710513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186629.39004594312</v>
      </c>
      <c r="F38" s="9">
        <f t="shared" si="14"/>
        <v>-4.5770817490392807E-5</v>
      </c>
      <c r="G38" s="266">
        <f t="shared" si="16"/>
        <v>-1594221.7964307247</v>
      </c>
      <c r="O38" s="98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61">
        <f t="shared" si="21"/>
        <v>372973.23940944136</v>
      </c>
      <c r="T38" s="9">
        <f t="shared" si="18"/>
        <v>-2.2902929345981273E-5</v>
      </c>
      <c r="U38" s="266">
        <f t="shared" si="19"/>
        <v>-3186004.4530260288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1241741.8057131539</v>
      </c>
      <c r="F39" s="9">
        <f t="shared" si="14"/>
        <v>-9.2556378104737325E-6</v>
      </c>
      <c r="G39" s="266">
        <f t="shared" si="16"/>
        <v>-14271478.154531533</v>
      </c>
      <c r="O39" s="98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61">
        <f t="shared" si="21"/>
        <v>2127277.9462343915</v>
      </c>
      <c r="T39" s="9">
        <f t="shared" si="18"/>
        <v>-5.4027318941322022E-6</v>
      </c>
      <c r="U39" s="266">
        <f t="shared" si="19"/>
        <v>-24449044.558715563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8373336.1940346472</v>
      </c>
      <c r="F40" s="9">
        <f t="shared" si="14"/>
        <v>-1.7805782453862562E-6</v>
      </c>
      <c r="G40" s="266">
        <f t="shared" si="16"/>
        <v>-124841253.43204857</v>
      </c>
      <c r="O40" s="98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61">
        <f t="shared" si="21"/>
        <v>12295688.186317503</v>
      </c>
      <c r="T40" s="9">
        <f t="shared" si="18"/>
        <v>-1.2125698084141746E-6</v>
      </c>
      <c r="U40" s="266">
        <f t="shared" si="19"/>
        <v>-183321090.83152354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56962247.753361113</v>
      </c>
      <c r="F41" s="9">
        <f t="shared" si="14"/>
        <v>-3.3007039490914994E-7</v>
      </c>
      <c r="G41" s="266">
        <f t="shared" si="16"/>
        <v>-1070978641.0056832</v>
      </c>
      <c r="O41" s="98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61">
        <f t="shared" si="21"/>
        <v>71696209.009573773</v>
      </c>
      <c r="T41" s="9">
        <f t="shared" si="18"/>
        <v>-2.6223913189544127E-7</v>
      </c>
      <c r="U41" s="266">
        <f t="shared" si="19"/>
        <v>-1347999973.9968469</v>
      </c>
    </row>
    <row r="42" spans="1:21" ht="17" thickBot="1" x14ac:dyDescent="0.25">
      <c r="A42" s="131">
        <v>10</v>
      </c>
      <c r="B42" s="94">
        <f t="shared" si="15"/>
        <v>40353607</v>
      </c>
      <c r="C42" s="110">
        <f t="shared" si="12"/>
        <v>242121642</v>
      </c>
      <c r="D42" s="10">
        <f>SUM($C$33:C42)</f>
        <v>282475248</v>
      </c>
      <c r="E42" s="9">
        <f t="shared" si="13"/>
        <v>389872490.19817263</v>
      </c>
      <c r="F42" s="10">
        <f t="shared" si="14"/>
        <v>-5.9455415206178125E-8</v>
      </c>
      <c r="G42" s="267">
        <f t="shared" si="16"/>
        <v>-9037256323.9262066</v>
      </c>
      <c r="O42" s="99">
        <v>10</v>
      </c>
      <c r="P42" s="94">
        <f t="shared" si="20"/>
        <v>42326320</v>
      </c>
      <c r="Q42" s="110">
        <f t="shared" si="17"/>
        <v>253957935</v>
      </c>
      <c r="R42" s="10">
        <f>SUM($Q$33:Q42)</f>
        <v>304749480</v>
      </c>
      <c r="S42" s="262">
        <f t="shared" si="21"/>
        <v>420615397.26198667</v>
      </c>
      <c r="T42" s="10">
        <f t="shared" si="18"/>
        <v>-5.510980086104868E-8</v>
      </c>
      <c r="U42" s="267">
        <f t="shared" si="19"/>
        <v>-9749877855.9996967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6</v>
      </c>
      <c r="D45" s="57">
        <f>SUM(C45:C45)</f>
        <v>6</v>
      </c>
      <c r="E45" s="57">
        <f t="shared" ref="E45:E54" si="23">D45/R7</f>
        <v>-131.42320790864352</v>
      </c>
      <c r="F45" s="8">
        <f t="shared" ref="F45:F54" si="24">U7/E45</f>
        <v>2.9529942557644847E-3</v>
      </c>
      <c r="G45" s="265">
        <f>E45*U7</f>
        <v>51.004292716098647</v>
      </c>
      <c r="O45" s="100">
        <v>1</v>
      </c>
      <c r="P45" s="108">
        <v>1</v>
      </c>
      <c r="Q45" s="109">
        <f>P45*6+15</f>
        <v>21</v>
      </c>
      <c r="R45" s="57">
        <f>SUM($Q$21)</f>
        <v>21</v>
      </c>
      <c r="S45" s="260">
        <f>R45/R7</f>
        <v>-459.98122768025229</v>
      </c>
      <c r="T45" s="8">
        <f>U7/S45</f>
        <v>8.4371264450413858E-4</v>
      </c>
      <c r="U45" s="268">
        <f>S45*U7</f>
        <v>178.51502450634524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287.21047571345298</v>
      </c>
      <c r="F46" s="9">
        <f t="shared" si="24"/>
        <v>-4.0929594135369991E-3</v>
      </c>
      <c r="G46" s="266">
        <f t="shared" ref="G46:G54" si="26">E46*U8</f>
        <v>-337.62763820108614</v>
      </c>
      <c r="O46" s="98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61">
        <f t="shared" ref="S46:S54" si="28">R46/R8</f>
        <v>1060.4694487881341</v>
      </c>
      <c r="T46" s="9">
        <f t="shared" ref="T46:T54" si="29">U8/S46</f>
        <v>-1.1085098411662707E-3</v>
      </c>
      <c r="U46" s="266">
        <f t="shared" ref="U46:U54" si="30">S46*U8</f>
        <v>-1246.6251256655489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2193.074625708603</v>
      </c>
      <c r="F47" s="9">
        <f t="shared" si="24"/>
        <v>-1.0822999473089733E-3</v>
      </c>
      <c r="G47" s="266">
        <f t="shared" si="26"/>
        <v>-5205.4041911416016</v>
      </c>
      <c r="O47" s="98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61">
        <f t="shared" si="28"/>
        <v>8164.6631766030478</v>
      </c>
      <c r="T47" s="9">
        <f t="shared" si="29"/>
        <v>-2.907118763515976E-4</v>
      </c>
      <c r="U47" s="266">
        <f t="shared" si="30"/>
        <v>-19379.355093772396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21592.919048238658</v>
      </c>
      <c r="F48" s="9">
        <f t="shared" si="24"/>
        <v>-1.8493636608461116E-4</v>
      </c>
      <c r="G48" s="266">
        <f t="shared" si="26"/>
        <v>-86227.348732077546</v>
      </c>
      <c r="O48" s="98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61">
        <f t="shared" si="28"/>
        <v>80472.284516645392</v>
      </c>
      <c r="T48" s="9">
        <f t="shared" si="29"/>
        <v>-4.9623494671813822E-5</v>
      </c>
      <c r="U48" s="266">
        <f t="shared" si="30"/>
        <v>-321351.25986357813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231542.68530773633</v>
      </c>
      <c r="F49" s="9">
        <f t="shared" si="24"/>
        <v>-2.611123181864868E-5</v>
      </c>
      <c r="G49" s="266">
        <f t="shared" si="26"/>
        <v>-1399875.7550506173</v>
      </c>
      <c r="O49" s="98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61">
        <f t="shared" si="28"/>
        <v>863011.10462374904</v>
      </c>
      <c r="T49" s="9">
        <f t="shared" si="29"/>
        <v>-7.005546857497931E-6</v>
      </c>
      <c r="U49" s="266">
        <f t="shared" si="30"/>
        <v>-5217648.4007541761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2583695.8290565787</v>
      </c>
      <c r="F50" s="9">
        <f t="shared" si="24"/>
        <v>-3.3061862987390899E-6</v>
      </c>
      <c r="G50" s="266">
        <f t="shared" si="26"/>
        <v>-22070394.191478454</v>
      </c>
      <c r="O50" s="98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61">
        <f t="shared" si="28"/>
        <v>9630126.0200889539</v>
      </c>
      <c r="T50" s="9">
        <f t="shared" si="29"/>
        <v>-8.8702678784439096E-7</v>
      </c>
      <c r="U50" s="266">
        <f t="shared" si="30"/>
        <v>-82262267.480063528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29469503.940613877</v>
      </c>
      <c r="F51" s="9">
        <f t="shared" si="24"/>
        <v>-3.9000019922171734E-7</v>
      </c>
      <c r="G51" s="266">
        <f t="shared" si="26"/>
        <v>-338696321.39171576</v>
      </c>
      <c r="O51" s="98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61">
        <f t="shared" si="28"/>
        <v>109840863.93140988</v>
      </c>
      <c r="T51" s="9">
        <f t="shared" si="29"/>
        <v>-1.0463421350164788E-7</v>
      </c>
      <c r="U51" s="266">
        <f t="shared" si="30"/>
        <v>-1262413396.1340632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340661313.44295156</v>
      </c>
      <c r="F52" s="9">
        <f t="shared" si="24"/>
        <v>-4.3765991851904919E-8</v>
      </c>
      <c r="G52" s="266">
        <f t="shared" si="26"/>
        <v>-5079049064.854744</v>
      </c>
      <c r="O52" s="98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61">
        <f t="shared" si="28"/>
        <v>1269737606.9874327</v>
      </c>
      <c r="T52" s="9">
        <f t="shared" si="29"/>
        <v>-1.1742095521433991E-8</v>
      </c>
      <c r="U52" s="266">
        <f t="shared" si="30"/>
        <v>-18931000823.66824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3972780299.5069489</v>
      </c>
      <c r="F53" s="9">
        <f t="shared" si="24"/>
        <v>-4.7325928426493035E-9</v>
      </c>
      <c r="G53" s="266">
        <f t="shared" si="26"/>
        <v>-74694433839.806595</v>
      </c>
      <c r="O53" s="98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61">
        <f t="shared" si="28"/>
        <v>14807635644.47472</v>
      </c>
      <c r="T53" s="9">
        <f t="shared" si="29"/>
        <v>-1.2697200324401755E-9</v>
      </c>
      <c r="U53" s="266">
        <f t="shared" si="30"/>
        <v>-278406525804.47186</v>
      </c>
    </row>
    <row r="54" spans="1:21" ht="17" thickBot="1" x14ac:dyDescent="0.25">
      <c r="A54" s="131">
        <v>10</v>
      </c>
      <c r="B54" s="94">
        <f t="shared" si="25"/>
        <v>5159780352</v>
      </c>
      <c r="C54" s="110">
        <f t="shared" si="22"/>
        <v>30958682112</v>
      </c>
      <c r="D54" s="10">
        <f>SUM($C$45:C54)</f>
        <v>33773107758</v>
      </c>
      <c r="E54" s="10">
        <f t="shared" si="23"/>
        <v>46613661609.539268</v>
      </c>
      <c r="F54" s="10">
        <f t="shared" si="24"/>
        <v>-4.9727976695688883E-10</v>
      </c>
      <c r="G54" s="267">
        <f t="shared" si="26"/>
        <v>-1080506110980.1265</v>
      </c>
      <c r="O54" s="99">
        <v>10</v>
      </c>
      <c r="P54" s="94">
        <f t="shared" si="31"/>
        <v>19231908582</v>
      </c>
      <c r="Q54" s="110">
        <f t="shared" si="27"/>
        <v>115391451507</v>
      </c>
      <c r="R54" s="10">
        <f>SUM($Q$45:Q54)</f>
        <v>125881583448</v>
      </c>
      <c r="S54" s="262">
        <f t="shared" si="28"/>
        <v>173741829616.73453</v>
      </c>
      <c r="T54" s="10">
        <f t="shared" si="29"/>
        <v>-1.3341652285654476E-10</v>
      </c>
      <c r="U54" s="267">
        <f t="shared" si="30"/>
        <v>-4027340958671.4741</v>
      </c>
    </row>
  </sheetData>
  <mergeCells count="2">
    <mergeCell ref="A18:F18"/>
    <mergeCell ref="O18:T18"/>
  </mergeCells>
  <conditionalFormatting sqref="F45:F54">
    <cfRule type="cellIs" dxfId="646" priority="65" operator="equal">
      <formula>MAX($F$45:$F$54)</formula>
    </cfRule>
  </conditionalFormatting>
  <conditionalFormatting sqref="F21:F30">
    <cfRule type="cellIs" dxfId="645" priority="63" operator="equal">
      <formula>MAX($F$21:$F$30)</formula>
    </cfRule>
  </conditionalFormatting>
  <conditionalFormatting sqref="F33:F42">
    <cfRule type="cellIs" dxfId="644" priority="44" operator="lessThanOrEqual">
      <formula>0</formula>
    </cfRule>
    <cfRule type="cellIs" dxfId="643" priority="61" operator="equal">
      <formula>MAX($F$33:$F$42)</formula>
    </cfRule>
  </conditionalFormatting>
  <conditionalFormatting sqref="E33:E42">
    <cfRule type="cellIs" dxfId="642" priority="59" stopIfTrue="1" operator="lessThan">
      <formula>0</formula>
    </cfRule>
    <cfRule type="cellIs" dxfId="641" priority="60" operator="equal">
      <formula>MIN($E$33:$E$42)</formula>
    </cfRule>
  </conditionalFormatting>
  <conditionalFormatting sqref="E21:E30">
    <cfRule type="cellIs" dxfId="640" priority="55" stopIfTrue="1" operator="lessThan">
      <formula>0</formula>
    </cfRule>
    <cfRule type="cellIs" dxfId="639" priority="56" operator="equal">
      <formula>MIN($E$21:$E$30)</formula>
    </cfRule>
  </conditionalFormatting>
  <conditionalFormatting sqref="E45:E54">
    <cfRule type="cellIs" dxfId="638" priority="51" stopIfTrue="1" operator="lessThan">
      <formula>0</formula>
    </cfRule>
    <cfRule type="cellIs" dxfId="637" priority="52" operator="equal">
      <formula>MIN($E$45:$E$54)</formula>
    </cfRule>
  </conditionalFormatting>
  <conditionalFormatting sqref="R7:R16">
    <cfRule type="cellIs" dxfId="636" priority="29" operator="lessThanOrEqual">
      <formula>0</formula>
    </cfRule>
    <cfRule type="cellIs" dxfId="635" priority="30" operator="greaterThan">
      <formula>0</formula>
    </cfRule>
  </conditionalFormatting>
  <conditionalFormatting sqref="T21:T30">
    <cfRule type="cellIs" dxfId="634" priority="21" operator="equal">
      <formula>MAX($T$21:$T$30)</formula>
    </cfRule>
  </conditionalFormatting>
  <conditionalFormatting sqref="S33:S42">
    <cfRule type="cellIs" dxfId="633" priority="19" stopIfTrue="1" operator="lessThan">
      <formula>0</formula>
    </cfRule>
    <cfRule type="cellIs" dxfId="632" priority="20" operator="equal">
      <formula>MIN($E$21:$E$30)</formula>
    </cfRule>
  </conditionalFormatting>
  <conditionalFormatting sqref="T33:T42">
    <cfRule type="cellIs" dxfId="631" priority="18" operator="equal">
      <formula>MAX($T$21:$T$30)</formula>
    </cfRule>
  </conditionalFormatting>
  <conditionalFormatting sqref="S45:S54">
    <cfRule type="cellIs" dxfId="630" priority="16" stopIfTrue="1" operator="lessThan">
      <formula>0</formula>
    </cfRule>
    <cfRule type="cellIs" dxfId="629" priority="17" operator="equal">
      <formula>MIN($E$21:$E$30)</formula>
    </cfRule>
  </conditionalFormatting>
  <conditionalFormatting sqref="T45:T54">
    <cfRule type="cellIs" dxfId="628" priority="15" operator="equal">
      <formula>MAX($T$21:$T$30)</formula>
    </cfRule>
  </conditionalFormatting>
  <conditionalFormatting sqref="S21:S30">
    <cfRule type="cellIs" dxfId="627" priority="13" stopIfTrue="1" operator="lessThan">
      <formula>0</formula>
    </cfRule>
    <cfRule type="cellIs" dxfId="626" priority="14" operator="equal">
      <formula>MIN($E$21:$E$30)</formula>
    </cfRule>
  </conditionalFormatting>
  <conditionalFormatting sqref="U7:U16">
    <cfRule type="cellIs" dxfId="625" priority="9" operator="lessThanOrEqual">
      <formula>0</formula>
    </cfRule>
    <cfRule type="cellIs" dxfId="624" priority="10" operator="greaterThan">
      <formula>0</formula>
    </cfRule>
  </conditionalFormatting>
  <conditionalFormatting sqref="S7:T16">
    <cfRule type="cellIs" dxfId="623" priority="1" operator="lessThanOrEqual">
      <formula>0</formula>
    </cfRule>
    <cfRule type="cellIs" dxfId="62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4"/>
  <sheetViews>
    <sheetView workbookViewId="0">
      <selection activeCell="T14" sqref="T1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Analysis!B30</f>
        <v>0.4880176677522694</v>
      </c>
      <c r="D2" s="135" t="s">
        <v>126</v>
      </c>
      <c r="E2" s="141">
        <f>Analysis!K30</f>
        <v>0.51198233224773049</v>
      </c>
      <c r="F2" s="135" t="s">
        <v>47</v>
      </c>
      <c r="G2" s="141">
        <f>Analysis!S30</f>
        <v>1.2230401152178643</v>
      </c>
      <c r="H2" t="s">
        <v>155</v>
      </c>
      <c r="I2" s="155">
        <f>Analysis!T30</f>
        <v>-2.0031541281232927</v>
      </c>
      <c r="J2" t="s">
        <v>48</v>
      </c>
      <c r="K2" s="155">
        <f>C2*G2+E2*I2</f>
        <v>-0.42871433777214352</v>
      </c>
      <c r="L2" t="s">
        <v>47</v>
      </c>
      <c r="M2" s="162">
        <v>2</v>
      </c>
      <c r="N2" t="s">
        <v>155</v>
      </c>
      <c r="O2" s="162">
        <v>7</v>
      </c>
    </row>
    <row r="4" spans="1:23" x14ac:dyDescent="0.2">
      <c r="A4" t="s">
        <v>123</v>
      </c>
      <c r="B4">
        <f>$C$2</f>
        <v>0.4880176677522694</v>
      </c>
      <c r="C4" t="s">
        <v>124</v>
      </c>
      <c r="D4">
        <f>$E$2</f>
        <v>0.51198233224773049</v>
      </c>
      <c r="E4" t="s">
        <v>47</v>
      </c>
      <c r="F4">
        <f>G2</f>
        <v>1.2230401152178643</v>
      </c>
      <c r="G4" t="s">
        <v>155</v>
      </c>
      <c r="H4">
        <f>I2</f>
        <v>-2.0031541281232927</v>
      </c>
      <c r="I4" t="s">
        <v>48</v>
      </c>
      <c r="J4">
        <f>K2</f>
        <v>-0.42871433777214352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0.4880176677522694</v>
      </c>
      <c r="C7" s="95">
        <v>1</v>
      </c>
      <c r="D7" s="22">
        <f>C7*D4</f>
        <v>0.51198233224773049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0.99999999999999989</v>
      </c>
      <c r="R7" s="276">
        <f>B7-D7</f>
        <v>-2.3964664495461085E-2</v>
      </c>
      <c r="S7" s="277">
        <f>IF(Rules!B20=Rules!E20,SUM(C7)*B4*F4,SUM(C7)*B4*F4*POWER(O2,A7-1))</f>
        <v>0.59686518459608895</v>
      </c>
      <c r="T7" s="260">
        <f>IF(Rules!B20=Rules!E20,SUM(C7)*D4*H4,SUM(C7)*D4*H4*POWER(O2,A7-1))</f>
        <v>-1.0255795223682325</v>
      </c>
      <c r="U7" s="274">
        <f>S7+T7</f>
        <v>-0.42871433777214352</v>
      </c>
      <c r="V7" s="108">
        <f>(U7+W7*D7)/B7</f>
        <v>0.17062495884443266</v>
      </c>
      <c r="W7" s="57">
        <f>COUNT(D7:M7)</f>
        <v>1</v>
      </c>
    </row>
    <row r="8" spans="1:23" x14ac:dyDescent="0.2">
      <c r="A8" s="98">
        <v>2</v>
      </c>
      <c r="B8" s="97">
        <f>C8*B4</f>
        <v>0.65056568259693492</v>
      </c>
      <c r="C8" s="97">
        <f>1/(1-B4*D4)</f>
        <v>1.3330781354563155</v>
      </c>
      <c r="D8" s="130">
        <f>C8*D4</f>
        <v>0.68251245285938034</v>
      </c>
      <c r="E8" s="1">
        <f>D8*D4</f>
        <v>0.34943431740306474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0.99999999999999967</v>
      </c>
      <c r="R8" s="278">
        <f>B8-E8</f>
        <v>0.30113136519387018</v>
      </c>
      <c r="S8" s="279">
        <f>IF(Rules!B20=Rules!E20,SUM(C8:D8)*B4*F4,SUM(C8:D8)*B4*F4*POWER(O2,A8-1))</f>
        <v>1.2030358485651873</v>
      </c>
      <c r="T8" s="261">
        <f>IF(Rules!B20=Rules!E20,SUM(C8:D8)*D4*H4,SUM(C8:D8)*D4*H4*POWER(O2,A8-1))</f>
        <v>-2.0671484328547161</v>
      </c>
      <c r="U8" s="275">
        <f>S8+T8+U7</f>
        <v>-1.2928269220616722</v>
      </c>
      <c r="V8" s="93">
        <f>(U8+W8*E8)/B8</f>
        <v>-0.9129874248585842</v>
      </c>
      <c r="W8" s="9">
        <f>COUNT(D8:M8)</f>
        <v>2</v>
      </c>
    </row>
    <row r="9" spans="1:23" x14ac:dyDescent="0.2">
      <c r="A9" s="98">
        <v>3</v>
      </c>
      <c r="B9" s="97">
        <f>C9*B4</f>
        <v>0.73174639143998765</v>
      </c>
      <c r="C9" s="97">
        <f>1/(1-D4*B4/(1-D4*B4))</f>
        <v>1.4994260244927062</v>
      </c>
      <c r="D9" s="130">
        <f>C9*D4*C8</f>
        <v>1.0233769338577063</v>
      </c>
      <c r="E9" s="1">
        <f>D9*(D4)</f>
        <v>0.52395090936499988</v>
      </c>
      <c r="F9" s="1">
        <f>E9*D4</f>
        <v>0.2682536085600119</v>
      </c>
      <c r="G9" s="1"/>
      <c r="H9" s="1"/>
      <c r="I9" s="1"/>
      <c r="J9" s="1"/>
      <c r="K9" s="1"/>
      <c r="L9" s="1"/>
      <c r="M9" s="242"/>
      <c r="N9" s="97">
        <f>B9+F9</f>
        <v>0.99999999999999956</v>
      </c>
      <c r="R9" s="278">
        <f>B9-F9</f>
        <v>0.46349278287997575</v>
      </c>
      <c r="S9" s="279">
        <f>IF(Rules!B20=Rules!E20,SUM(C9:E9)*B4*F4,SUM(C9:E9)*B4*F4*POWER(O2,A9-1))</f>
        <v>1.818501309672808</v>
      </c>
      <c r="T9" s="261">
        <f>IF(Rules!B20=Rules!E20,SUM(C9:E9)*D4*H4,SUM(C9:E9)*D4*H4*POWER(O2,A9-1))</f>
        <v>-3.1246883764251381</v>
      </c>
      <c r="U9" s="275">
        <f t="shared" ref="U9:U16" si="0">S9+T9+U8</f>
        <v>-2.5990139888140025</v>
      </c>
      <c r="V9" s="93">
        <f>(U9+W9*F9)/B9</f>
        <v>-2.4520150480046716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0.78038029777787432</v>
      </c>
      <c r="C10" s="97">
        <f>1/(1-D4*B4/(1-D4*B4/(1-D4*B4)))</f>
        <v>1.5990820606396896</v>
      </c>
      <c r="D10" s="130">
        <f>C10*D4*C9</f>
        <v>1.2275827295330617</v>
      </c>
      <c r="E10" s="1">
        <f>D10*D4*C8</f>
        <v>0.83784049982142328</v>
      </c>
      <c r="F10" s="1">
        <f>E10*D4</f>
        <v>0.42895953315017649</v>
      </c>
      <c r="G10" s="1">
        <f>F10*D4</f>
        <v>0.21961970222212501</v>
      </c>
      <c r="H10" s="1"/>
      <c r="I10" s="1"/>
      <c r="J10" s="1"/>
      <c r="K10" s="1"/>
      <c r="L10" s="1"/>
      <c r="M10" s="242"/>
      <c r="N10" s="97">
        <f>B10+G10</f>
        <v>0.99999999999999933</v>
      </c>
      <c r="R10" s="278">
        <f>B10-G10</f>
        <v>0.56076059555574931</v>
      </c>
      <c r="S10" s="279">
        <f>IF(Rules!B20=Rules!E20,SUM(C10:F10)*B4*F4,SUM(C10:F10)*B4*F4*POWER(O2,A10-1))</f>
        <v>2.4432466373036497</v>
      </c>
      <c r="T10" s="261">
        <f>IF(Rules!B20=Rules!E20,SUM(C10:F10)*D4*H4,SUM(C10:F10)*D4*H4*POWER(O2,A10-1))</f>
        <v>-4.1981736981515452</v>
      </c>
      <c r="U10" s="275">
        <f t="shared" si="0"/>
        <v>-4.3539410496618984</v>
      </c>
      <c r="V10" s="93">
        <f>(U10+W10*G10)/B10</f>
        <v>-4.4535494433544072</v>
      </c>
      <c r="W10" s="9">
        <f t="shared" si="1"/>
        <v>4</v>
      </c>
    </row>
    <row r="11" spans="1:23" x14ac:dyDescent="0.2">
      <c r="A11" s="98">
        <v>5</v>
      </c>
      <c r="B11" s="97">
        <f>C11*B4</f>
        <v>0.81274093104204681</v>
      </c>
      <c r="C11" s="97">
        <f>1/(1-D4*B4/(1-D4*B4/(1-D4*B4/(1-D4*B4))))</f>
        <v>1.6653924329940766</v>
      </c>
      <c r="D11" s="130">
        <f>C11*D4*C10</f>
        <v>1.3634597207489778</v>
      </c>
      <c r="E11" s="1">
        <f>D11*D4*C9</f>
        <v>1.0467002581067373</v>
      </c>
      <c r="F11" s="1">
        <f>E11*D4*C8</f>
        <v>0.71438596056897574</v>
      </c>
      <c r="G11" s="1">
        <f>F11*D4</f>
        <v>0.36575299021713942</v>
      </c>
      <c r="H11" s="1">
        <f>G11*D4</f>
        <v>0.18725906895795238</v>
      </c>
      <c r="I11" s="1"/>
      <c r="J11" s="1"/>
      <c r="K11" s="1"/>
      <c r="L11" s="1"/>
      <c r="M11" s="242"/>
      <c r="N11" s="97">
        <f>B11+H11</f>
        <v>0.99999999999999922</v>
      </c>
      <c r="R11" s="278">
        <f>B11-H11</f>
        <v>0.6254818620840944</v>
      </c>
      <c r="S11" s="279">
        <f>IF(Rules!B20=Rules!E20,SUM(C11:G11)*B4*F4,SUM(C11:G11)*B4*F4*POWER(O2,A11-1))</f>
        <v>3.0772526768801418</v>
      </c>
      <c r="T11" s="261">
        <f>IF(Rules!B20=Rules!E20,SUM(C11:G11)*D4*H4,SUM(C11:G11)*D4*H4*POWER(O2,A11-1))</f>
        <v>-5.2875714851701545</v>
      </c>
      <c r="U11" s="275">
        <f t="shared" si="0"/>
        <v>-6.5642598579519111</v>
      </c>
      <c r="V11" s="93">
        <f>(U11+W11*H11)/B11</f>
        <v>-6.9246721780657916</v>
      </c>
      <c r="W11" s="9">
        <f t="shared" si="1"/>
        <v>5</v>
      </c>
    </row>
    <row r="12" spans="1:23" x14ac:dyDescent="0.2">
      <c r="A12" s="98">
        <v>6</v>
      </c>
      <c r="B12" s="97">
        <f>C12*B4</f>
        <v>0.83580268503750799</v>
      </c>
      <c r="C12" s="97">
        <f>1/(1-D4*B4/(1-D4*B4/(1-D4*B4/(1-D4*B4/(1-D4*B4)))))</f>
        <v>1.7126484147327703</v>
      </c>
      <c r="D12" s="130">
        <f>C12*D4*C11</f>
        <v>1.460292243137659</v>
      </c>
      <c r="E12" s="1">
        <f>D12*D4*C10</f>
        <v>1.1955438337502358</v>
      </c>
      <c r="F12" s="1">
        <f>E12*D4*C9</f>
        <v>0.91779465159182116</v>
      </c>
      <c r="G12" s="1">
        <f>F12*D4*C8</f>
        <v>0.62640627887915423</v>
      </c>
      <c r="H12" s="1">
        <f>G12*D4</f>
        <v>0.32070894759517166</v>
      </c>
      <c r="I12" s="1">
        <f>H12*D4</f>
        <v>0.16419731496249115</v>
      </c>
      <c r="J12" s="1"/>
      <c r="K12" s="1"/>
      <c r="L12" s="1"/>
      <c r="M12" s="242"/>
      <c r="N12" s="97">
        <f>B12+I12</f>
        <v>0.99999999999999911</v>
      </c>
      <c r="R12" s="278">
        <f>B12-I12</f>
        <v>0.67160537007501686</v>
      </c>
      <c r="S12" s="279">
        <f>IF(Rules!B20=Rules!E20,SUM(C12:H12)*B4*F4,SUM(C12:H12)*B4*F4*POWER(O2,A12-1))</f>
        <v>3.7204960811233403</v>
      </c>
      <c r="T12" s="261">
        <f>IF(Rules!B20=Rules!E20,SUM(C12:H12)*D4*H4,SUM(C12:H12)*D4*H4*POWER(O2,A12-1))</f>
        <v>-6.3928416203962293</v>
      </c>
      <c r="U12" s="275">
        <f t="shared" si="0"/>
        <v>-9.2366053972247997</v>
      </c>
      <c r="V12" s="93">
        <f>(U12+W12*I12)/B12</f>
        <v>-9.8724515428896442</v>
      </c>
      <c r="W12" s="9">
        <f t="shared" si="1"/>
        <v>6</v>
      </c>
    </row>
    <row r="13" spans="1:23" x14ac:dyDescent="0.2">
      <c r="A13" s="98">
        <v>7</v>
      </c>
      <c r="B13" s="97">
        <f>C13*B4</f>
        <v>0.85305277751860797</v>
      </c>
      <c r="C13" s="97">
        <f>1/(1-D4*B4/(1-D4*B4/(1-D4*B4/(1-D4*B4/(1-D4*B4/(1-D4*B4))))))</f>
        <v>1.7479956851718736</v>
      </c>
      <c r="D13" s="130">
        <f>C13*D4*C12</f>
        <v>1.5327225520687013</v>
      </c>
      <c r="E13" s="1">
        <f>D13*D4*C11</f>
        <v>1.3068781860971259</v>
      </c>
      <c r="F13" s="1">
        <f>E13*D4*C10</f>
        <v>1.069943474803368</v>
      </c>
      <c r="G13" s="1">
        <f>F13*D4*C9</f>
        <v>0.82137381412420007</v>
      </c>
      <c r="H13" s="1">
        <f>G13*D4*C8</f>
        <v>0.5605978565923726</v>
      </c>
      <c r="I13" s="1">
        <f>H13*D4</f>
        <v>0.28701619807124168</v>
      </c>
      <c r="J13" s="1">
        <f>I13*D4</f>
        <v>0.14694722248139089</v>
      </c>
      <c r="K13" s="1"/>
      <c r="L13" s="1"/>
      <c r="M13" s="242"/>
      <c r="N13" s="97">
        <f>B13+J13</f>
        <v>0.99999999999999889</v>
      </c>
      <c r="R13" s="278">
        <f>B13-J13</f>
        <v>0.70610555503721706</v>
      </c>
      <c r="S13" s="279">
        <f>IF(Rules!B20=Rules!E20,SUM(C13:I13)*B4*F4,SUM(C13:I13)*B4*F4*POWER(O2,A13-1))</f>
        <v>4.3729493480563795</v>
      </c>
      <c r="T13" s="261">
        <f>IF(Rules!B20=Rules!E20,SUM(C13:I13)*D4*H4,SUM(C13:I13)*D4*H4*POWER(O2,A13-1))</f>
        <v>-7.5139368478245183</v>
      </c>
      <c r="U13" s="275">
        <f t="shared" si="0"/>
        <v>-12.377592896992939</v>
      </c>
      <c r="V13" s="93">
        <f>(U13+W13*J13)/B13</f>
        <v>-13.303939262275767</v>
      </c>
      <c r="W13" s="9">
        <f t="shared" si="1"/>
        <v>7</v>
      </c>
    </row>
    <row r="14" spans="1:23" x14ac:dyDescent="0.2">
      <c r="A14" s="98">
        <v>8</v>
      </c>
      <c r="B14" s="97">
        <f>C14*B4</f>
        <v>0.86642857001810358</v>
      </c>
      <c r="C14" s="97">
        <f>1/(1-D4*B4/(1-D4*B4/(1-D4*B4/(1-D4*B4/(1-D4*B4/(1-D4*B4/(1-D4*B4)))))))</f>
        <v>1.7754041037258625</v>
      </c>
      <c r="D14" s="130">
        <f>C14*D4*C13</f>
        <v>1.5888853108479633</v>
      </c>
      <c r="E14" s="1">
        <f>D14*D4*C12</f>
        <v>1.3932072997925657</v>
      </c>
      <c r="F14" s="1">
        <f>E14*D4*C11</f>
        <v>1.1879202966986628</v>
      </c>
      <c r="G14" s="1">
        <f>F14*D4*C10</f>
        <v>0.97255244104652561</v>
      </c>
      <c r="H14" s="1">
        <f>G14*D4*C9</f>
        <v>0.74660870106712229</v>
      </c>
      <c r="I14" s="1">
        <f>H14*D4*C8</f>
        <v>0.50956973589147747</v>
      </c>
      <c r="J14" s="1">
        <f>I14*D4</f>
        <v>0.26089070182457869</v>
      </c>
      <c r="K14" s="1">
        <f>J14*D4</f>
        <v>0.13357142998189503</v>
      </c>
      <c r="L14" s="1"/>
      <c r="M14" s="242"/>
      <c r="N14" s="97">
        <f>B14+K14</f>
        <v>0.99999999999999867</v>
      </c>
      <c r="R14" s="278">
        <f>B14-K14</f>
        <v>0.7328571400362085</v>
      </c>
      <c r="S14" s="279">
        <f>IF(Rules!B20=Rules!E20,SUM(C14:J14)*B4*F4,SUM(C14:J14)*B4*F4*POWER(O2,A14-1))</f>
        <v>5.0345808656295343</v>
      </c>
      <c r="T14" s="261">
        <f>IF(Rules!B20=Rules!E20,SUM(C14:J14)*D4*H4,SUM(C14:J14)*D4*H4*POWER(O2,A14-1))</f>
        <v>-8.6508028492074569</v>
      </c>
      <c r="U14" s="275">
        <f t="shared" si="0"/>
        <v>-15.993814880570861</v>
      </c>
      <c r="V14" s="93">
        <f>(U14+W14*K14)/B14</f>
        <v>-17.226167230847253</v>
      </c>
      <c r="W14" s="9">
        <f t="shared" si="1"/>
        <v>8</v>
      </c>
    </row>
    <row r="15" spans="1:23" x14ac:dyDescent="0.2">
      <c r="A15" s="98">
        <v>9</v>
      </c>
      <c r="B15" s="97">
        <f>C15*B4</f>
        <v>0.87709249575276227</v>
      </c>
      <c r="C15" s="97">
        <f>1/(1-D4*B4/(1-D4*B4/(1-D4*B4/(1-D4*B4/(1-D4*B4/(1-D4*B4/(1-D4*B4/(1-D4*B4))))))))</f>
        <v>1.797255619437937</v>
      </c>
      <c r="D15" s="130">
        <f>C15*D4*C14</f>
        <v>1.6336613858878672</v>
      </c>
      <c r="E15" s="1">
        <f>D15*D4*C13</f>
        <v>1.4620336708073514</v>
      </c>
      <c r="F15" s="1">
        <f>E15*D4*C12</f>
        <v>1.2819779809181147</v>
      </c>
      <c r="G15" s="1">
        <f>F15*D4*C11</f>
        <v>1.0930804508992606</v>
      </c>
      <c r="H15" s="1">
        <f>G15*D4*C10</f>
        <v>0.89490689210101226</v>
      </c>
      <c r="I15" s="1">
        <f>H15*D4*C9</f>
        <v>0.68700179454445376</v>
      </c>
      <c r="J15" s="1">
        <f>I15*D4*C8</f>
        <v>0.46888727991333123</v>
      </c>
      <c r="K15" s="1">
        <f>J15*D4</f>
        <v>0.24006200313132176</v>
      </c>
      <c r="L15" s="1">
        <f>K15*D4</f>
        <v>0.12290750424723609</v>
      </c>
      <c r="M15" s="242"/>
      <c r="N15" s="97">
        <f>B15+L15</f>
        <v>0.99999999999999833</v>
      </c>
      <c r="R15" s="278">
        <f>B15-L15</f>
        <v>0.7541849915055262</v>
      </c>
      <c r="S15" s="279">
        <f>IF(Rules!B20=Rules!E20,SUM(C15:K15)*B4*F4,SUM(C15:K15)*B4*F4*POWER(O2,A15-1))</f>
        <v>5.7053549628254627</v>
      </c>
      <c r="T15" s="261">
        <f>IF(Rules!B20=Rules!E20,SUM(C15:K15)*D4*H4,SUM(C15:K15)*D4*H4*POWER(O2,A15-1))</f>
        <v>-9.8033783318681191</v>
      </c>
      <c r="U15" s="275">
        <f t="shared" si="0"/>
        <v>-20.091838249613517</v>
      </c>
      <c r="V15" s="93">
        <f>(U15+W15*L15)/B15</f>
        <v>-21.64614428161763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0.88578429955739102</v>
      </c>
      <c r="C16" s="131">
        <f>1/(1-D4*B4/(1-D4*B4/(1-D4*B4/(1-D4*B4/(1-D4*B4/(1-D4*B4/(1-D4*B4/(1-D4*B4/(1-D4*B4)))))))))</f>
        <v>1.8150660479920133</v>
      </c>
      <c r="D16" s="139">
        <f>C16*D4*C15</f>
        <v>1.6701568444152359</v>
      </c>
      <c r="E16" s="110">
        <f>D16*D4*C14</f>
        <v>1.5181317090280051</v>
      </c>
      <c r="F16" s="110">
        <f>E16*D4*C13</f>
        <v>1.3586412058781441</v>
      </c>
      <c r="G16" s="110">
        <f>F16*D4*C12</f>
        <v>1.191318739562272</v>
      </c>
      <c r="H16" s="110">
        <f>G16*D4*C11</f>
        <v>1.0157797125913699</v>
      </c>
      <c r="I16" s="110">
        <f>H16*D4*C10</f>
        <v>0.83162064137782243</v>
      </c>
      <c r="J16" s="110">
        <f>I16*D4*C9</f>
        <v>0.63841822881199306</v>
      </c>
      <c r="K16" s="110">
        <f>J16*D4*C8</f>
        <v>0.4357283912966145</v>
      </c>
      <c r="L16" s="110">
        <f>K16*D4</f>
        <v>0.22308523800259242</v>
      </c>
      <c r="M16" s="244">
        <f>L16*D4</f>
        <v>0.1142157004426073</v>
      </c>
      <c r="N16" s="131">
        <f>B16+M16</f>
        <v>0.99999999999999833</v>
      </c>
      <c r="R16" s="280">
        <f>B16-M16</f>
        <v>0.7715685991147837</v>
      </c>
      <c r="S16" s="281">
        <f>IF(Rules!B20=Rules!E20,SUM(C16:L16)*B4*F4,SUM(C16:L16)*B4*F4*POWER(O2,A16-1))</f>
        <v>6.3852319670834419</v>
      </c>
      <c r="T16" s="262">
        <f>IF(Rules!B20=Rules!E20,SUM(C16:L16)*D4*H4,SUM(C16:L16)*D4*H4*POWER(O2,A16-1))</f>
        <v>-10.971595127370941</v>
      </c>
      <c r="U16" s="275">
        <f t="shared" si="0"/>
        <v>-24.678201409901014</v>
      </c>
      <c r="V16" s="94">
        <f>(U16+W16*M16)/B16</f>
        <v>-26.570852991225333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7</v>
      </c>
      <c r="D21" s="57">
        <f>SUM($C$21:C21)</f>
        <v>7</v>
      </c>
      <c r="E21" s="57">
        <f t="shared" ref="E21:E30" si="3">D21/R7</f>
        <v>-292.09672438042276</v>
      </c>
      <c r="F21" s="8">
        <f t="shared" ref="F21:F30" si="4">U7/E21</f>
        <v>1.4677136098718857E-3</v>
      </c>
      <c r="G21" s="265">
        <f>E21*U7</f>
        <v>125.22605375816526</v>
      </c>
      <c r="O21" s="100">
        <v>1</v>
      </c>
      <c r="P21" s="108">
        <v>1</v>
      </c>
      <c r="Q21" s="109">
        <f>P21*7+21</f>
        <v>28</v>
      </c>
      <c r="R21" s="57">
        <f>SUM($Q$21)</f>
        <v>28</v>
      </c>
      <c r="S21" s="260">
        <f>R21/R7</f>
        <v>-1168.386897521691</v>
      </c>
      <c r="T21" s="8">
        <f>U7/S21</f>
        <v>3.6692840246797142E-4</v>
      </c>
      <c r="U21" s="265">
        <f>S21*U7</f>
        <v>500.90421503266106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185.96535091569376</v>
      </c>
      <c r="F22" s="9">
        <f t="shared" si="4"/>
        <v>-6.9519774285682241E-3</v>
      </c>
      <c r="G22" s="266">
        <f t="shared" ref="G22:G30" si="5">E22*U8</f>
        <v>-240.42101223445513</v>
      </c>
      <c r="O22" s="98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61">
        <f t="shared" ref="S22:S30" si="7">R22/R8</f>
        <v>813.59841025616026</v>
      </c>
      <c r="T22" s="9">
        <f>U8/S22</f>
        <v>-1.5890234122441654E-3</v>
      </c>
      <c r="U22" s="266">
        <f t="shared" ref="U22:U30" si="8">S22*U8</f>
        <v>-1051.8419285257412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860.85482824729002</v>
      </c>
      <c r="F23" s="9">
        <f t="shared" si="4"/>
        <v>-3.0191083368906971E-3</v>
      </c>
      <c r="G23" s="266">
        <f t="shared" si="5"/>
        <v>-2237.3737409527821</v>
      </c>
      <c r="O23" s="98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61">
        <f t="shared" si="7"/>
        <v>3851.1926526852449</v>
      </c>
      <c r="T23" s="9">
        <f t="shared" ref="T23:T30" si="11">U9/S23</f>
        <v>-6.7485951059909695E-4</v>
      </c>
      <c r="U23" s="266">
        <f t="shared" si="8"/>
        <v>-10009.303577946657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4993.2181793640875</v>
      </c>
      <c r="F24" s="9">
        <f t="shared" si="4"/>
        <v>-8.7197092000822511E-4</v>
      </c>
      <c r="G24" s="266">
        <f t="shared" si="5"/>
        <v>-21740.177601051349</v>
      </c>
      <c r="O24" s="98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61">
        <f t="shared" si="7"/>
        <v>22444.515716241574</v>
      </c>
      <c r="T24" s="9">
        <f t="shared" si="11"/>
        <v>-1.939868565090601E-4</v>
      </c>
      <c r="U24" s="266">
        <f t="shared" si="8"/>
        <v>-97722.098316725824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31347.03208606214</v>
      </c>
      <c r="F25" s="9">
        <f t="shared" si="4"/>
        <v>-2.0940610389940501E-4</v>
      </c>
      <c r="G25" s="266">
        <f t="shared" si="5"/>
        <v>-205770.06438846825</v>
      </c>
      <c r="O25" s="98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61">
        <f t="shared" si="7"/>
        <v>141033.66595807034</v>
      </c>
      <c r="T25" s="9">
        <f t="shared" si="11"/>
        <v>-4.6543921363452904E-5</v>
      </c>
      <c r="U25" s="266">
        <f t="shared" si="8"/>
        <v>-925781.63206836011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204370.01566063834</v>
      </c>
      <c r="F26" s="9">
        <f t="shared" si="4"/>
        <v>-4.5195501734277989E-5</v>
      </c>
      <c r="G26" s="266">
        <f t="shared" si="5"/>
        <v>-1887685.1896819689</v>
      </c>
      <c r="O26" s="98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61">
        <f t="shared" si="7"/>
        <v>919633.80211062334</v>
      </c>
      <c r="T26" s="9">
        <f t="shared" si="11"/>
        <v>-1.0043786315842403E-5</v>
      </c>
      <c r="U26" s="266">
        <f t="shared" si="8"/>
        <v>-8494294.5400453471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1360701.6587617111</v>
      </c>
      <c r="F27" s="9">
        <f t="shared" si="4"/>
        <v>-9.0964781422086358E-6</v>
      </c>
      <c r="G27" s="266">
        <f t="shared" si="5"/>
        <v>-16842211.186415464</v>
      </c>
      <c r="O27" s="98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61">
        <f t="shared" si="7"/>
        <v>6123122.7670657756</v>
      </c>
      <c r="T27" s="9">
        <f t="shared" si="11"/>
        <v>-2.0214510418716183E-6</v>
      </c>
      <c r="U27" s="266">
        <f t="shared" si="8"/>
        <v>-75789520.869049087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9177232.0041361768</v>
      </c>
      <c r="F28" s="9">
        <f t="shared" si="4"/>
        <v>-1.7427711180628813E-6</v>
      </c>
      <c r="G28" s="266">
        <f t="shared" si="5"/>
        <v>-146778949.79020432</v>
      </c>
      <c r="O28" s="98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61">
        <f t="shared" si="7"/>
        <v>41297505.811984964</v>
      </c>
      <c r="T28" s="9">
        <f t="shared" si="11"/>
        <v>-3.8728282897727178E-7</v>
      </c>
      <c r="U28" s="266">
        <f t="shared" si="8"/>
        <v>-660504662.98618674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62423951.060096152</v>
      </c>
      <c r="F29" s="9">
        <f t="shared" si="4"/>
        <v>-3.2186104705661625E-7</v>
      </c>
      <c r="G29" s="266">
        <f t="shared" si="5"/>
        <v>-1254211927.6012421</v>
      </c>
      <c r="O29" s="98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61">
        <f t="shared" si="7"/>
        <v>280907738.00349176</v>
      </c>
      <c r="T29" s="9">
        <f t="shared" si="11"/>
        <v>-7.1524687758383395E-8</v>
      </c>
      <c r="U29" s="266">
        <f t="shared" si="8"/>
        <v>-5643952835.0309677</v>
      </c>
    </row>
    <row r="30" spans="1:21" ht="17" thickBot="1" x14ac:dyDescent="0.25">
      <c r="A30" s="131">
        <v>10</v>
      </c>
      <c r="B30" s="94">
        <f t="shared" si="9"/>
        <v>40353607</v>
      </c>
      <c r="C30" s="110">
        <f t="shared" si="2"/>
        <v>282475249</v>
      </c>
      <c r="D30" s="10">
        <f>SUM($C$21:C30)</f>
        <v>329554456</v>
      </c>
      <c r="E30" s="10">
        <f t="shared" si="3"/>
        <v>427122690.55285037</v>
      </c>
      <c r="F30" s="10">
        <f t="shared" si="4"/>
        <v>-5.7777781316086361E-8</v>
      </c>
      <c r="G30" s="267">
        <f t="shared" si="5"/>
        <v>-10540619784.202066</v>
      </c>
      <c r="O30" s="99">
        <v>10</v>
      </c>
      <c r="P30" s="94">
        <f t="shared" si="10"/>
        <v>181591228</v>
      </c>
      <c r="Q30" s="110">
        <f t="shared" si="6"/>
        <v>1271138617</v>
      </c>
      <c r="R30" s="10">
        <f>SUM($Q$21:Q30)</f>
        <v>1482995017</v>
      </c>
      <c r="S30" s="262">
        <f t="shared" si="7"/>
        <v>1922052062.1256902</v>
      </c>
      <c r="T30" s="10">
        <f t="shared" si="11"/>
        <v>-1.2839507262154075E-8</v>
      </c>
      <c r="U30" s="267">
        <f t="shared" si="8"/>
        <v>-47432787909.453362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7</v>
      </c>
      <c r="D33" s="57">
        <f>SUM($C$33:C33)</f>
        <v>7</v>
      </c>
      <c r="E33" s="9">
        <f t="shared" ref="E33:E42" si="13">D33/R7</f>
        <v>-292.09672438042276</v>
      </c>
      <c r="F33" s="8">
        <f t="shared" ref="F33:F42" si="14">U7/E33</f>
        <v>1.4677136098718857E-3</v>
      </c>
      <c r="G33" s="268">
        <f>E33*U7</f>
        <v>125.22605375816526</v>
      </c>
      <c r="O33" s="100">
        <v>1</v>
      </c>
      <c r="P33" s="108">
        <v>1</v>
      </c>
      <c r="Q33" s="109">
        <f>P33*7+21</f>
        <v>28</v>
      </c>
      <c r="R33" s="57">
        <f>SUM($Q$21)</f>
        <v>28</v>
      </c>
      <c r="S33" s="260">
        <f>R33/R7</f>
        <v>-1168.386897521691</v>
      </c>
      <c r="T33" s="8">
        <f>U7/S33</f>
        <v>3.6692840246797142E-4</v>
      </c>
      <c r="U33" s="268">
        <f>S33*U7</f>
        <v>500.90421503266106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209.21101978015548</v>
      </c>
      <c r="F34" s="9">
        <f t="shared" si="14"/>
        <v>-6.1795354920606439E-3</v>
      </c>
      <c r="G34" s="266">
        <f t="shared" ref="G34:G42" si="16">E34*U8</f>
        <v>-270.47363876376204</v>
      </c>
      <c r="O34" s="98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61">
        <f>R34/R8</f>
        <v>836.84407912062193</v>
      </c>
      <c r="T34" s="9">
        <f t="shared" ref="T34:T42" si="18">U8/S34</f>
        <v>-1.544883873015161E-3</v>
      </c>
      <c r="U34" s="266">
        <f t="shared" ref="U34:U42" si="19">S34*U8</f>
        <v>-1081.8945550550482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1102.4982888079328</v>
      </c>
      <c r="F35" s="9">
        <f t="shared" si="14"/>
        <v>-2.3573859616817772E-3</v>
      </c>
      <c r="G35" s="266">
        <f t="shared" si="16"/>
        <v>-2865.4084752553176</v>
      </c>
      <c r="O35" s="98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61">
        <f t="shared" ref="S35:S42" si="21">R35/R9</f>
        <v>3987.1170992506063</v>
      </c>
      <c r="T35" s="9">
        <f t="shared" si="18"/>
        <v>-6.5185293637412783E-4</v>
      </c>
      <c r="U35" s="266">
        <f t="shared" si="19"/>
        <v>-10362.573115991834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7302.5815873199781</v>
      </c>
      <c r="F36" s="9">
        <f t="shared" si="14"/>
        <v>-5.9621943248425646E-4</v>
      </c>
      <c r="G36" s="266">
        <f t="shared" si="16"/>
        <v>-31795.009741537597</v>
      </c>
      <c r="O36" s="98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61">
        <f t="shared" si="21"/>
        <v>23268.396715836647</v>
      </c>
      <c r="T36" s="9">
        <f t="shared" si="18"/>
        <v>-1.8711822317773072E-4</v>
      </c>
      <c r="U36" s="266">
        <f t="shared" si="19"/>
        <v>-101309.22762089928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52386.810851430513</v>
      </c>
      <c r="F37" s="9">
        <f t="shared" si="14"/>
        <v>-1.2530367379240195E-4</v>
      </c>
      <c r="G37" s="266">
        <f t="shared" si="16"/>
        <v>-343880.63955816487</v>
      </c>
      <c r="O37" s="98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61">
        <f t="shared" si="21"/>
        <v>146248.84516267761</v>
      </c>
      <c r="T37" s="9">
        <f t="shared" si="18"/>
        <v>-4.4884182508588428E-5</v>
      </c>
      <c r="U37" s="266">
        <f t="shared" si="19"/>
        <v>-960015.42357318918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390322.96595650987</v>
      </c>
      <c r="F38" s="9">
        <f t="shared" si="14"/>
        <v>-2.3664006996334287E-5</v>
      </c>
      <c r="G38" s="266">
        <f t="shared" si="16"/>
        <v>-3605259.2140146908</v>
      </c>
      <c r="O38" s="98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61">
        <f t="shared" si="21"/>
        <v>953685.04859997996</v>
      </c>
      <c r="T38" s="9">
        <f t="shared" si="18"/>
        <v>-9.6851737486964247E-6</v>
      </c>
      <c r="U38" s="266">
        <f t="shared" si="19"/>
        <v>-8808812.4671511706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2970024.7860101657</v>
      </c>
      <c r="F39" s="9">
        <f t="shared" si="14"/>
        <v>-4.1675049162201074E-6</v>
      </c>
      <c r="G39" s="266">
        <f t="shared" si="16"/>
        <v>-36761757.695212401</v>
      </c>
      <c r="O39" s="98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61">
        <f t="shared" si="21"/>
        <v>6349894.811072086</v>
      </c>
      <c r="T39" s="9">
        <f t="shared" si="18"/>
        <v>-1.9492595177183988E-6</v>
      </c>
      <c r="U39" s="266">
        <f t="shared" si="19"/>
        <v>-78596412.91017817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22892886.053032223</v>
      </c>
      <c r="F40" s="9">
        <f t="shared" si="14"/>
        <v>-6.9863689722303223E-7</v>
      </c>
      <c r="G40" s="266">
        <f t="shared" si="16"/>
        <v>-366144581.61419988</v>
      </c>
      <c r="O40" s="98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61">
        <f t="shared" si="21"/>
        <v>42827031.743798383</v>
      </c>
      <c r="T40" s="9">
        <f t="shared" si="18"/>
        <v>-3.7345139808543618E-7</v>
      </c>
      <c r="U40" s="266">
        <f t="shared" si="19"/>
        <v>-684967617.59464324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177963932.60501066</v>
      </c>
      <c r="F41" s="9">
        <f t="shared" si="14"/>
        <v>-1.1289837190891465E-7</v>
      </c>
      <c r="G41" s="266">
        <f t="shared" si="16"/>
        <v>-3575622548.1649952</v>
      </c>
      <c r="O41" s="98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61">
        <f t="shared" si="21"/>
        <v>291311715.92452747</v>
      </c>
      <c r="T41" s="9">
        <f t="shared" si="18"/>
        <v>-6.8970237554121835E-8</v>
      </c>
      <c r="U41" s="266">
        <f t="shared" si="19"/>
        <v>-5852987876.5729675</v>
      </c>
    </row>
    <row r="42" spans="1:21" ht="17" thickBot="1" x14ac:dyDescent="0.25">
      <c r="A42" s="131">
        <v>10</v>
      </c>
      <c r="B42" s="94">
        <f t="shared" si="15"/>
        <v>134217728</v>
      </c>
      <c r="C42" s="110">
        <f t="shared" si="12"/>
        <v>939524096</v>
      </c>
      <c r="D42" s="10">
        <f>SUM($C$33:C42)</f>
        <v>1073741823</v>
      </c>
      <c r="E42" s="9">
        <f t="shared" si="13"/>
        <v>1391634942.417172</v>
      </c>
      <c r="F42" s="10">
        <f t="shared" si="14"/>
        <v>-1.7733243581133938E-8</v>
      </c>
      <c r="G42" s="267">
        <f t="shared" si="16"/>
        <v>-34343047398.02697</v>
      </c>
      <c r="O42" s="99">
        <v>10</v>
      </c>
      <c r="P42" s="94">
        <f t="shared" si="20"/>
        <v>188316829</v>
      </c>
      <c r="Q42" s="110">
        <f t="shared" si="17"/>
        <v>1318217824</v>
      </c>
      <c r="R42" s="10">
        <f>SUM($Q$33:Q42)</f>
        <v>1537920748</v>
      </c>
      <c r="S42" s="262">
        <f t="shared" si="21"/>
        <v>1993239162.0971198</v>
      </c>
      <c r="T42" s="10">
        <f t="shared" si="18"/>
        <v>-1.2380953514849002E-8</v>
      </c>
      <c r="U42" s="267">
        <f t="shared" si="19"/>
        <v>-49189557500.33506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7</v>
      </c>
      <c r="D45" s="57">
        <f>SUM(C45:C45)</f>
        <v>7</v>
      </c>
      <c r="E45" s="57">
        <f t="shared" ref="E45:E54" si="23">D45/R7</f>
        <v>-292.09672438042276</v>
      </c>
      <c r="F45" s="8">
        <f t="shared" ref="F45:F54" si="24">U7/E45</f>
        <v>1.4677136098718857E-3</v>
      </c>
      <c r="G45" s="265">
        <f>E45*U7</f>
        <v>125.22605375816526</v>
      </c>
      <c r="O45" s="100">
        <v>1</v>
      </c>
      <c r="P45" s="108">
        <v>1</v>
      </c>
      <c r="Q45" s="109">
        <f>P45*7+21</f>
        <v>28</v>
      </c>
      <c r="R45" s="57">
        <f>SUM($Q$21)</f>
        <v>28</v>
      </c>
      <c r="S45" s="260">
        <f>R45/R7</f>
        <v>-1168.386897521691</v>
      </c>
      <c r="T45" s="8">
        <f>U7/S45</f>
        <v>3.6692840246797142E-4</v>
      </c>
      <c r="U45" s="268">
        <f>S45*U7</f>
        <v>500.90421503266106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348.6850329669258</v>
      </c>
      <c r="F46" s="9">
        <f t="shared" si="24"/>
        <v>-3.7077212952363863E-3</v>
      </c>
      <c r="G46" s="266">
        <f t="shared" ref="G46:G54" si="26">E46*U8</f>
        <v>-450.78939793960336</v>
      </c>
      <c r="O46" s="98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61">
        <f t="shared" ref="S46:S54" si="28">R46/R8</f>
        <v>1464.4771384610883</v>
      </c>
      <c r="T46" s="9">
        <f t="shared" ref="T46:T54" si="29">U8/S46</f>
        <v>-8.8279078458009203E-4</v>
      </c>
      <c r="U46" s="266">
        <f t="shared" ref="U46:U54" si="30">S46*U8</f>
        <v>-1893.3154713463341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3186.6731361434772</v>
      </c>
      <c r="F47" s="9">
        <f t="shared" si="24"/>
        <v>-8.1558850806999874E-4</v>
      </c>
      <c r="G47" s="266">
        <f t="shared" si="26"/>
        <v>-8282.2080586146858</v>
      </c>
      <c r="O47" s="98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61">
        <f t="shared" si="28"/>
        <v>13471.622926255837</v>
      </c>
      <c r="T47" s="9">
        <f t="shared" si="29"/>
        <v>-1.9292508430803781E-4</v>
      </c>
      <c r="U47" s="266">
        <f t="shared" si="30"/>
        <v>-35012.936437366348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36887.399300052195</v>
      </c>
      <c r="F48" s="9">
        <f t="shared" si="24"/>
        <v>-1.1803328866439596E-4</v>
      </c>
      <c r="G48" s="266">
        <f t="shared" si="26"/>
        <v>-160605.56202776683</v>
      </c>
      <c r="O48" s="98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61">
        <f t="shared" si="28"/>
        <v>156050.55115057615</v>
      </c>
      <c r="T48" s="9">
        <f t="shared" si="29"/>
        <v>-2.7900837373273342E-5</v>
      </c>
      <c r="U48" s="266">
        <f t="shared" si="30"/>
        <v>-679434.90047685732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462998.23792662501</v>
      </c>
      <c r="F49" s="9">
        <f t="shared" si="24"/>
        <v>-1.4177721037012244E-5</v>
      </c>
      <c r="G49" s="266">
        <f t="shared" si="26"/>
        <v>-3039240.7475242126</v>
      </c>
      <c r="O49" s="98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61">
        <f t="shared" si="28"/>
        <v>1958825.7857991632</v>
      </c>
      <c r="T49" s="9">
        <f t="shared" si="29"/>
        <v>-3.3511197910200165E-6</v>
      </c>
      <c r="U49" s="266">
        <f t="shared" si="30"/>
        <v>-12858241.474442555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6036826.3576378729</v>
      </c>
      <c r="F50" s="9">
        <f t="shared" si="24"/>
        <v>-1.5300432462395616E-6</v>
      </c>
      <c r="G50" s="266">
        <f t="shared" si="26"/>
        <v>-55759782.917066909</v>
      </c>
      <c r="O50" s="98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61">
        <f t="shared" si="28"/>
        <v>25540404.773839194</v>
      </c>
      <c r="T50" s="9">
        <f t="shared" si="29"/>
        <v>-3.6164678982244523E-7</v>
      </c>
      <c r="U50" s="266">
        <f t="shared" si="30"/>
        <v>-235906640.58134913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80386164.072888881</v>
      </c>
      <c r="F51" s="9">
        <f t="shared" si="24"/>
        <v>-1.5397665804490623E-7</v>
      </c>
      <c r="G51" s="266">
        <f t="shared" si="26"/>
        <v>-994987213.4450984</v>
      </c>
      <c r="O51" s="98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61">
        <f t="shared" si="28"/>
        <v>340095293.52497822</v>
      </c>
      <c r="T51" s="9">
        <f t="shared" si="29"/>
        <v>-3.6394484524331914E-8</v>
      </c>
      <c r="U51" s="266">
        <f t="shared" si="30"/>
        <v>-4209561089.4354987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1084325445.694284</v>
      </c>
      <c r="F52" s="9">
        <f t="shared" si="24"/>
        <v>-1.4750013424549088E-8</v>
      </c>
      <c r="G52" s="266">
        <f t="shared" si="26"/>
        <v>-17342500448.726871</v>
      </c>
      <c r="O52" s="98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61">
        <f t="shared" si="28"/>
        <v>4587530714.1496801</v>
      </c>
      <c r="T52" s="9">
        <f t="shared" si="29"/>
        <v>-3.4863668228399837E-9</v>
      </c>
      <c r="U52" s="266">
        <f t="shared" si="30"/>
        <v>-73372117001.04303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14751260184.575659</v>
      </c>
      <c r="F53" s="9">
        <f t="shared" si="24"/>
        <v>-1.362042157633564E-9</v>
      </c>
      <c r="G53" s="266">
        <f t="shared" si="26"/>
        <v>-296379933606.45819</v>
      </c>
      <c r="O53" s="98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61">
        <f t="shared" si="28"/>
        <v>62409177684.696892</v>
      </c>
      <c r="T53" s="9">
        <f t="shared" si="29"/>
        <v>-3.2193723735828289E-10</v>
      </c>
      <c r="U53" s="266">
        <f t="shared" si="30"/>
        <v>-1253915103332.3193</v>
      </c>
    </row>
    <row r="54" spans="1:21" ht="17" thickBot="1" x14ac:dyDescent="0.25">
      <c r="A54" s="131">
        <v>10</v>
      </c>
      <c r="B54" s="94">
        <f t="shared" si="25"/>
        <v>20661046784</v>
      </c>
      <c r="C54" s="110">
        <f t="shared" si="22"/>
        <v>144627327488</v>
      </c>
      <c r="D54" s="10">
        <f>SUM($C$45:C54)</f>
        <v>155752506525</v>
      </c>
      <c r="E54" s="10">
        <f t="shared" si="23"/>
        <v>201864755387.5235</v>
      </c>
      <c r="F54" s="10">
        <f t="shared" si="24"/>
        <v>-1.2225116446170018E-10</v>
      </c>
      <c r="G54" s="267">
        <f t="shared" si="26"/>
        <v>-4981659091013.7061</v>
      </c>
      <c r="O54" s="99">
        <v>10</v>
      </c>
      <c r="P54" s="94">
        <f t="shared" si="31"/>
        <v>87412121006</v>
      </c>
      <c r="Q54" s="110">
        <f t="shared" si="27"/>
        <v>611884847063</v>
      </c>
      <c r="R54" s="10">
        <f>SUM($Q$45:Q54)</f>
        <v>658952912205</v>
      </c>
      <c r="S54" s="262">
        <f t="shared" si="28"/>
        <v>854043195849.35535</v>
      </c>
      <c r="T54" s="10">
        <f t="shared" si="29"/>
        <v>-2.889572978256477E-11</v>
      </c>
      <c r="U54" s="267">
        <f t="shared" si="30"/>
        <v>-21076249999925.93</v>
      </c>
    </row>
  </sheetData>
  <mergeCells count="2">
    <mergeCell ref="A18:F18"/>
    <mergeCell ref="O18:T18"/>
  </mergeCells>
  <conditionalFormatting sqref="F45:F54">
    <cfRule type="cellIs" dxfId="617" priority="65" operator="equal">
      <formula>MAX($F$45:$F$54)</formula>
    </cfRule>
  </conditionalFormatting>
  <conditionalFormatting sqref="F21:F30">
    <cfRule type="cellIs" dxfId="616" priority="63" operator="equal">
      <formula>MAX($F$21:$F$30)</formula>
    </cfRule>
  </conditionalFormatting>
  <conditionalFormatting sqref="F33:F42">
    <cfRule type="cellIs" dxfId="615" priority="44" operator="lessThanOrEqual">
      <formula>0</formula>
    </cfRule>
    <cfRule type="cellIs" dxfId="614" priority="61" operator="equal">
      <formula>MAX($F$33:$F$42)</formula>
    </cfRule>
  </conditionalFormatting>
  <conditionalFormatting sqref="E33:E42">
    <cfRule type="cellIs" dxfId="613" priority="59" stopIfTrue="1" operator="lessThan">
      <formula>0</formula>
    </cfRule>
    <cfRule type="cellIs" dxfId="612" priority="60" operator="equal">
      <formula>MIN($E$33:$E$42)</formula>
    </cfRule>
  </conditionalFormatting>
  <conditionalFormatting sqref="E21:E30">
    <cfRule type="cellIs" dxfId="611" priority="55" stopIfTrue="1" operator="lessThan">
      <formula>0</formula>
    </cfRule>
    <cfRule type="cellIs" dxfId="610" priority="56" operator="equal">
      <formula>MIN($E$21:$E$30)</formula>
    </cfRule>
  </conditionalFormatting>
  <conditionalFormatting sqref="E45:E54">
    <cfRule type="cellIs" dxfId="609" priority="51" stopIfTrue="1" operator="lessThan">
      <formula>0</formula>
    </cfRule>
    <cfRule type="cellIs" dxfId="608" priority="52" operator="equal">
      <formula>MIN($E$45:$E$54)</formula>
    </cfRule>
  </conditionalFormatting>
  <conditionalFormatting sqref="R7:R16">
    <cfRule type="cellIs" dxfId="607" priority="29" operator="lessThanOrEqual">
      <formula>0</formula>
    </cfRule>
    <cfRule type="cellIs" dxfId="606" priority="30" operator="greaterThan">
      <formula>0</formula>
    </cfRule>
  </conditionalFormatting>
  <conditionalFormatting sqref="T21:T30">
    <cfRule type="cellIs" dxfId="605" priority="21" operator="equal">
      <formula>MAX($T$21:$T$30)</formula>
    </cfRule>
  </conditionalFormatting>
  <conditionalFormatting sqref="S33:S42">
    <cfRule type="cellIs" dxfId="604" priority="19" stopIfTrue="1" operator="lessThan">
      <formula>0</formula>
    </cfRule>
    <cfRule type="cellIs" dxfId="603" priority="20" operator="equal">
      <formula>MIN($E$21:$E$30)</formula>
    </cfRule>
  </conditionalFormatting>
  <conditionalFormatting sqref="T33:T42">
    <cfRule type="cellIs" dxfId="602" priority="18" operator="equal">
      <formula>MAX($T$21:$T$30)</formula>
    </cfRule>
  </conditionalFormatting>
  <conditionalFormatting sqref="S45:S54">
    <cfRule type="cellIs" dxfId="601" priority="16" stopIfTrue="1" operator="lessThan">
      <formula>0</formula>
    </cfRule>
    <cfRule type="cellIs" dxfId="600" priority="17" operator="equal">
      <formula>MIN($E$21:$E$30)</formula>
    </cfRule>
  </conditionalFormatting>
  <conditionalFormatting sqref="T45:T54">
    <cfRule type="cellIs" dxfId="599" priority="15" operator="equal">
      <formula>MAX($T$21:$T$30)</formula>
    </cfRule>
  </conditionalFormatting>
  <conditionalFormatting sqref="S21:S30">
    <cfRule type="cellIs" dxfId="598" priority="13" stopIfTrue="1" operator="lessThan">
      <formula>0</formula>
    </cfRule>
    <cfRule type="cellIs" dxfId="597" priority="14" operator="equal">
      <formula>MIN($E$21:$E$30)</formula>
    </cfRule>
  </conditionalFormatting>
  <conditionalFormatting sqref="U7:U16">
    <cfRule type="cellIs" dxfId="596" priority="9" operator="lessThanOrEqual">
      <formula>0</formula>
    </cfRule>
    <cfRule type="cellIs" dxfId="595" priority="10" operator="greaterThan">
      <formula>0</formula>
    </cfRule>
  </conditionalFormatting>
  <conditionalFormatting sqref="S7:T16">
    <cfRule type="cellIs" dxfId="594" priority="1" operator="lessThanOrEqual">
      <formula>0</formula>
    </cfRule>
    <cfRule type="cellIs" dxfId="593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Analysis!B31</f>
        <v>0.49551644622748425</v>
      </c>
      <c r="D2" s="135" t="s">
        <v>126</v>
      </c>
      <c r="E2" s="141">
        <f>Analysis!L31</f>
        <v>0.50448355377251575</v>
      </c>
      <c r="F2" s="135" t="s">
        <v>47</v>
      </c>
      <c r="G2" s="141">
        <f>Analysis!S31</f>
        <v>1.4279843061102417</v>
      </c>
      <c r="H2" t="s">
        <v>155</v>
      </c>
      <c r="I2" s="155">
        <f>Analysis!T31</f>
        <v>-2.3388216151605632</v>
      </c>
      <c r="J2" t="s">
        <v>48</v>
      </c>
      <c r="K2" s="155">
        <f>C2*G2+E2*I2</f>
        <v>-0.4723073314238091</v>
      </c>
      <c r="L2" t="s">
        <v>47</v>
      </c>
      <c r="M2" s="162">
        <v>2</v>
      </c>
      <c r="N2" t="s">
        <v>155</v>
      </c>
      <c r="O2" s="162">
        <v>8</v>
      </c>
    </row>
    <row r="4" spans="1:23" x14ac:dyDescent="0.2">
      <c r="A4" t="s">
        <v>123</v>
      </c>
      <c r="B4">
        <f>$C$2</f>
        <v>0.49551644622748425</v>
      </c>
      <c r="C4" t="s">
        <v>124</v>
      </c>
      <c r="D4">
        <f>$E$2</f>
        <v>0.50448355377251575</v>
      </c>
      <c r="E4" t="s">
        <v>47</v>
      </c>
      <c r="F4">
        <f>G2</f>
        <v>1.4279843061102417</v>
      </c>
      <c r="G4" t="s">
        <v>155</v>
      </c>
      <c r="H4">
        <f>I2</f>
        <v>-2.3388216151605632</v>
      </c>
      <c r="I4" t="s">
        <v>48</v>
      </c>
      <c r="J4">
        <f>K2</f>
        <v>-0.4723073314238091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0.49551644622748425</v>
      </c>
      <c r="C7" s="95">
        <v>1</v>
      </c>
      <c r="D7" s="22">
        <f>C7*D4</f>
        <v>0.50448355377251575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-8.9671075450314941E-3</v>
      </c>
      <c r="S7" s="277">
        <f>IF(Rules!B20=Rules!E20,SUM(C7)*B4*F4,SUM(C7)*B4*F4*POWER(O2,A7-1))</f>
        <v>0.70758970863236703</v>
      </c>
      <c r="T7" s="260">
        <f>IF(Rules!B20=Rules!E20,SUM(C7)*D4*H4,SUM(C7)*D4*H4*POWER(O2,A7-1))</f>
        <v>-1.1798970400561761</v>
      </c>
      <c r="U7" s="274">
        <f>S7+T7</f>
        <v>-0.4723073314238091</v>
      </c>
      <c r="V7" s="108">
        <f>(U7+W7*D7)/B7</f>
        <v>6.4934721326958794E-2</v>
      </c>
      <c r="W7" s="57">
        <f>COUNT(D7:M7)</f>
        <v>1</v>
      </c>
    </row>
    <row r="8" spans="1:23" x14ac:dyDescent="0.2">
      <c r="A8" s="98">
        <v>2</v>
      </c>
      <c r="B8" s="97">
        <f>C8*B4</f>
        <v>0.66067088700429133</v>
      </c>
      <c r="C8" s="97">
        <f>1/(1-B4*D4)</f>
        <v>1.333297596949965</v>
      </c>
      <c r="D8" s="130">
        <f>C8*D4</f>
        <v>0.67262670994567364</v>
      </c>
      <c r="E8" s="1">
        <f>D8*D4</f>
        <v>0.33932911299570861</v>
      </c>
      <c r="F8" s="1"/>
      <c r="G8" s="1"/>
      <c r="H8" s="1"/>
      <c r="I8" s="1"/>
      <c r="J8" s="1"/>
      <c r="K8" s="1"/>
      <c r="L8" s="1"/>
      <c r="M8" s="242"/>
      <c r="N8" s="97">
        <f>B8+E8</f>
        <v>1</v>
      </c>
      <c r="R8" s="278">
        <f>B8-E8</f>
        <v>0.32134177400858271</v>
      </c>
      <c r="S8" s="279">
        <f>IF(Rules!B20=Rules!E20,SUM(C8:D8)*B4*F4,SUM(C8:D8)*B4*F4*POWER(O2,A8-1))</f>
        <v>1.4193713958548677</v>
      </c>
      <c r="T8" s="261">
        <f>IF(Rules!B20=Rules!E20,SUM(C8:D8)*D4*H4,SUM(C8:D8)*D4*H4*POWER(O2,A8-1))</f>
        <v>-2.3667841522829005</v>
      </c>
      <c r="U8" s="275">
        <f>S8+T8+U7</f>
        <v>-1.4197200878518419</v>
      </c>
      <c r="V8" s="93">
        <f>(U8+W8*E8)/B8</f>
        <v>-1.1216808193572045</v>
      </c>
      <c r="W8" s="9">
        <f>COUNT(D8:M8)</f>
        <v>2</v>
      </c>
    </row>
    <row r="9" spans="1:23" x14ac:dyDescent="0.2">
      <c r="A9" s="98">
        <v>3</v>
      </c>
      <c r="B9" s="97">
        <f>C9*B4</f>
        <v>0.74323482855407752</v>
      </c>
      <c r="C9" s="97">
        <f>1/(1-D4*B4/(1-D4*B4))</f>
        <v>1.499919597447366</v>
      </c>
      <c r="D9" s="130">
        <f>C9*D4*C8</f>
        <v>1.0088859840140612</v>
      </c>
      <c r="E9" s="1">
        <f>D9*(D4)</f>
        <v>0.50896638656669513</v>
      </c>
      <c r="F9" s="1">
        <f>E9*D4</f>
        <v>0.25676517144592237</v>
      </c>
      <c r="G9" s="1"/>
      <c r="H9" s="1"/>
      <c r="I9" s="1"/>
      <c r="J9" s="1"/>
      <c r="K9" s="1"/>
      <c r="L9" s="1"/>
      <c r="M9" s="242"/>
      <c r="N9" s="97">
        <f>B9+F9</f>
        <v>0.99999999999999989</v>
      </c>
      <c r="R9" s="278">
        <f>B9-F9</f>
        <v>0.48646965710815515</v>
      </c>
      <c r="S9" s="279">
        <f>IF(Rules!B20=Rules!E20,SUM(C9:E9)*B4*F4,SUM(C9:E9)*B4*F4*POWER(O2,A9-1))</f>
        <v>2.1353443875759437</v>
      </c>
      <c r="T9" s="261">
        <f>IF(Rules!B20=Rules!E20,SUM(C9:E9)*D4*H4,SUM(C9:E9)*D4*H4*POWER(O2,A9-1))</f>
        <v>-3.5606602126408826</v>
      </c>
      <c r="U9" s="275">
        <f t="shared" ref="U9:U16" si="0">S9+T9+U8</f>
        <v>-2.8450359129167806</v>
      </c>
      <c r="V9" s="93">
        <f>(U9+W9*F9)/B9</f>
        <v>-2.791500504107574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0.7927625728044323</v>
      </c>
      <c r="C10" s="97">
        <f>1/(1-D4*B4/(1-D4*B4/(1-D4*B4)))</f>
        <v>1.5998713641897706</v>
      </c>
      <c r="D10" s="130">
        <f>C10*D4*C9</f>
        <v>1.2105982934709267</v>
      </c>
      <c r="E10" s="1">
        <f>D10*D4*C8</f>
        <v>0.81428074720319654</v>
      </c>
      <c r="F10" s="1">
        <f>E10*D4</f>
        <v>0.41079124511760812</v>
      </c>
      <c r="G10" s="1">
        <f>F10*D4</f>
        <v>0.20723742719556756</v>
      </c>
      <c r="H10" s="1"/>
      <c r="I10" s="1"/>
      <c r="J10" s="1"/>
      <c r="K10" s="1"/>
      <c r="L10" s="1"/>
      <c r="M10" s="242"/>
      <c r="N10" s="97">
        <f>B10+G10</f>
        <v>0.99999999999999989</v>
      </c>
      <c r="R10" s="278">
        <f>B10-G10</f>
        <v>0.58552514560886471</v>
      </c>
      <c r="S10" s="279">
        <f>IF(Rules!B20=Rules!E20,SUM(C10:F10)*B4*F4,SUM(C10:F10)*B4*F4*POWER(O2,A10-1))</f>
        <v>2.8555077402841924</v>
      </c>
      <c r="T10" s="261">
        <f>IF(Rules!B20=Rules!E20,SUM(C10:F10)*D4*H4,SUM(C10:F10)*D4*H4*POWER(O2,A10-1))</f>
        <v>-4.761523647836591</v>
      </c>
      <c r="U10" s="275">
        <f t="shared" si="0"/>
        <v>-4.7510518204691792</v>
      </c>
      <c r="V10" s="93">
        <f>(U10+W10*G10)/B10</f>
        <v>-4.9473855681812786</v>
      </c>
      <c r="W10" s="9">
        <f t="shared" si="1"/>
        <v>4</v>
      </c>
    </row>
    <row r="11" spans="1:23" x14ac:dyDescent="0.2">
      <c r="A11" s="98">
        <v>5</v>
      </c>
      <c r="B11" s="97">
        <f>C11*B4</f>
        <v>0.82577222096647629</v>
      </c>
      <c r="C11" s="97">
        <f>1/(1-D4*B4/(1-D4*B4/(1-D4*B4/(1-D4*B4))))</f>
        <v>1.6664880192238392</v>
      </c>
      <c r="D11" s="130">
        <f>C11*D4*C10</f>
        <v>1.3450371310538991</v>
      </c>
      <c r="E11" s="1">
        <f>D11*D4*C9</f>
        <v>1.0177691106644113</v>
      </c>
      <c r="F11" s="1">
        <f>E11*D4*C8</f>
        <v>0.68457868839053726</v>
      </c>
      <c r="G11" s="1">
        <f>F11*D4</f>
        <v>0.34535868955618593</v>
      </c>
      <c r="H11" s="1">
        <f>G11*D4</f>
        <v>0.17422777903352368</v>
      </c>
      <c r="I11" s="1"/>
      <c r="J11" s="1"/>
      <c r="K11" s="1"/>
      <c r="L11" s="1"/>
      <c r="M11" s="242"/>
      <c r="N11" s="97">
        <f>B11+H11</f>
        <v>1</v>
      </c>
      <c r="R11" s="278">
        <f>B11-H11</f>
        <v>0.65154444193295258</v>
      </c>
      <c r="S11" s="279">
        <f>IF(Rules!B20=Rules!E20,SUM(C11:G11)*B4*F4,SUM(C11:G11)*B4*F4*POWER(O2,A11-1))</f>
        <v>3.5798602412650302</v>
      </c>
      <c r="T11" s="261">
        <f>IF(Rules!B20=Rules!E20,SUM(C11:G11)*D4*H4,SUM(C11:G11)*D4*H4*POWER(O2,A11-1))</f>
        <v>-5.969372435683538</v>
      </c>
      <c r="U11" s="275">
        <f t="shared" si="0"/>
        <v>-7.140564014887687</v>
      </c>
      <c r="V11" s="93">
        <f>(U11+W11*H11)/B11</f>
        <v>-7.5921966863724117</v>
      </c>
      <c r="W11" s="9">
        <f t="shared" si="1"/>
        <v>5</v>
      </c>
    </row>
    <row r="12" spans="1:23" x14ac:dyDescent="0.2">
      <c r="A12" s="98">
        <v>6</v>
      </c>
      <c r="B12" s="97">
        <f>C12*B4</f>
        <v>0.84934295976040597</v>
      </c>
      <c r="C12" s="97">
        <f>1/(1-D4*B4/(1-D4*B4/(1-D4*B4/(1-D4*B4/(1-D4*B4)))))</f>
        <v>1.714056044409241</v>
      </c>
      <c r="D12" s="130">
        <f>C12*D4*C11</f>
        <v>1.4410339956333731</v>
      </c>
      <c r="E12" s="1">
        <f>D12*D4*C10</f>
        <v>1.1630712065608366</v>
      </c>
      <c r="F12" s="1">
        <f>E12*D4*C9</f>
        <v>0.8800782671429247</v>
      </c>
      <c r="G12" s="1">
        <f>F12*D4*C8</f>
        <v>0.59196414932303509</v>
      </c>
      <c r="H12" s="1">
        <f>G12*D4</f>
        <v>0.29863617775640894</v>
      </c>
      <c r="I12" s="1">
        <f>H12*D4</f>
        <v>0.15065704023959389</v>
      </c>
      <c r="J12" s="1"/>
      <c r="K12" s="1"/>
      <c r="L12" s="1"/>
      <c r="M12" s="242"/>
      <c r="N12" s="97">
        <f>B12+I12</f>
        <v>0.99999999999999989</v>
      </c>
      <c r="R12" s="278">
        <f>B12-I12</f>
        <v>0.69868591952081205</v>
      </c>
      <c r="S12" s="279">
        <f>IF(Rules!B20=Rules!E20,SUM(C12:H12)*B4*F4,SUM(C12:H12)*B4*F4*POWER(O2,A12-1))</f>
        <v>4.3084004088790895</v>
      </c>
      <c r="T12" s="261">
        <f>IF(Rules!B20=Rules!E20,SUM(C12:H12)*D4*H4,SUM(C12:H12)*D4*H4*POWER(O2,A12-1))</f>
        <v>-7.1842041055665025</v>
      </c>
      <c r="U12" s="275">
        <f t="shared" si="0"/>
        <v>-10.0163677115751</v>
      </c>
      <c r="V12" s="93">
        <f>(U12+W12*I12)/B12</f>
        <v>-10.728793787503802</v>
      </c>
      <c r="W12" s="9">
        <f t="shared" si="1"/>
        <v>6</v>
      </c>
    </row>
    <row r="13" spans="1:23" x14ac:dyDescent="0.2">
      <c r="A13" s="98">
        <v>7</v>
      </c>
      <c r="B13" s="97">
        <f>C13*B4</f>
        <v>0.86701438297178368</v>
      </c>
      <c r="C13" s="97">
        <f>1/(1-D4*B4/(1-D4*B4/(1-D4*B4/(1-D4*B4/(1-D4*B4/(1-D4*B4))))))</f>
        <v>1.7497186815344374</v>
      </c>
      <c r="D13" s="130">
        <f>C13*D4*C12</f>
        <v>1.5130046383773359</v>
      </c>
      <c r="E13" s="1">
        <f>D13*D4*C11</f>
        <v>1.2720069023204947</v>
      </c>
      <c r="F13" s="1">
        <f>E13*D4*C10</f>
        <v>1.0266479535657025</v>
      </c>
      <c r="G13" s="1">
        <f>F13*D4*C9</f>
        <v>0.77684886947863108</v>
      </c>
      <c r="H13" s="1">
        <f>G13*D4*C8</f>
        <v>0.52252929920242774</v>
      </c>
      <c r="I13" s="1">
        <f>H13*D4</f>
        <v>0.26360743781190293</v>
      </c>
      <c r="J13" s="1">
        <f>I13*D4</f>
        <v>0.13298561702821624</v>
      </c>
      <c r="K13" s="1"/>
      <c r="L13" s="1"/>
      <c r="M13" s="242"/>
      <c r="N13" s="97">
        <f>B13+J13</f>
        <v>0.99999999999999989</v>
      </c>
      <c r="R13" s="278">
        <f>B13-J13</f>
        <v>0.73402876594356747</v>
      </c>
      <c r="S13" s="279">
        <f>IF(Rules!B20=Rules!E20,SUM(C13:I13)*B4*F4,SUM(C13:I13)*B4*F4*POWER(O2,A13-1))</f>
        <v>5.0411264929022286</v>
      </c>
      <c r="T13" s="261">
        <f>IF(Rules!B20=Rules!E20,SUM(C13:I13)*D4*H4,SUM(C13:I13)*D4*H4*POWER(O2,A13-1))</f>
        <v>-8.4060157390084953</v>
      </c>
      <c r="U13" s="275">
        <f t="shared" si="0"/>
        <v>-13.381256957681366</v>
      </c>
      <c r="V13" s="93">
        <f>(U13+W13*J13)/B13</f>
        <v>-14.360035869080894</v>
      </c>
      <c r="W13" s="9">
        <f t="shared" si="1"/>
        <v>7</v>
      </c>
    </row>
    <row r="14" spans="1:23" x14ac:dyDescent="0.2">
      <c r="A14" s="98">
        <v>8</v>
      </c>
      <c r="B14" s="97">
        <f>C14*B4</f>
        <v>0.88075293197021254</v>
      </c>
      <c r="C14" s="97">
        <f>1/(1-D4*B4/(1-D4*B4/(1-D4*B4/(1-D4*B4/(1-D4*B4/(1-D4*B4/(1-D4*B4)))))))</f>
        <v>1.7774443990217672</v>
      </c>
      <c r="D14" s="130">
        <f>C14*D4*C13</f>
        <v>1.5689578114726266</v>
      </c>
      <c r="E14" s="1">
        <f>D14*D4*C12</f>
        <v>1.3566983488423803</v>
      </c>
      <c r="F14" s="1">
        <f>E14*D4*C11</f>
        <v>1.1405977353414678</v>
      </c>
      <c r="G14" s="1">
        <f>F14*D4*C10</f>
        <v>0.92058645962830599</v>
      </c>
      <c r="H14" s="1">
        <f>G14*D4*C9</f>
        <v>0.69659375245013533</v>
      </c>
      <c r="I14" s="1">
        <f>H14*D4*C8</f>
        <v>0.46854756387924557</v>
      </c>
      <c r="J14" s="1">
        <f>I14*D4</f>
        <v>0.23637454013725664</v>
      </c>
      <c r="K14" s="1">
        <f>J14*D4</f>
        <v>0.11924706802978739</v>
      </c>
      <c r="L14" s="1"/>
      <c r="M14" s="242"/>
      <c r="N14" s="97">
        <f>B14+K14</f>
        <v>0.99999999999999989</v>
      </c>
      <c r="R14" s="278">
        <f>B14-K14</f>
        <v>0.76150586394042519</v>
      </c>
      <c r="S14" s="279">
        <f>IF(Rules!B20=Rules!E20,SUM(C14:J14)*B4*F4,SUM(C14:J14)*B4*F4*POWER(O2,A14-1))</f>
        <v>5.7780364749270028</v>
      </c>
      <c r="T14" s="261">
        <f>IF(Rules!B20=Rules!E20,SUM(C14:J14)*D4*H4,SUM(C14:J14)*D4*H4*POWER(O2,A14-1))</f>
        <v>-9.6348039703401973</v>
      </c>
      <c r="U14" s="275">
        <f t="shared" si="0"/>
        <v>-17.23802445309456</v>
      </c>
      <c r="V14" s="93">
        <f>(U14+W14*K14)/B14</f>
        <v>-18.488780812150615</v>
      </c>
      <c r="W14" s="9">
        <f t="shared" si="1"/>
        <v>8</v>
      </c>
    </row>
    <row r="15" spans="1:23" x14ac:dyDescent="0.2">
      <c r="A15" s="98">
        <v>9</v>
      </c>
      <c r="B15" s="97">
        <f>C15*B4</f>
        <v>0.89173847191673006</v>
      </c>
      <c r="C15" s="97">
        <f>1/(1-D4*B4/(1-D4*B4/(1-D4*B4/(1-D4*B4/(1-D4*B4/(1-D4*B4/(1-D4*B4/(1-D4*B4))))))))</f>
        <v>1.7996142786093241</v>
      </c>
      <c r="D15" s="130">
        <f>C15*D4*C14</f>
        <v>1.6136987676131198</v>
      </c>
      <c r="E15" s="1">
        <f>D15*D4*C13</f>
        <v>1.4244188387573578</v>
      </c>
      <c r="F15" s="1">
        <f>E15*D4*C12</f>
        <v>1.2317136078937863</v>
      </c>
      <c r="G15" s="1">
        <f>F15*D4*C11</f>
        <v>1.0355210890848812</v>
      </c>
      <c r="H15" s="1">
        <f>G15*D4*C10</f>
        <v>0.83577817466532756</v>
      </c>
      <c r="I15" s="1">
        <f>H15*D4*C9</f>
        <v>0.63242061494268786</v>
      </c>
      <c r="J15" s="1">
        <f>I15*D4*C8</f>
        <v>0.42538299753071984</v>
      </c>
      <c r="K15" s="1">
        <f>J15*D4</f>
        <v>0.21459872630870283</v>
      </c>
      <c r="L15" s="1">
        <f>K15*D4</f>
        <v>0.10826152808326987</v>
      </c>
      <c r="M15" s="242"/>
      <c r="N15" s="97">
        <f>B15+L15</f>
        <v>0.99999999999999989</v>
      </c>
      <c r="R15" s="278">
        <f>B15-L15</f>
        <v>0.78347694383346023</v>
      </c>
      <c r="S15" s="279">
        <f>IF(Rules!B20=Rules!E20,SUM(C15:K15)*B4*F4,SUM(C15:K15)*B4*F4*POWER(O2,A15-1))</f>
        <v>6.5191280688254043</v>
      </c>
      <c r="T15" s="261">
        <f>IF(Rules!B20=Rules!E20,SUM(C15:K15)*D4*H4,SUM(C15:K15)*D4*H4*POWER(O2,A15-1))</f>
        <v>-10.870564987471589</v>
      </c>
      <c r="U15" s="275">
        <f t="shared" si="0"/>
        <v>-21.589461371740747</v>
      </c>
      <c r="V15" s="93">
        <f>(U15+W15*L15)/B15</f>
        <v>-23.117885196408057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0.90072182640346166</v>
      </c>
      <c r="C16" s="131">
        <f>1/(1-D4*B4/(1-D4*B4/(1-D4*B4/(1-D4*B4/(1-D4*B4/(1-D4*B4/(1-D4*B4/(1-D4*B4/(1-D4*B4)))))))))</f>
        <v>1.8177435547516694</v>
      </c>
      <c r="D16" s="139">
        <f>C16*D4*C15</f>
        <v>1.6502853961304353</v>
      </c>
      <c r="E16" s="110">
        <f>D16*D4*C14</f>
        <v>1.4797968329099562</v>
      </c>
      <c r="F16" s="110">
        <f>E16*D4*C13</f>
        <v>1.3062230254090195</v>
      </c>
      <c r="G16" s="110">
        <f>F16*D4*C12</f>
        <v>1.1295081415407668</v>
      </c>
      <c r="H16" s="110">
        <f>G16*D4*C11</f>
        <v>0.94959533885363623</v>
      </c>
      <c r="I16" s="110">
        <f>H16*D4*C10</f>
        <v>0.76642674624730911</v>
      </c>
      <c r="J16" s="110">
        <f>I16*D4*C9</f>
        <v>0.57994344535778009</v>
      </c>
      <c r="K16" s="110">
        <f>J16*D4*C8</f>
        <v>0.39008545160556218</v>
      </c>
      <c r="L16" s="110">
        <f>K16*D4</f>
        <v>0.19679169490093071</v>
      </c>
      <c r="M16" s="244">
        <f>L16*D4</f>
        <v>9.9278173596538191E-2</v>
      </c>
      <c r="N16" s="131">
        <f>B16+M16</f>
        <v>0.99999999999999989</v>
      </c>
      <c r="R16" s="280">
        <f>B16-M16</f>
        <v>0.80144365280692342</v>
      </c>
      <c r="S16" s="281">
        <f>IF(Rules!B20=Rules!E20,SUM(C16:L16)*B4*F4,SUM(C16:L16)*B4*F4*POWER(O2,A16-1))</f>
        <v>7.2643987212726833</v>
      </c>
      <c r="T16" s="262">
        <f>IF(Rules!B20=Rules!E20,SUM(C16:L16)*D4*H4,SUM(C16:L16)*D4*H4*POWER(O2,A16-1))</f>
        <v>-12.113294532765394</v>
      </c>
      <c r="U16" s="275">
        <f t="shared" si="0"/>
        <v>-26.438357183233457</v>
      </c>
      <c r="V16" s="94">
        <f>(U16+W16*M16)/B16</f>
        <v>-28.250204115593622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8</v>
      </c>
      <c r="D21" s="57">
        <f>SUM($C$21:C21)</f>
        <v>8</v>
      </c>
      <c r="E21" s="57">
        <f t="shared" ref="E21:E30" si="3">D21/R7</f>
        <v>-892.14944281923442</v>
      </c>
      <c r="F21" s="8">
        <f t="shared" ref="F21:F30" si="4">U7/E21</f>
        <v>5.294038293980161E-4</v>
      </c>
      <c r="G21" s="265">
        <f>E21*U7</f>
        <v>421.36872256919077</v>
      </c>
      <c r="O21" s="100">
        <v>1</v>
      </c>
      <c r="P21" s="108">
        <v>1</v>
      </c>
      <c r="Q21" s="109">
        <f>P21*8+28</f>
        <v>36</v>
      </c>
      <c r="R21" s="57">
        <f>SUM($Q$21)</f>
        <v>36</v>
      </c>
      <c r="S21" s="260">
        <f>R21/R7</f>
        <v>-4014.6724926865545</v>
      </c>
      <c r="T21" s="8">
        <f>U7/S21</f>
        <v>1.1764529542178136E-4</v>
      </c>
      <c r="U21" s="265">
        <f>S21*U7</f>
        <v>1896.1592515613584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224.06050449599172</v>
      </c>
      <c r="F22" s="9">
        <f t="shared" si="4"/>
        <v>-6.3363246059157186E-3</v>
      </c>
      <c r="G22" s="266">
        <f t="shared" ref="G22:G30" si="5">E22*U8</f>
        <v>-318.10319912717739</v>
      </c>
      <c r="O22" s="98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61">
        <f t="shared" ref="S22:S30" si="7">R22/R8</f>
        <v>1095.4069108692929</v>
      </c>
      <c r="T22" s="9">
        <f>U8/S22</f>
        <v>-1.2960663966645788E-3</v>
      </c>
      <c r="U22" s="266">
        <f t="shared" ref="U22:U30" si="8">S22*U8</f>
        <v>-1555.1711957328673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1200.485973722635</v>
      </c>
      <c r="F23" s="9">
        <f t="shared" si="4"/>
        <v>-2.3699035017414613E-3</v>
      </c>
      <c r="G23" s="266">
        <f t="shared" si="5"/>
        <v>-3415.4257081937672</v>
      </c>
      <c r="O23" s="98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61">
        <f t="shared" si="7"/>
        <v>5977.7623486051752</v>
      </c>
      <c r="T23" s="9">
        <f t="shared" ref="T23:T30" si="11">U9/S23</f>
        <v>-4.7593660420117384E-4</v>
      </c>
      <c r="U23" s="266">
        <f t="shared" si="8"/>
        <v>-17006.948560663484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7992.8249625102799</v>
      </c>
      <c r="F24" s="9">
        <f t="shared" si="4"/>
        <v>-5.944145959349311E-4</v>
      </c>
      <c r="G24" s="266">
        <f t="shared" si="5"/>
        <v>-37974.325588825966</v>
      </c>
      <c r="O24" s="98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61">
        <f t="shared" si="7"/>
        <v>39936.798915243671</v>
      </c>
      <c r="T24" s="9">
        <f t="shared" si="11"/>
        <v>-1.1896426227230062E-4</v>
      </c>
      <c r="U24" s="266">
        <f t="shared" si="8"/>
        <v>-189741.80118997997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57475.741622324516</v>
      </c>
      <c r="F25" s="9">
        <f t="shared" si="4"/>
        <v>-1.24236135338777E-4</v>
      </c>
      <c r="G25" s="266">
        <f t="shared" si="5"/>
        <v>-410409.2123573529</v>
      </c>
      <c r="O25" s="98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61">
        <f t="shared" si="7"/>
        <v>287348.0118172291</v>
      </c>
      <c r="T25" s="9">
        <f t="shared" si="11"/>
        <v>-2.4849881402449106E-5</v>
      </c>
      <c r="U25" s="266">
        <f t="shared" si="8"/>
        <v>-2051826.872931628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428793.52743429079</v>
      </c>
      <c r="F26" s="9">
        <f t="shared" si="4"/>
        <v>-2.3359419092700808E-5</v>
      </c>
      <c r="G26" s="266">
        <f t="shared" si="5"/>
        <v>-4294953.6431252221</v>
      </c>
      <c r="O26" s="98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61">
        <f t="shared" si="7"/>
        <v>2143933.2869729893</v>
      </c>
      <c r="T26" s="9">
        <f t="shared" si="11"/>
        <v>-4.6719586716791773E-6</v>
      </c>
      <c r="U26" s="266">
        <f t="shared" si="8"/>
        <v>-21474424.151407324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3265190.8361099064</v>
      </c>
      <c r="F27" s="9">
        <f t="shared" si="4"/>
        <v>-4.09815463454613E-6</v>
      </c>
      <c r="G27" s="266">
        <f t="shared" si="5"/>
        <v>-43692357.593853123</v>
      </c>
      <c r="O27" s="98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61">
        <f t="shared" si="7"/>
        <v>16325916.034905521</v>
      </c>
      <c r="T27" s="9">
        <f t="shared" si="11"/>
        <v>-8.1963284198397528E-7</v>
      </c>
      <c r="U27" s="266">
        <f t="shared" si="8"/>
        <v>-218461277.53260127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25179005.058193531</v>
      </c>
      <c r="F28" s="9">
        <f t="shared" si="4"/>
        <v>-6.8461896779694689E-7</v>
      </c>
      <c r="G28" s="266">
        <f t="shared" si="5"/>
        <v>-434036304.89773172</v>
      </c>
      <c r="O28" s="98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61">
        <f t="shared" si="7"/>
        <v>125894983.26896688</v>
      </c>
      <c r="T28" s="9">
        <f t="shared" si="11"/>
        <v>-1.3692383926265418E-7</v>
      </c>
      <c r="U28" s="266">
        <f t="shared" si="8"/>
        <v>-2170180800.1123815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195783282.72108757</v>
      </c>
      <c r="F29" s="9">
        <f t="shared" si="4"/>
        <v>-1.1027224118259905E-7</v>
      </c>
      <c r="G29" s="266">
        <f t="shared" si="5"/>
        <v>-4226855619.5395179</v>
      </c>
      <c r="O29" s="98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61">
        <f t="shared" si="7"/>
        <v>978916367.6564151</v>
      </c>
      <c r="T29" s="9">
        <f t="shared" si="11"/>
        <v>-2.2054449271726063E-8</v>
      </c>
      <c r="U29" s="266">
        <f t="shared" si="8"/>
        <v>-21134277105.682938</v>
      </c>
    </row>
    <row r="30" spans="1:21" ht="17" thickBot="1" x14ac:dyDescent="0.25">
      <c r="A30" s="131">
        <v>10</v>
      </c>
      <c r="B30" s="94">
        <f t="shared" si="9"/>
        <v>134217728</v>
      </c>
      <c r="C30" s="110">
        <f t="shared" si="2"/>
        <v>1073741824</v>
      </c>
      <c r="D30" s="10">
        <f>SUM($C$21:C30)</f>
        <v>1227133512</v>
      </c>
      <c r="E30" s="10">
        <f t="shared" si="3"/>
        <v>1531153821.8590522</v>
      </c>
      <c r="F30" s="10">
        <f t="shared" si="4"/>
        <v>-1.7266950456442903E-8</v>
      </c>
      <c r="G30" s="267">
        <f t="shared" si="5"/>
        <v>-40481191644.782631</v>
      </c>
      <c r="O30" s="99">
        <v>10</v>
      </c>
      <c r="P30" s="94">
        <f t="shared" si="10"/>
        <v>671088636</v>
      </c>
      <c r="Q30" s="110">
        <f t="shared" si="6"/>
        <v>5368709116</v>
      </c>
      <c r="R30" s="10">
        <f>SUM($Q$21:Q30)</f>
        <v>6135667520</v>
      </c>
      <c r="S30" s="262">
        <f t="shared" si="7"/>
        <v>7655769059.3853264</v>
      </c>
      <c r="T30" s="10">
        <f t="shared" si="11"/>
        <v>-3.4533901138021221E-9</v>
      </c>
      <c r="U30" s="267">
        <f t="shared" si="8"/>
        <v>-202405956904.3765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8</v>
      </c>
      <c r="D33" s="57">
        <f>SUM($C$33:C33)</f>
        <v>8</v>
      </c>
      <c r="E33" s="9">
        <f t="shared" ref="E33:E42" si="13">D33/R7</f>
        <v>-892.14944281923442</v>
      </c>
      <c r="F33" s="8">
        <f t="shared" ref="F33:F42" si="14">U7/E33</f>
        <v>5.294038293980161E-4</v>
      </c>
      <c r="G33" s="268">
        <f>E33*U7</f>
        <v>421.36872256919077</v>
      </c>
      <c r="O33" s="100">
        <v>1</v>
      </c>
      <c r="P33" s="108">
        <v>1</v>
      </c>
      <c r="Q33" s="109">
        <f>P33*8+28</f>
        <v>36</v>
      </c>
      <c r="R33" s="57">
        <f>SUM($Q$21)</f>
        <v>36</v>
      </c>
      <c r="S33" s="260">
        <f>R33/R7</f>
        <v>-4014.6724926865545</v>
      </c>
      <c r="T33" s="8">
        <f>U7/S33</f>
        <v>1.1764529542178136E-4</v>
      </c>
      <c r="U33" s="268">
        <f>S33*U7</f>
        <v>1896.1592515613584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248.95611610665745</v>
      </c>
      <c r="F34" s="9">
        <f t="shared" si="14"/>
        <v>-5.7026921453241473E-3</v>
      </c>
      <c r="G34" s="266">
        <f t="shared" ref="G34:G42" si="16">E34*U8</f>
        <v>-353.44799903019708</v>
      </c>
      <c r="O34" s="98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61">
        <f>R34/R8</f>
        <v>1120.3025224799585</v>
      </c>
      <c r="T34" s="9">
        <f t="shared" ref="T34:T42" si="18">U8/S34</f>
        <v>-1.2672649211831438E-3</v>
      </c>
      <c r="U34" s="266">
        <f t="shared" ref="U34:U42" si="19">S34*U8</f>
        <v>-1590.5159956358868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1496.4962138186272</v>
      </c>
      <c r="F35" s="9">
        <f t="shared" si="14"/>
        <v>-1.9011313805178756E-3</v>
      </c>
      <c r="G35" s="266">
        <f t="shared" si="16"/>
        <v>-4257.585471857984</v>
      </c>
      <c r="O35" s="98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61">
        <f t="shared" ref="S35:S42" si="21">R35/R9</f>
        <v>6142.2124819918381</v>
      </c>
      <c r="T35" s="9">
        <f t="shared" si="18"/>
        <v>-4.6319399096954935E-4</v>
      </c>
      <c r="U35" s="266">
        <f t="shared" si="19"/>
        <v>-17474.815096032493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11203.617896168254</v>
      </c>
      <c r="F36" s="9">
        <f t="shared" si="14"/>
        <v>-4.2406407149016436E-4</v>
      </c>
      <c r="G36" s="266">
        <f t="shared" si="16"/>
        <v>-53228.96920143126</v>
      </c>
      <c r="O36" s="98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61">
        <f t="shared" si="21"/>
        <v>41070.823653514359</v>
      </c>
      <c r="T36" s="9">
        <f t="shared" si="18"/>
        <v>-1.1567948723284589E-4</v>
      </c>
      <c r="U36" s="266">
        <f t="shared" si="19"/>
        <v>-195129.61148719801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90627.739567267083</v>
      </c>
      <c r="F37" s="9">
        <f t="shared" si="14"/>
        <v>-7.8790048708957491E-5</v>
      </c>
      <c r="G37" s="266">
        <f t="shared" si="16"/>
        <v>-647133.17590464035</v>
      </c>
      <c r="O37" s="98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61">
        <f t="shared" si="21"/>
        <v>295550.06167916307</v>
      </c>
      <c r="T37" s="9">
        <f t="shared" si="18"/>
        <v>-2.4160252155992402E-5</v>
      </c>
      <c r="U37" s="266">
        <f t="shared" si="19"/>
        <v>-2110394.1350240684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760627.89466901484</v>
      </c>
      <c r="F38" s="9">
        <f t="shared" si="14"/>
        <v>-1.3168551642368697E-5</v>
      </c>
      <c r="G38" s="266">
        <f t="shared" si="16"/>
        <v>-7618728.6846860666</v>
      </c>
      <c r="O38" s="98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61">
        <f t="shared" si="21"/>
        <v>2205179.6908354694</v>
      </c>
      <c r="T38" s="9">
        <f t="shared" si="18"/>
        <v>-4.5422002357459722E-6</v>
      </c>
      <c r="U38" s="266">
        <f t="shared" si="19"/>
        <v>-22087890.653505556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6516049.8088268619</v>
      </c>
      <c r="F39" s="9">
        <f t="shared" si="14"/>
        <v>-2.053584203661958E-6</v>
      </c>
      <c r="G39" s="266">
        <f t="shared" si="16"/>
        <v>-87192936.840962783</v>
      </c>
      <c r="O39" s="98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61">
        <f t="shared" si="21"/>
        <v>16792360.969880074</v>
      </c>
      <c r="T39" s="9">
        <f t="shared" si="18"/>
        <v>-7.9686572851089272E-7</v>
      </c>
      <c r="U39" s="266">
        <f t="shared" si="19"/>
        <v>-224702897.06410477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56528415.654285319</v>
      </c>
      <c r="F40" s="9">
        <f t="shared" si="14"/>
        <v>-3.0494441164808724E-7</v>
      </c>
      <c r="G40" s="266">
        <f t="shared" si="16"/>
        <v>-974438211.34326363</v>
      </c>
      <c r="O40" s="98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61">
        <f t="shared" si="21"/>
        <v>129491971.98528002</v>
      </c>
      <c r="T40" s="9">
        <f t="shared" si="18"/>
        <v>-1.3312041039157308E-7</v>
      </c>
      <c r="U40" s="266">
        <f t="shared" si="19"/>
        <v>-2232185779.5616927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494488690.50874335</v>
      </c>
      <c r="F41" s="9">
        <f t="shared" si="14"/>
        <v>-4.3660172186200914E-8</v>
      </c>
      <c r="G41" s="266">
        <f t="shared" si="16"/>
        <v>-10675744482.501179</v>
      </c>
      <c r="O41" s="98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61">
        <f t="shared" si="21"/>
        <v>1006885394.9168496</v>
      </c>
      <c r="T41" s="9">
        <f t="shared" si="18"/>
        <v>-2.1441825932457429E-8</v>
      </c>
      <c r="U41" s="266">
        <f t="shared" si="19"/>
        <v>-21738113339.327251</v>
      </c>
    </row>
    <row r="42" spans="1:21" ht="17" thickBot="1" x14ac:dyDescent="0.25">
      <c r="A42" s="131">
        <v>10</v>
      </c>
      <c r="B42" s="94">
        <f t="shared" si="15"/>
        <v>387420489</v>
      </c>
      <c r="C42" s="110">
        <f t="shared" si="12"/>
        <v>3099363912</v>
      </c>
      <c r="D42" s="10">
        <f>SUM($C$33:C42)</f>
        <v>3486784400</v>
      </c>
      <c r="E42" s="9">
        <f t="shared" si="13"/>
        <v>4350629501.8846502</v>
      </c>
      <c r="F42" s="10">
        <f t="shared" si="14"/>
        <v>-6.0769038530586479E-9</v>
      </c>
      <c r="G42" s="267">
        <f t="shared" si="16"/>
        <v>-115023496742.73944</v>
      </c>
      <c r="O42" s="99">
        <v>10</v>
      </c>
      <c r="P42" s="94">
        <f t="shared" si="20"/>
        <v>690262597</v>
      </c>
      <c r="Q42" s="110">
        <f t="shared" si="17"/>
        <v>5522100804</v>
      </c>
      <c r="R42" s="10">
        <f>SUM($Q$33:Q42)</f>
        <v>6310972296</v>
      </c>
      <c r="S42" s="262">
        <f t="shared" si="21"/>
        <v>7874505305.3909235</v>
      </c>
      <c r="T42" s="10">
        <f t="shared" si="18"/>
        <v>-3.3574626161129933E-9</v>
      </c>
      <c r="U42" s="267">
        <f t="shared" si="19"/>
        <v>-208188983905.19208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8</v>
      </c>
      <c r="D45" s="57">
        <f>SUM(C45:C45)</f>
        <v>8</v>
      </c>
      <c r="E45" s="57">
        <f t="shared" ref="E45:E54" si="23">D45/R7</f>
        <v>-892.14944281923442</v>
      </c>
      <c r="F45" s="8">
        <f t="shared" ref="F45:F54" si="24">U7/E45</f>
        <v>5.294038293980161E-4</v>
      </c>
      <c r="G45" s="265">
        <f>E45*U7</f>
        <v>421.36872256919077</v>
      </c>
      <c r="O45" s="100">
        <v>1</v>
      </c>
      <c r="P45" s="108">
        <v>1</v>
      </c>
      <c r="Q45" s="109">
        <f>P45*8+28</f>
        <v>36</v>
      </c>
      <c r="R45" s="57">
        <f>SUM($Q$21)</f>
        <v>36</v>
      </c>
      <c r="S45" s="260">
        <f>R45/R7</f>
        <v>-4014.6724926865545</v>
      </c>
      <c r="T45" s="8">
        <f>U7/S45</f>
        <v>1.1764529542178136E-4</v>
      </c>
      <c r="U45" s="268">
        <f>S45*U7</f>
        <v>1896.1592515613584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423.22539738131769</v>
      </c>
      <c r="F46" s="9">
        <f t="shared" si="24"/>
        <v>-3.3545247913671452E-3</v>
      </c>
      <c r="G46" s="266">
        <f t="shared" ref="G46:G54" si="26">E46*U8</f>
        <v>-600.86159835133503</v>
      </c>
      <c r="O46" s="98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61">
        <f t="shared" ref="S46:S54" si="28">R46/R8</f>
        <v>1991.6489288532596</v>
      </c>
      <c r="T46" s="9">
        <f t="shared" ref="T46:T54" si="29">U8/S46</f>
        <v>-7.1283651816551842E-4</v>
      </c>
      <c r="U46" s="266">
        <f t="shared" ref="U46:U54" si="30">S46*U8</f>
        <v>-2827.5839922415767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4489.4886414558814</v>
      </c>
      <c r="F47" s="9">
        <f t="shared" si="24"/>
        <v>-6.3371046017262516E-4</v>
      </c>
      <c r="G47" s="266">
        <f t="shared" si="26"/>
        <v>-12772.756415573951</v>
      </c>
      <c r="O47" s="98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61">
        <f t="shared" si="28"/>
        <v>21238.73472688744</v>
      </c>
      <c r="T47" s="9">
        <f t="shared" si="29"/>
        <v>-1.3395505662185572E-4</v>
      </c>
      <c r="U47" s="266">
        <f t="shared" si="30"/>
        <v>-60424.963042907541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59693.422668730615</v>
      </c>
      <c r="F48" s="9">
        <f t="shared" si="24"/>
        <v>-7.9590876315389043E-5</v>
      </c>
      <c r="G48" s="266">
        <f t="shared" si="26"/>
        <v>-283606.54444030876</v>
      </c>
      <c r="O48" s="98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61">
        <f t="shared" si="28"/>
        <v>282536.11521324801</v>
      </c>
      <c r="T48" s="9">
        <f t="shared" si="29"/>
        <v>-1.681573280245344E-5</v>
      </c>
      <c r="U48" s="266">
        <f t="shared" si="30"/>
        <v>-1342343.7245321916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858329.78383007797</v>
      </c>
      <c r="F49" s="9">
        <f t="shared" si="24"/>
        <v>-8.3191381091597908E-6</v>
      </c>
      <c r="G49" s="266">
        <f t="shared" si="26"/>
        <v>-6128958.7673233822</v>
      </c>
      <c r="O49" s="98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61">
        <f t="shared" si="28"/>
        <v>4062746.6518583191</v>
      </c>
      <c r="T49" s="9">
        <f t="shared" si="29"/>
        <v>-1.757570586298203E-6</v>
      </c>
      <c r="U49" s="266">
        <f t="shared" si="30"/>
        <v>-29010302.543864947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12806681.442982001</v>
      </c>
      <c r="F50" s="9">
        <f t="shared" si="24"/>
        <v>-7.8212047017566916E-7</v>
      </c>
      <c r="G50" s="266">
        <f t="shared" si="26"/>
        <v>-128276430.49791293</v>
      </c>
      <c r="O50" s="98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61">
        <f t="shared" si="28"/>
        <v>60618276.133355528</v>
      </c>
      <c r="T50" s="9">
        <f t="shared" si="29"/>
        <v>-1.6523676274692905E-7</v>
      </c>
      <c r="U50" s="266">
        <f t="shared" si="30"/>
        <v>-607174943.79348576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195040824.88642773</v>
      </c>
      <c r="F51" s="9">
        <f t="shared" si="24"/>
        <v>-6.860746700324546E-8</v>
      </c>
      <c r="G51" s="266">
        <f t="shared" si="26"/>
        <v>-2609891395.0434241</v>
      </c>
      <c r="O51" s="98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61">
        <f t="shared" si="28"/>
        <v>923193219.99445748</v>
      </c>
      <c r="T51" s="9">
        <f t="shared" si="29"/>
        <v>-1.4494535561863964E-8</v>
      </c>
      <c r="U51" s="266">
        <f t="shared" si="30"/>
        <v>-12353485698.335098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3008051982.8790236</v>
      </c>
      <c r="F52" s="9">
        <f t="shared" si="24"/>
        <v>-5.7306271803840136E-9</v>
      </c>
      <c r="G52" s="266">
        <f t="shared" si="26"/>
        <v>-51852873637.048187</v>
      </c>
      <c r="O52" s="98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61">
        <f t="shared" si="28"/>
        <v>14238112699.350445</v>
      </c>
      <c r="T52" s="9">
        <f t="shared" si="29"/>
        <v>-1.2106958848472224E-9</v>
      </c>
      <c r="U52" s="266">
        <f t="shared" si="30"/>
        <v>-245436934877.31915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46779152699.342979</v>
      </c>
      <c r="F53" s="9">
        <f t="shared" si="24"/>
        <v>-4.6151886312476913E-10</v>
      </c>
      <c r="G53" s="266">
        <f t="shared" si="26"/>
        <v>-1009936710205.2272</v>
      </c>
      <c r="O53" s="98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61">
        <f t="shared" si="28"/>
        <v>221421322755.44724</v>
      </c>
      <c r="T53" s="9">
        <f t="shared" si="29"/>
        <v>-9.7503985176647217E-11</v>
      </c>
      <c r="U53" s="266">
        <f t="shared" si="30"/>
        <v>-4780367094508.4688</v>
      </c>
    </row>
    <row r="54" spans="1:21" ht="17" thickBot="1" x14ac:dyDescent="0.25">
      <c r="A54" s="131">
        <v>10</v>
      </c>
      <c r="B54" s="94">
        <f t="shared" si="25"/>
        <v>68719476736</v>
      </c>
      <c r="C54" s="110">
        <f t="shared" si="22"/>
        <v>549755813888</v>
      </c>
      <c r="D54" s="10">
        <f>SUM($C$45:C54)</f>
        <v>586406201480</v>
      </c>
      <c r="E54" s="10">
        <f t="shared" si="23"/>
        <v>731687373686.48389</v>
      </c>
      <c r="F54" s="10">
        <f t="shared" si="24"/>
        <v>-3.6133406334495339E-11</v>
      </c>
      <c r="G54" s="267">
        <f t="shared" si="26"/>
        <v>-19344612131985.273</v>
      </c>
      <c r="O54" s="99">
        <v>10</v>
      </c>
      <c r="P54" s="94">
        <f t="shared" si="31"/>
        <v>325272189880</v>
      </c>
      <c r="Q54" s="110">
        <f t="shared" si="27"/>
        <v>2602177519068</v>
      </c>
      <c r="R54" s="10">
        <f>SUM($Q$45:Q54)</f>
        <v>2775656020320</v>
      </c>
      <c r="S54" s="262">
        <f t="shared" si="28"/>
        <v>3463320235426.0654</v>
      </c>
      <c r="T54" s="10">
        <f t="shared" si="29"/>
        <v>-7.6338182397334536E-12</v>
      </c>
      <c r="U54" s="267">
        <f t="shared" si="30"/>
        <v>-91564497424114.5</v>
      </c>
    </row>
  </sheetData>
  <mergeCells count="2">
    <mergeCell ref="A18:F18"/>
    <mergeCell ref="O18:T18"/>
  </mergeCells>
  <conditionalFormatting sqref="F45:F54">
    <cfRule type="cellIs" dxfId="588" priority="65" operator="equal">
      <formula>MAX($F$45:$F$54)</formula>
    </cfRule>
  </conditionalFormatting>
  <conditionalFormatting sqref="F21:F30">
    <cfRule type="cellIs" dxfId="587" priority="63" operator="equal">
      <formula>MAX($F$21:$F$30)</formula>
    </cfRule>
  </conditionalFormatting>
  <conditionalFormatting sqref="F33:F42">
    <cfRule type="cellIs" dxfId="586" priority="44" operator="lessThanOrEqual">
      <formula>0</formula>
    </cfRule>
    <cfRule type="cellIs" dxfId="585" priority="61" operator="equal">
      <formula>MAX($F$33:$F$42)</formula>
    </cfRule>
  </conditionalFormatting>
  <conditionalFormatting sqref="E33:E42">
    <cfRule type="cellIs" dxfId="584" priority="59" stopIfTrue="1" operator="lessThan">
      <formula>0</formula>
    </cfRule>
    <cfRule type="cellIs" dxfId="583" priority="60" operator="equal">
      <formula>MIN($E$33:$E$42)</formula>
    </cfRule>
  </conditionalFormatting>
  <conditionalFormatting sqref="E21:E30">
    <cfRule type="cellIs" dxfId="582" priority="55" stopIfTrue="1" operator="lessThan">
      <formula>0</formula>
    </cfRule>
    <cfRule type="cellIs" dxfId="581" priority="56" operator="equal">
      <formula>MIN($E$21:$E$30)</formula>
    </cfRule>
  </conditionalFormatting>
  <conditionalFormatting sqref="E45:E54">
    <cfRule type="cellIs" dxfId="580" priority="51" stopIfTrue="1" operator="lessThan">
      <formula>0</formula>
    </cfRule>
    <cfRule type="cellIs" dxfId="579" priority="52" operator="equal">
      <formula>MIN($E$45:$E$54)</formula>
    </cfRule>
  </conditionalFormatting>
  <conditionalFormatting sqref="R7:R16">
    <cfRule type="cellIs" dxfId="578" priority="29" operator="lessThanOrEqual">
      <formula>0</formula>
    </cfRule>
    <cfRule type="cellIs" dxfId="577" priority="30" operator="greaterThan">
      <formula>0</formula>
    </cfRule>
  </conditionalFormatting>
  <conditionalFormatting sqref="T21:T30">
    <cfRule type="cellIs" dxfId="576" priority="21" operator="equal">
      <formula>MAX($T$21:$T$30)</formula>
    </cfRule>
  </conditionalFormatting>
  <conditionalFormatting sqref="S33:S42">
    <cfRule type="cellIs" dxfId="575" priority="19" stopIfTrue="1" operator="lessThan">
      <formula>0</formula>
    </cfRule>
    <cfRule type="cellIs" dxfId="574" priority="20" operator="equal">
      <formula>MIN($E$21:$E$30)</formula>
    </cfRule>
  </conditionalFormatting>
  <conditionalFormatting sqref="T33:T42">
    <cfRule type="cellIs" dxfId="573" priority="18" operator="equal">
      <formula>MAX($T$21:$T$30)</formula>
    </cfRule>
  </conditionalFormatting>
  <conditionalFormatting sqref="S45:S54">
    <cfRule type="cellIs" dxfId="572" priority="16" stopIfTrue="1" operator="lessThan">
      <formula>0</formula>
    </cfRule>
    <cfRule type="cellIs" dxfId="571" priority="17" operator="equal">
      <formula>MIN($E$21:$E$30)</formula>
    </cfRule>
  </conditionalFormatting>
  <conditionalFormatting sqref="T45:T54">
    <cfRule type="cellIs" dxfId="570" priority="15" operator="equal">
      <formula>MAX($T$21:$T$30)</formula>
    </cfRule>
  </conditionalFormatting>
  <conditionalFormatting sqref="S21:S30">
    <cfRule type="cellIs" dxfId="569" priority="13" stopIfTrue="1" operator="lessThan">
      <formula>0</formula>
    </cfRule>
    <cfRule type="cellIs" dxfId="568" priority="14" operator="equal">
      <formula>MIN($E$21:$E$30)</formula>
    </cfRule>
  </conditionalFormatting>
  <conditionalFormatting sqref="U7:U16">
    <cfRule type="cellIs" dxfId="567" priority="9" operator="lessThanOrEqual">
      <formula>0</formula>
    </cfRule>
    <cfRule type="cellIs" dxfId="566" priority="10" operator="greaterThan">
      <formula>0</formula>
    </cfRule>
  </conditionalFormatting>
  <conditionalFormatting sqref="S7:T16">
    <cfRule type="cellIs" dxfId="565" priority="1" operator="lessThanOrEqual">
      <formula>0</formula>
    </cfRule>
    <cfRule type="cellIs" dxfId="56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35" t="s">
        <v>125</v>
      </c>
      <c r="C2" s="141">
        <f>Analysis!B32</f>
        <v>0.50075646139666463</v>
      </c>
      <c r="D2" s="135" t="s">
        <v>126</v>
      </c>
      <c r="E2" s="141">
        <f>Analysis!M32</f>
        <v>0.49924353860333492</v>
      </c>
      <c r="F2" s="135" t="s">
        <v>47</v>
      </c>
      <c r="G2" s="141">
        <f>Analysis!S32</f>
        <v>1.6375474617858132</v>
      </c>
      <c r="H2" t="s">
        <v>155</v>
      </c>
      <c r="I2" s="155">
        <f>Analysis!T32</f>
        <v>-2.6820542656442208</v>
      </c>
      <c r="J2" t="s">
        <v>48</v>
      </c>
      <c r="K2" s="155">
        <f>C2*G2+E2*I2</f>
        <v>-0.51898578997343592</v>
      </c>
      <c r="L2" t="s">
        <v>47</v>
      </c>
      <c r="M2" s="162">
        <v>2</v>
      </c>
      <c r="N2" t="s">
        <v>155</v>
      </c>
      <c r="O2" s="162">
        <v>9</v>
      </c>
    </row>
    <row r="4" spans="1:23" x14ac:dyDescent="0.2">
      <c r="A4" t="s">
        <v>123</v>
      </c>
      <c r="B4">
        <f>$C$2</f>
        <v>0.50075646139666463</v>
      </c>
      <c r="C4" t="s">
        <v>124</v>
      </c>
      <c r="D4">
        <f>$E$2</f>
        <v>0.49924353860333492</v>
      </c>
      <c r="E4" t="s">
        <v>47</v>
      </c>
      <c r="F4">
        <f>G2</f>
        <v>1.6375474617858132</v>
      </c>
      <c r="G4" t="s">
        <v>155</v>
      </c>
      <c r="H4">
        <f>I2</f>
        <v>-2.6820542656442208</v>
      </c>
      <c r="I4" t="s">
        <v>48</v>
      </c>
      <c r="J4">
        <f>K2</f>
        <v>-0.51898578997343592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0.50075646139666463</v>
      </c>
      <c r="C7" s="95">
        <v>1</v>
      </c>
      <c r="D7" s="22">
        <f>C7*D4</f>
        <v>0.49924353860333492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0.99999999999999956</v>
      </c>
      <c r="R7" s="276">
        <f>B7-D7</f>
        <v>1.5129227933297074E-3</v>
      </c>
      <c r="S7" s="277">
        <f>IF(Rules!B20=Rules!E20,SUM(C7)*B4*F4,SUM(C7)*B4*F4*POWER(O2,A7-1))</f>
        <v>0.82001247233295371</v>
      </c>
      <c r="T7" s="260">
        <f>IF(Rules!B20=Rules!E20,SUM(C7)*D4*H4,SUM(C7)*D4*H4*POWER(O2,A7-1))</f>
        <v>-1.3389982623063896</v>
      </c>
      <c r="U7" s="274">
        <f>S7+T7</f>
        <v>-0.51898578997343592</v>
      </c>
      <c r="V7" s="108">
        <f>(U7+W7*D7)/B7</f>
        <v>-3.9424855976970707E-2</v>
      </c>
      <c r="W7" s="57">
        <f>COUNT(D7:M7)</f>
        <v>1</v>
      </c>
    </row>
    <row r="8" spans="1:23" x14ac:dyDescent="0.2">
      <c r="A8" s="98">
        <v>2</v>
      </c>
      <c r="B8" s="97">
        <f>C8*B4</f>
        <v>0.66767477244074991</v>
      </c>
      <c r="C8" s="97">
        <f>1/(1-B4*D4)</f>
        <v>1.3333323160294963</v>
      </c>
      <c r="D8" s="130">
        <f>C8*D4</f>
        <v>0.66565754358874585</v>
      </c>
      <c r="E8" s="1">
        <f>D8*D4</f>
        <v>0.33232522755924915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0.99999999999999911</v>
      </c>
      <c r="R8" s="278">
        <f>B8-E8</f>
        <v>0.33534954488150076</v>
      </c>
      <c r="S8" s="279">
        <f>IF(Rules!B20=Rules!E20,SUM(C8:D8)*B4*F4,SUM(C8:D8)*B4*F4*POWER(O2,A8-1))</f>
        <v>1.639196616954059</v>
      </c>
      <c r="T8" s="261">
        <f>IF(Rules!B20=Rules!E20,SUM(C8:D8)*D4*H4,SUM(C8:D8)*D4*H4*POWER(O2,A8-1))</f>
        <v>-2.6766439483969204</v>
      </c>
      <c r="U8" s="275">
        <f>S8+T8+U7</f>
        <v>-1.5564331214162972</v>
      </c>
      <c r="V8" s="93">
        <f>(U8+W8*E8)/B8</f>
        <v>-1.3356542782615566</v>
      </c>
      <c r="W8" s="9">
        <f>COUNT(D8:M8)</f>
        <v>2</v>
      </c>
    </row>
    <row r="9" spans="1:23" x14ac:dyDescent="0.2">
      <c r="A9" s="98">
        <v>3</v>
      </c>
      <c r="B9" s="97">
        <f>C9*B4</f>
        <v>0.7511335458984395</v>
      </c>
      <c r="C9" s="97">
        <f>1/(1-D4*B4/(1-D4*B4))</f>
        <v>1.4999977110698597</v>
      </c>
      <c r="D9" s="130">
        <f>C9*D4*C8</f>
        <v>0.998484791739504</v>
      </c>
      <c r="E9" s="1">
        <f>D9*(D4)</f>
        <v>0.49848708066964392</v>
      </c>
      <c r="F9" s="1">
        <f>E9*D4</f>
        <v>0.24886645410155911</v>
      </c>
      <c r="G9" s="1"/>
      <c r="H9" s="1"/>
      <c r="I9" s="1"/>
      <c r="J9" s="1"/>
      <c r="K9" s="1"/>
      <c r="L9" s="1"/>
      <c r="M9" s="242"/>
      <c r="N9" s="97">
        <f>B9+F9</f>
        <v>0.99999999999999867</v>
      </c>
      <c r="R9" s="278">
        <f>B9-F9</f>
        <v>0.50226709179688034</v>
      </c>
      <c r="S9" s="279">
        <f>IF(Rules!B20=Rules!E20,SUM(C9:E9)*B4*F4,SUM(C9:E9)*B4*F4*POWER(O2,A9-1))</f>
        <v>2.4575524376552833</v>
      </c>
      <c r="T9" s="261">
        <f>IF(Rules!B20=Rules!E20,SUM(C9:E9)*D4*H4,SUM(C9:E9)*D4*H4*POWER(O2,A9-1))</f>
        <v>-4.012937064463495</v>
      </c>
      <c r="U9" s="275">
        <f t="shared" ref="U9:U16" si="0">S9+T9+U8</f>
        <v>-3.1118177482245089</v>
      </c>
      <c r="V9" s="93">
        <f>(U9+W9*F9)/B9</f>
        <v>-3.1488653367102208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0.80120850432352975</v>
      </c>
      <c r="C10" s="97">
        <f>1/(1-D4*B4/(1-D4*B4/(1-D4*B4)))</f>
        <v>1.5999963377184818</v>
      </c>
      <c r="D10" s="130">
        <f>C10*D4*C9</f>
        <v>1.1981799217228795</v>
      </c>
      <c r="E10" s="1">
        <f>D10*D4*C8</f>
        <v>0.79757750347140766</v>
      </c>
      <c r="F10" s="1">
        <f>E10*D4</f>
        <v>0.39818541514347922</v>
      </c>
      <c r="G10" s="1">
        <f>F10*D4</f>
        <v>0.1987914956764685</v>
      </c>
      <c r="H10" s="1"/>
      <c r="I10" s="1"/>
      <c r="J10" s="1"/>
      <c r="K10" s="1"/>
      <c r="L10" s="1"/>
      <c r="M10" s="242"/>
      <c r="N10" s="97">
        <f>B10+G10</f>
        <v>0.99999999999999822</v>
      </c>
      <c r="R10" s="278">
        <f>B10-G10</f>
        <v>0.60241700864706127</v>
      </c>
      <c r="S10" s="279">
        <f>IF(Rules!B20=Rules!E20,SUM(C10:F10)*B4*F4,SUM(C10:F10)*B4*F4*POWER(O2,A10-1))</f>
        <v>3.2750799397453494</v>
      </c>
      <c r="T10" s="261">
        <f>IF(Rules!B20=Rules!E20,SUM(C10:F10)*D4*H4,SUM(C10:F10)*D4*H4*POWER(O2,A10-1))</f>
        <v>-5.347877619174727</v>
      </c>
      <c r="U10" s="275">
        <f t="shared" si="0"/>
        <v>-5.1846154276538865</v>
      </c>
      <c r="V10" s="93">
        <f>(U10+W10*G10)/B10</f>
        <v>-5.4785357634890293</v>
      </c>
      <c r="W10" s="9">
        <f t="shared" si="1"/>
        <v>4</v>
      </c>
    </row>
    <row r="11" spans="1:23" x14ac:dyDescent="0.2">
      <c r="A11" s="98">
        <v>5</v>
      </c>
      <c r="B11" s="97">
        <f>C11*B4</f>
        <v>0.83459155523441897</v>
      </c>
      <c r="C11" s="97">
        <f>1/(1-D4*B4/(1-D4*B4/(1-D4*B4/(1-D4*B4))))</f>
        <v>1.6666615801754243</v>
      </c>
      <c r="D11" s="130">
        <f>C11*D4*C10</f>
        <v>1.3313089926309334</v>
      </c>
      <c r="E11" s="1">
        <f>D11*D4*C9</f>
        <v>0.99696959735176738</v>
      </c>
      <c r="F11" s="1">
        <f>E11*D4*C8</f>
        <v>0.66364033320583848</v>
      </c>
      <c r="G11" s="1">
        <f>F11*D4</f>
        <v>0.33131814830957906</v>
      </c>
      <c r="H11" s="1">
        <f>G11*D4</f>
        <v>0.16540844476557878</v>
      </c>
      <c r="I11" s="1"/>
      <c r="J11" s="1"/>
      <c r="K11" s="1"/>
      <c r="L11" s="1"/>
      <c r="M11" s="242"/>
      <c r="N11" s="97">
        <f>B11+H11</f>
        <v>0.99999999999999778</v>
      </c>
      <c r="R11" s="278">
        <f>B11-H11</f>
        <v>0.66918311046884016</v>
      </c>
      <c r="S11" s="279">
        <f>IF(Rules!B20=Rules!E20,SUM(C11:G11)*B4*F4,SUM(C11:G11)*B4*F4*POWER(O2,A11-1))</f>
        <v>4.0917791300496935</v>
      </c>
      <c r="T11" s="261">
        <f>IF(Rules!B20=Rules!E20,SUM(C11:G11)*D4*H4,SUM(C11:G11)*D4*H4*POWER(O2,A11-1))</f>
        <v>-6.6814656236758694</v>
      </c>
      <c r="U11" s="275">
        <f t="shared" si="0"/>
        <v>-7.7743019212800624</v>
      </c>
      <c r="V11" s="93">
        <f>(U11+W11*H11)/B11</f>
        <v>-8.3241432936627682</v>
      </c>
      <c r="W11" s="9">
        <f t="shared" si="1"/>
        <v>5</v>
      </c>
    </row>
    <row r="12" spans="1:23" x14ac:dyDescent="0.2">
      <c r="A12" s="98">
        <v>6</v>
      </c>
      <c r="B12" s="97">
        <f>C12*B4</f>
        <v>0.85843637328224931</v>
      </c>
      <c r="C12" s="97">
        <f>1/(1-D4*B4/(1-D4*B4/(1-D4*B4/(1-D4*B4/(1-D4*B4)))))</f>
        <v>1.7142791745272268</v>
      </c>
      <c r="D12" s="130">
        <f>C12*D4*C11</f>
        <v>1.4264003155047145</v>
      </c>
      <c r="E12" s="1">
        <f>D12*D4*C10</f>
        <v>1.139391217575886</v>
      </c>
      <c r="F12" s="1">
        <f>E12*D4*C9</f>
        <v>0.8532492529536132</v>
      </c>
      <c r="G12" s="1">
        <f>F12*D4*C8</f>
        <v>0.56797180179003459</v>
      </c>
      <c r="H12" s="1">
        <f>G12*D4</f>
        <v>0.2835562521525688</v>
      </c>
      <c r="I12" s="1">
        <f>H12*D4</f>
        <v>0.14156362671774794</v>
      </c>
      <c r="J12" s="1"/>
      <c r="K12" s="1"/>
      <c r="L12" s="1"/>
      <c r="M12" s="242"/>
      <c r="N12" s="97">
        <f>B12+I12</f>
        <v>0.99999999999999722</v>
      </c>
      <c r="R12" s="278">
        <f>B12-I12</f>
        <v>0.7168727465645014</v>
      </c>
      <c r="S12" s="279">
        <f>IF(Rules!B20=Rules!E20,SUM(C12:H12)*B4*F4,SUM(C12:H12)*B4*F4*POWER(O2,A12-1))</f>
        <v>4.9076500169104298</v>
      </c>
      <c r="T12" s="261">
        <f>IF(Rules!B20=Rules!E20,SUM(C12:H12)*D4*H4,SUM(C12:H12)*D4*H4*POWER(O2,A12-1))</f>
        <v>-8.0137010915887608</v>
      </c>
      <c r="U12" s="275">
        <f t="shared" si="0"/>
        <v>-10.880352995958393</v>
      </c>
      <c r="V12" s="93">
        <f>(U12+W12*I12)/B12</f>
        <v>-11.685165666149816</v>
      </c>
      <c r="W12" s="9">
        <f t="shared" si="1"/>
        <v>6</v>
      </c>
    </row>
    <row r="13" spans="1:23" x14ac:dyDescent="0.2">
      <c r="A13" s="98">
        <v>7</v>
      </c>
      <c r="B13" s="97">
        <f>C13*B4</f>
        <v>0.87631979579294161</v>
      </c>
      <c r="C13" s="97">
        <f>1/(1-D4*B4/(1-D4*B4/(1-D4*B4/(1-D4*B4/(1-D4*B4/(1-D4*B4))))))</f>
        <v>1.749991988817857</v>
      </c>
      <c r="D13" s="130">
        <f>C13*D4*C12</f>
        <v>1.4977180458661425</v>
      </c>
      <c r="E13" s="1">
        <f>D13*D4*C11</f>
        <v>1.246206291778434</v>
      </c>
      <c r="F13" s="1">
        <f>E13*D4*C10</f>
        <v>0.99545442377285198</v>
      </c>
      <c r="G13" s="1">
        <f>F13*D4*C9</f>
        <v>0.74546014602485322</v>
      </c>
      <c r="H13" s="1">
        <f>G13*D4*C8</f>
        <v>0.49622116964621149</v>
      </c>
      <c r="I13" s="1">
        <f>H13*D4</f>
        <v>0.2477352126640604</v>
      </c>
      <c r="J13" s="1">
        <f>I13*D4</f>
        <v>0.12368020420705522</v>
      </c>
      <c r="K13" s="1"/>
      <c r="L13" s="1"/>
      <c r="M13" s="242"/>
      <c r="N13" s="97">
        <f>B13+J13</f>
        <v>0.99999999999999689</v>
      </c>
      <c r="R13" s="278">
        <f>B13-J13</f>
        <v>0.75263959158588634</v>
      </c>
      <c r="S13" s="279">
        <f>IF(Rules!B20=Rules!E20,SUM(C13:I13)*B4*F4,SUM(C13:I13)*B4*F4*POWER(O2,A13-1))</f>
        <v>5.7226926101862876</v>
      </c>
      <c r="T13" s="261">
        <f>IF(Rules!B20=Rules!E20,SUM(C13:I13)*D4*H4,SUM(C13:I13)*D4*H4*POWER(O2,A13-1))</f>
        <v>-9.3445840390117176</v>
      </c>
      <c r="U13" s="275">
        <f t="shared" si="0"/>
        <v>-14.502244424783823</v>
      </c>
      <c r="V13" s="93">
        <f>(U13+W13*J13)/B13</f>
        <v>-15.561080624676986</v>
      </c>
      <c r="W13" s="9">
        <f t="shared" si="1"/>
        <v>7</v>
      </c>
    </row>
    <row r="14" spans="1:23" x14ac:dyDescent="0.2">
      <c r="A14" s="98">
        <v>8</v>
      </c>
      <c r="B14" s="97">
        <f>C14*B4</f>
        <v>0.89022895461454044</v>
      </c>
      <c r="C14" s="97">
        <f>1/(1-D4*B4/(1-D4*B4/(1-D4*B4/(1-D4*B4/(1-D4*B4/(1-D4*B4/(1-D4*B4)))))))</f>
        <v>1.7777682830723629</v>
      </c>
      <c r="D14" s="130">
        <f>C14*D4*C13</f>
        <v>1.5531867145619687</v>
      </c>
      <c r="E14" s="1">
        <f>D14*D4*C12</f>
        <v>1.3292836686471972</v>
      </c>
      <c r="F14" s="1">
        <f>E14*D4*C11</f>
        <v>1.1060570953249436</v>
      </c>
      <c r="G14" s="1">
        <f>F14*D4*C10</f>
        <v>0.88350495078572489</v>
      </c>
      <c r="H14" s="1">
        <f>G14*D4*C9</f>
        <v>0.66162519739496795</v>
      </c>
      <c r="I14" s="1">
        <f>H14*D4*C8</f>
        <v>0.44041580367435346</v>
      </c>
      <c r="J14" s="1">
        <f>I14*D4</f>
        <v>0.21987474428321585</v>
      </c>
      <c r="K14" s="1">
        <f>J14*D4</f>
        <v>0.10977104538545607</v>
      </c>
      <c r="L14" s="1"/>
      <c r="M14" s="242"/>
      <c r="N14" s="97">
        <f>B14+K14</f>
        <v>0.99999999999999645</v>
      </c>
      <c r="R14" s="278">
        <f>B14-K14</f>
        <v>0.78045790922908442</v>
      </c>
      <c r="S14" s="279">
        <f>IF(Rules!B20=Rules!E20,SUM(C14:J14)*B4*F4,SUM(C14:J14)*B4*F4*POWER(O2,A14-1))</f>
        <v>6.536906921252557</v>
      </c>
      <c r="T14" s="261">
        <f>IF(Rules!B20=Rules!E20,SUM(C14:J14)*D4*H4,SUM(C14:J14)*D4*H4*POWER(O2,A14-1))</f>
        <v>-10.674114484519448</v>
      </c>
      <c r="U14" s="275">
        <f t="shared" si="0"/>
        <v>-18.639451988050716</v>
      </c>
      <c r="V14" s="93">
        <f>(U14+W14*K14)/B14</f>
        <v>-19.951365918734368</v>
      </c>
      <c r="W14" s="9">
        <f t="shared" si="1"/>
        <v>8</v>
      </c>
    </row>
    <row r="15" spans="1:23" x14ac:dyDescent="0.2">
      <c r="A15" s="98">
        <v>9</v>
      </c>
      <c r="B15" s="97">
        <f>C15*B4</f>
        <v>0.90135612885615213</v>
      </c>
      <c r="C15" s="97">
        <f>1/(1-D4*B4/(1-D4*B4/(1-D4*B4/(1-D4*B4/(1-D4*B4/(1-D4*B4/(1-D4*B4/(1-D4*B4))))))))</f>
        <v>1.7999890133063308</v>
      </c>
      <c r="D15" s="130">
        <f>C15*D4*C14</f>
        <v>1.5975610401013578</v>
      </c>
      <c r="E15" s="1">
        <f>D15*D4*C13</f>
        <v>1.3957446573965169</v>
      </c>
      <c r="F15" s="1">
        <f>E15*D4*C12</f>
        <v>1.1945380174089453</v>
      </c>
      <c r="G15" s="1">
        <f>F15*D4*C11</f>
        <v>0.99393927793843939</v>
      </c>
      <c r="H15" s="1">
        <f>G15*D4*C10</f>
        <v>0.79394660235058845</v>
      </c>
      <c r="I15" s="1">
        <f>H15*D4*C9</f>
        <v>0.59455815955995839</v>
      </c>
      <c r="J15" s="1">
        <f>I15*D4*C8</f>
        <v>0.39577212401332745</v>
      </c>
      <c r="K15" s="1">
        <f>J15*D4</f>
        <v>0.1975866756729715</v>
      </c>
      <c r="L15" s="1">
        <f>K15*D4</f>
        <v>9.8643871143843764E-2</v>
      </c>
      <c r="M15" s="242"/>
      <c r="N15" s="97">
        <f>B15+L15</f>
        <v>0.99999999999999589</v>
      </c>
      <c r="R15" s="278">
        <f>B15-L15</f>
        <v>0.80271225771230836</v>
      </c>
      <c r="S15" s="279">
        <f>IF(Rules!B20=Rules!E20,SUM(C15:K15)*B4*F4,SUM(C15:K15)*B4*F4*POWER(O2,A15-1))</f>
        <v>7.3502929630009941</v>
      </c>
      <c r="T15" s="261">
        <f>IF(Rules!B20=Rules!E20,SUM(C15:K15)*D4*H4,SUM(C15:K15)*D4*H4*POWER(O2,A15-1))</f>
        <v>-12.002292449162903</v>
      </c>
      <c r="U15" s="275">
        <f t="shared" si="0"/>
        <v>-23.291451474212625</v>
      </c>
      <c r="V15" s="93">
        <f>(U15+W15*L15)/B15</f>
        <v>-24.855499304530099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0.91046004158746285</v>
      </c>
      <c r="C16" s="131">
        <f>1/(1-D4*B4/(1-D4*B4/(1-D4*B4/(1-D4*B4/(1-D4*B4/(1-D4*B4/(1-D4*B4/(1-D4*B4/(1-D4*B4)))))))))</f>
        <v>1.8181693333483706</v>
      </c>
      <c r="D16" s="139">
        <f>C16*D4*C15</f>
        <v>1.6338667524457033</v>
      </c>
      <c r="E16" s="110">
        <f>D16*D4*C14</f>
        <v>1.4501210002552214</v>
      </c>
      <c r="F16" s="110">
        <f>E16*D4*C13</f>
        <v>1.2669303944444621</v>
      </c>
      <c r="G16" s="110">
        <f>F16*D4*C12</f>
        <v>1.0842932577637516</v>
      </c>
      <c r="H16" s="110">
        <f>G16*D4*C11</f>
        <v>0.90220791803084799</v>
      </c>
      <c r="I16" s="110">
        <f>H16*D4*C10</f>
        <v>0.72067270811563089</v>
      </c>
      <c r="J16" s="110">
        <f>I16*D4*C9</f>
        <v>0.53968596592483808</v>
      </c>
      <c r="K16" s="110">
        <f>J16*D4*C8</f>
        <v>0.35924603438684727</v>
      </c>
      <c r="L16" s="110">
        <f>K16*D4</f>
        <v>0.17935126143650498</v>
      </c>
      <c r="M16" s="244">
        <f>L16*D4</f>
        <v>8.9539958412532594E-2</v>
      </c>
      <c r="N16" s="131">
        <f>B16+M16</f>
        <v>0.99999999999999545</v>
      </c>
      <c r="R16" s="280">
        <f>B16-M16</f>
        <v>0.82092008317493026</v>
      </c>
      <c r="S16" s="281">
        <f>IF(Rules!B20=Rules!E20,SUM(C16:L16)*B4*F4,SUM(C16:L16)*B4*F4*POWER(O2,A16-1))</f>
        <v>8.162850749839766</v>
      </c>
      <c r="T16" s="262">
        <f>IF(Rules!B20=Rules!E20,SUM(C16:L16)*D4*H4,SUM(C16:L16)*D4*H4*POWER(O2,A16-1))</f>
        <v>-13.329117956469176</v>
      </c>
      <c r="U16" s="275">
        <f t="shared" si="0"/>
        <v>-28.457718680842035</v>
      </c>
      <c r="V16" s="94">
        <f>(U16+W16*M16)/B16</f>
        <v>-30.272958545945094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9</v>
      </c>
      <c r="D21" s="57">
        <f>SUM($C$21:C21)</f>
        <v>9</v>
      </c>
      <c r="E21" s="57">
        <f t="shared" ref="E21:E30" si="3">D21/R7</f>
        <v>5948.7503524171261</v>
      </c>
      <c r="F21" s="8">
        <f t="shared" ref="F21:F30" si="4">U7/E21</f>
        <v>-8.7242825673892839E-5</v>
      </c>
      <c r="G21" s="265">
        <f>E21*U7</f>
        <v>-3087.3169010039574</v>
      </c>
      <c r="O21" s="100">
        <v>1</v>
      </c>
      <c r="P21" s="108">
        <v>1</v>
      </c>
      <c r="Q21" s="109">
        <f>P21*9+36</f>
        <v>45</v>
      </c>
      <c r="R21" s="57">
        <f>SUM($Q$21)</f>
        <v>45</v>
      </c>
      <c r="S21" s="260">
        <f>R21/R7</f>
        <v>29743.751762085631</v>
      </c>
      <c r="T21" s="8">
        <f>U7/S21</f>
        <v>-1.7448565134778566E-5</v>
      </c>
      <c r="U21" s="265">
        <f>S21*U7</f>
        <v>-15436.584505019788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268.37668747038981</v>
      </c>
      <c r="F22" s="9">
        <f t="shared" si="4"/>
        <v>-5.7994348767272099E-3</v>
      </c>
      <c r="G22" s="266">
        <f t="shared" ref="G22:G30" si="5">E22*U8</f>
        <v>-417.7103653949049</v>
      </c>
      <c r="O22" s="98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61">
        <f t="shared" ref="S22:S30" si="7">R22/R8</f>
        <v>1449.2341123401052</v>
      </c>
      <c r="T22" s="9">
        <f>U8/S22</f>
        <v>-1.0739694216161499E-3</v>
      </c>
      <c r="U22" s="266">
        <f t="shared" ref="U22:U30" si="8">S22*U8</f>
        <v>-2255.6359731324865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1630.6065306209794</v>
      </c>
      <c r="F23" s="9">
        <f t="shared" si="4"/>
        <v>-1.9083805257663503E-3</v>
      </c>
      <c r="G23" s="266">
        <f t="shared" si="5"/>
        <v>-5074.1503423571548</v>
      </c>
      <c r="O23" s="98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61">
        <f t="shared" si="7"/>
        <v>8941.4577887897667</v>
      </c>
      <c r="T23" s="9">
        <f t="shared" ref="T23:T30" si="11">U9/S23</f>
        <v>-3.4802129828604783E-4</v>
      </c>
      <c r="U23" s="266">
        <f t="shared" si="8"/>
        <v>-27824.187042156267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12250.650121208197</v>
      </c>
      <c r="F24" s="9">
        <f t="shared" si="4"/>
        <v>-4.2321145215618678E-4</v>
      </c>
      <c r="G24" s="266">
        <f t="shared" si="5"/>
        <v>-63514.909617205973</v>
      </c>
      <c r="O24" s="98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61">
        <f t="shared" si="7"/>
        <v>67348.696032203108</v>
      </c>
      <c r="T24" s="9">
        <f t="shared" si="11"/>
        <v>-7.6981674970734958E-5</v>
      </c>
      <c r="U24" s="266">
        <f t="shared" si="8"/>
        <v>-349177.08848093235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99268.793489809992</v>
      </c>
      <c r="F25" s="9">
        <f t="shared" si="4"/>
        <v>-7.83156684792195E-5</v>
      </c>
      <c r="G25" s="266">
        <f t="shared" si="5"/>
        <v>-771745.57195098361</v>
      </c>
      <c r="O25" s="98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61">
        <f t="shared" si="7"/>
        <v>545944.74110985734</v>
      </c>
      <c r="T25" s="9">
        <f t="shared" si="11"/>
        <v>-1.4240089400761687E-5</v>
      </c>
      <c r="U25" s="266">
        <f t="shared" si="8"/>
        <v>-4244339.2497231103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833997.39056226762</v>
      </c>
      <c r="F26" s="9">
        <f t="shared" si="4"/>
        <v>-1.3046027624406636E-5</v>
      </c>
      <c r="G26" s="266">
        <f t="shared" si="5"/>
        <v>-9074186.0070256516</v>
      </c>
      <c r="O26" s="98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61">
        <f t="shared" si="7"/>
        <v>4586947.9845041586</v>
      </c>
      <c r="T26" s="9">
        <f t="shared" si="11"/>
        <v>-2.3720244992345476E-6</v>
      </c>
      <c r="U26" s="266">
        <f t="shared" si="8"/>
        <v>-49907613.245505139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7149290.3909851965</v>
      </c>
      <c r="F27" s="9">
        <f t="shared" si="4"/>
        <v>-2.0284872528146624E-6</v>
      </c>
      <c r="G27" s="266">
        <f t="shared" si="5"/>
        <v>-103680756.71382563</v>
      </c>
      <c r="O27" s="98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61">
        <f t="shared" si="7"/>
        <v>39321055.297717296</v>
      </c>
      <c r="T27" s="9">
        <f t="shared" si="11"/>
        <v>-3.6881625670981728E-7</v>
      </c>
      <c r="U27" s="266">
        <f t="shared" si="8"/>
        <v>-570243554.96793711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62050188.008006036</v>
      </c>
      <c r="F28" s="9">
        <f t="shared" si="4"/>
        <v>-3.0039315893202061E-7</v>
      </c>
      <c r="G28" s="266">
        <f t="shared" si="5"/>
        <v>-1156581500.2247488</v>
      </c>
      <c r="O28" s="98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61">
        <f t="shared" si="7"/>
        <v>341275987.91726637</v>
      </c>
      <c r="T28" s="9">
        <f t="shared" si="11"/>
        <v>-5.4616945369650132E-8</v>
      </c>
      <c r="U28" s="266">
        <f t="shared" si="8"/>
        <v>-6361197391.4584627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542969220.67958212</v>
      </c>
      <c r="F29" s="9">
        <f t="shared" si="4"/>
        <v>-4.2896448982984647E-8</v>
      </c>
      <c r="G29" s="266">
        <f t="shared" si="5"/>
        <v>-12646541255.449533</v>
      </c>
      <c r="O29" s="98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61">
        <f t="shared" si="7"/>
        <v>2986330663.2837572</v>
      </c>
      <c r="T29" s="9">
        <f t="shared" si="11"/>
        <v>-7.7993544923124611E-9</v>
      </c>
      <c r="U29" s="266">
        <f t="shared" si="8"/>
        <v>-69555975729.826828</v>
      </c>
    </row>
    <row r="30" spans="1:21" ht="17" thickBot="1" x14ac:dyDescent="0.25">
      <c r="A30" s="131">
        <v>10</v>
      </c>
      <c r="B30" s="94">
        <f t="shared" si="9"/>
        <v>387420489</v>
      </c>
      <c r="C30" s="110">
        <f t="shared" si="2"/>
        <v>3486784401</v>
      </c>
      <c r="D30" s="10">
        <f>SUM($C$21:C30)</f>
        <v>3922632450</v>
      </c>
      <c r="E30" s="10">
        <f t="shared" si="3"/>
        <v>4778336564.5400152</v>
      </c>
      <c r="F30" s="10">
        <f t="shared" si="4"/>
        <v>-5.9555701647360845E-9</v>
      </c>
      <c r="G30" s="267">
        <f t="shared" si="5"/>
        <v>-135980557716.06094</v>
      </c>
      <c r="O30" s="99">
        <v>10</v>
      </c>
      <c r="P30" s="94">
        <f t="shared" si="10"/>
        <v>2130812685</v>
      </c>
      <c r="Q30" s="110">
        <f t="shared" si="6"/>
        <v>19177314201</v>
      </c>
      <c r="R30" s="10">
        <f>SUM($Q$21:Q30)</f>
        <v>21574478430</v>
      </c>
      <c r="S30" s="262">
        <f t="shared" si="7"/>
        <v>26280851050.153542</v>
      </c>
      <c r="T30" s="10">
        <f t="shared" si="11"/>
        <v>-1.0828309413014909E-9</v>
      </c>
      <c r="U30" s="267">
        <f t="shared" si="8"/>
        <v>-747893065878.38147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9</v>
      </c>
      <c r="D33" s="57">
        <f>SUM($C$33:C33)</f>
        <v>9</v>
      </c>
      <c r="E33" s="9">
        <f t="shared" ref="E33:E42" si="13">D33/R7</f>
        <v>5948.7503524171261</v>
      </c>
      <c r="F33" s="8">
        <f t="shared" ref="F33:F42" si="14">U7/E33</f>
        <v>-8.7242825673892839E-5</v>
      </c>
      <c r="G33" s="268">
        <f>E33*U7</f>
        <v>-3087.3169010039574</v>
      </c>
      <c r="O33" s="100">
        <v>1</v>
      </c>
      <c r="P33" s="108">
        <v>1</v>
      </c>
      <c r="Q33" s="109">
        <f>P33*9+36</f>
        <v>45</v>
      </c>
      <c r="R33" s="57">
        <f>SUM($Q$21)</f>
        <v>45</v>
      </c>
      <c r="S33" s="260">
        <f>R33/R7</f>
        <v>29743.751762085631</v>
      </c>
      <c r="T33" s="8">
        <f>U7/S33</f>
        <v>-1.7448565134778566E-5</v>
      </c>
      <c r="U33" s="268">
        <f>S33*U7</f>
        <v>-15436.584505019788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295.21435621742881</v>
      </c>
      <c r="F34" s="9">
        <f t="shared" si="14"/>
        <v>-5.2722135242974635E-3</v>
      </c>
      <c r="G34" s="266">
        <f t="shared" ref="G34:G42" si="16">E34*U8</f>
        <v>-459.48140193439542</v>
      </c>
      <c r="O34" s="98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61">
        <f>R34/R8</f>
        <v>1476.071781087144</v>
      </c>
      <c r="T34" s="9">
        <f t="shared" ref="T34:T42" si="18">U8/S34</f>
        <v>-1.0544427048594927E-3</v>
      </c>
      <c r="U34" s="266">
        <f t="shared" ref="U34:U42" si="19">S34*U8</f>
        <v>-2297.407009671977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1988.9815922959199</v>
      </c>
      <c r="F35" s="9">
        <f t="shared" si="14"/>
        <v>-1.5645281787814223E-3</v>
      </c>
      <c r="G35" s="266">
        <f t="shared" si="16"/>
        <v>-6189.3482197982876</v>
      </c>
      <c r="O35" s="98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61">
        <f t="shared" ref="S35:S42" si="21">R35/R9</f>
        <v>9138.564072710984</v>
      </c>
      <c r="T35" s="9">
        <f t="shared" si="18"/>
        <v>-3.4051495655830954E-4</v>
      </c>
      <c r="U35" s="266">
        <f t="shared" si="19"/>
        <v>-28437.545874748892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16598.136932515008</v>
      </c>
      <c r="F36" s="9">
        <f t="shared" si="14"/>
        <v>-3.1236128782004784E-4</v>
      </c>
      <c r="G36" s="266">
        <f t="shared" si="16"/>
        <v>-86054.956810629068</v>
      </c>
      <c r="O36" s="98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61">
        <f t="shared" si="21"/>
        <v>68872.557388743633</v>
      </c>
      <c r="T36" s="9">
        <f t="shared" si="18"/>
        <v>-7.5278392791339093E-5</v>
      </c>
      <c r="U36" s="266">
        <f t="shared" si="19"/>
        <v>-357077.7235796579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149434.43496345737</v>
      </c>
      <c r="F37" s="9">
        <f t="shared" si="14"/>
        <v>-5.2024835662417345E-5</v>
      </c>
      <c r="G37" s="266">
        <f t="shared" si="16"/>
        <v>-1161748.4148418072</v>
      </c>
      <c r="O37" s="98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61">
        <f t="shared" si="21"/>
        <v>558344.93452505919</v>
      </c>
      <c r="T37" s="9">
        <f t="shared" si="18"/>
        <v>-1.3923833531136195E-5</v>
      </c>
      <c r="U37" s="266">
        <f t="shared" si="19"/>
        <v>-4340742.0972151579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1394946.3203788067</v>
      </c>
      <c r="F38" s="9">
        <f t="shared" si="14"/>
        <v>-7.7998363356403303E-6</v>
      </c>
      <c r="G38" s="266">
        <f t="shared" si="16"/>
        <v>-15177508.376134686</v>
      </c>
      <c r="O38" s="98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61">
        <f t="shared" si="21"/>
        <v>4691188.2424273631</v>
      </c>
      <c r="T38" s="9">
        <f t="shared" si="18"/>
        <v>-2.3193170756943593E-6</v>
      </c>
      <c r="U38" s="266">
        <f t="shared" si="19"/>
        <v>-51041784.048099346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13286570.507045755</v>
      </c>
      <c r="F39" s="9">
        <f t="shared" si="14"/>
        <v>-1.0914964412444435E-6</v>
      </c>
      <c r="G39" s="266">
        <f t="shared" si="16"/>
        <v>-192685093.06030148</v>
      </c>
      <c r="O39" s="98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61">
        <f t="shared" si="21"/>
        <v>40214706.133415125</v>
      </c>
      <c r="T39" s="9">
        <f t="shared" si="18"/>
        <v>-3.6062042519151088E-7</v>
      </c>
      <c r="U39" s="266">
        <f t="shared" si="19"/>
        <v>-583203497.81763935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128129906.58109589</v>
      </c>
      <c r="F40" s="9">
        <f t="shared" si="14"/>
        <v>-1.4547307873243041E-7</v>
      </c>
      <c r="G40" s="266">
        <f t="shared" si="16"/>
        <v>-2388271241.9517603</v>
      </c>
      <c r="O40" s="98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61">
        <f t="shared" si="21"/>
        <v>349032249.88657546</v>
      </c>
      <c r="T40" s="9">
        <f t="shared" si="18"/>
        <v>-5.3403237076539358E-8</v>
      </c>
      <c r="U40" s="266">
        <f t="shared" si="19"/>
        <v>-6505769864.0421429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1245776415.3869436</v>
      </c>
      <c r="F41" s="9">
        <f t="shared" si="14"/>
        <v>-1.8696333616958223E-8</v>
      </c>
      <c r="G41" s="266">
        <f t="shared" si="16"/>
        <v>-29015940926.703548</v>
      </c>
      <c r="O41" s="98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61">
        <f t="shared" si="21"/>
        <v>3054201803.2552185</v>
      </c>
      <c r="T41" s="9">
        <f t="shared" si="18"/>
        <v>-7.6260355322258711E-9</v>
      </c>
      <c r="U41" s="266">
        <f t="shared" si="19"/>
        <v>-71136793092.971619</v>
      </c>
    </row>
    <row r="42" spans="1:21" ht="17" thickBot="1" x14ac:dyDescent="0.25">
      <c r="A42" s="131">
        <v>10</v>
      </c>
      <c r="B42" s="94">
        <f t="shared" si="15"/>
        <v>1000000000</v>
      </c>
      <c r="C42" s="110">
        <f t="shared" si="12"/>
        <v>9000000000</v>
      </c>
      <c r="D42" s="10">
        <f>SUM($C$33:C42)</f>
        <v>9999999999</v>
      </c>
      <c r="E42" s="9">
        <f t="shared" si="13"/>
        <v>12181453717.5467</v>
      </c>
      <c r="F42" s="10">
        <f t="shared" si="14"/>
        <v>-2.336151278878176E-9</v>
      </c>
      <c r="G42" s="267">
        <f t="shared" si="16"/>
        <v>-346656383017.64136</v>
      </c>
      <c r="O42" s="99">
        <v>10</v>
      </c>
      <c r="P42" s="94">
        <f t="shared" si="20"/>
        <v>2179240246</v>
      </c>
      <c r="Q42" s="110">
        <f t="shared" si="17"/>
        <v>19613162250</v>
      </c>
      <c r="R42" s="10">
        <f>SUM($Q$33:Q42)</f>
        <v>22064807475</v>
      </c>
      <c r="S42" s="262">
        <f t="shared" si="21"/>
        <v>26878143107.016911</v>
      </c>
      <c r="T42" s="10">
        <f t="shared" si="18"/>
        <v>-1.0587680319855411E-9</v>
      </c>
      <c r="U42" s="267">
        <f t="shared" si="19"/>
        <v>-764890635202.90076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9</v>
      </c>
      <c r="D45" s="57">
        <f>SUM(C45:C45)</f>
        <v>9</v>
      </c>
      <c r="E45" s="57">
        <f t="shared" ref="E45:E54" si="23">D45/R7</f>
        <v>5948.7503524171261</v>
      </c>
      <c r="F45" s="8">
        <f t="shared" ref="F45:F54" si="24">U7/E45</f>
        <v>-8.7242825673892839E-5</v>
      </c>
      <c r="G45" s="265">
        <f>E45*U7</f>
        <v>-3087.3169010039574</v>
      </c>
      <c r="O45" s="100">
        <v>1</v>
      </c>
      <c r="P45" s="108">
        <v>1</v>
      </c>
      <c r="Q45" s="109">
        <f>P45*9+36</f>
        <v>45</v>
      </c>
      <c r="R45" s="57">
        <f>SUM($Q$21)</f>
        <v>45</v>
      </c>
      <c r="S45" s="260">
        <f>R45/R7</f>
        <v>29743.751762085631</v>
      </c>
      <c r="T45" s="8">
        <f>U7/S45</f>
        <v>-1.7448565134778566E-5</v>
      </c>
      <c r="U45" s="268">
        <f>S45*U7</f>
        <v>-15436.584505019788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509.91570619374068</v>
      </c>
      <c r="F46" s="9">
        <f t="shared" si="24"/>
        <v>-3.0523341456459002E-3</v>
      </c>
      <c r="G46" s="266">
        <f t="shared" ref="G46:G54" si="26">E46*U8</f>
        <v>-793.64969425031927</v>
      </c>
      <c r="O46" s="98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61">
        <f t="shared" ref="S46:S54" si="28">R46/R8</f>
        <v>2656.9292059568593</v>
      </c>
      <c r="T46" s="9">
        <f t="shared" ref="T46:T54" si="29">U8/S46</f>
        <v>-5.8580150269971817E-4</v>
      </c>
      <c r="U46" s="266">
        <f t="shared" ref="U46:U54" si="30">S46*U8</f>
        <v>-4135.3326174095582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6146.13230772523</v>
      </c>
      <c r="F47" s="9">
        <f t="shared" si="24"/>
        <v>-5.063050374482154E-4</v>
      </c>
      <c r="G47" s="266">
        <f t="shared" si="26"/>
        <v>-19125.643598115428</v>
      </c>
      <c r="O47" s="98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61">
        <f t="shared" si="28"/>
        <v>32164.161785325912</v>
      </c>
      <c r="T47" s="9">
        <f t="shared" si="29"/>
        <v>-9.6747982086204935E-5</v>
      </c>
      <c r="U47" s="266">
        <f t="shared" si="30"/>
        <v>-100089.00950034168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92253.371339586112</v>
      </c>
      <c r="F48" s="9">
        <f t="shared" si="24"/>
        <v>-5.6199739395639383E-5</v>
      </c>
      <c r="G48" s="266">
        <f t="shared" si="26"/>
        <v>-478298.25230030104</v>
      </c>
      <c r="O48" s="98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61">
        <f t="shared" si="28"/>
        <v>482959.47130280163</v>
      </c>
      <c r="T48" s="9">
        <f t="shared" si="29"/>
        <v>-1.0735094217467541E-5</v>
      </c>
      <c r="U48" s="266">
        <f t="shared" si="30"/>
        <v>-2503959.1258480698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1494895.7682137745</v>
      </c>
      <c r="F49" s="9">
        <f t="shared" si="24"/>
        <v>-5.200564538736666E-6</v>
      </c>
      <c r="G49" s="266">
        <f t="shared" si="26"/>
        <v>-11621771.042937782</v>
      </c>
      <c r="O49" s="98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61">
        <f t="shared" si="28"/>
        <v>7826203.1991972448</v>
      </c>
      <c r="T49" s="9">
        <f t="shared" si="29"/>
        <v>-9.9336826854655327E-7</v>
      </c>
      <c r="U49" s="266">
        <f t="shared" si="30"/>
        <v>-60843266.567847311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25118085.582543273</v>
      </c>
      <c r="F50" s="9">
        <f t="shared" si="24"/>
        <v>-4.3316808361860551E-7</v>
      </c>
      <c r="G50" s="266">
        <f t="shared" si="26"/>
        <v>-273293637.72076404</v>
      </c>
      <c r="O50" s="98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61">
        <f t="shared" si="28"/>
        <v>131500547.97280264</v>
      </c>
      <c r="T50" s="9">
        <f t="shared" si="29"/>
        <v>-8.2739982180216489E-8</v>
      </c>
      <c r="U50" s="266">
        <f t="shared" si="30"/>
        <v>-1430772381.1060536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430639698.76611775</v>
      </c>
      <c r="F51" s="9">
        <f t="shared" si="24"/>
        <v>-3.3676050922235232E-8</v>
      </c>
      <c r="G51" s="266">
        <f t="shared" si="26"/>
        <v>-6245242170.5215158</v>
      </c>
      <c r="O51" s="98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61">
        <f t="shared" si="28"/>
        <v>2254525462.0801687</v>
      </c>
      <c r="T51" s="9">
        <f t="shared" si="29"/>
        <v>-6.4325041649355024E-9</v>
      </c>
      <c r="U51" s="266">
        <f t="shared" si="30"/>
        <v>-32695679312.985298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7475222822.4104557</v>
      </c>
      <c r="F52" s="9">
        <f t="shared" si="24"/>
        <v>-2.4934978435920724E-9</v>
      </c>
      <c r="G52" s="266">
        <f t="shared" si="26"/>
        <v>-139334056898.30066</v>
      </c>
      <c r="O52" s="98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61">
        <f t="shared" si="28"/>
        <v>39134990048.559792</v>
      </c>
      <c r="T52" s="9">
        <f t="shared" si="29"/>
        <v>-4.7628610521996711E-10</v>
      </c>
      <c r="U52" s="266">
        <f t="shared" si="30"/>
        <v>-729454768062.97278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130823643154.87614</v>
      </c>
      <c r="F53" s="9">
        <f t="shared" si="24"/>
        <v>-1.780370192461231E-10</v>
      </c>
      <c r="G53" s="266">
        <f t="shared" si="26"/>
        <v>-3047072536221.5063</v>
      </c>
      <c r="O53" s="98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61">
        <f t="shared" si="28"/>
        <v>684900249434.13794</v>
      </c>
      <c r="T53" s="9">
        <f t="shared" si="29"/>
        <v>-3.4007071093135002E-11</v>
      </c>
      <c r="U53" s="266">
        <f t="shared" si="30"/>
        <v>-15952320924371.348</v>
      </c>
    </row>
    <row r="54" spans="1:21" ht="17" thickBot="1" x14ac:dyDescent="0.25">
      <c r="A54" s="131">
        <v>10</v>
      </c>
      <c r="B54" s="94">
        <f t="shared" si="25"/>
        <v>198359290368</v>
      </c>
      <c r="C54" s="110">
        <f t="shared" si="22"/>
        <v>1785233613312</v>
      </c>
      <c r="D54" s="10">
        <f>SUM($C$45:C54)</f>
        <v>1890247355271</v>
      </c>
      <c r="E54" s="10">
        <f t="shared" si="23"/>
        <v>2302596067525.1338</v>
      </c>
      <c r="F54" s="10">
        <f t="shared" si="24"/>
        <v>-1.2358971285584117E-11</v>
      </c>
      <c r="G54" s="267">
        <f t="shared" si="26"/>
        <v>-65526631125243.406</v>
      </c>
      <c r="O54" s="99">
        <v>10</v>
      </c>
      <c r="P54" s="94">
        <f t="shared" si="31"/>
        <v>1038469226040</v>
      </c>
      <c r="Q54" s="110">
        <f t="shared" si="27"/>
        <v>9346223034396</v>
      </c>
      <c r="R54" s="10">
        <f>SUM($Q$45:Q54)</f>
        <v>9896000859927</v>
      </c>
      <c r="S54" s="262">
        <f t="shared" si="28"/>
        <v>12054767647605.785</v>
      </c>
      <c r="T54" s="10">
        <f t="shared" si="29"/>
        <v>-2.3607023803975239E-12</v>
      </c>
      <c r="U54" s="267">
        <f t="shared" si="30"/>
        <v>-343051186478481.38</v>
      </c>
    </row>
  </sheetData>
  <mergeCells count="2">
    <mergeCell ref="A18:F18"/>
    <mergeCell ref="O18:T18"/>
  </mergeCells>
  <conditionalFormatting sqref="F45:F54">
    <cfRule type="cellIs" dxfId="559" priority="67" operator="equal">
      <formula>MAX($F$45:$F$54)</formula>
    </cfRule>
  </conditionalFormatting>
  <conditionalFormatting sqref="F21:F30">
    <cfRule type="cellIs" dxfId="558" priority="65" operator="equal">
      <formula>MAX($F$21:$F$30)</formula>
    </cfRule>
  </conditionalFormatting>
  <conditionalFormatting sqref="F33:F42">
    <cfRule type="cellIs" dxfId="557" priority="46" operator="lessThanOrEqual">
      <formula>0</formula>
    </cfRule>
    <cfRule type="cellIs" dxfId="556" priority="63" operator="equal">
      <formula>MAX($F$33:$F$42)</formula>
    </cfRule>
  </conditionalFormatting>
  <conditionalFormatting sqref="E33:E42">
    <cfRule type="cellIs" dxfId="555" priority="61" stopIfTrue="1" operator="lessThan">
      <formula>0</formula>
    </cfRule>
    <cfRule type="cellIs" dxfId="554" priority="62" operator="equal">
      <formula>MIN($E$33:$E$42)</formula>
    </cfRule>
  </conditionalFormatting>
  <conditionalFormatting sqref="E21:E30">
    <cfRule type="cellIs" dxfId="553" priority="57" stopIfTrue="1" operator="lessThan">
      <formula>0</formula>
    </cfRule>
    <cfRule type="cellIs" dxfId="552" priority="58" operator="equal">
      <formula>MIN($E$21:$E$30)</formula>
    </cfRule>
  </conditionalFormatting>
  <conditionalFormatting sqref="E45:E54">
    <cfRule type="cellIs" dxfId="551" priority="53" stopIfTrue="1" operator="lessThan">
      <formula>0</formula>
    </cfRule>
    <cfRule type="cellIs" dxfId="550" priority="54" operator="equal">
      <formula>MIN($E$45:$E$54)</formula>
    </cfRule>
  </conditionalFormatting>
  <conditionalFormatting sqref="R7:R16">
    <cfRule type="cellIs" dxfId="549" priority="31" operator="lessThanOrEqual">
      <formula>0</formula>
    </cfRule>
    <cfRule type="cellIs" dxfId="548" priority="32" operator="greaterThan">
      <formula>0</formula>
    </cfRule>
  </conditionalFormatting>
  <conditionalFormatting sqref="T21:T30">
    <cfRule type="cellIs" dxfId="547" priority="23" operator="equal">
      <formula>MAX($T$21:$T$30)</formula>
    </cfRule>
  </conditionalFormatting>
  <conditionalFormatting sqref="S33:S42">
    <cfRule type="cellIs" dxfId="546" priority="21" stopIfTrue="1" operator="lessThan">
      <formula>0</formula>
    </cfRule>
    <cfRule type="cellIs" dxfId="545" priority="22" operator="equal">
      <formula>MIN($E$21:$E$30)</formula>
    </cfRule>
  </conditionalFormatting>
  <conditionalFormatting sqref="T33:T42">
    <cfRule type="cellIs" dxfId="544" priority="20" operator="equal">
      <formula>MAX($T$21:$T$30)</formula>
    </cfRule>
  </conditionalFormatting>
  <conditionalFormatting sqref="S45:S54">
    <cfRule type="cellIs" dxfId="543" priority="18" stopIfTrue="1" operator="lessThan">
      <formula>0</formula>
    </cfRule>
    <cfRule type="cellIs" dxfId="542" priority="19" operator="equal">
      <formula>MIN($E$21:$E$30)</formula>
    </cfRule>
  </conditionalFormatting>
  <conditionalFormatting sqref="T45:T54">
    <cfRule type="cellIs" dxfId="541" priority="17" operator="equal">
      <formula>MAX($T$21:$T$30)</formula>
    </cfRule>
  </conditionalFormatting>
  <conditionalFormatting sqref="S21:S30">
    <cfRule type="cellIs" dxfId="540" priority="15" stopIfTrue="1" operator="lessThan">
      <formula>0</formula>
    </cfRule>
    <cfRule type="cellIs" dxfId="539" priority="16" operator="equal">
      <formula>MIN($E$21:$E$30)</formula>
    </cfRule>
  </conditionalFormatting>
  <conditionalFormatting sqref="U7:U16">
    <cfRule type="cellIs" dxfId="538" priority="9" operator="lessThanOrEqual">
      <formula>0</formula>
    </cfRule>
    <cfRule type="cellIs" dxfId="537" priority="10" operator="greaterThan">
      <formula>0</formula>
    </cfRule>
  </conditionalFormatting>
  <conditionalFormatting sqref="S7:T16">
    <cfRule type="cellIs" dxfId="536" priority="1" operator="lessThanOrEqual">
      <formula>0</formula>
    </cfRule>
    <cfRule type="cellIs" dxfId="535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0.99999999999999956</v>
      </c>
    </row>
    <row r="2" spans="1:23" x14ac:dyDescent="0.2">
      <c r="A2" t="s">
        <v>40</v>
      </c>
      <c r="B2" s="135" t="s">
        <v>125</v>
      </c>
      <c r="C2" s="141">
        <f>Analysis!B33</f>
        <v>0.50444506409312206</v>
      </c>
      <c r="D2" s="135" t="s">
        <v>126</v>
      </c>
      <c r="E2" s="141">
        <f>Analysis!N33</f>
        <v>0.49555493590687749</v>
      </c>
      <c r="F2" s="135" t="s">
        <v>47</v>
      </c>
      <c r="G2" s="141">
        <f>Analysis!S33</f>
        <v>1.8509267162179599</v>
      </c>
      <c r="H2" t="s">
        <v>155</v>
      </c>
      <c r="I2" s="155">
        <f>Analysis!T33</f>
        <v>-3.0315371068472543</v>
      </c>
      <c r="J2" t="s">
        <v>48</v>
      </c>
      <c r="K2" s="155">
        <f>C2*G2+E2*I2</f>
        <v>-0.5686023306887712</v>
      </c>
      <c r="L2" t="s">
        <v>47</v>
      </c>
      <c r="M2" s="162">
        <v>2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0.50444506409312206</v>
      </c>
      <c r="C4" t="s">
        <v>124</v>
      </c>
      <c r="D4">
        <f>$E$2</f>
        <v>0.49555493590687749</v>
      </c>
      <c r="E4" t="s">
        <v>47</v>
      </c>
      <c r="F4">
        <f>G2</f>
        <v>1.8509267162179599</v>
      </c>
      <c r="G4" t="s">
        <v>155</v>
      </c>
      <c r="H4">
        <f>I2</f>
        <v>-3.0315371068472543</v>
      </c>
      <c r="I4" t="s">
        <v>48</v>
      </c>
      <c r="J4">
        <f>K2</f>
        <v>-0.5686023306887712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0.50444506409312206</v>
      </c>
      <c r="C7" s="95">
        <v>1</v>
      </c>
      <c r="D7" s="22">
        <f>C7*D4</f>
        <v>0.49555493590687749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0.99999999999999956</v>
      </c>
      <c r="R7" s="276">
        <f>B7-D7</f>
        <v>8.8901281862445725E-3</v>
      </c>
      <c r="S7" s="277">
        <f>IF(Rules!B20=Rules!E20,SUM(C7)*B4*F4,SUM(C7)*B4*F4*POWER(O2,A7-1))</f>
        <v>0.93369084599424068</v>
      </c>
      <c r="T7" s="260">
        <f>IF(Rules!B20=Rules!E20,SUM(C7)*D4*H4,SUM(C7)*D4*H4*POWER(O2,A7-1))</f>
        <v>-1.5022931766830119</v>
      </c>
      <c r="U7" s="274">
        <f>S7+T7</f>
        <v>-0.5686023306887712</v>
      </c>
      <c r="V7" s="108">
        <f>(U7+W7*D7)/B7</f>
        <v>-0.14480743292278292</v>
      </c>
      <c r="W7" s="57">
        <f>COUNT(D7:M7)</f>
        <v>1</v>
      </c>
    </row>
    <row r="8" spans="1:23" x14ac:dyDescent="0.2">
      <c r="A8" s="98">
        <v>2</v>
      </c>
      <c r="B8" s="97">
        <f>C8*B4</f>
        <v>0.67257569992320021</v>
      </c>
      <c r="C8" s="97">
        <f>1/(1-B4*D4)</f>
        <v>1.3332982078679647</v>
      </c>
      <c r="D8" s="130">
        <f>C8*D4</f>
        <v>0.66072250794476384</v>
      </c>
      <c r="E8" s="1">
        <f>D8*D4</f>
        <v>0.32742430007679879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</v>
      </c>
      <c r="R8" s="278">
        <f>B8-E8</f>
        <v>0.34515139984640142</v>
      </c>
      <c r="S8" s="279">
        <f>IF(Rules!B20=Rules!E20,SUM(C8:D8)*B4*F4,SUM(C8:D8)*B4*F4*POWER(O2,A8-1))</f>
        <v>1.8617988890772279</v>
      </c>
      <c r="T8" s="261">
        <f>IF(Rules!B20=Rules!E20,SUM(C8:D8)*D4*H4,SUM(C8:D8)*D4*H4*POWER(O2,A8-1))</f>
        <v>-2.995603715530037</v>
      </c>
      <c r="U8" s="275">
        <f>S8+T8+U7</f>
        <v>-1.7024071571415802</v>
      </c>
      <c r="V8" s="93">
        <f>(U8+W8*E8)/B8</f>
        <v>-1.5575325678694618</v>
      </c>
      <c r="W8" s="9">
        <f>COUNT(D8:M8)</f>
        <v>2</v>
      </c>
    </row>
    <row r="9" spans="1:23" x14ac:dyDescent="0.2">
      <c r="A9" s="98">
        <v>3</v>
      </c>
      <c r="B9" s="97">
        <f>C9*B4</f>
        <v>0.75662773078795098</v>
      </c>
      <c r="C9" s="97">
        <f>1/(1-D4*B4/(1-D4*B4))</f>
        <v>1.4999209718667705</v>
      </c>
      <c r="D9" s="130">
        <f>C9*D4*C8</f>
        <v>0.99103154625076029</v>
      </c>
      <c r="E9" s="1">
        <f>D9*(D4)</f>
        <v>0.4911105743839892</v>
      </c>
      <c r="F9" s="1">
        <f>E9*D4</f>
        <v>0.24337226921204755</v>
      </c>
      <c r="G9" s="1"/>
      <c r="H9" s="1"/>
      <c r="I9" s="1"/>
      <c r="J9" s="1"/>
      <c r="K9" s="1"/>
      <c r="L9" s="1"/>
      <c r="M9" s="242"/>
      <c r="N9" s="97">
        <f>B9+F9</f>
        <v>0.99999999999999856</v>
      </c>
      <c r="R9" s="278">
        <f>B9-F9</f>
        <v>0.5132554615759034</v>
      </c>
      <c r="S9" s="279">
        <f>IF(Rules!B20=Rules!E20,SUM(C9:E9)*B4*F4,SUM(C9:E9)*B4*F4*POWER(O2,A9-1))</f>
        <v>2.7843250116459459</v>
      </c>
      <c r="T9" s="261">
        <f>IF(Rules!B20=Rules!E20,SUM(C9:E9)*D4*H4,SUM(C9:E9)*D4*H4*POWER(O2,A9-1))</f>
        <v>-4.479933036303275</v>
      </c>
      <c r="U9" s="275">
        <f t="shared" ref="U9:U16" si="0">S9+T9+U8</f>
        <v>-3.3980151817989093</v>
      </c>
      <c r="V9" s="93">
        <f>(U9+W9*F9)/B9</f>
        <v>-3.5260383218897111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0.80704832201852528</v>
      </c>
      <c r="C10" s="97">
        <f>1/(1-D4*B4/(1-D4*B4/(1-D4*B4)))</f>
        <v>1.599873562980372</v>
      </c>
      <c r="D10" s="130">
        <f>C10*D4*C9</f>
        <v>1.1891752059439984</v>
      </c>
      <c r="E10" s="1">
        <f>D10*D4*C8</f>
        <v>0.78571482445704965</v>
      </c>
      <c r="F10" s="1">
        <f>E10*D4</f>
        <v>0.38936485947489674</v>
      </c>
      <c r="G10" s="1">
        <f>F10*D4</f>
        <v>0.19295167798147281</v>
      </c>
      <c r="H10" s="1"/>
      <c r="I10" s="1"/>
      <c r="J10" s="1"/>
      <c r="K10" s="1"/>
      <c r="L10" s="1"/>
      <c r="M10" s="242"/>
      <c r="N10" s="97">
        <f>B10+G10</f>
        <v>0.99999999999999811</v>
      </c>
      <c r="R10" s="278">
        <f>B10-G10</f>
        <v>0.61409664403705244</v>
      </c>
      <c r="S10" s="279">
        <f>IF(Rules!B20=Rules!E20,SUM(C10:F10)*B4*F4,SUM(C10:F10)*B4*F4*POWER(O2,A10-1))</f>
        <v>3.7012704487772554</v>
      </c>
      <c r="T10" s="261">
        <f>IF(Rules!B20=Rules!E20,SUM(C10:F10)*D4*H4,SUM(C10:F10)*D4*H4*POWER(O2,A10-1))</f>
        <v>-5.9552831262210297</v>
      </c>
      <c r="U10" s="275">
        <f t="shared" si="0"/>
        <v>-5.6520278592426836</v>
      </c>
      <c r="V10" s="93">
        <f>(U10+W10*G10)/B10</f>
        <v>-6.0469999306990321</v>
      </c>
      <c r="W10" s="9">
        <f t="shared" si="1"/>
        <v>4</v>
      </c>
    </row>
    <row r="11" spans="1:23" x14ac:dyDescent="0.2">
      <c r="A11" s="98">
        <v>5</v>
      </c>
      <c r="B11" s="97">
        <f>C11*B4</f>
        <v>0.84065319595120391</v>
      </c>
      <c r="C11" s="97">
        <f>1/(1-D4*B4/(1-D4*B4/(1-D4*B4/(1-D4*B4))))</f>
        <v>1.666491072645359</v>
      </c>
      <c r="D11" s="130">
        <f>C11*D4*C10</f>
        <v>1.321236186230822</v>
      </c>
      <c r="E11" s="1">
        <f>D11*D4*C9</f>
        <v>0.98206592709412566</v>
      </c>
      <c r="F11" s="1">
        <f>E11*D4*C8</f>
        <v>0.64887306231673036</v>
      </c>
      <c r="G11" s="1">
        <f>F11*D4</f>
        <v>0.32155224880806665</v>
      </c>
      <c r="H11" s="1">
        <f>G11*D4</f>
        <v>0.15934680404879378</v>
      </c>
      <c r="I11" s="1"/>
      <c r="J11" s="1"/>
      <c r="K11" s="1"/>
      <c r="L11" s="1"/>
      <c r="M11" s="242"/>
      <c r="N11" s="97">
        <f>B11+H11</f>
        <v>0.99999999999999767</v>
      </c>
      <c r="R11" s="278">
        <f>B11-H11</f>
        <v>0.68130639190241016</v>
      </c>
      <c r="S11" s="279">
        <f>IF(Rules!B20=Rules!E20,SUM(C11:G11)*B4*F4,SUM(C11:G11)*B4*F4*POWER(O2,A11-1))</f>
        <v>4.6126367879491248</v>
      </c>
      <c r="T11" s="261">
        <f>IF(Rules!B20=Rules!E20,SUM(C11:G11)*D4*H4,SUM(C11:G11)*D4*H4*POWER(O2,A11-1))</f>
        <v>-7.4216565395091791</v>
      </c>
      <c r="U11" s="275">
        <f t="shared" si="0"/>
        <v>-8.461047610802737</v>
      </c>
      <c r="V11" s="93">
        <f>(U11+W11*H11)/B11</f>
        <v>-9.1170932644662734</v>
      </c>
      <c r="W11" s="9">
        <f t="shared" si="1"/>
        <v>5</v>
      </c>
    </row>
    <row r="12" spans="1:23" x14ac:dyDescent="0.2">
      <c r="A12" s="98">
        <v>6</v>
      </c>
      <c r="B12" s="97">
        <f>C12*B4</f>
        <v>0.86464909120896061</v>
      </c>
      <c r="C12" s="97">
        <f>1/(1-D4*B4/(1-D4*B4/(1-D4*B4/(1-D4*B4/(1-D4*B4)))))</f>
        <v>1.7140599695695382</v>
      </c>
      <c r="D12" s="130">
        <f>C12*D4*C11</f>
        <v>1.4155356457957544</v>
      </c>
      <c r="E12" s="1">
        <f>D12*D4*C10</f>
        <v>1.1222723894681013</v>
      </c>
      <c r="F12" s="1">
        <f>E12*D4*C9</f>
        <v>0.83417748174101558</v>
      </c>
      <c r="G12" s="1">
        <f>F12*D4*C8</f>
        <v>0.55115983780697131</v>
      </c>
      <c r="H12" s="1">
        <f>G12*D4</f>
        <v>0.27312997809887868</v>
      </c>
      <c r="I12" s="1">
        <f>H12*D4</f>
        <v>0.13535090879103667</v>
      </c>
      <c r="J12" s="1"/>
      <c r="K12" s="1"/>
      <c r="L12" s="1"/>
      <c r="M12" s="242"/>
      <c r="N12" s="97">
        <f>B12+I12</f>
        <v>0.99999999999999734</v>
      </c>
      <c r="R12" s="278">
        <f>B12-I12</f>
        <v>0.72929818241792388</v>
      </c>
      <c r="S12" s="279">
        <f>IF(Rules!B20=Rules!E20,SUM(C12:H12)*B4*F4,SUM(C12:H12)*B4*F4*POWER(O2,A12-1))</f>
        <v>5.5184259686824202</v>
      </c>
      <c r="T12" s="261">
        <f>IF(Rules!B20=Rules!E20,SUM(C12:H12)*D4*H4,SUM(C12:H12)*D4*H4*POWER(O2,A12-1))</f>
        <v>-8.8790563968248186</v>
      </c>
      <c r="U12" s="275">
        <f t="shared" si="0"/>
        <v>-11.821678038945135</v>
      </c>
      <c r="V12" s="93">
        <f>(U12+W12*I12)/B12</f>
        <v>-12.732995035946001</v>
      </c>
      <c r="W12" s="9">
        <f t="shared" si="1"/>
        <v>6</v>
      </c>
    </row>
    <row r="13" spans="1:23" x14ac:dyDescent="0.2">
      <c r="A13" s="98">
        <v>7</v>
      </c>
      <c r="B13" s="97">
        <f>C13*B4</f>
        <v>0.88263937752175803</v>
      </c>
      <c r="C13" s="97">
        <f>1/(1-D4*B4/(1-D4*B4/(1-D4*B4/(1-D4*B4/(1-D4*B4/(1-D4*B4))))))</f>
        <v>1.7497234889363893</v>
      </c>
      <c r="D13" s="130">
        <f>C13*D4*C12</f>
        <v>1.4862341656255915</v>
      </c>
      <c r="E13" s="1">
        <f>D13*D4*C11</f>
        <v>1.2273884676105467</v>
      </c>
      <c r="F13" s="1">
        <f>E13*D4*C10</f>
        <v>0.97310455758712255</v>
      </c>
      <c r="G13" s="1">
        <f>F13*D4*C9</f>
        <v>0.72330204051750246</v>
      </c>
      <c r="H13" s="1">
        <f>G13*D4*C8</f>
        <v>0.47790193821228943</v>
      </c>
      <c r="I13" s="1">
        <f>H13*D4</f>
        <v>0.23682666436056363</v>
      </c>
      <c r="J13" s="1">
        <f>I13*D4</f>
        <v>0.1173606224782387</v>
      </c>
      <c r="K13" s="1"/>
      <c r="L13" s="1"/>
      <c r="M13" s="242"/>
      <c r="N13" s="97">
        <f>B13+J13</f>
        <v>0.99999999999999667</v>
      </c>
      <c r="R13" s="278">
        <f>B13-J13</f>
        <v>0.76527875504351939</v>
      </c>
      <c r="S13" s="279">
        <f>IF(Rules!B20=Rules!E20,SUM(C13:I13)*B4*F4,SUM(C13:I13)*B4*F4*POWER(O2,A13-1))</f>
        <v>6.4186402821034285</v>
      </c>
      <c r="T13" s="261">
        <f>IF(Rules!B20=Rules!E20,SUM(C13:I13)*D4*H4,SUM(C13:I13)*D4*H4*POWER(O2,A13-1))</f>
        <v>-10.327486384552369</v>
      </c>
      <c r="U13" s="275">
        <f t="shared" si="0"/>
        <v>-15.730524141394076</v>
      </c>
      <c r="V13" s="93">
        <f>(U13+W13*J13)/B13</f>
        <v>-16.891383008434701</v>
      </c>
      <c r="W13" s="9">
        <f t="shared" si="1"/>
        <v>7</v>
      </c>
    </row>
    <row r="14" spans="1:23" x14ac:dyDescent="0.2">
      <c r="A14" s="98">
        <v>8</v>
      </c>
      <c r="B14" s="97">
        <f>C14*B4</f>
        <v>0.89662592733322999</v>
      </c>
      <c r="C14" s="97">
        <f>1/(1-D4*B4/(1-D4*B4/(1-D4*B4/(1-D4*B4/(1-D4*B4/(1-D4*B4/(1-D4*B4)))))))</f>
        <v>1.7774500954730528</v>
      </c>
      <c r="D14" s="130">
        <f>C14*D4*C13</f>
        <v>1.541198736617102</v>
      </c>
      <c r="E14" s="1">
        <f>D14*D4*C12</f>
        <v>1.309110972598144</v>
      </c>
      <c r="F14" s="1">
        <f>E14*D4*C11</f>
        <v>1.0811134259674706</v>
      </c>
      <c r="G14" s="1">
        <f>F14*D4*C10</f>
        <v>0.85713401244974674</v>
      </c>
      <c r="H14" s="1">
        <f>G14*D4*C9</f>
        <v>0.63710191815266493</v>
      </c>
      <c r="I14" s="1">
        <f>H14*D4*C8</f>
        <v>0.42094757717824843</v>
      </c>
      <c r="J14" s="1">
        <f>I14*D4</f>
        <v>0.20860264962872227</v>
      </c>
      <c r="K14" s="1">
        <f>J14*D4</f>
        <v>0.10337407266676629</v>
      </c>
      <c r="L14" s="1"/>
      <c r="M14" s="242"/>
      <c r="N14" s="97">
        <f>B14+K14</f>
        <v>0.99999999999999623</v>
      </c>
      <c r="R14" s="278">
        <f>B14-K14</f>
        <v>0.79325185466646375</v>
      </c>
      <c r="S14" s="279">
        <f>IF(Rules!B20=Rules!E20,SUM(C14:J14)*B4*F4,SUM(C14:J14)*B4*F4*POWER(O2,A14-1))</f>
        <v>7.3132823704272818</v>
      </c>
      <c r="T14" s="261">
        <f>IF(Rules!B20=Rules!E20,SUM(C14:J14)*D4*H4,SUM(C14:J14)*D4*H4*POWER(O2,A14-1))</f>
        <v>-11.766950753972411</v>
      </c>
      <c r="U14" s="275">
        <f t="shared" si="0"/>
        <v>-20.184192524939206</v>
      </c>
      <c r="V14" s="93">
        <f>(U14+W14*K14)/B14</f>
        <v>-21.588936203504399</v>
      </c>
      <c r="W14" s="9">
        <f t="shared" si="1"/>
        <v>8</v>
      </c>
    </row>
    <row r="15" spans="1:23" x14ac:dyDescent="0.2">
      <c r="A15" s="98">
        <v>9</v>
      </c>
      <c r="B15" s="97">
        <f>C15*B4</f>
        <v>0.90780986444327882</v>
      </c>
      <c r="C15" s="97">
        <f>1/(1-D4*B4/(1-D4*B4/(1-D4*B4/(1-D4*B4/(1-D4*B4/(1-D4*B4/(1-D4*B4/(1-D4*B4))))))))</f>
        <v>1.7996208686773758</v>
      </c>
      <c r="D15" s="130">
        <f>C15*D4*C14</f>
        <v>1.5851495546198133</v>
      </c>
      <c r="E15" s="1">
        <f>D15*D4*C13</f>
        <v>1.3744579930268179</v>
      </c>
      <c r="F15" s="1">
        <f>E15*D4*C12</f>
        <v>1.167479571126625</v>
      </c>
      <c r="G15" s="1">
        <f>F15*D4*C11</f>
        <v>0.9641488501030141</v>
      </c>
      <c r="H15" s="1">
        <f>G15*D4*C10</f>
        <v>0.76440154440600894</v>
      </c>
      <c r="I15" s="1">
        <f>H15*D4*C9</f>
        <v>0.56817450142719705</v>
      </c>
      <c r="J15" s="1">
        <f>I15*D4*C8</f>
        <v>0.37540568153324344</v>
      </c>
      <c r="K15" s="1">
        <f>J15*D4</f>
        <v>0.18603413845128411</v>
      </c>
      <c r="L15" s="1">
        <f>K15*D4</f>
        <v>9.2190135556717276E-2</v>
      </c>
      <c r="M15" s="242"/>
      <c r="N15" s="97">
        <f>B15+L15</f>
        <v>0.99999999999999611</v>
      </c>
      <c r="R15" s="278">
        <f>B15-L15</f>
        <v>0.81561972888656153</v>
      </c>
      <c r="S15" s="279">
        <f>IF(Rules!B20=Rules!E20,SUM(C15:K15)*B4*F4,SUM(C15:K15)*B4*F4*POWER(O2,A15-1))</f>
        <v>8.2023552263625348</v>
      </c>
      <c r="T15" s="261">
        <f>IF(Rules!B20=Rules!E20,SUM(C15:K15)*D4*H4,SUM(C15:K15)*D4*H4*POWER(O2,A15-1))</f>
        <v>-13.197454320303667</v>
      </c>
      <c r="U15" s="275">
        <f t="shared" si="0"/>
        <v>-25.179291618880338</v>
      </c>
      <c r="V15" s="93">
        <f>(U15+W15*L15)/B15</f>
        <v>-26.822335108467282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0.91695554066373286</v>
      </c>
      <c r="C16" s="131">
        <f>1/(1-D4*B4/(1-D4*B4/(1-D4*B4/(1-D4*B4/(1-D4*B4/(1-D4*B4/(1-D4*B4/(1-D4*B4/(1-D4*B4)))))))))</f>
        <v>1.8177510415573421</v>
      </c>
      <c r="D16" s="139">
        <f>C16*D4*C15</f>
        <v>1.6210903818188276</v>
      </c>
      <c r="E16" s="110">
        <f>D16*D4*C14</f>
        <v>1.4278955870450352</v>
      </c>
      <c r="F16" s="110">
        <f>E16*D4*C13</f>
        <v>1.2381055762858164</v>
      </c>
      <c r="G16" s="110">
        <f>F16*D4*C12</f>
        <v>1.0516603450560635</v>
      </c>
      <c r="H16" s="110">
        <f>G16*D4*C11</f>
        <v>0.86850094636454123</v>
      </c>
      <c r="I16" s="110">
        <f>H16*D4*C10</f>
        <v>0.68856947207705865</v>
      </c>
      <c r="J16" s="110">
        <f>I16*D4*C9</f>
        <v>0.51180903460808824</v>
      </c>
      <c r="K16" s="110">
        <f>J16*D4*C8</f>
        <v>0.33816374893504453</v>
      </c>
      <c r="L16" s="110">
        <f>K16*D4</f>
        <v>0.16757871492953541</v>
      </c>
      <c r="M16" s="244">
        <f>L16*D4</f>
        <v>8.304445933626281E-2</v>
      </c>
      <c r="N16" s="131">
        <f>B16+M16</f>
        <v>0.99999999999999567</v>
      </c>
      <c r="R16" s="280">
        <f>B16-M16</f>
        <v>0.83391108132747005</v>
      </c>
      <c r="S16" s="281">
        <f>IF(Rules!B20=Rules!E20,SUM(C16:L16)*B4*F4,SUM(C16:L16)*B4*F4*POWER(O2,A16-1))</f>
        <v>9.085862192437137</v>
      </c>
      <c r="T16" s="262">
        <f>IF(Rules!B20=Rules!E20,SUM(C16:L16)*D4*H4,SUM(C16:L16)*D4*H4*POWER(O2,A16-1))</f>
        <v>-14.619002461618496</v>
      </c>
      <c r="U16" s="275">
        <f t="shared" si="0"/>
        <v>-30.712431888061698</v>
      </c>
      <c r="V16" s="94">
        <f>(U16+W16*M16)/B16</f>
        <v>-32.588261883525092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1124.8431732933502</v>
      </c>
      <c r="F21" s="8">
        <f t="shared" ref="F21:F30" si="4">U7/E21</f>
        <v>-5.054947606820602E-4</v>
      </c>
      <c r="G21" s="265">
        <f>E21*U7</f>
        <v>-639.58844999395228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6186.6374531134261</v>
      </c>
      <c r="T21" s="8">
        <f>U7/S21</f>
        <v>-9.1908138305829125E-5</v>
      </c>
      <c r="U21" s="265">
        <f>S21*U7</f>
        <v>-3517.7364749667377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318.70072104285822</v>
      </c>
      <c r="F22" s="9">
        <f t="shared" si="4"/>
        <v>-5.3417110308722647E-3</v>
      </c>
      <c r="G22" s="266">
        <f t="shared" ref="G22:G30" si="5">E22*U8</f>
        <v>-542.55838848954409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1883.2315334350715</v>
      </c>
      <c r="T22" s="9">
        <f>U8/S22</f>
        <v>-9.039818667629985E-4</v>
      </c>
      <c r="U22" s="266">
        <f t="shared" ref="U22:U30" si="8">S22*U8</f>
        <v>-3206.0268410745789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2162.6657348990457</v>
      </c>
      <c r="F23" s="9">
        <f t="shared" si="4"/>
        <v>-1.5712160816001139E-3</v>
      </c>
      <c r="G23" s="266">
        <f t="shared" si="5"/>
        <v>-7348.7710003432521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12946.769196760502</v>
      </c>
      <c r="T23" s="9">
        <f t="shared" ref="T23:T30" si="11">U9/S23</f>
        <v>-2.6246047412733283E-4</v>
      </c>
      <c r="U23" s="266">
        <f t="shared" si="8"/>
        <v>-43993.318285838657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18091.614907652322</v>
      </c>
      <c r="F24" s="9">
        <f t="shared" si="4"/>
        <v>-3.1241146177901511E-4</v>
      </c>
      <c r="G24" s="266">
        <f t="shared" si="5"/>
        <v>-102254.31147674118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108517.1212822638</v>
      </c>
      <c r="T24" s="9">
        <f t="shared" si="11"/>
        <v>-5.2084203786987663E-5</v>
      </c>
      <c r="U24" s="266">
        <f t="shared" si="8"/>
        <v>-613341.79269217211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163083.74810597009</v>
      </c>
      <c r="F25" s="9">
        <f t="shared" si="4"/>
        <v>-5.1881611190986595E-5</v>
      </c>
      <c r="G25" s="266">
        <f t="shared" si="5"/>
        <v>-1379859.3572727737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978465.79442555457</v>
      </c>
      <c r="T25" s="9">
        <f t="shared" si="11"/>
        <v>-8.6472594739707947E-6</v>
      </c>
      <c r="U25" s="266">
        <f t="shared" si="8"/>
        <v>-8278845.6721765408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1523533.2087572366</v>
      </c>
      <c r="F26" s="9">
        <f t="shared" si="4"/>
        <v>-7.7593832356225523E-6</v>
      </c>
      <c r="G26" s="266">
        <f t="shared" si="5"/>
        <v>-18010719.075569037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9141158.1171056479</v>
      </c>
      <c r="T26" s="9">
        <f t="shared" si="11"/>
        <v>-1.2932363588398596E-6</v>
      </c>
      <c r="U26" s="266">
        <f t="shared" si="8"/>
        <v>-108063828.1635129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14519036.268513869</v>
      </c>
      <c r="F27" s="9">
        <f t="shared" si="4"/>
        <v>-1.0834413421438619E-6</v>
      </c>
      <c r="G27" s="266">
        <f t="shared" si="5"/>
        <v>-228392050.53163359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87114171.876114398</v>
      </c>
      <c r="T27" s="9">
        <f t="shared" si="11"/>
        <v>-1.8057365182515368E-7</v>
      </c>
      <c r="U27" s="266">
        <f t="shared" si="8"/>
        <v>-1370351583.7547705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140070406.82775152</v>
      </c>
      <c r="F28" s="9">
        <f t="shared" si="4"/>
        <v>-1.4410033483918034E-7</v>
      </c>
      <c r="G28" s="266">
        <f t="shared" si="5"/>
        <v>-2827208058.4578958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840422390.54116213</v>
      </c>
      <c r="T28" s="9">
        <f t="shared" si="11"/>
        <v>-2.4016723914200172E-8</v>
      </c>
      <c r="U28" s="266">
        <f t="shared" si="8"/>
        <v>-16963247332.952463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1362290624.7214334</v>
      </c>
      <c r="F29" s="9">
        <f t="shared" si="4"/>
        <v>-1.848305432185522E-8</v>
      </c>
      <c r="G29" s="266">
        <f t="shared" si="5"/>
        <v>-34301512909.527649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8173743693.1558294</v>
      </c>
      <c r="T29" s="9">
        <f t="shared" si="11"/>
        <v>-3.0805090744359731E-9</v>
      </c>
      <c r="U29" s="266">
        <f t="shared" si="8"/>
        <v>-205809076067.95459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13324095768.475294</v>
      </c>
      <c r="F30" s="10">
        <f t="shared" si="4"/>
        <v>-2.3050293559677852E-9</v>
      </c>
      <c r="G30" s="267">
        <f t="shared" si="5"/>
        <v>-409215383759.30853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79944574550.893326</v>
      </c>
      <c r="T30" s="10">
        <f t="shared" si="11"/>
        <v>-3.8417155961609286E-10</v>
      </c>
      <c r="U30" s="267">
        <f t="shared" si="8"/>
        <v>-2455292300714.3818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1124.8431732933502</v>
      </c>
      <c r="F33" s="8">
        <f t="shared" ref="F33:F42" si="14">U7/E33</f>
        <v>-5.054947606820602E-4</v>
      </c>
      <c r="G33" s="268">
        <f>E33*U7</f>
        <v>-639.58844999395228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6186.6374531134261</v>
      </c>
      <c r="T33" s="8">
        <f>U7/S33</f>
        <v>-9.1908138305829125E-5</v>
      </c>
      <c r="U33" s="268">
        <f>S33*U7</f>
        <v>-3517.7364749667377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347.67351386493624</v>
      </c>
      <c r="F34" s="9">
        <f t="shared" si="14"/>
        <v>-4.8965684449662423E-3</v>
      </c>
      <c r="G34" s="266">
        <f t="shared" ref="G34:G42" si="16">E34*U8</f>
        <v>-591.88187835222982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1912.2043262571494</v>
      </c>
      <c r="T34" s="9">
        <f t="shared" ref="T34:T42" si="18">U8/S34</f>
        <v>-8.9028517181204408E-4</v>
      </c>
      <c r="U34" s="266">
        <f t="shared" ref="U34:U42" si="19">S34*U8</f>
        <v>-3255.3503309372645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2591.3021868610185</v>
      </c>
      <c r="F35" s="9">
        <f t="shared" si="14"/>
        <v>-1.3113156771249071E-3</v>
      </c>
      <c r="G35" s="266">
        <f t="shared" si="16"/>
        <v>-8805.2841715824543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13180.57089783067</v>
      </c>
      <c r="T35" s="9">
        <f t="shared" si="18"/>
        <v>-2.5780485596099429E-4</v>
      </c>
      <c r="U35" s="266">
        <f t="shared" si="19"/>
        <v>-44787.780015605495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23839.89579190189</v>
      </c>
      <c r="F36" s="9">
        <f t="shared" si="14"/>
        <v>-2.3708274182820068E-4</v>
      </c>
      <c r="G36" s="266">
        <f t="shared" si="16"/>
        <v>-134743.7551772719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110520.06334674735</v>
      </c>
      <c r="T36" s="9">
        <f t="shared" si="18"/>
        <v>-5.1140287908720466E-5</v>
      </c>
      <c r="U36" s="266">
        <f t="shared" si="19"/>
        <v>-624662.47704108222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236384.10253322369</v>
      </c>
      <c r="F37" s="9">
        <f t="shared" si="14"/>
        <v>-3.5793640604970635E-5</v>
      </c>
      <c r="G37" s="266">
        <f t="shared" si="16"/>
        <v>-2000057.1459704814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996578.05661282549</v>
      </c>
      <c r="T37" s="9">
        <f t="shared" si="18"/>
        <v>-8.4901002532206946E-6</v>
      </c>
      <c r="U37" s="266">
        <f t="shared" si="19"/>
        <v>-8432094.3848823812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2429129.8713052445</v>
      </c>
      <c r="F38" s="9">
        <f t="shared" si="14"/>
        <v>-4.8666307135702845E-6</v>
      </c>
      <c r="G38" s="266">
        <f t="shared" si="16"/>
        <v>-28716391.253354833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9310430.4435369466</v>
      </c>
      <c r="T38" s="9">
        <f t="shared" si="18"/>
        <v>-1.269724113255304E-6</v>
      </c>
      <c r="U38" s="266">
        <f t="shared" si="19"/>
        <v>-110064911.10748693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25464146.066477194</v>
      </c>
      <c r="F39" s="9">
        <f t="shared" si="14"/>
        <v>-6.1775188142290987E-7</v>
      </c>
      <c r="G39" s="266">
        <f t="shared" si="16"/>
        <v>-400564364.43870449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88727387.964845091</v>
      </c>
      <c r="T39" s="9">
        <f t="shared" si="18"/>
        <v>-1.7729051313475731E-7</v>
      </c>
      <c r="U39" s="266">
        <f t="shared" si="19"/>
        <v>-1395728318.3838339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270228022.46095073</v>
      </c>
      <c r="F40" s="9">
        <f t="shared" si="14"/>
        <v>-7.4693188149485578E-8</v>
      </c>
      <c r="G40" s="266">
        <f t="shared" si="16"/>
        <v>-5454334430.9854259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855985757.87194633</v>
      </c>
      <c r="T40" s="9">
        <f t="shared" si="18"/>
        <v>-2.3580056489629957E-8</v>
      </c>
      <c r="U40" s="266">
        <f t="shared" si="19"/>
        <v>-17277381335.493362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2890989031.3944936</v>
      </c>
      <c r="F41" s="9">
        <f t="shared" si="14"/>
        <v>-8.709577015148649E-9</v>
      </c>
      <c r="G41" s="266">
        <f t="shared" si="16"/>
        <v>-72793055888.466354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8325109305.8642626</v>
      </c>
      <c r="T41" s="9">
        <f t="shared" si="18"/>
        <v>-3.0244998226202121E-9</v>
      </c>
      <c r="U41" s="266">
        <f t="shared" si="19"/>
        <v>-209620354971.41074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31103345645.330963</v>
      </c>
      <c r="F42" s="10">
        <f t="shared" si="14"/>
        <v>-9.8743177786316546E-10</v>
      </c>
      <c r="G42" s="267">
        <f t="shared" si="16"/>
        <v>-955259384623.06763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81425029622.955383</v>
      </c>
      <c r="T42" s="10">
        <f t="shared" si="18"/>
        <v>-3.7718662222510551E-10</v>
      </c>
      <c r="U42" s="267">
        <f t="shared" si="19"/>
        <v>-2500760676278.4233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1124.8431732933502</v>
      </c>
      <c r="F45" s="8">
        <f t="shared" ref="F45:F54" si="24">U7/E45</f>
        <v>-5.054947606820602E-4</v>
      </c>
      <c r="G45" s="265">
        <f>E45*U7</f>
        <v>-639.58844999395228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6186.6374531134261</v>
      </c>
      <c r="T45" s="8">
        <f>U7/S45</f>
        <v>-9.1908138305829125E-5</v>
      </c>
      <c r="U45" s="268">
        <f>S45*U7</f>
        <v>-3517.7364749667377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608.42864926363848</v>
      </c>
      <c r="F46" s="9">
        <f t="shared" si="24"/>
        <v>-2.7980391114092811E-3</v>
      </c>
      <c r="G46" s="266">
        <f t="shared" ref="G46:G54" si="26">E46*U8</f>
        <v>-1035.7932871164023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3476.7351386493624</v>
      </c>
      <c r="T46" s="9">
        <f t="shared" ref="T46:T54" si="29">U8/S46</f>
        <v>-4.896568444966242E-4</v>
      </c>
      <c r="U46" s="266">
        <f t="shared" ref="U46:U54" si="30">S46*U8</f>
        <v>-5918.8187835222989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8202.5430125450293</v>
      </c>
      <c r="F47" s="9">
        <f t="shared" si="24"/>
        <v>-4.142636224646381E-4</v>
      </c>
      <c r="G47" s="266">
        <f t="shared" si="26"/>
        <v>-27872.36568598657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47042.85060282654</v>
      </c>
      <c r="T47" s="9">
        <f t="shared" si="29"/>
        <v>-7.2232340052852612E-5</v>
      </c>
      <c r="U47" s="266">
        <f t="shared" si="30"/>
        <v>-159852.32054350254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137128.25304891108</v>
      </c>
      <c r="F48" s="9">
        <f t="shared" si="24"/>
        <v>-4.1217092273659398E-5</v>
      </c>
      <c r="G48" s="266">
        <f t="shared" si="26"/>
        <v>-775052.70652172586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786667.70888728718</v>
      </c>
      <c r="T48" s="9">
        <f t="shared" si="29"/>
        <v>-7.1847716582103908E-6</v>
      </c>
      <c r="U48" s="266">
        <f t="shared" si="30"/>
        <v>-4446267.8065975606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2472030.2348803519</v>
      </c>
      <c r="F49" s="9">
        <f t="shared" si="24"/>
        <v>-3.4227120248843793E-6</v>
      </c>
      <c r="G49" s="266">
        <f t="shared" si="26"/>
        <v>-20915965.512666531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14181629.755477155</v>
      </c>
      <c r="T49" s="9">
        <f t="shared" si="29"/>
        <v>-5.9662025850977782E-7</v>
      </c>
      <c r="U49" s="266">
        <f t="shared" si="30"/>
        <v>-119991444.55986898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46187157.478334814</v>
      </c>
      <c r="F50" s="9">
        <f t="shared" si="24"/>
        <v>-2.5595162561130493E-7</v>
      </c>
      <c r="G50" s="266">
        <f t="shared" si="26"/>
        <v>-546009705.24293125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264968410.25892395</v>
      </c>
      <c r="T50" s="9">
        <f t="shared" si="29"/>
        <v>-4.4615424259039532E-8</v>
      </c>
      <c r="U50" s="266">
        <f t="shared" si="30"/>
        <v>-3132371236.5721264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880312181.09757841</v>
      </c>
      <c r="F51" s="9">
        <f t="shared" si="24"/>
        <v>-1.786925647419892E-8</v>
      </c>
      <c r="G51" s="266">
        <f t="shared" si="26"/>
        <v>-13847772016.718731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5050211964.6327019</v>
      </c>
      <c r="T51" s="9">
        <f t="shared" si="29"/>
        <v>-3.1148245363871863E-9</v>
      </c>
      <c r="U51" s="266">
        <f t="shared" si="30"/>
        <v>-79442481228.81192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16985380028.723967</v>
      </c>
      <c r="F52" s="9">
        <f t="shared" si="24"/>
        <v>-1.1883274022015244E-9</v>
      </c>
      <c r="G52" s="266">
        <f t="shared" si="26"/>
        <v>-342836180609.02197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97442443298.793915</v>
      </c>
      <c r="T52" s="9">
        <f t="shared" si="29"/>
        <v>-2.0713963896663738E-10</v>
      </c>
      <c r="U52" s="266">
        <f t="shared" si="30"/>
        <v>-1966797035643.3286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330391326577.97577</v>
      </c>
      <c r="F53" s="9">
        <f t="shared" si="24"/>
        <v>-7.6210510365615677E-11</v>
      </c>
      <c r="G53" s="266">
        <f t="shared" si="26"/>
        <v>-8319019560255.582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1895402873500.1475</v>
      </c>
      <c r="T53" s="9">
        <f t="shared" si="29"/>
        <v>-1.3284400889602418E-11</v>
      </c>
      <c r="U53" s="266">
        <f t="shared" si="30"/>
        <v>-47724901687123.977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6462887716554.5156</v>
      </c>
      <c r="F54" s="10">
        <f t="shared" si="24"/>
        <v>-4.7521221526706425E-12</v>
      </c>
      <c r="G54" s="267">
        <f t="shared" si="26"/>
        <v>-198490998794871.16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37076566373889.609</v>
      </c>
      <c r="T54" s="10">
        <f t="shared" si="29"/>
        <v>-8.2835156789735197E-13</v>
      </c>
      <c r="U54" s="267">
        <f t="shared" si="30"/>
        <v>-1138711519401283.2</v>
      </c>
    </row>
  </sheetData>
  <mergeCells count="2">
    <mergeCell ref="A18:F18"/>
    <mergeCell ref="O18:T18"/>
  </mergeCells>
  <conditionalFormatting sqref="F45:F54">
    <cfRule type="cellIs" dxfId="530" priority="65" operator="equal">
      <formula>MAX($F$45:$F$54)</formula>
    </cfRule>
  </conditionalFormatting>
  <conditionalFormatting sqref="F21:F30">
    <cfRule type="cellIs" dxfId="529" priority="63" operator="equal">
      <formula>MAX($F$21:$F$30)</formula>
    </cfRule>
  </conditionalFormatting>
  <conditionalFormatting sqref="F33:F42">
    <cfRule type="cellIs" dxfId="528" priority="44" operator="lessThanOrEqual">
      <formula>0</formula>
    </cfRule>
    <cfRule type="cellIs" dxfId="527" priority="61" operator="equal">
      <formula>MAX($F$33:$F$42)</formula>
    </cfRule>
  </conditionalFormatting>
  <conditionalFormatting sqref="E33:E42">
    <cfRule type="cellIs" dxfId="526" priority="59" stopIfTrue="1" operator="lessThan">
      <formula>0</formula>
    </cfRule>
    <cfRule type="cellIs" dxfId="525" priority="60" operator="equal">
      <formula>MIN($E$33:$E$42)</formula>
    </cfRule>
  </conditionalFormatting>
  <conditionalFormatting sqref="E21:E30">
    <cfRule type="cellIs" dxfId="524" priority="55" stopIfTrue="1" operator="lessThan">
      <formula>0</formula>
    </cfRule>
    <cfRule type="cellIs" dxfId="523" priority="56" operator="equal">
      <formula>MIN($E$21:$E$30)</formula>
    </cfRule>
  </conditionalFormatting>
  <conditionalFormatting sqref="E45:E54">
    <cfRule type="cellIs" dxfId="522" priority="51" stopIfTrue="1" operator="lessThan">
      <formula>0</formula>
    </cfRule>
    <cfRule type="cellIs" dxfId="521" priority="52" operator="equal">
      <formula>MIN($E$45:$E$54)</formula>
    </cfRule>
  </conditionalFormatting>
  <conditionalFormatting sqref="R7:R16">
    <cfRule type="cellIs" dxfId="520" priority="29" operator="lessThanOrEqual">
      <formula>0</formula>
    </cfRule>
    <cfRule type="cellIs" dxfId="519" priority="30" operator="greaterThan">
      <formula>0</formula>
    </cfRule>
  </conditionalFormatting>
  <conditionalFormatting sqref="T21:T30">
    <cfRule type="cellIs" dxfId="518" priority="21" operator="equal">
      <formula>MAX($T$21:$T$30)</formula>
    </cfRule>
  </conditionalFormatting>
  <conditionalFormatting sqref="S33:S42">
    <cfRule type="cellIs" dxfId="517" priority="19" stopIfTrue="1" operator="lessThan">
      <formula>0</formula>
    </cfRule>
    <cfRule type="cellIs" dxfId="516" priority="20" operator="equal">
      <formula>MIN($E$21:$E$30)</formula>
    </cfRule>
  </conditionalFormatting>
  <conditionalFormatting sqref="T33:T42">
    <cfRule type="cellIs" dxfId="515" priority="18" operator="equal">
      <formula>MAX($T$21:$T$30)</formula>
    </cfRule>
  </conditionalFormatting>
  <conditionalFormatting sqref="S45:S54">
    <cfRule type="cellIs" dxfId="514" priority="16" stopIfTrue="1" operator="lessThan">
      <formula>0</formula>
    </cfRule>
    <cfRule type="cellIs" dxfId="513" priority="17" operator="equal">
      <formula>MIN($E$21:$E$30)</formula>
    </cfRule>
  </conditionalFormatting>
  <conditionalFormatting sqref="T45:T54">
    <cfRule type="cellIs" dxfId="512" priority="15" operator="equal">
      <formula>MAX($T$21:$T$30)</formula>
    </cfRule>
  </conditionalFormatting>
  <conditionalFormatting sqref="S21:S30">
    <cfRule type="cellIs" dxfId="511" priority="13" stopIfTrue="1" operator="lessThan">
      <formula>0</formula>
    </cfRule>
    <cfRule type="cellIs" dxfId="510" priority="14" operator="equal">
      <formula>MIN($E$21:$E$30)</formula>
    </cfRule>
  </conditionalFormatting>
  <conditionalFormatting sqref="U7:U16">
    <cfRule type="cellIs" dxfId="509" priority="9" operator="lessThanOrEqual">
      <formula>0</formula>
    </cfRule>
    <cfRule type="cellIs" dxfId="508" priority="10" operator="greaterThan">
      <formula>0</formula>
    </cfRule>
  </conditionalFormatting>
  <conditionalFormatting sqref="S7:T16">
    <cfRule type="cellIs" dxfId="507" priority="1" operator="lessThanOrEqual">
      <formula>0</formula>
    </cfRule>
    <cfRule type="cellIs" dxfId="50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Analysis!B42</f>
        <v>0.30007808441147005</v>
      </c>
      <c r="D2" s="135" t="s">
        <v>126</v>
      </c>
      <c r="E2" s="141">
        <f>Analysis!I42</f>
        <v>0.6999219155885299</v>
      </c>
      <c r="F2" s="135" t="s">
        <v>47</v>
      </c>
      <c r="G2" s="141">
        <f>Analysis!S42</f>
        <v>0.89081647425759125</v>
      </c>
      <c r="H2" t="s">
        <v>155</v>
      </c>
      <c r="I2" s="155">
        <f>Analysis!T42</f>
        <v>-1.4590222148939589</v>
      </c>
      <c r="J2" t="s">
        <v>48</v>
      </c>
      <c r="K2" s="155">
        <f>C2*G2+E2*I2</f>
        <v>-0.75388712237740174</v>
      </c>
      <c r="L2" t="s">
        <v>47</v>
      </c>
      <c r="M2" s="162">
        <v>3</v>
      </c>
      <c r="N2" t="s">
        <v>155</v>
      </c>
      <c r="O2" s="162">
        <v>4</v>
      </c>
    </row>
    <row r="4" spans="1:23" x14ac:dyDescent="0.2">
      <c r="A4" t="s">
        <v>123</v>
      </c>
      <c r="B4">
        <f>$C$2</f>
        <v>0.30007808441147005</v>
      </c>
      <c r="C4" t="s">
        <v>124</v>
      </c>
      <c r="D4">
        <f>$E$2</f>
        <v>0.6999219155885299</v>
      </c>
      <c r="E4" t="s">
        <v>47</v>
      </c>
      <c r="F4">
        <f>G2</f>
        <v>0.89081647425759125</v>
      </c>
      <c r="G4" t="s">
        <v>155</v>
      </c>
      <c r="H4">
        <f>I2</f>
        <v>-1.4590222148939589</v>
      </c>
      <c r="I4" t="s">
        <v>48</v>
      </c>
      <c r="J4">
        <f>K2</f>
        <v>-0.75388712237740174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0.30007808441147005</v>
      </c>
      <c r="C7" s="95">
        <v>1</v>
      </c>
      <c r="D7" s="22">
        <f>C7*D4</f>
        <v>0.6999219155885299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-0.39984383117705985</v>
      </c>
      <c r="S7" s="277">
        <f>IF(Rules!B20=Rules!E20,SUM(C7)*B4*F4,SUM(C7)*B4*F4*POWER(O2,A7-1))</f>
        <v>0.26731450115739758</v>
      </c>
      <c r="T7" s="260">
        <f>IF(Rules!B20=Rules!E20,SUM(C7)*D4*H4,SUM(C7)*D4*H4*POWER(O2,A7-1))</f>
        <v>-1.0212016235347994</v>
      </c>
      <c r="U7" s="274">
        <f>S7+T7</f>
        <v>-0.75388712237740174</v>
      </c>
      <c r="V7" s="108">
        <f>(U7+W7*D7)/B7</f>
        <v>-0.17983721435276231</v>
      </c>
      <c r="W7" s="57">
        <f>COUNT(D7:M7)</f>
        <v>1</v>
      </c>
    </row>
    <row r="8" spans="1:23" x14ac:dyDescent="0.2">
      <c r="A8" s="98">
        <v>2</v>
      </c>
      <c r="B8" s="97">
        <f>C8*B4</f>
        <v>0.37986069186685922</v>
      </c>
      <c r="C8" s="97">
        <f>1/(1-B4*D4)</f>
        <v>1.2658728231082363</v>
      </c>
      <c r="D8" s="130">
        <f>C8*D4</f>
        <v>0.88601213124137701</v>
      </c>
      <c r="E8" s="1">
        <f>D8*D4</f>
        <v>0.62013930813314055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-0.24027861626628133</v>
      </c>
      <c r="S8" s="279">
        <f>IF(Rules!B20=Rules!E20,SUM(C8:D8)*B4*F4,SUM(C8:D8)*B4*F4*POWER(O2,A8-1))</f>
        <v>0.57523005312007625</v>
      </c>
      <c r="T8" s="261">
        <f>IF(Rules!B20=Rules!E20,SUM(C8:D8)*D4*H4,SUM(C8:D8)*D4*H4*POWER(O2,A8-1))</f>
        <v>-2.1975084090419332</v>
      </c>
      <c r="U8" s="275">
        <f>S8+T8+U7</f>
        <v>-2.3761654782992587</v>
      </c>
      <c r="V8" s="93">
        <f>(U8+W8*E8)/B8</f>
        <v>-2.9902721875500209</v>
      </c>
      <c r="W8" s="9">
        <f>COUNT(D8:M8)</f>
        <v>2</v>
      </c>
    </row>
    <row r="9" spans="1:23" x14ac:dyDescent="0.2">
      <c r="A9" s="98">
        <v>3</v>
      </c>
      <c r="B9" s="97">
        <f>C9*B4</f>
        <v>0.40875490494981664</v>
      </c>
      <c r="C9" s="97">
        <f>1/(1-D4*B4/(1-D4*B4))</f>
        <v>1.3621618044899535</v>
      </c>
      <c r="D9" s="130">
        <f>C9*D4*C8</f>
        <v>1.2068918834917437</v>
      </c>
      <c r="E9" s="1">
        <f>D9*(D4)</f>
        <v>0.84473007900179009</v>
      </c>
      <c r="F9" s="1">
        <f>E9*D4</f>
        <v>0.59124509505018308</v>
      </c>
      <c r="G9" s="1"/>
      <c r="H9" s="1"/>
      <c r="I9" s="1"/>
      <c r="J9" s="1"/>
      <c r="K9" s="1"/>
      <c r="L9" s="1"/>
      <c r="M9" s="242"/>
      <c r="N9" s="97">
        <f>B9+F9</f>
        <v>0.99999999999999978</v>
      </c>
      <c r="R9" s="278">
        <f>B9-F9</f>
        <v>-0.18249019010036643</v>
      </c>
      <c r="S9" s="279">
        <f>IF(Rules!B20=Rules!E20,SUM(C9:E9)*B4*F4,SUM(C9:E9)*B4*F4*POWER(O2,A9-1))</f>
        <v>0.91255390473041254</v>
      </c>
      <c r="T9" s="261">
        <f>IF(Rules!B20=Rules!E20,SUM(C9:E9)*D4*H4,SUM(C9:E9)*D4*H4*POWER(O2,A9-1))</f>
        <v>-3.4861615252402807</v>
      </c>
      <c r="U9" s="275">
        <f t="shared" ref="U9:U16" si="0">S9+T9+U8</f>
        <v>-4.9497730988091266</v>
      </c>
      <c r="V9" s="93">
        <f>(U9+W9*F9)/B9</f>
        <v>-7.7700298521151776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0.42033424849421697</v>
      </c>
      <c r="C10" s="97">
        <f>1/(1-D4*B4/(1-D4*B4/(1-D4*B4)))</f>
        <v>1.4007495726274048</v>
      </c>
      <c r="D10" s="130">
        <f>C10*D4*C9</f>
        <v>1.3354843070708657</v>
      </c>
      <c r="E10" s="1">
        <f>D10*D4*C8</f>
        <v>1.1832552971472714</v>
      </c>
      <c r="F10" s="1">
        <f>E10*D4</f>
        <v>0.82818631420959332</v>
      </c>
      <c r="G10" s="1">
        <f>F10*D4</f>
        <v>0.5796657515057827</v>
      </c>
      <c r="H10" s="1"/>
      <c r="I10" s="1"/>
      <c r="J10" s="1"/>
      <c r="K10" s="1"/>
      <c r="L10" s="1"/>
      <c r="M10" s="242"/>
      <c r="N10" s="97">
        <f>B10+G10</f>
        <v>0.99999999999999967</v>
      </c>
      <c r="R10" s="278">
        <f>B10-G10</f>
        <v>-0.15933150301156573</v>
      </c>
      <c r="S10" s="279">
        <f>IF(Rules!B20=Rules!E20,SUM(C10:F10)*B4*F4,SUM(C10:F10)*B4*F4*POWER(O2,A10-1))</f>
        <v>1.2691225055486062</v>
      </c>
      <c r="T10" s="261">
        <f>IF(Rules!B20=Rules!E20,SUM(C10:F10)*D4*H4,SUM(C10:F10)*D4*H4*POWER(O2,A10-1))</f>
        <v>-4.8483339194818802</v>
      </c>
      <c r="U10" s="275">
        <f t="shared" si="0"/>
        <v>-8.5289845127424009</v>
      </c>
      <c r="V10" s="93">
        <f>(U10+W10*G10)/B10</f>
        <v>-14.774721614921447</v>
      </c>
      <c r="W10" s="9">
        <f t="shared" si="1"/>
        <v>4</v>
      </c>
    </row>
    <row r="11" spans="1:23" x14ac:dyDescent="0.2">
      <c r="A11" s="98">
        <v>5</v>
      </c>
      <c r="B11" s="97">
        <f>C11*B4</f>
        <v>0.42516091578940463</v>
      </c>
      <c r="C11" s="97">
        <f>1/(1-D4*B4/(1-D4*B4/(1-D4*B4/(1-D4*B4))))</f>
        <v>1.416834277062432</v>
      </c>
      <c r="D11" s="130">
        <f>C11*D4*C10</f>
        <v>1.3890860369891751</v>
      </c>
      <c r="E11" s="1">
        <f>D11*D4*C9</f>
        <v>1.3243642117203451</v>
      </c>
      <c r="F11" s="1">
        <f>E11*D4*C8</f>
        <v>1.1734027577661492</v>
      </c>
      <c r="G11" s="1">
        <f>F11*D4</f>
        <v>0.82129030597254693</v>
      </c>
      <c r="H11" s="1">
        <f>G11*D4</f>
        <v>0.57483908421059493</v>
      </c>
      <c r="I11" s="1"/>
      <c r="J11" s="1"/>
      <c r="K11" s="1"/>
      <c r="L11" s="1"/>
      <c r="M11" s="242"/>
      <c r="N11" s="97">
        <f>B11+H11</f>
        <v>0.99999999999999956</v>
      </c>
      <c r="R11" s="278">
        <f>B11-H11</f>
        <v>-0.14967816842119031</v>
      </c>
      <c r="S11" s="279">
        <f>IF(Rules!B20=Rules!E20,SUM(C11:G11)*B4*F4,SUM(C11:G11)*B4*F4*POWER(O2,A11-1))</f>
        <v>1.6372953289402787</v>
      </c>
      <c r="T11" s="261">
        <f>IF(Rules!B20=Rules!E20,SUM(C11:G11)*D4*H4,SUM(C11:G11)*D4*H4*POWER(O2,A11-1))</f>
        <v>-6.2548370585225364</v>
      </c>
      <c r="U11" s="275">
        <f t="shared" si="0"/>
        <v>-13.146526242324658</v>
      </c>
      <c r="V11" s="93">
        <f>(U11+W11*H11)/B11</f>
        <v>-24.161042183754933</v>
      </c>
      <c r="W11" s="9">
        <f t="shared" si="1"/>
        <v>5</v>
      </c>
    </row>
    <row r="12" spans="1:23" x14ac:dyDescent="0.2">
      <c r="A12" s="98">
        <v>6</v>
      </c>
      <c r="B12" s="97">
        <f>C12*B4</f>
        <v>0.42720572633527099</v>
      </c>
      <c r="C12" s="97">
        <f>1/(1-D4*B4/(1-D4*B4/(1-D4*B4/(1-D4*B4/(1-D4*B4)))))</f>
        <v>1.4236485385899833</v>
      </c>
      <c r="D12" s="130">
        <f>C12*D4*C11</f>
        <v>1.4117943315349619</v>
      </c>
      <c r="E12" s="1">
        <f>D12*D4*C10</f>
        <v>1.3841447971612468</v>
      </c>
      <c r="F12" s="1">
        <f>E12*D4*C9</f>
        <v>1.3196531995761158</v>
      </c>
      <c r="G12" s="1">
        <f>F12*D4*C8</f>
        <v>1.1692287438559366</v>
      </c>
      <c r="H12" s="1">
        <f>G12*D4</f>
        <v>0.81836882216081763</v>
      </c>
      <c r="I12" s="1">
        <f>H12*D4</f>
        <v>0.57279427366472846</v>
      </c>
      <c r="J12" s="1"/>
      <c r="K12" s="1"/>
      <c r="L12" s="1"/>
      <c r="M12" s="242"/>
      <c r="N12" s="97">
        <f>B12+I12</f>
        <v>0.99999999999999944</v>
      </c>
      <c r="R12" s="278">
        <f>B12-I12</f>
        <v>-0.14558854732945747</v>
      </c>
      <c r="S12" s="279">
        <f>IF(Rules!B20=Rules!E20,SUM(C12:H12)*B4*F4,SUM(C12:H12)*B4*F4*POWER(O2,A12-1))</f>
        <v>2.0120330609773949</v>
      </c>
      <c r="T12" s="261">
        <f>IF(Rules!B20=Rules!E20,SUM(C12:H12)*D4*H4,SUM(C12:H12)*D4*H4*POWER(O2,A12-1))</f>
        <v>-7.6864196277402241</v>
      </c>
      <c r="U12" s="275">
        <f t="shared" si="0"/>
        <v>-18.820912809087488</v>
      </c>
      <c r="V12" s="93">
        <f>(U12+W12*I12)/B12</f>
        <v>-36.011097742228394</v>
      </c>
      <c r="W12" s="9">
        <f t="shared" si="1"/>
        <v>6</v>
      </c>
    </row>
    <row r="13" spans="1:23" x14ac:dyDescent="0.2">
      <c r="A13" s="98">
        <v>7</v>
      </c>
      <c r="B13" s="97">
        <f>C13*B4</f>
        <v>0.42807795090102241</v>
      </c>
      <c r="C13" s="97">
        <f>1/(1-D4*B4/(1-D4*B4/(1-D4*B4/(1-D4*B4/(1-D4*B4/(1-D4*B4))))))</f>
        <v>1.4265551972600494</v>
      </c>
      <c r="D13" s="130">
        <f>C13*D4*C12</f>
        <v>1.4214806725943794</v>
      </c>
      <c r="E13" s="1">
        <f>D13*D4*C11</f>
        <v>1.4096445165763118</v>
      </c>
      <c r="F13" s="1">
        <f>E13*D4*C10</f>
        <v>1.3820370856317357</v>
      </c>
      <c r="G13" s="1">
        <f>F13*D4*C9</f>
        <v>1.3176436928616397</v>
      </c>
      <c r="H13" s="1">
        <f>G13*D4*C8</f>
        <v>1.1674482965290998</v>
      </c>
      <c r="I13" s="1">
        <f>H13*D4</f>
        <v>0.81712264805721357</v>
      </c>
      <c r="J13" s="1">
        <f>I13*D4</f>
        <v>0.57192204909897704</v>
      </c>
      <c r="K13" s="1"/>
      <c r="L13" s="1"/>
      <c r="M13" s="242"/>
      <c r="N13" s="97">
        <f>B13+J13</f>
        <v>0.99999999999999944</v>
      </c>
      <c r="R13" s="278">
        <f>B13-J13</f>
        <v>-0.14384409819795463</v>
      </c>
      <c r="S13" s="279">
        <f>IF(Rules!B20=Rules!E20,SUM(C13:I13)*B4*F4,SUM(C13:I13)*B4*F4*POWER(O2,A13-1))</f>
        <v>2.3903081212370965</v>
      </c>
      <c r="T13" s="261">
        <f>IF(Rules!B20=Rules!E20,SUM(C13:I13)*D4*H4,SUM(C13:I13)*D4*H4*POWER(O2,A13-1))</f>
        <v>-9.1315155877700036</v>
      </c>
      <c r="U13" s="275">
        <f t="shared" si="0"/>
        <v>-25.562120275620394</v>
      </c>
      <c r="V13" s="93">
        <f>(U13+W13*J13)/B13</f>
        <v>-50.361542533435042</v>
      </c>
      <c r="W13" s="9">
        <f t="shared" si="1"/>
        <v>7</v>
      </c>
    </row>
    <row r="14" spans="1:23" x14ac:dyDescent="0.2">
      <c r="A14" s="98">
        <v>8</v>
      </c>
      <c r="B14" s="97">
        <f>C14*B4</f>
        <v>0.42845108740317073</v>
      </c>
      <c r="C14" s="97">
        <f>1/(1-D4*B4/(1-D4*B4/(1-D4*B4/(1-D4*B4/(1-D4*B4/(1-D4*B4/(1-D4*B4)))))))</f>
        <v>1.4277986619498488</v>
      </c>
      <c r="D14" s="130">
        <f>C14*D4*C13</f>
        <v>1.4256244763387882</v>
      </c>
      <c r="E14" s="1">
        <f>D14*D4*C12</f>
        <v>1.4205532624221735</v>
      </c>
      <c r="F14" s="1">
        <f>E14*D4*C11</f>
        <v>1.4087248286135616</v>
      </c>
      <c r="G14" s="1">
        <f>F14*D4*C10</f>
        <v>1.3811354094596344</v>
      </c>
      <c r="H14" s="1">
        <f>G14*D4*C9</f>
        <v>1.3167840285780072</v>
      </c>
      <c r="I14" s="1">
        <f>H14*D4*C8</f>
        <v>1.1666866235450064</v>
      </c>
      <c r="J14" s="1">
        <f>I14*D4</f>
        <v>0.81658953644313492</v>
      </c>
      <c r="K14" s="1">
        <f>J14*D4</f>
        <v>0.57154891259682861</v>
      </c>
      <c r="L14" s="1"/>
      <c r="M14" s="242"/>
      <c r="N14" s="97">
        <f>B14+K14</f>
        <v>0.99999999999999933</v>
      </c>
      <c r="R14" s="278">
        <f>B14-K14</f>
        <v>-0.14309782519365788</v>
      </c>
      <c r="S14" s="279">
        <f>IF(Rules!B20=Rules!E20,SUM(C14:J14)*B4*F4,SUM(C14:J14)*B4*F4*POWER(O2,A14-1))</f>
        <v>2.770419910449843</v>
      </c>
      <c r="T14" s="261">
        <f>IF(Rules!B20=Rules!E20,SUM(C14:J14)*D4*H4,SUM(C14:J14)*D4*H4*POWER(O2,A14-1))</f>
        <v>-10.583628266237136</v>
      </c>
      <c r="U14" s="275">
        <f t="shared" si="0"/>
        <v>-33.37532863140769</v>
      </c>
      <c r="V14" s="93">
        <f>(U14+W14*K14)/B14</f>
        <v>-67.225730491680636</v>
      </c>
      <c r="W14" s="9">
        <f t="shared" si="1"/>
        <v>8</v>
      </c>
    </row>
    <row r="15" spans="1:23" x14ac:dyDescent="0.2">
      <c r="A15" s="98">
        <v>9</v>
      </c>
      <c r="B15" s="97">
        <f>C15*B4</f>
        <v>0.42861091343754459</v>
      </c>
      <c r="C15" s="97">
        <f>1/(1-D4*B4/(1-D4*B4/(1-D4*B4/(1-D4*B4/(1-D4*B4/(1-D4*B4/(1-D4*B4/(1-D4*B4))))))))</f>
        <v>1.4283312767680463</v>
      </c>
      <c r="D15" s="130">
        <f>C15*D4*C14</f>
        <v>1.4273993970873069</v>
      </c>
      <c r="E15" s="1">
        <f>D15*D4*C13</f>
        <v>1.4252258194582694</v>
      </c>
      <c r="F15" s="1">
        <f>E15*D4*C12</f>
        <v>1.4201560236390247</v>
      </c>
      <c r="G15" s="1">
        <f>F15*D4*C11</f>
        <v>1.4083308974942486</v>
      </c>
      <c r="H15" s="1">
        <f>G15*D4*C10</f>
        <v>1.3807491933536069</v>
      </c>
      <c r="I15" s="1">
        <f>H15*D4*C9</f>
        <v>1.3164158074778072</v>
      </c>
      <c r="J15" s="1">
        <f>I15*D4*C8</f>
        <v>1.1663603751832501</v>
      </c>
      <c r="K15" s="1">
        <f>J15*D4</f>
        <v>0.81636118806481683</v>
      </c>
      <c r="L15" s="1">
        <f>K15*D4</f>
        <v>0.57138908656245468</v>
      </c>
      <c r="M15" s="242"/>
      <c r="N15" s="97">
        <f>B15+L15</f>
        <v>0.99999999999999933</v>
      </c>
      <c r="R15" s="278">
        <f>B15-L15</f>
        <v>-0.14277817312491009</v>
      </c>
      <c r="S15" s="279">
        <f>IF(Rules!B20=Rules!E20,SUM(C15:K15)*B4*F4,SUM(C15:K15)*B4*F4*POWER(O2,A15-1))</f>
        <v>3.1514588621897315</v>
      </c>
      <c r="T15" s="261">
        <f>IF(Rules!B20=Rules!E20,SUM(C15:K15)*D4*H4,SUM(C15:K15)*D4*H4*POWER(O2,A15-1))</f>
        <v>-12.039282914458617</v>
      </c>
      <c r="U15" s="275">
        <f t="shared" si="0"/>
        <v>-42.26315268367658</v>
      </c>
      <c r="V15" s="93">
        <f>(U15+W15*L15)/B15</f>
        <v>-86.606872902277502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0.42867940840834518</v>
      </c>
      <c r="C16" s="131">
        <f>1/(1-D4*B4/(1-D4*B4/(1-D4*B4/(1-D4*B4/(1-D4*B4/(1-D4*B4/(1-D4*B4/(1-D4*B4/(1-D4*B4)))))))))</f>
        <v>1.4285595339262953</v>
      </c>
      <c r="D16" s="139">
        <f>C16*D4*C15</f>
        <v>1.4281600562960479</v>
      </c>
      <c r="E16" s="110">
        <f>D16*D4*C14</f>
        <v>1.4272282883239027</v>
      </c>
      <c r="F16" s="110">
        <f>E16*D4*C13</f>
        <v>1.4250549712513576</v>
      </c>
      <c r="G16" s="110">
        <f>F16*D4*C12</f>
        <v>1.419985783171261</v>
      </c>
      <c r="H16" s="110">
        <f>G16*D4*C11</f>
        <v>1.4081620745573566</v>
      </c>
      <c r="I16" s="110">
        <f>H16*D4*C10</f>
        <v>1.3805836767592128</v>
      </c>
      <c r="J16" s="110">
        <f>I16*D4*C9</f>
        <v>1.3162580028147235</v>
      </c>
      <c r="K16" s="110">
        <f>J16*D4*C8</f>
        <v>1.1662205583373917</v>
      </c>
      <c r="L16" s="110">
        <f>K16*D4</f>
        <v>0.81626332719023209</v>
      </c>
      <c r="M16" s="244">
        <f>L16*D4</f>
        <v>0.57132059159165416</v>
      </c>
      <c r="N16" s="131">
        <f>B16+M16</f>
        <v>0.99999999999999933</v>
      </c>
      <c r="R16" s="280">
        <f>B16-M16</f>
        <v>-0.14264118318330898</v>
      </c>
      <c r="S16" s="281">
        <f>IF(Rules!B20=Rules!E20,SUM(C16:L16)*B4*F4,SUM(C16:L16)*B4*F4*POWER(O2,A16-1))</f>
        <v>3.5329557618760772</v>
      </c>
      <c r="T16" s="262">
        <f>IF(Rules!B20=Rules!E20,SUM(C16:L16)*D4*H4,SUM(C16:L16)*D4*H4*POWER(O2,A16-1))</f>
        <v>-13.496687027016645</v>
      </c>
      <c r="U16" s="275">
        <f t="shared" si="0"/>
        <v>-52.226883948817147</v>
      </c>
      <c r="V16" s="94">
        <f>(U16+W16*M16)/B16</f>
        <v>-108.5045773614423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4</v>
      </c>
      <c r="D21" s="57">
        <f>SUM($C$21:C21)</f>
        <v>4</v>
      </c>
      <c r="E21" s="57">
        <f t="shared" ref="E21:E30" si="3">D21/R7</f>
        <v>-10.003905745462683</v>
      </c>
      <c r="F21" s="8">
        <f t="shared" ref="F21:F30" si="4">U7/E21</f>
        <v>7.5359278821607312E-2</v>
      </c>
      <c r="G21" s="265">
        <f>E21*U7</f>
        <v>7.5418157149816185</v>
      </c>
      <c r="O21" s="100">
        <v>1</v>
      </c>
      <c r="P21" s="108">
        <v>1</v>
      </c>
      <c r="Q21" s="109">
        <f>P21*4+6</f>
        <v>10</v>
      </c>
      <c r="R21" s="57">
        <f>SUM($Q$21)</f>
        <v>10</v>
      </c>
      <c r="S21" s="260">
        <f>R21/R7</f>
        <v>-25.009764363656707</v>
      </c>
      <c r="T21" s="8">
        <f>U7/S21</f>
        <v>3.0143711528642928E-2</v>
      </c>
      <c r="U21" s="265">
        <f>S21*U7</f>
        <v>18.854539287454045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-83.236703751596522</v>
      </c>
      <c r="F22" s="9">
        <f t="shared" si="4"/>
        <v>2.8547087657272621E-2</v>
      </c>
      <c r="G22" s="266">
        <f t="shared" ref="G22:G30" si="5">E22*U8</f>
        <v>197.78418198196604</v>
      </c>
      <c r="O22" s="98">
        <v>2</v>
      </c>
      <c r="P22" s="93">
        <f>Q21</f>
        <v>10</v>
      </c>
      <c r="Q22" s="1">
        <f>P22*3+3</f>
        <v>33</v>
      </c>
      <c r="R22" s="9">
        <f>SUM($Q$21:Q22)</f>
        <v>43</v>
      </c>
      <c r="S22" s="261">
        <f t="shared" ref="S22:S30" si="6">R22/R8</f>
        <v>-178.95891306593251</v>
      </c>
      <c r="T22" s="9">
        <f>U8/S22</f>
        <v>1.3277715189429128E-2</v>
      </c>
      <c r="U22" s="266">
        <f t="shared" ref="U22:U30" si="7">S22*U8</f>
        <v>425.23599126122696</v>
      </c>
    </row>
    <row r="23" spans="1:21" x14ac:dyDescent="0.2">
      <c r="A23" s="97">
        <v>3</v>
      </c>
      <c r="B23" s="93">
        <f t="shared" ref="B23:B30" si="8">C22</f>
        <v>16</v>
      </c>
      <c r="C23" s="1">
        <f t="shared" si="2"/>
        <v>64</v>
      </c>
      <c r="D23" s="9">
        <f>SUM($C$21:C23)</f>
        <v>84</v>
      </c>
      <c r="E23" s="9">
        <f t="shared" si="3"/>
        <v>-460.29871498189277</v>
      </c>
      <c r="F23" s="9">
        <f t="shared" si="4"/>
        <v>1.075339325899235E-2</v>
      </c>
      <c r="G23" s="266">
        <f t="shared" si="5"/>
        <v>2278.3741968337822</v>
      </c>
      <c r="O23" s="98">
        <v>3</v>
      </c>
      <c r="P23" s="93">
        <f t="shared" ref="P23:P30" si="9">Q22</f>
        <v>33</v>
      </c>
      <c r="Q23" s="1">
        <f t="shared" ref="Q23:Q30" si="10">P23*3+3</f>
        <v>102</v>
      </c>
      <c r="R23" s="9">
        <f>SUM($Q$21:Q23)</f>
        <v>145</v>
      </c>
      <c r="S23" s="261">
        <f t="shared" si="6"/>
        <v>-794.56325800445779</v>
      </c>
      <c r="T23" s="9">
        <f t="shared" ref="T23:T30" si="11">U9/S23</f>
        <v>6.2295519569334993E-3</v>
      </c>
      <c r="U23" s="266">
        <f t="shared" si="7"/>
        <v>3932.9078397726007</v>
      </c>
    </row>
    <row r="24" spans="1:21" x14ac:dyDescent="0.2">
      <c r="A24" s="97">
        <v>4</v>
      </c>
      <c r="B24" s="93">
        <f t="shared" si="8"/>
        <v>64</v>
      </c>
      <c r="C24" s="1">
        <f t="shared" si="2"/>
        <v>256</v>
      </c>
      <c r="D24" s="9">
        <f>SUM($C$21:C24)</f>
        <v>340</v>
      </c>
      <c r="E24" s="9">
        <f t="shared" si="3"/>
        <v>-2133.9157264795253</v>
      </c>
      <c r="F24" s="9">
        <f t="shared" si="4"/>
        <v>3.996870357581216E-3</v>
      </c>
      <c r="G24" s="266">
        <f t="shared" si="5"/>
        <v>18200.134182641323</v>
      </c>
      <c r="O24" s="98">
        <v>4</v>
      </c>
      <c r="P24" s="93">
        <f t="shared" si="9"/>
        <v>102</v>
      </c>
      <c r="Q24" s="1">
        <f t="shared" si="10"/>
        <v>309</v>
      </c>
      <c r="R24" s="9">
        <f>SUM($Q$21:Q24)</f>
        <v>454</v>
      </c>
      <c r="S24" s="261">
        <f t="shared" si="6"/>
        <v>-2849.4051171226606</v>
      </c>
      <c r="T24" s="9">
        <f t="shared" si="11"/>
        <v>2.9932509285850516E-3</v>
      </c>
      <c r="U24" s="266">
        <f t="shared" si="7"/>
        <v>24302.532114468118</v>
      </c>
    </row>
    <row r="25" spans="1:21" x14ac:dyDescent="0.2">
      <c r="A25" s="97">
        <v>5</v>
      </c>
      <c r="B25" s="93">
        <f t="shared" si="8"/>
        <v>256</v>
      </c>
      <c r="C25" s="1">
        <f t="shared" si="2"/>
        <v>1024</v>
      </c>
      <c r="D25" s="9">
        <f>SUM($C$21:C25)</f>
        <v>1364</v>
      </c>
      <c r="E25" s="9">
        <f t="shared" si="3"/>
        <v>-9112.8854287002032</v>
      </c>
      <c r="F25" s="9">
        <f t="shared" si="4"/>
        <v>1.4426304758447714E-3</v>
      </c>
      <c r="G25" s="266">
        <f t="shared" si="5"/>
        <v>119802.7874317052</v>
      </c>
      <c r="O25" s="98">
        <v>5</v>
      </c>
      <c r="P25" s="93">
        <f t="shared" si="9"/>
        <v>309</v>
      </c>
      <c r="Q25" s="1">
        <f t="shared" si="10"/>
        <v>930</v>
      </c>
      <c r="R25" s="9">
        <f>SUM($Q$21:Q25)</f>
        <v>1384</v>
      </c>
      <c r="S25" s="261">
        <f t="shared" si="6"/>
        <v>-9246.5054496488865</v>
      </c>
      <c r="T25" s="9">
        <f t="shared" si="11"/>
        <v>1.4217832146331418E-3</v>
      </c>
      <c r="U25" s="266">
        <f t="shared" si="7"/>
        <v>121559.42654360704</v>
      </c>
    </row>
    <row r="26" spans="1:21" x14ac:dyDescent="0.2">
      <c r="A26" s="97">
        <v>6</v>
      </c>
      <c r="B26" s="93">
        <f t="shared" si="8"/>
        <v>1024</v>
      </c>
      <c r="C26" s="1">
        <f t="shared" si="2"/>
        <v>4096</v>
      </c>
      <c r="D26" s="9">
        <f>SUM($C$21:C26)</f>
        <v>5460</v>
      </c>
      <c r="E26" s="9">
        <f t="shared" si="3"/>
        <v>-37502.949923968765</v>
      </c>
      <c r="F26" s="9">
        <f t="shared" si="4"/>
        <v>5.0185153027278867E-4</v>
      </c>
      <c r="G26" s="266">
        <f t="shared" si="5"/>
        <v>705839.75060259039</v>
      </c>
      <c r="O26" s="98">
        <v>6</v>
      </c>
      <c r="P26" s="93">
        <f t="shared" si="9"/>
        <v>930</v>
      </c>
      <c r="Q26" s="1">
        <f t="shared" si="10"/>
        <v>2793</v>
      </c>
      <c r="R26" s="9">
        <f>SUM($Q$21:Q26)</f>
        <v>4177</v>
      </c>
      <c r="S26" s="261">
        <f t="shared" si="6"/>
        <v>-28690.443559050829</v>
      </c>
      <c r="T26" s="9">
        <f t="shared" si="11"/>
        <v>6.5599936683969988E-4</v>
      </c>
      <c r="U26" s="266">
        <f t="shared" si="7"/>
        <v>539980.33667894138</v>
      </c>
    </row>
    <row r="27" spans="1:21" x14ac:dyDescent="0.2">
      <c r="A27" s="97">
        <v>7</v>
      </c>
      <c r="B27" s="93">
        <f t="shared" si="8"/>
        <v>4096</v>
      </c>
      <c r="C27" s="1">
        <f t="shared" si="2"/>
        <v>16384</v>
      </c>
      <c r="D27" s="9">
        <f>SUM($C$21:C27)</f>
        <v>21844</v>
      </c>
      <c r="E27" s="9">
        <f t="shared" si="3"/>
        <v>-151858.85464649956</v>
      </c>
      <c r="F27" s="9">
        <f t="shared" si="4"/>
        <v>1.6832815139508639E-4</v>
      </c>
      <c r="G27" s="266">
        <f t="shared" si="5"/>
        <v>3881834.3073917767</v>
      </c>
      <c r="O27" s="98">
        <v>7</v>
      </c>
      <c r="P27" s="93">
        <f t="shared" si="9"/>
        <v>2793</v>
      </c>
      <c r="Q27" s="1">
        <f t="shared" si="10"/>
        <v>8382</v>
      </c>
      <c r="R27" s="9">
        <f>SUM($Q$21:Q27)</f>
        <v>12559</v>
      </c>
      <c r="S27" s="261">
        <f t="shared" si="6"/>
        <v>-87309.803859429958</v>
      </c>
      <c r="T27" s="9">
        <f t="shared" si="11"/>
        <v>2.9277491353406056E-4</v>
      </c>
      <c r="U27" s="266">
        <f t="shared" si="7"/>
        <v>2231823.7074955744</v>
      </c>
    </row>
    <row r="28" spans="1:21" x14ac:dyDescent="0.2">
      <c r="A28" s="97">
        <v>8</v>
      </c>
      <c r="B28" s="93">
        <f t="shared" si="8"/>
        <v>16384</v>
      </c>
      <c r="C28" s="1">
        <f t="shared" si="2"/>
        <v>65536</v>
      </c>
      <c r="D28" s="9">
        <f>SUM($C$21:C28)</f>
        <v>87380</v>
      </c>
      <c r="E28" s="9">
        <f t="shared" si="3"/>
        <v>-610631.22295357357</v>
      </c>
      <c r="F28" s="9">
        <f t="shared" si="4"/>
        <v>5.4657094784596732E-5</v>
      </c>
      <c r="G28" s="266">
        <f t="shared" si="5"/>
        <v>20380017.738673896</v>
      </c>
      <c r="O28" s="98">
        <v>8</v>
      </c>
      <c r="P28" s="93">
        <f t="shared" si="9"/>
        <v>8382</v>
      </c>
      <c r="Q28" s="1">
        <f t="shared" si="10"/>
        <v>25149</v>
      </c>
      <c r="R28" s="9">
        <f>SUM($Q$21:Q28)</f>
        <v>37708</v>
      </c>
      <c r="S28" s="261">
        <f t="shared" si="6"/>
        <v>-263512.04114366393</v>
      </c>
      <c r="T28" s="9">
        <f t="shared" si="11"/>
        <v>1.2665580095147082E-4</v>
      </c>
      <c r="U28" s="266">
        <f t="shared" si="7"/>
        <v>8794800.971502807</v>
      </c>
    </row>
    <row r="29" spans="1:21" x14ac:dyDescent="0.2">
      <c r="A29" s="97">
        <v>9</v>
      </c>
      <c r="B29" s="93">
        <f t="shared" si="8"/>
        <v>65536</v>
      </c>
      <c r="C29" s="1">
        <f t="shared" si="2"/>
        <v>262144</v>
      </c>
      <c r="D29" s="9">
        <f>SUM($C$21:C29)</f>
        <v>349524</v>
      </c>
      <c r="E29" s="9">
        <f t="shared" si="3"/>
        <v>-2448021.2370711416</v>
      </c>
      <c r="F29" s="9">
        <f t="shared" si="4"/>
        <v>1.7264209984649073E-5</v>
      </c>
      <c r="G29" s="266">
        <f t="shared" si="5"/>
        <v>103461095.31522048</v>
      </c>
      <c r="O29" s="98">
        <v>9</v>
      </c>
      <c r="P29" s="93">
        <f t="shared" si="9"/>
        <v>25149</v>
      </c>
      <c r="Q29" s="1">
        <f t="shared" si="10"/>
        <v>75450</v>
      </c>
      <c r="R29" s="9">
        <f>SUM($Q$21:Q29)</f>
        <v>113158</v>
      </c>
      <c r="S29" s="261">
        <f t="shared" si="6"/>
        <v>-792544.10897247749</v>
      </c>
      <c r="T29" s="9">
        <f t="shared" si="11"/>
        <v>5.3325931270210532E-5</v>
      </c>
      <c r="U29" s="266">
        <f t="shared" si="7"/>
        <v>33495412.686052226</v>
      </c>
    </row>
    <row r="30" spans="1:21" ht="17" thickBot="1" x14ac:dyDescent="0.25">
      <c r="A30" s="131">
        <v>10</v>
      </c>
      <c r="B30" s="94">
        <f t="shared" si="8"/>
        <v>262144</v>
      </c>
      <c r="C30" s="110">
        <f t="shared" si="2"/>
        <v>1048576</v>
      </c>
      <c r="D30" s="10">
        <f>SUM($C$21:C30)</f>
        <v>1398100</v>
      </c>
      <c r="E30" s="10">
        <f t="shared" si="3"/>
        <v>-9801517.1270929091</v>
      </c>
      <c r="F30" s="10">
        <f t="shared" si="4"/>
        <v>5.3284489810719159E-6</v>
      </c>
      <c r="G30" s="267">
        <f t="shared" si="5"/>
        <v>511902697.51902503</v>
      </c>
      <c r="O30" s="99">
        <v>10</v>
      </c>
      <c r="P30" s="94">
        <f t="shared" si="9"/>
        <v>75450</v>
      </c>
      <c r="Q30" s="110">
        <f t="shared" si="10"/>
        <v>226353</v>
      </c>
      <c r="R30" s="10">
        <f>SUM($Q$21:Q30)</f>
        <v>339511</v>
      </c>
      <c r="S30" s="262">
        <f t="shared" si="6"/>
        <v>-2380175.1529478868</v>
      </c>
      <c r="T30" s="10">
        <f t="shared" si="11"/>
        <v>2.1942454060212028E-5</v>
      </c>
      <c r="U30" s="267">
        <f t="shared" si="7"/>
        <v>124309131.49086739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4</v>
      </c>
      <c r="D33" s="57">
        <f>SUM($C$33:C33)</f>
        <v>4</v>
      </c>
      <c r="E33" s="9">
        <f t="shared" ref="E33:E42" si="13">D33/R7</f>
        <v>-10.003905745462683</v>
      </c>
      <c r="F33" s="8">
        <f t="shared" ref="F33:F42" si="14">U7/E33</f>
        <v>7.5359278821607312E-2</v>
      </c>
      <c r="G33" s="268">
        <f>E33*U7</f>
        <v>7.5418157149816185</v>
      </c>
      <c r="O33" s="100">
        <v>1</v>
      </c>
      <c r="P33" s="108">
        <v>1</v>
      </c>
      <c r="Q33" s="109">
        <f>P33*4+6</f>
        <v>10</v>
      </c>
      <c r="R33" s="57">
        <f>SUM($Q$21)</f>
        <v>10</v>
      </c>
      <c r="S33" s="260">
        <f>R33/R7</f>
        <v>-25.009764363656707</v>
      </c>
      <c r="T33" s="8">
        <f>U7/S33</f>
        <v>3.0143711528642928E-2</v>
      </c>
      <c r="U33" s="268">
        <f>S33*U7</f>
        <v>18.854539287454045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-99.884044501915824</v>
      </c>
      <c r="F34" s="9">
        <f t="shared" si="14"/>
        <v>2.378923971439385E-2</v>
      </c>
      <c r="G34" s="266">
        <f t="shared" ref="G34:G42" si="16">E34*U8</f>
        <v>237.34101837835925</v>
      </c>
      <c r="O34" s="98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61">
        <f>R34/R8</f>
        <v>-249.71011125478955</v>
      </c>
      <c r="T34" s="9">
        <f t="shared" ref="T34:T42" si="18">U8/S34</f>
        <v>9.5156958857575413E-3</v>
      </c>
      <c r="U34" s="266">
        <f t="shared" ref="U34:U42" si="19">S34*U8</f>
        <v>593.3525459458981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-679.4885792589846</v>
      </c>
      <c r="F35" s="9">
        <f t="shared" si="14"/>
        <v>7.2845567238335272E-3</v>
      </c>
      <c r="G35" s="266">
        <f t="shared" si="16"/>
        <v>3363.3142905641553</v>
      </c>
      <c r="O35" s="98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61">
        <f t="shared" ref="S35:S42" si="21">R35/R9</f>
        <v>-1479.5315838703696</v>
      </c>
      <c r="T35" s="9">
        <f t="shared" si="18"/>
        <v>3.3455001250198421E-3</v>
      </c>
      <c r="U35" s="266">
        <f t="shared" si="19"/>
        <v>7323.3456326800142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-3916.3629803624235</v>
      </c>
      <c r="F36" s="9">
        <f t="shared" si="14"/>
        <v>2.1777819256051495E-3</v>
      </c>
      <c r="G36" s="266">
        <f t="shared" si="16"/>
        <v>33402.599205788785</v>
      </c>
      <c r="O36" s="98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61">
        <f t="shared" si="21"/>
        <v>-7029.3694519325545</v>
      </c>
      <c r="T36" s="9">
        <f t="shared" si="18"/>
        <v>1.2133356442657261E-3</v>
      </c>
      <c r="U36" s="266">
        <f t="shared" si="19"/>
        <v>59953.383189877299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-20871.447272184338</v>
      </c>
      <c r="F37" s="9">
        <f t="shared" si="14"/>
        <v>6.2988091198856212E-4</v>
      </c>
      <c r="G37" s="266">
        <f t="shared" si="16"/>
        <v>274387.02927906677</v>
      </c>
      <c r="O37" s="98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61">
        <f t="shared" si="21"/>
        <v>-30264.934744876773</v>
      </c>
      <c r="T37" s="9">
        <f t="shared" si="18"/>
        <v>4.3438145012191355E-4</v>
      </c>
      <c r="U37" s="266">
        <f t="shared" si="19"/>
        <v>397878.75884576584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-107316.13362858754</v>
      </c>
      <c r="F38" s="9">
        <f t="shared" si="14"/>
        <v>1.7537822294479174E-4</v>
      </c>
      <c r="G38" s="266">
        <f t="shared" si="16"/>
        <v>2019787.594032028</v>
      </c>
      <c r="O38" s="98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61">
        <f t="shared" si="21"/>
        <v>-124872.45963695094</v>
      </c>
      <c r="T38" s="9">
        <f t="shared" si="18"/>
        <v>1.5072108664958341E-4</v>
      </c>
      <c r="U38" s="266">
        <f t="shared" si="19"/>
        <v>2350213.6750833504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-543115.78284211364</v>
      </c>
      <c r="F39" s="9">
        <f t="shared" si="14"/>
        <v>4.7065692221011052E-5</v>
      </c>
      <c r="G39" s="266">
        <f t="shared" si="16"/>
        <v>13883190.964597836</v>
      </c>
      <c r="O39" s="98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61">
        <f t="shared" si="21"/>
        <v>-506033.96949820098</v>
      </c>
      <c r="T39" s="9">
        <f t="shared" si="18"/>
        <v>5.0514633041273072E-5</v>
      </c>
      <c r="U39" s="266">
        <f t="shared" si="19"/>
        <v>12935301.191862635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-2729768.9498170828</v>
      </c>
      <c r="F40" s="9">
        <f t="shared" si="14"/>
        <v>1.2226429871892314E-5</v>
      </c>
      <c r="G40" s="266">
        <f t="shared" si="16"/>
        <v>91106935.787957788</v>
      </c>
      <c r="O40" s="98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61">
        <f t="shared" si="21"/>
        <v>-2035251.0571412081</v>
      </c>
      <c r="T40" s="9">
        <f t="shared" si="18"/>
        <v>1.6398629797685972E-5</v>
      </c>
      <c r="U40" s="266">
        <f t="shared" si="19"/>
        <v>67927172.879507735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-13679429.8263734</v>
      </c>
      <c r="F41" s="9">
        <f t="shared" si="14"/>
        <v>3.0895405159500795E-6</v>
      </c>
      <c r="G41" s="266">
        <f t="shared" si="16"/>
        <v>578135831.37765837</v>
      </c>
      <c r="O41" s="98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61">
        <f t="shared" si="21"/>
        <v>-8159860.6740874257</v>
      </c>
      <c r="T41" s="9">
        <f t="shared" si="18"/>
        <v>5.1793963612501464E-6</v>
      </c>
      <c r="U41" s="266">
        <f t="shared" si="19"/>
        <v>344861437.54648495</v>
      </c>
    </row>
    <row r="42" spans="1:21" ht="17" thickBot="1" x14ac:dyDescent="0.25">
      <c r="A42" s="131">
        <v>10</v>
      </c>
      <c r="B42" s="94">
        <f t="shared" si="15"/>
        <v>1953125</v>
      </c>
      <c r="C42" s="110">
        <f t="shared" si="12"/>
        <v>7812500</v>
      </c>
      <c r="D42" s="10">
        <f>SUM($C$33:C42)</f>
        <v>9765624</v>
      </c>
      <c r="E42" s="9">
        <f t="shared" si="13"/>
        <v>-68462864.52524823</v>
      </c>
      <c r="F42" s="10">
        <f t="shared" si="14"/>
        <v>7.628498210085343E-7</v>
      </c>
      <c r="G42" s="267">
        <f t="shared" si="16"/>
        <v>3575602080.3637295</v>
      </c>
      <c r="O42" s="99">
        <v>10</v>
      </c>
      <c r="P42" s="94">
        <f t="shared" si="20"/>
        <v>873811</v>
      </c>
      <c r="Q42" s="110">
        <f t="shared" si="17"/>
        <v>3495250</v>
      </c>
      <c r="R42" s="10">
        <f>SUM($Q$33:Q42)</f>
        <v>4660300</v>
      </c>
      <c r="S42" s="262">
        <f t="shared" si="21"/>
        <v>-32671490.070374854</v>
      </c>
      <c r="T42" s="10">
        <f t="shared" si="18"/>
        <v>1.5985461280253732E-6</v>
      </c>
      <c r="U42" s="267">
        <f t="shared" si="19"/>
        <v>1706330120.3403993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4</v>
      </c>
      <c r="D45" s="57">
        <f>SUM(C45:C45)</f>
        <v>4</v>
      </c>
      <c r="E45" s="57">
        <f t="shared" ref="E45:E54" si="23">D45/R7</f>
        <v>-10.003905745462683</v>
      </c>
      <c r="F45" s="8">
        <f t="shared" ref="F45:F54" si="24">U7/E45</f>
        <v>7.5359278821607312E-2</v>
      </c>
      <c r="G45" s="265">
        <f>E45*U7</f>
        <v>7.5418157149816185</v>
      </c>
      <c r="O45" s="100">
        <v>1</v>
      </c>
      <c r="P45" s="108">
        <v>1</v>
      </c>
      <c r="Q45" s="109">
        <f>P45*4+6</f>
        <v>10</v>
      </c>
      <c r="R45" s="57">
        <f>SUM($Q$21)</f>
        <v>10</v>
      </c>
      <c r="S45" s="260">
        <f>R45/R7</f>
        <v>-25.009764363656707</v>
      </c>
      <c r="T45" s="8">
        <f>U7/S45</f>
        <v>3.0143711528642928E-2</v>
      </c>
      <c r="U45" s="268">
        <f>S45*U7</f>
        <v>18.854539287454045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-149.82606675287374</v>
      </c>
      <c r="F46" s="9">
        <f t="shared" si="24"/>
        <v>1.5859493142929233E-2</v>
      </c>
      <c r="G46" s="266">
        <f t="shared" ref="G46:G54" si="26">E46*U8</f>
        <v>356.01152756753891</v>
      </c>
      <c r="O46" s="98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61">
        <f t="shared" ref="S46:S54" si="28">R46/R8</f>
        <v>-399.5361780076633</v>
      </c>
      <c r="T46" s="9">
        <f t="shared" ref="T46:T54" si="29">U8/S46</f>
        <v>5.9473099285984625E-3</v>
      </c>
      <c r="U46" s="266">
        <f t="shared" ref="U46:U54" si="30">S46*U8</f>
        <v>949.36407351343701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-1600.0860092227701</v>
      </c>
      <c r="F47" s="9">
        <f t="shared" si="24"/>
        <v>3.0934418964224568E-3</v>
      </c>
      <c r="G47" s="266">
        <f t="shared" si="26"/>
        <v>7920.0626842317197</v>
      </c>
      <c r="O47" s="98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61">
        <f t="shared" si="28"/>
        <v>-4328.9998194725631</v>
      </c>
      <c r="T47" s="9">
        <f t="shared" si="29"/>
        <v>1.1433987769055157E-3</v>
      </c>
      <c r="U47" s="266">
        <f t="shared" si="30"/>
        <v>21427.566851174859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-14686.361176359087</v>
      </c>
      <c r="F48" s="9">
        <f t="shared" si="24"/>
        <v>5.8074184682803994E-4</v>
      </c>
      <c r="G48" s="266">
        <f t="shared" si="26"/>
        <v>125259.74702170792</v>
      </c>
      <c r="O48" s="98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61">
        <f t="shared" si="28"/>
        <v>-39841.461857917726</v>
      </c>
      <c r="T48" s="9">
        <f t="shared" si="29"/>
        <v>2.1407308153396557E-4</v>
      </c>
      <c r="U48" s="266">
        <f t="shared" si="30"/>
        <v>339807.21115119738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-125095.06361215733</v>
      </c>
      <c r="F49" s="9">
        <f t="shared" si="24"/>
        <v>1.0509228631981779E-4</v>
      </c>
      <c r="G49" s="266">
        <f t="shared" si="26"/>
        <v>1644565.5365624989</v>
      </c>
      <c r="O49" s="98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61">
        <f t="shared" si="28"/>
        <v>-339515.11122850946</v>
      </c>
      <c r="T49" s="9">
        <f t="shared" si="29"/>
        <v>3.8721476033143145E-5</v>
      </c>
      <c r="U49" s="266">
        <f t="shared" si="30"/>
        <v>4463444.3194313748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-1028899.6129690156</v>
      </c>
      <c r="F50" s="9">
        <f t="shared" si="24"/>
        <v>1.8292273193472629E-5</v>
      </c>
      <c r="G50" s="266">
        <f t="shared" si="26"/>
        <v>19364829.904993705</v>
      </c>
      <c r="O50" s="98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61">
        <f t="shared" si="28"/>
        <v>-2792692.1963162851</v>
      </c>
      <c r="T50" s="9">
        <f t="shared" si="29"/>
        <v>6.739343789449231E-6</v>
      </c>
      <c r="U50" s="266">
        <f t="shared" si="30"/>
        <v>52561016.329487838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-8331047.3979323823</v>
      </c>
      <c r="F51" s="9">
        <f t="shared" si="24"/>
        <v>3.0682961042766911E-6</v>
      </c>
      <c r="G51" s="266">
        <f t="shared" si="26"/>
        <v>212959235.60784188</v>
      </c>
      <c r="O51" s="98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61">
        <f t="shared" si="28"/>
        <v>-22612801.225419004</v>
      </c>
      <c r="T51" s="9">
        <f t="shared" si="29"/>
        <v>1.1304269657173684E-6</v>
      </c>
      <c r="U51" s="266">
        <f t="shared" si="30"/>
        <v>578031144.69285679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-66995986.745610557</v>
      </c>
      <c r="F52" s="9">
        <f t="shared" si="24"/>
        <v>4.9816907329295174E-7</v>
      </c>
      <c r="G52" s="266">
        <f t="shared" si="26"/>
        <v>2236013074.6201863</v>
      </c>
      <c r="O52" s="98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61">
        <f t="shared" si="28"/>
        <v>-181846201.81881905</v>
      </c>
      <c r="T52" s="9">
        <f t="shared" si="29"/>
        <v>1.8353602273563526E-7</v>
      </c>
      <c r="U52" s="266">
        <f t="shared" si="30"/>
        <v>6069176746.0763721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-537167848.00784862</v>
      </c>
      <c r="F53" s="9">
        <f t="shared" si="24"/>
        <v>7.8677740747914364E-8</v>
      </c>
      <c r="G53" s="266">
        <f t="shared" si="26"/>
        <v>22702406777.11768</v>
      </c>
      <c r="O53" s="98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61">
        <f t="shared" si="28"/>
        <v>-1458026961.9914362</v>
      </c>
      <c r="T53" s="9">
        <f t="shared" si="29"/>
        <v>2.8986537139170416E-8</v>
      </c>
      <c r="U53" s="266">
        <f t="shared" si="30"/>
        <v>61620816111.56118</v>
      </c>
    </row>
    <row r="54" spans="1:21" ht="17" thickBot="1" x14ac:dyDescent="0.25">
      <c r="A54" s="131">
        <v>10</v>
      </c>
      <c r="B54" s="94">
        <f t="shared" si="25"/>
        <v>134217728</v>
      </c>
      <c r="C54" s="110">
        <f t="shared" si="22"/>
        <v>536870912</v>
      </c>
      <c r="D54" s="10">
        <f>SUM($C$45:C54)</f>
        <v>613566756</v>
      </c>
      <c r="E54" s="10">
        <f t="shared" si="23"/>
        <v>-4301469900.2566595</v>
      </c>
      <c r="F54" s="10">
        <f t="shared" si="24"/>
        <v>1.2141636500978626E-8</v>
      </c>
      <c r="G54" s="267">
        <f t="shared" si="26"/>
        <v>224652369290.03464</v>
      </c>
      <c r="O54" s="99">
        <v>10</v>
      </c>
      <c r="P54" s="94">
        <f t="shared" si="31"/>
        <v>364305260</v>
      </c>
      <c r="Q54" s="110">
        <f t="shared" si="27"/>
        <v>1457221046</v>
      </c>
      <c r="R54" s="10">
        <f>SUM($Q$45:Q54)</f>
        <v>1665395472</v>
      </c>
      <c r="S54" s="262">
        <f t="shared" si="28"/>
        <v>-11675418240.605806</v>
      </c>
      <c r="T54" s="10">
        <f t="shared" si="29"/>
        <v>4.4732345233833124E-9</v>
      </c>
      <c r="U54" s="267">
        <f t="shared" si="30"/>
        <v>609770713506.02234</v>
      </c>
    </row>
  </sheetData>
  <mergeCells count="2">
    <mergeCell ref="A18:F18"/>
    <mergeCell ref="O18:T18"/>
  </mergeCells>
  <conditionalFormatting sqref="F45:F54">
    <cfRule type="cellIs" dxfId="503" priority="61" operator="equal">
      <formula>MAX($F$45:$F$54)</formula>
    </cfRule>
  </conditionalFormatting>
  <conditionalFormatting sqref="F21:F30">
    <cfRule type="cellIs" dxfId="502" priority="59" operator="equal">
      <formula>MAX($F$21:$F$30)</formula>
    </cfRule>
  </conditionalFormatting>
  <conditionalFormatting sqref="E33:E42">
    <cfRule type="cellIs" dxfId="501" priority="55" stopIfTrue="1" operator="lessThan">
      <formula>0</formula>
    </cfRule>
    <cfRule type="cellIs" dxfId="500" priority="56" operator="equal">
      <formula>MIN($E$33:$E$42)</formula>
    </cfRule>
  </conditionalFormatting>
  <conditionalFormatting sqref="E21:E30">
    <cfRule type="cellIs" dxfId="499" priority="51" stopIfTrue="1" operator="lessThan">
      <formula>0</formula>
    </cfRule>
    <cfRule type="cellIs" dxfId="498" priority="52" operator="equal">
      <formula>MIN($E$21:$E$30)</formula>
    </cfRule>
  </conditionalFormatting>
  <conditionalFormatting sqref="E45:E54">
    <cfRule type="cellIs" dxfId="497" priority="47" stopIfTrue="1" operator="lessThan">
      <formula>0</formula>
    </cfRule>
    <cfRule type="cellIs" dxfId="496" priority="48" operator="equal">
      <formula>MIN($E$45:$E$54)</formula>
    </cfRule>
  </conditionalFormatting>
  <conditionalFormatting sqref="F33:F42">
    <cfRule type="cellIs" dxfId="495" priority="37" operator="lessThanOrEqual">
      <formula>0</formula>
    </cfRule>
    <cfRule type="cellIs" dxfId="494" priority="38" operator="equal">
      <formula>MAX($F$33:$F$42)</formula>
    </cfRule>
  </conditionalFormatting>
  <conditionalFormatting sqref="R7:R16">
    <cfRule type="cellIs" dxfId="493" priority="31" operator="lessThanOrEqual">
      <formula>0</formula>
    </cfRule>
    <cfRule type="cellIs" dxfId="492" priority="32" operator="greaterThan">
      <formula>0</formula>
    </cfRule>
  </conditionalFormatting>
  <conditionalFormatting sqref="T21:T30">
    <cfRule type="cellIs" dxfId="491" priority="21" operator="equal">
      <formula>MAX($T$21:$T$30)</formula>
    </cfRule>
  </conditionalFormatting>
  <conditionalFormatting sqref="S33:S42">
    <cfRule type="cellIs" dxfId="490" priority="19" stopIfTrue="1" operator="lessThan">
      <formula>0</formula>
    </cfRule>
    <cfRule type="cellIs" dxfId="489" priority="20" operator="equal">
      <formula>MIN($E$21:$E$30)</formula>
    </cfRule>
  </conditionalFormatting>
  <conditionalFormatting sqref="T33:T42">
    <cfRule type="cellIs" dxfId="488" priority="18" operator="equal">
      <formula>MAX($T$21:$T$30)</formula>
    </cfRule>
  </conditionalFormatting>
  <conditionalFormatting sqref="S45:S54">
    <cfRule type="cellIs" dxfId="487" priority="16" stopIfTrue="1" operator="lessThan">
      <formula>0</formula>
    </cfRule>
    <cfRule type="cellIs" dxfId="486" priority="17" operator="equal">
      <formula>MIN($E$21:$E$30)</formula>
    </cfRule>
  </conditionalFormatting>
  <conditionalFormatting sqref="T45:T54">
    <cfRule type="cellIs" dxfId="485" priority="15" operator="equal">
      <formula>MAX($T$21:$T$30)</formula>
    </cfRule>
  </conditionalFormatting>
  <conditionalFormatting sqref="S21:S30">
    <cfRule type="cellIs" dxfId="484" priority="13" stopIfTrue="1" operator="lessThan">
      <formula>0</formula>
    </cfRule>
    <cfRule type="cellIs" dxfId="483" priority="14" operator="equal">
      <formula>MIN($E$21:$E$30)</formula>
    </cfRule>
  </conditionalFormatting>
  <conditionalFormatting sqref="U7:U16">
    <cfRule type="cellIs" dxfId="482" priority="9" operator="lessThanOrEqual">
      <formula>0</formula>
    </cfRule>
    <cfRule type="cellIs" dxfId="481" priority="10" operator="greaterThan">
      <formula>0</formula>
    </cfRule>
  </conditionalFormatting>
  <conditionalFormatting sqref="S7:T16">
    <cfRule type="cellIs" dxfId="480" priority="1" operator="lessThanOrEqual">
      <formula>0</formula>
    </cfRule>
    <cfRule type="cellIs" dxfId="47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Analysis!B43</f>
        <v>0.32076649222584069</v>
      </c>
      <c r="D2" s="135" t="s">
        <v>126</v>
      </c>
      <c r="E2" s="141">
        <f>Analysis!J43</f>
        <v>0.67923350777415936</v>
      </c>
      <c r="F2" s="135" t="s">
        <v>47</v>
      </c>
      <c r="G2" s="141">
        <f>Analysis!S43</f>
        <v>1.1414493009207187</v>
      </c>
      <c r="H2" t="s">
        <v>155</v>
      </c>
      <c r="I2" s="155">
        <f>Analysis!T43</f>
        <v>-1.8695207546610051</v>
      </c>
      <c r="J2" t="s">
        <v>48</v>
      </c>
      <c r="K2" s="155">
        <f>C2*G2+E2*I2</f>
        <v>-0.90370245173501096</v>
      </c>
      <c r="L2" t="s">
        <v>47</v>
      </c>
      <c r="M2" s="162">
        <v>3</v>
      </c>
      <c r="N2" t="s">
        <v>155</v>
      </c>
      <c r="O2" s="162">
        <v>5</v>
      </c>
    </row>
    <row r="4" spans="1:23" x14ac:dyDescent="0.2">
      <c r="A4" t="s">
        <v>123</v>
      </c>
      <c r="B4">
        <f>$C$2</f>
        <v>0.32076649222584069</v>
      </c>
      <c r="C4" t="s">
        <v>124</v>
      </c>
      <c r="D4">
        <f>$E$2</f>
        <v>0.67923350777415936</v>
      </c>
      <c r="E4" t="s">
        <v>47</v>
      </c>
      <c r="F4">
        <f>G2</f>
        <v>1.1414493009207187</v>
      </c>
      <c r="G4" t="s">
        <v>155</v>
      </c>
      <c r="H4">
        <f>I2</f>
        <v>-1.8695207546610051</v>
      </c>
      <c r="I4" t="s">
        <v>48</v>
      </c>
      <c r="J4">
        <f>K2</f>
        <v>-0.90370245173501096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0.32076649222584069</v>
      </c>
      <c r="C7" s="95">
        <v>1</v>
      </c>
      <c r="D7" s="22">
        <f>C7*D4</f>
        <v>0.67923350777415936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-0.35846701554831867</v>
      </c>
      <c r="S7" s="277">
        <f>IF(Rules!B20=Rules!E20,SUM(C7)*B4*F4,SUM(C7)*B4*F4*POWER(O2,A7-1))</f>
        <v>0.36613868830997703</v>
      </c>
      <c r="T7" s="260">
        <f>IF(Rules!B20=Rules!E20,SUM(C7)*D4*H4,SUM(C7)*D4*H4*POWER(O2,A7-1))</f>
        <v>-1.269841140044988</v>
      </c>
      <c r="U7" s="274">
        <f>S7+T7</f>
        <v>-0.90370245173501096</v>
      </c>
      <c r="V7" s="108">
        <f>(U7+W7*D7)/B7</f>
        <v>-0.69978925293359728</v>
      </c>
      <c r="W7" s="57">
        <f>COUNT(D7:M7)</f>
        <v>1</v>
      </c>
    </row>
    <row r="8" spans="1:23" x14ac:dyDescent="0.2">
      <c r="A8" s="98">
        <v>2</v>
      </c>
      <c r="B8" s="97">
        <f>C8*B4</f>
        <v>0.41012195702961274</v>
      </c>
      <c r="C8" s="97">
        <f>1/(1-B4*D4)</f>
        <v>1.2785685754884271</v>
      </c>
      <c r="D8" s="130">
        <f>C8*D4</f>
        <v>0.86844661845881443</v>
      </c>
      <c r="E8" s="1">
        <f>D8*D4</f>
        <v>0.58987804297038759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1.0000000000000004</v>
      </c>
      <c r="R8" s="278">
        <f>B8-E8</f>
        <v>-0.17975608594077486</v>
      </c>
      <c r="S8" s="279">
        <f>IF(Rules!B20=Rules!E20,SUM(C8:D8)*B4*F4,SUM(C8:D8)*B4*F4*POWER(O2,A8-1))</f>
        <v>0.78610532689343393</v>
      </c>
      <c r="T8" s="261">
        <f>IF(Rules!B20=Rules!E20,SUM(C8:D8)*D4*H4,SUM(C8:D8)*D4*H4*POWER(O2,A8-1))</f>
        <v>-2.7263682215758767</v>
      </c>
      <c r="U8" s="275">
        <f>S8+T8+U7</f>
        <v>-2.8439653464174537</v>
      </c>
      <c r="V8" s="93">
        <f>(U8+W8*E8)/B8</f>
        <v>-4.0578399472440703</v>
      </c>
      <c r="W8" s="9">
        <f>COUNT(D8:M8)</f>
        <v>2</v>
      </c>
    </row>
    <row r="9" spans="1:23" x14ac:dyDescent="0.2">
      <c r="A9" s="98">
        <v>3</v>
      </c>
      <c r="B9" s="97">
        <f>C9*B4</f>
        <v>0.44462506251790668</v>
      </c>
      <c r="C9" s="97">
        <f>1/(1-D4*B4/(1-D4*B4))</f>
        <v>1.3861331320257149</v>
      </c>
      <c r="D9" s="130">
        <f>C9*D4*C8</f>
        <v>1.2037826312414575</v>
      </c>
      <c r="E9" s="1">
        <f>D9*(D4)</f>
        <v>0.81764949921574248</v>
      </c>
      <c r="F9" s="1">
        <f>E9*D4</f>
        <v>0.55537493748209354</v>
      </c>
      <c r="G9" s="1"/>
      <c r="H9" s="1"/>
      <c r="I9" s="1"/>
      <c r="J9" s="1"/>
      <c r="K9" s="1"/>
      <c r="L9" s="1"/>
      <c r="M9" s="242"/>
      <c r="N9" s="97">
        <f>B9+F9</f>
        <v>1.0000000000000002</v>
      </c>
      <c r="R9" s="278">
        <f>B9-F9</f>
        <v>-0.11074987496418687</v>
      </c>
      <c r="S9" s="279">
        <f>IF(Rules!B20=Rules!E20,SUM(C9:E9)*B4*F4,SUM(C9:E9)*B4*F4*POWER(O2,A9-1))</f>
        <v>1.2476414755361371</v>
      </c>
      <c r="T9" s="261">
        <f>IF(Rules!B20=Rules!E20,SUM(C9:E9)*D4*H4,SUM(C9:E9)*D4*H4*POWER(O2,A9-1))</f>
        <v>-4.3270665576890037</v>
      </c>
      <c r="U9" s="275">
        <f t="shared" ref="U9:U16" si="0">S9+T9+U8</f>
        <v>-5.9233904285703201</v>
      </c>
      <c r="V9" s="93">
        <f>(U9+W9*F9)/B9</f>
        <v>-9.5749564633518229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0.45955364058414222</v>
      </c>
      <c r="C10" s="97">
        <f>1/(1-D4*B4/(1-D4*B4/(1-D4*B4)))</f>
        <v>1.4326734609816609</v>
      </c>
      <c r="D10" s="130">
        <f>C10*D4*C9</f>
        <v>1.3488736244839139</v>
      </c>
      <c r="E10" s="1">
        <f>D10*D4*C8</f>
        <v>1.1714247379113396</v>
      </c>
      <c r="F10" s="1">
        <f>E10*D4</f>
        <v>0.79567093382494447</v>
      </c>
      <c r="G10" s="1">
        <f>F10*D4</f>
        <v>0.54044635941585806</v>
      </c>
      <c r="H10" s="1"/>
      <c r="I10" s="1"/>
      <c r="J10" s="1"/>
      <c r="K10" s="1"/>
      <c r="L10" s="1"/>
      <c r="M10" s="242"/>
      <c r="N10" s="97">
        <f>B10+G10</f>
        <v>1.0000000000000002</v>
      </c>
      <c r="R10" s="278">
        <f>B10-G10</f>
        <v>-8.0892718831715837E-2</v>
      </c>
      <c r="S10" s="279">
        <f>IF(Rules!B20=Rules!E20,SUM(C10:F10)*B4*F4,SUM(C10:F10)*B4*F4*POWER(O2,A10-1))</f>
        <v>1.7386618303745613</v>
      </c>
      <c r="T10" s="261">
        <f>IF(Rules!B20=Rules!E20,SUM(C10:F10)*D4*H4,SUM(C10:F10)*D4*H4*POWER(O2,A10-1))</f>
        <v>-6.030021932471584</v>
      </c>
      <c r="U10" s="275">
        <f t="shared" si="0"/>
        <v>-10.214750530667342</v>
      </c>
      <c r="V10" s="93">
        <f>(U10+W10*G10)/B10</f>
        <v>-17.52344967339987</v>
      </c>
      <c r="W10" s="9">
        <f t="shared" si="1"/>
        <v>4</v>
      </c>
    </row>
    <row r="11" spans="1:23" x14ac:dyDescent="0.2">
      <c r="A11" s="98">
        <v>5</v>
      </c>
      <c r="B11" s="97">
        <f>C11*B4</f>
        <v>0.46632812694745124</v>
      </c>
      <c r="C11" s="97">
        <f>1/(1-D4*B4/(1-D4*B4/(1-D4*B4/(1-D4*B4))))</f>
        <v>1.4537931431414151</v>
      </c>
      <c r="D11" s="130">
        <f>C11*D4*C10</f>
        <v>1.4147149223489182</v>
      </c>
      <c r="E11" s="1">
        <f>D11*D4*C9</f>
        <v>1.3319655154446188</v>
      </c>
      <c r="F11" s="1">
        <f>E11*D4*C8</f>
        <v>1.1567409477916308</v>
      </c>
      <c r="G11" s="1">
        <f>F11*D4</f>
        <v>0.78569721155451511</v>
      </c>
      <c r="H11" s="1">
        <f>G11*D4</f>
        <v>0.53367187305254904</v>
      </c>
      <c r="I11" s="1"/>
      <c r="J11" s="1"/>
      <c r="K11" s="1"/>
      <c r="L11" s="1"/>
      <c r="M11" s="242"/>
      <c r="N11" s="97">
        <f>B11+H11</f>
        <v>1.0000000000000002</v>
      </c>
      <c r="R11" s="278">
        <f>B11-H11</f>
        <v>-6.7343746105097801E-2</v>
      </c>
      <c r="S11" s="279">
        <f>IF(Rules!B20=Rules!E20,SUM(C11:G11)*B4*F4,SUM(C11:G11)*B4*F4*POWER(O2,A11-1))</f>
        <v>2.2491576469904797</v>
      </c>
      <c r="T11" s="261">
        <f>IF(Rules!B20=Rules!E20,SUM(C11:G11)*D4*H4,SUM(C11:G11)*D4*H4*POWER(O2,A11-1))</f>
        <v>-7.800522047474292</v>
      </c>
      <c r="U11" s="275">
        <f t="shared" si="0"/>
        <v>-15.766114931151154</v>
      </c>
      <c r="V11" s="93">
        <f>(U11+W11*H11)/B11</f>
        <v>-28.086994562445398</v>
      </c>
      <c r="W11" s="9">
        <f t="shared" si="1"/>
        <v>5</v>
      </c>
    </row>
    <row r="12" spans="1:23" x14ac:dyDescent="0.2">
      <c r="A12" s="98">
        <v>6</v>
      </c>
      <c r="B12" s="97">
        <f>C12*B4</f>
        <v>0.46946866967156831</v>
      </c>
      <c r="C12" s="97">
        <f>1/(1-D4*B4/(1-D4*B4/(1-D4*B4/(1-D4*B4/(1-D4*B4)))))</f>
        <v>1.4635838874997937</v>
      </c>
      <c r="D12" s="130">
        <f>C12*D4*C11</f>
        <v>1.4452378871712086</v>
      </c>
      <c r="E12" s="1">
        <f>D12*D4*C10</f>
        <v>1.406389633195736</v>
      </c>
      <c r="F12" s="1">
        <f>E12*D4*C9</f>
        <v>1.3241271885259118</v>
      </c>
      <c r="G12" s="1">
        <f>F12*D4*C8</f>
        <v>1.1499337792847051</v>
      </c>
      <c r="H12" s="1">
        <f>G12*D4</f>
        <v>0.78107355461154615</v>
      </c>
      <c r="I12" s="1">
        <f>H12*D4</f>
        <v>0.53053133032843192</v>
      </c>
      <c r="J12" s="1"/>
      <c r="K12" s="1"/>
      <c r="L12" s="1"/>
      <c r="M12" s="242"/>
      <c r="N12" s="97">
        <f>B12+I12</f>
        <v>1.0000000000000002</v>
      </c>
      <c r="R12" s="278">
        <f>B12-I12</f>
        <v>-6.106266065686361E-2</v>
      </c>
      <c r="S12" s="279">
        <f>IF(Rules!B20=Rules!E20,SUM(C12:H12)*B4*F4,SUM(C12:H12)*B4*F4*POWER(O2,A12-1))</f>
        <v>2.7717965289687512</v>
      </c>
      <c r="T12" s="261">
        <f>IF(Rules!B20=Rules!E20,SUM(C12:H12)*D4*H4,SUM(C12:H12)*D4*H4*POWER(O2,A12-1))</f>
        <v>-9.6131367066529947</v>
      </c>
      <c r="U12" s="275">
        <f t="shared" si="0"/>
        <v>-22.607455108835396</v>
      </c>
      <c r="V12" s="93">
        <f>(U12+W12*I12)/B12</f>
        <v>-41.375001957965942</v>
      </c>
      <c r="W12" s="9">
        <f t="shared" si="1"/>
        <v>6</v>
      </c>
    </row>
    <row r="13" spans="1:23" x14ac:dyDescent="0.2">
      <c r="A13" s="98">
        <v>7</v>
      </c>
      <c r="B13" s="97">
        <f>C13*B4</f>
        <v>0.47093897001122936</v>
      </c>
      <c r="C13" s="97">
        <f>1/(1-D4*B4/(1-D4*B4/(1-D4*B4/(1-D4*B4/(1-D4*B4/(1-D4*B4))))))</f>
        <v>1.4681675967565133</v>
      </c>
      <c r="D13" s="130">
        <f>C13*D4*C12</f>
        <v>1.4595277502579436</v>
      </c>
      <c r="E13" s="1">
        <f>D13*D4*C11</f>
        <v>1.441232593544</v>
      </c>
      <c r="F13" s="1">
        <f>E13*D4*C10</f>
        <v>1.4024920025805874</v>
      </c>
      <c r="G13" s="1">
        <f>F13*D4*C9</f>
        <v>1.3204575378497889</v>
      </c>
      <c r="H13" s="1">
        <f>G13*D4*C8</f>
        <v>1.146746883564101</v>
      </c>
      <c r="I13" s="1">
        <f>H13*D4</f>
        <v>0.77890890825232983</v>
      </c>
      <c r="J13" s="1">
        <f>I13*D4</f>
        <v>0.5290610299887708</v>
      </c>
      <c r="K13" s="1"/>
      <c r="L13" s="1"/>
      <c r="M13" s="242"/>
      <c r="N13" s="97">
        <f>B13+J13</f>
        <v>1.0000000000000002</v>
      </c>
      <c r="R13" s="278">
        <f>B13-J13</f>
        <v>-5.812205997754144E-2</v>
      </c>
      <c r="S13" s="279">
        <f>IF(Rules!B20=Rules!E20,SUM(C13:I13)*B4*F4,SUM(C13:I13)*B4*F4*POWER(O2,A13-1))</f>
        <v>3.3016678042964931</v>
      </c>
      <c r="T13" s="261">
        <f>IF(Rules!B20=Rules!E20,SUM(C13:I13)*D4*H4,SUM(C13:I13)*D4*H4*POWER(O2,A13-1))</f>
        <v>-11.450834731532648</v>
      </c>
      <c r="U13" s="275">
        <f t="shared" si="0"/>
        <v>-30.756622036071551</v>
      </c>
      <c r="V13" s="93">
        <f>(U13+W13*J13)/B13</f>
        <v>-57.445224432170228</v>
      </c>
      <c r="W13" s="9">
        <f t="shared" si="1"/>
        <v>7</v>
      </c>
    </row>
    <row r="14" spans="1:23" x14ac:dyDescent="0.2">
      <c r="A14" s="98">
        <v>8</v>
      </c>
      <c r="B14" s="97">
        <f>C14*B4</f>
        <v>0.4716304866992026</v>
      </c>
      <c r="C14" s="97">
        <f>1/(1-D4*B4/(1-D4*B4/(1-D4*B4/(1-D4*B4/(1-D4*B4/(1-D4*B4/(1-D4*B4)))))))</f>
        <v>1.4703234225822557</v>
      </c>
      <c r="D14" s="130">
        <f>C14*D4*C13</f>
        <v>1.4662486075731289</v>
      </c>
      <c r="E14" s="1">
        <f>D14*D4*C12</f>
        <v>1.4576200539078934</v>
      </c>
      <c r="F14" s="1">
        <f>E14*D4*C11</f>
        <v>1.4393488101368044</v>
      </c>
      <c r="G14" s="1">
        <f>F14*D4*C10</f>
        <v>1.4006588556097095</v>
      </c>
      <c r="H14" s="1">
        <f>G14*D4*C9</f>
        <v>1.3187316151841135</v>
      </c>
      <c r="I14" s="1">
        <f>H14*D4*C8</f>
        <v>1.1452480118613737</v>
      </c>
      <c r="J14" s="1">
        <f>I14*D4</f>
        <v>0.77789082436798296</v>
      </c>
      <c r="K14" s="1">
        <f>J14*D4</f>
        <v>0.52836951330079762</v>
      </c>
      <c r="L14" s="1"/>
      <c r="M14" s="242"/>
      <c r="N14" s="97">
        <f>B14+K14</f>
        <v>1.0000000000000002</v>
      </c>
      <c r="R14" s="278">
        <f>B14-K14</f>
        <v>-5.6739026601595022E-2</v>
      </c>
      <c r="S14" s="279">
        <f>IF(Rules!B20=Rules!E20,SUM(C14:J14)*B4*F4,SUM(C14:J14)*B4*F4*POWER(O2,A14-1))</f>
        <v>3.8356946021191223</v>
      </c>
      <c r="T14" s="261">
        <f>IF(Rules!B20=Rules!E20,SUM(C14:J14)*D4*H4,SUM(C14:J14)*D4*H4*POWER(O2,A14-1))</f>
        <v>-13.302944927512675</v>
      </c>
      <c r="U14" s="275">
        <f t="shared" si="0"/>
        <v>-40.223872361465105</v>
      </c>
      <c r="V14" s="93">
        <f>(U14+W14*K14)/B14</f>
        <v>-76.324404953102416</v>
      </c>
      <c r="W14" s="9">
        <f t="shared" si="1"/>
        <v>8</v>
      </c>
    </row>
    <row r="15" spans="1:23" x14ac:dyDescent="0.2">
      <c r="A15" s="98">
        <v>9</v>
      </c>
      <c r="B15" s="97">
        <f>C15*B4</f>
        <v>0.47195642586272935</v>
      </c>
      <c r="C15" s="97">
        <f>1/(1-D4*B4/(1-D4*B4/(1-D4*B4/(1-D4*B4/(1-D4*B4/(1-D4*B4/(1-D4*B4/(1-D4*B4))))))))</f>
        <v>1.4713395485537217</v>
      </c>
      <c r="D15" s="130">
        <f>C15*D4*C14</f>
        <v>1.4694164134259624</v>
      </c>
      <c r="E15" s="1">
        <f>D15*D4*C13</f>
        <v>1.4653441120777531</v>
      </c>
      <c r="F15" s="1">
        <f>E15*D4*C12</f>
        <v>1.4567208811714831</v>
      </c>
      <c r="G15" s="1">
        <f>F15*D4*C11</f>
        <v>1.438460908516084</v>
      </c>
      <c r="H15" s="1">
        <f>G15*D4*C10</f>
        <v>1.3997948209440234</v>
      </c>
      <c r="I15" s="1">
        <f>H15*D4*C9</f>
        <v>1.3179181195740357</v>
      </c>
      <c r="J15" s="1">
        <f>I15*D4*C8</f>
        <v>1.1445415343496708</v>
      </c>
      <c r="K15" s="1">
        <f>J15*D4</f>
        <v>0.77741096116954533</v>
      </c>
      <c r="L15" s="1">
        <f>K15*D4</f>
        <v>0.5280435741372711</v>
      </c>
      <c r="M15" s="242"/>
      <c r="N15" s="97">
        <f>B15+L15</f>
        <v>1.0000000000000004</v>
      </c>
      <c r="R15" s="278">
        <f>B15-L15</f>
        <v>-5.6087148274541754E-2</v>
      </c>
      <c r="S15" s="279">
        <f>IF(Rules!B20=Rules!E20,SUM(C15:K15)*B4*F4,SUM(C15:K15)*B4*F4*POWER(O2,A15-1))</f>
        <v>4.3720427815208458</v>
      </c>
      <c r="T15" s="261">
        <f>IF(Rules!B20=Rules!E20,SUM(C15:K15)*D4*H4,SUM(C15:K15)*D4*H4*POWER(O2,A15-1))</f>
        <v>-15.163106132372651</v>
      </c>
      <c r="U15" s="275">
        <f t="shared" si="0"/>
        <v>-51.014935712316912</v>
      </c>
      <c r="V15" s="93">
        <f>(U15+W15*L15)/B15</f>
        <v>-98.022912730797614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0.47211021014512533</v>
      </c>
      <c r="C16" s="131">
        <f>1/(1-D4*B4/(1-D4*B4/(1-D4*B4/(1-D4*B4/(1-D4*B4/(1-D4*B4/(1-D4*B4/(1-D4*B4/(1-D4*B4)))))))))</f>
        <v>1.471818976069136</v>
      </c>
      <c r="D16" s="139">
        <f>C16*D4*C15</f>
        <v>1.4709110443398323</v>
      </c>
      <c r="E16" s="110">
        <f>D16*D4*C14</f>
        <v>1.468988469294555</v>
      </c>
      <c r="F16" s="110">
        <f>E16*D4*C13</f>
        <v>1.4649173539392659</v>
      </c>
      <c r="G16" s="110">
        <f>F16*D4*C12</f>
        <v>1.4562966344116812</v>
      </c>
      <c r="H16" s="110">
        <f>G16*D4*C11</f>
        <v>1.4380419796825459</v>
      </c>
      <c r="I16" s="110">
        <f>H16*D4*C10</f>
        <v>1.3993871529927713</v>
      </c>
      <c r="J16" s="110">
        <f>I16*D4*C9</f>
        <v>1.317534296908252</v>
      </c>
      <c r="K16" s="110">
        <f>J16*D4*C8</f>
        <v>1.144208204853483</v>
      </c>
      <c r="L16" s="110">
        <f>K16*D4</f>
        <v>0.77718455260660513</v>
      </c>
      <c r="M16" s="244">
        <f>L16*D4</f>
        <v>0.52788978985487511</v>
      </c>
      <c r="N16" s="131">
        <f>B16+M16</f>
        <v>1.0000000000000004</v>
      </c>
      <c r="R16" s="280">
        <f>B16-M16</f>
        <v>-5.5779579709749783E-2</v>
      </c>
      <c r="S16" s="281">
        <f>IF(Rules!B20=Rules!E20,SUM(C16:L16)*B4*F4,SUM(C16:L16)*B4*F4*POWER(O2,A16-1))</f>
        <v>4.9096593630088714</v>
      </c>
      <c r="T16" s="262">
        <f>IF(Rules!B20=Rules!E20,SUM(C16:L16)*D4*H4,SUM(C16:L16)*D4*H4*POWER(O2,A16-1))</f>
        <v>-17.027666405680545</v>
      </c>
      <c r="U16" s="275">
        <f t="shared" si="0"/>
        <v>-63.132942754988591</v>
      </c>
      <c r="V16" s="94">
        <f>(U16+W16*M16)/B16</f>
        <v>-122.54351550383898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5</v>
      </c>
      <c r="D21" s="57">
        <f>SUM($C$21:C21)</f>
        <v>5</v>
      </c>
      <c r="E21" s="57">
        <f t="shared" ref="E21:E30" si="3">D21/R7</f>
        <v>-13.948284732283932</v>
      </c>
      <c r="F21" s="8">
        <f t="shared" ref="F21:F30" si="4">U7/E21</f>
        <v>6.4789504163429573E-2</v>
      </c>
      <c r="G21" s="265">
        <f>E21*U7</f>
        <v>12.60509911006301</v>
      </c>
      <c r="O21" s="100">
        <v>1</v>
      </c>
      <c r="P21" s="108">
        <v>1</v>
      </c>
      <c r="Q21" s="109">
        <f>P21*5+10</f>
        <v>15</v>
      </c>
      <c r="R21" s="57">
        <f>SUM($Q$21)</f>
        <v>15</v>
      </c>
      <c r="S21" s="260">
        <f>R21/R7</f>
        <v>-41.844854196851792</v>
      </c>
      <c r="T21" s="8">
        <f>U7/S21</f>
        <v>2.1596501387809861E-2</v>
      </c>
      <c r="U21" s="265">
        <f>S21*U7</f>
        <v>37.815297330189026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-166.89281947251706</v>
      </c>
      <c r="F22" s="9">
        <f t="shared" si="4"/>
        <v>1.7040669307440044E-2</v>
      </c>
      <c r="G22" s="266">
        <f t="shared" ref="G22:G30" si="5">E22*U8</f>
        <v>474.63739514574252</v>
      </c>
      <c r="O22" s="98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61">
        <f t="shared" ref="S22:S30" si="7">R22/R8</f>
        <v>-556.30939824172356</v>
      </c>
      <c r="T22" s="9">
        <f>U8/S22</f>
        <v>5.1122007922320134E-3</v>
      </c>
      <c r="U22" s="266">
        <f t="shared" ref="U22:U30" si="8">S22*U8</f>
        <v>1582.1246504858086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-1399.5501128116152</v>
      </c>
      <c r="F23" s="9">
        <f t="shared" si="4"/>
        <v>4.2323532214724137E-3</v>
      </c>
      <c r="G23" s="266">
        <f t="shared" si="5"/>
        <v>8290.0817425328332</v>
      </c>
      <c r="O23" s="98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61">
        <f t="shared" si="7"/>
        <v>-4830.7052280917042</v>
      </c>
      <c r="T23" s="9">
        <f t="shared" ref="T23:T30" si="11">U9/S23</f>
        <v>1.2261957931368676E-3</v>
      </c>
      <c r="U23" s="266">
        <f t="shared" si="8"/>
        <v>28614.153111323005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-9642.4005926004702</v>
      </c>
      <c r="F24" s="9">
        <f t="shared" si="4"/>
        <v>1.0593576187351197E-3</v>
      </c>
      <c r="G24" s="266">
        <f t="shared" si="5"/>
        <v>98494.716570172735</v>
      </c>
      <c r="O24" s="98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61">
        <f t="shared" si="7"/>
        <v>-33624.781553683693</v>
      </c>
      <c r="T24" s="9">
        <f t="shared" si="11"/>
        <v>3.0378637596080639E-4</v>
      </c>
      <c r="U24" s="266">
        <f t="shared" si="8"/>
        <v>343468.75521906395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-57986.082240001771</v>
      </c>
      <c r="F25" s="9">
        <f t="shared" si="4"/>
        <v>2.7189481203258252E-4</v>
      </c>
      <c r="G25" s="266">
        <f t="shared" si="5"/>
        <v>914215.23700305074</v>
      </c>
      <c r="O25" s="98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61">
        <f t="shared" si="7"/>
        <v>-202765.67298008301</v>
      </c>
      <c r="T25" s="9">
        <f t="shared" si="11"/>
        <v>7.7755345367062236E-5</v>
      </c>
      <c r="U25" s="266">
        <f t="shared" si="8"/>
        <v>3196826.9042961989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-319835.39187306562</v>
      </c>
      <c r="F26" s="9">
        <f t="shared" si="4"/>
        <v>7.0684657430931556E-5</v>
      </c>
      <c r="G26" s="266">
        <f t="shared" si="5"/>
        <v>7230664.2639871081</v>
      </c>
      <c r="O26" s="98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61">
        <f t="shared" si="7"/>
        <v>-1119178.2222532157</v>
      </c>
      <c r="T26" s="9">
        <f t="shared" si="11"/>
        <v>2.0200049160463762E-5</v>
      </c>
      <c r="U26" s="266">
        <f t="shared" si="8"/>
        <v>25301771.418375779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-1680171.0062880465</v>
      </c>
      <c r="F27" s="9">
        <f t="shared" si="4"/>
        <v>1.8305649794553514E-5</v>
      </c>
      <c r="G27" s="266">
        <f t="shared" si="5"/>
        <v>51676384.596367441</v>
      </c>
      <c r="O27" s="98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61">
        <f t="shared" si="7"/>
        <v>-5880297.4315098776</v>
      </c>
      <c r="T27" s="9">
        <f t="shared" si="11"/>
        <v>5.2304534582316539E-6</v>
      </c>
      <c r="U27" s="266">
        <f t="shared" si="8"/>
        <v>180858085.56063163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-8605716.8979750127</v>
      </c>
      <c r="F28" s="9">
        <f t="shared" si="4"/>
        <v>4.674087335005184E-6</v>
      </c>
      <c r="G28" s="266">
        <f t="shared" si="5"/>
        <v>346155258.08305031</v>
      </c>
      <c r="O28" s="98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61">
        <f t="shared" si="7"/>
        <v>-30119656.651846025</v>
      </c>
      <c r="T28" s="9">
        <f t="shared" si="11"/>
        <v>1.335469153131923E-6</v>
      </c>
      <c r="U28" s="266">
        <f t="shared" si="8"/>
        <v>1211529224.735008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-43528777.538296886</v>
      </c>
      <c r="F29" s="9">
        <f t="shared" si="4"/>
        <v>1.1719818151895871E-6</v>
      </c>
      <c r="G29" s="266">
        <f t="shared" si="5"/>
        <v>2220617787.7519603</v>
      </c>
      <c r="O29" s="98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61">
        <f t="shared" si="7"/>
        <v>-152350320.22261992</v>
      </c>
      <c r="T29" s="9">
        <f t="shared" si="11"/>
        <v>3.3485282891281098E-7</v>
      </c>
      <c r="U29" s="266">
        <f t="shared" si="8"/>
        <v>7772141791.9078503</v>
      </c>
    </row>
    <row r="30" spans="1:21" ht="17" thickBot="1" x14ac:dyDescent="0.25">
      <c r="A30" s="131">
        <v>10</v>
      </c>
      <c r="B30" s="94">
        <f t="shared" si="9"/>
        <v>1953125</v>
      </c>
      <c r="C30" s="110">
        <f t="shared" si="2"/>
        <v>9765625</v>
      </c>
      <c r="D30" s="10">
        <f>SUM($C$21:C30)</f>
        <v>12207030</v>
      </c>
      <c r="E30" s="10">
        <f t="shared" si="3"/>
        <v>-218844065.57954609</v>
      </c>
      <c r="F30" s="10">
        <f t="shared" si="4"/>
        <v>2.8848368626217483E-7</v>
      </c>
      <c r="G30" s="267">
        <f t="shared" si="5"/>
        <v>13816269864.502453</v>
      </c>
      <c r="O30" s="99">
        <v>10</v>
      </c>
      <c r="P30" s="94">
        <f t="shared" si="10"/>
        <v>6835935</v>
      </c>
      <c r="Q30" s="110">
        <f t="shared" si="6"/>
        <v>34179685</v>
      </c>
      <c r="R30" s="10">
        <f>SUM($Q$21:Q30)</f>
        <v>42724580</v>
      </c>
      <c r="S30" s="262">
        <f t="shared" si="7"/>
        <v>-765953781.33571911</v>
      </c>
      <c r="T30" s="10">
        <f t="shared" si="11"/>
        <v>8.2423958590416948E-8</v>
      </c>
      <c r="U30" s="267">
        <f t="shared" si="8"/>
        <v>48356916230.035004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5</v>
      </c>
      <c r="D33" s="57">
        <f>SUM($C$33:C33)</f>
        <v>5</v>
      </c>
      <c r="E33" s="9">
        <f t="shared" ref="E33:E42" si="13">D33/R7</f>
        <v>-13.948284732283932</v>
      </c>
      <c r="F33" s="8">
        <f t="shared" ref="F33:F42" si="14">U7/E33</f>
        <v>6.4789504163429573E-2</v>
      </c>
      <c r="G33" s="268">
        <f>E33*U7</f>
        <v>12.60509911006301</v>
      </c>
      <c r="O33" s="100">
        <v>1</v>
      </c>
      <c r="P33" s="108">
        <v>1</v>
      </c>
      <c r="Q33" s="109">
        <f>P33*5+10</f>
        <v>15</v>
      </c>
      <c r="R33" s="57">
        <f>SUM($Q$21)</f>
        <v>15</v>
      </c>
      <c r="S33" s="260">
        <f>R33/R7</f>
        <v>-41.844854196851792</v>
      </c>
      <c r="T33" s="8">
        <f>U7/S33</f>
        <v>2.1596501387809861E-2</v>
      </c>
      <c r="U33" s="268">
        <f>S33*U7</f>
        <v>37.815297330189026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-194.70828938460323</v>
      </c>
      <c r="F34" s="9">
        <f t="shared" si="14"/>
        <v>1.4606287977805752E-2</v>
      </c>
      <c r="G34" s="266">
        <f t="shared" ref="G34:G42" si="16">E34*U8</f>
        <v>553.74362767003299</v>
      </c>
      <c r="O34" s="98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61">
        <f>R34/R8</f>
        <v>-584.12486815380976</v>
      </c>
      <c r="T34" s="9">
        <f t="shared" ref="T34:T42" si="18">U8/S34</f>
        <v>4.8687626592685837E-3</v>
      </c>
      <c r="U34" s="266">
        <f t="shared" ref="U34:U42" si="19">S34*U8</f>
        <v>1661.230883010099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-1941.3114468032081</v>
      </c>
      <c r="F35" s="9">
        <f t="shared" si="14"/>
        <v>3.0512313922242983E-3</v>
      </c>
      <c r="G35" s="266">
        <f t="shared" si="16"/>
        <v>11499.145642868123</v>
      </c>
      <c r="O35" s="98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61">
        <f t="shared" ref="S35:S42" si="21">R35/R9</f>
        <v>-5146.7326729201332</v>
      </c>
      <c r="T35" s="9">
        <f t="shared" si="18"/>
        <v>1.1509030689968846E-3</v>
      </c>
      <c r="U35" s="266">
        <f t="shared" si="19"/>
        <v>30486.107053185257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-16008.85739412514</v>
      </c>
      <c r="F36" s="9">
        <f t="shared" si="14"/>
        <v>6.3806868155474395E-4</v>
      </c>
      <c r="G36" s="266">
        <f t="shared" si="16"/>
        <v>163526.48456201758</v>
      </c>
      <c r="O36" s="98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61">
        <f t="shared" si="21"/>
        <v>-35973.57144162483</v>
      </c>
      <c r="T36" s="9">
        <f t="shared" si="18"/>
        <v>2.8395152667126921E-4</v>
      </c>
      <c r="U36" s="266">
        <f t="shared" si="19"/>
        <v>367461.05797333678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-115452.44287221863</v>
      </c>
      <c r="F37" s="9">
        <f t="shared" si="14"/>
        <v>1.3655938790832603E-4</v>
      </c>
      <c r="G37" s="266">
        <f t="shared" si="16"/>
        <v>1820236.4834055619</v>
      </c>
      <c r="O37" s="98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61">
        <f t="shared" si="21"/>
        <v>-217169.38611012188</v>
      </c>
      <c r="T37" s="9">
        <f t="shared" si="18"/>
        <v>7.2598238699981871E-5</v>
      </c>
      <c r="U37" s="266">
        <f t="shared" si="19"/>
        <v>3423917.5009397226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-764051.21391899011</v>
      </c>
      <c r="F38" s="9">
        <f t="shared" si="14"/>
        <v>2.9588926366436467E-5</v>
      </c>
      <c r="G38" s="266">
        <f t="shared" si="16"/>
        <v>17273253.519524757</v>
      </c>
      <c r="O38" s="98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61">
        <f t="shared" si="21"/>
        <v>-1199014.2455702254</v>
      </c>
      <c r="T38" s="9">
        <f t="shared" si="18"/>
        <v>1.8855034618945478E-5</v>
      </c>
      <c r="U38" s="266">
        <f t="shared" si="19"/>
        <v>27106660.73158301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-4816329.6364266481</v>
      </c>
      <c r="F39" s="9">
        <f t="shared" si="14"/>
        <v>6.3859046946152623E-6</v>
      </c>
      <c r="G39" s="266">
        <f t="shared" si="16"/>
        <v>148134030.22870433</v>
      </c>
      <c r="O39" s="98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61">
        <f t="shared" si="21"/>
        <v>-6300189.6378327468</v>
      </c>
      <c r="T39" s="9">
        <f t="shared" si="18"/>
        <v>4.8818565478374664E-6</v>
      </c>
      <c r="U39" s="266">
        <f t="shared" si="19"/>
        <v>193772551.44639632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-29602464.134497214</v>
      </c>
      <c r="F40" s="9">
        <f t="shared" si="14"/>
        <v>1.3588014895891805E-6</v>
      </c>
      <c r="G40" s="266">
        <f t="shared" si="16"/>
        <v>1190725738.9308646</v>
      </c>
      <c r="O40" s="98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61">
        <f t="shared" si="21"/>
        <v>-32270909.630806517</v>
      </c>
      <c r="T40" s="9">
        <f t="shared" si="18"/>
        <v>1.2464437111207586E-6</v>
      </c>
      <c r="U40" s="266">
        <f t="shared" si="19"/>
        <v>1298060949.9779363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-179679219.03731942</v>
      </c>
      <c r="F41" s="9">
        <f t="shared" si="14"/>
        <v>2.839222921028007E-7</v>
      </c>
      <c r="G41" s="266">
        <f t="shared" si="16"/>
        <v>9166323808.0281601</v>
      </c>
      <c r="O41" s="98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61">
        <f t="shared" si="21"/>
        <v>-163232314.02648455</v>
      </c>
      <c r="T41" s="9">
        <f t="shared" si="18"/>
        <v>3.1252963616039719E-7</v>
      </c>
      <c r="U41" s="266">
        <f t="shared" si="19"/>
        <v>8327286006.2338352</v>
      </c>
    </row>
    <row r="42" spans="1:21" ht="17" thickBot="1" x14ac:dyDescent="0.25">
      <c r="A42" s="131">
        <v>10</v>
      </c>
      <c r="B42" s="94">
        <f t="shared" si="15"/>
        <v>10077696</v>
      </c>
      <c r="C42" s="110">
        <f t="shared" si="12"/>
        <v>50388480</v>
      </c>
      <c r="D42" s="10">
        <f>SUM($C$33:C42)</f>
        <v>60466175</v>
      </c>
      <c r="E42" s="9">
        <f t="shared" si="13"/>
        <v>-1084019910.4159088</v>
      </c>
      <c r="F42" s="10">
        <f t="shared" si="14"/>
        <v>5.8239652379416357E-8</v>
      </c>
      <c r="G42" s="267">
        <f t="shared" si="16"/>
        <v>68437366949.555435</v>
      </c>
      <c r="O42" s="99">
        <v>10</v>
      </c>
      <c r="P42" s="94">
        <f t="shared" si="20"/>
        <v>7324216</v>
      </c>
      <c r="Q42" s="110">
        <f t="shared" si="17"/>
        <v>36621090</v>
      </c>
      <c r="R42" s="10">
        <f>SUM($Q$33:Q42)</f>
        <v>45776325</v>
      </c>
      <c r="S42" s="262">
        <f t="shared" si="21"/>
        <v>-820664573.63425958</v>
      </c>
      <c r="T42" s="10">
        <f t="shared" si="18"/>
        <v>7.6929046023527579E-8</v>
      </c>
      <c r="U42" s="267">
        <f t="shared" si="19"/>
        <v>51810969548.298828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5</v>
      </c>
      <c r="D45" s="57">
        <f>SUM(C45:C45)</f>
        <v>5</v>
      </c>
      <c r="E45" s="57">
        <f t="shared" ref="E45:E54" si="23">D45/R7</f>
        <v>-13.948284732283932</v>
      </c>
      <c r="F45" s="8">
        <f t="shared" ref="F45:F54" si="24">U7/E45</f>
        <v>6.4789504163429573E-2</v>
      </c>
      <c r="G45" s="265">
        <f>E45*U7</f>
        <v>12.60509911006301</v>
      </c>
      <c r="O45" s="100">
        <v>1</v>
      </c>
      <c r="P45" s="108">
        <v>1</v>
      </c>
      <c r="Q45" s="109">
        <f>P45*5+10</f>
        <v>15</v>
      </c>
      <c r="R45" s="57">
        <f>SUM($Q$21)</f>
        <v>15</v>
      </c>
      <c r="S45" s="260">
        <f>R45/R7</f>
        <v>-41.844854196851792</v>
      </c>
      <c r="T45" s="8">
        <f>U7/S45</f>
        <v>2.1596501387809861E-2</v>
      </c>
      <c r="U45" s="268">
        <f>S45*U7</f>
        <v>37.815297330189026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-305.97016903294792</v>
      </c>
      <c r="F46" s="9">
        <f t="shared" si="24"/>
        <v>9.2949105313309341E-3</v>
      </c>
      <c r="G46" s="266">
        <f t="shared" ref="G46:G54" si="26">E46*U8</f>
        <v>870.16855776719456</v>
      </c>
      <c r="O46" s="98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61">
        <f t="shared" ref="S46:S54" si="28">R46/R8</f>
        <v>-973.54144692301622</v>
      </c>
      <c r="T46" s="9">
        <f t="shared" ref="T46:T54" si="29">U8/S46</f>
        <v>2.9212575955611503E-3</v>
      </c>
      <c r="U46" s="266">
        <f t="shared" ref="U46:U54" si="30">S46*U8</f>
        <v>2768.7181383501647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-5011.2923394222344</v>
      </c>
      <c r="F47" s="9">
        <f t="shared" si="24"/>
        <v>1.1820085573481518E-3</v>
      </c>
      <c r="G47" s="266">
        <f t="shared" si="26"/>
        <v>29683.841078101432</v>
      </c>
      <c r="O47" s="98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61">
        <f t="shared" si="28"/>
        <v>-16117.39968624989</v>
      </c>
      <c r="T47" s="9">
        <f t="shared" si="29"/>
        <v>3.675152657300976E-4</v>
      </c>
      <c r="U47" s="266">
        <f t="shared" si="30"/>
        <v>95469.651034974871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-68671.199092173862</v>
      </c>
      <c r="F48" s="9">
        <f t="shared" si="24"/>
        <v>1.487486845388647E-4</v>
      </c>
      <c r="G48" s="266">
        <f t="shared" si="26"/>
        <v>701459.16736834566</v>
      </c>
      <c r="O48" s="98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61">
        <f t="shared" si="28"/>
        <v>-221218.92128793002</v>
      </c>
      <c r="T48" s="9">
        <f t="shared" si="29"/>
        <v>4.6174850104129278E-5</v>
      </c>
      <c r="U48" s="266">
        <f t="shared" si="30"/>
        <v>2259696.0936195399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-824946.68344258599</v>
      </c>
      <c r="F49" s="9">
        <f t="shared" si="24"/>
        <v>1.9111677454544774E-5</v>
      </c>
      <c r="G49" s="266">
        <f t="shared" si="26"/>
        <v>13006204.22322778</v>
      </c>
      <c r="O49" s="98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61">
        <f t="shared" si="28"/>
        <v>-2658079.0400439221</v>
      </c>
      <c r="T49" s="9">
        <f t="shared" si="29"/>
        <v>5.9313943241095779E-6</v>
      </c>
      <c r="U49" s="266">
        <f t="shared" si="30"/>
        <v>41907579.641416408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-9098113.2172063999</v>
      </c>
      <c r="F50" s="9">
        <f t="shared" si="24"/>
        <v>2.4848509321779002E-6</v>
      </c>
      <c r="G50" s="266">
        <f t="shared" si="26"/>
        <v>205685186.13309565</v>
      </c>
      <c r="O50" s="98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61">
        <f t="shared" si="28"/>
        <v>-29316033.411308393</v>
      </c>
      <c r="T50" s="9">
        <f t="shared" si="29"/>
        <v>7.7116350604631173E-7</v>
      </c>
      <c r="U50" s="266">
        <f t="shared" si="30"/>
        <v>662760909.31527305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-95584275.611474976</v>
      </c>
      <c r="F51" s="9">
        <f t="shared" si="24"/>
        <v>3.2177491370117359E-7</v>
      </c>
      <c r="G51" s="266">
        <f t="shared" si="26"/>
        <v>2939849437.5738277</v>
      </c>
      <c r="O51" s="98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61">
        <f t="shared" si="28"/>
        <v>-307993643.152309</v>
      </c>
      <c r="T51" s="9">
        <f t="shared" si="29"/>
        <v>9.9861223502141524E-8</v>
      </c>
      <c r="U51" s="266">
        <f t="shared" si="30"/>
        <v>9472844071.9482651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-979141841.64798915</v>
      </c>
      <c r="F52" s="9">
        <f t="shared" si="24"/>
        <v>4.1080740961661379E-8</v>
      </c>
      <c r="G52" s="266">
        <f t="shared" si="26"/>
        <v>39384876462.21859</v>
      </c>
      <c r="O52" s="98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61">
        <f t="shared" si="28"/>
        <v>-3155012444.2030468</v>
      </c>
      <c r="T52" s="9">
        <f t="shared" si="29"/>
        <v>1.2749196103923963E-8</v>
      </c>
      <c r="U52" s="266">
        <f t="shared" si="30"/>
        <v>126906817854.4574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-9905220216.9488716</v>
      </c>
      <c r="F53" s="9">
        <f t="shared" si="24"/>
        <v>5.1503080794735896E-9</v>
      </c>
      <c r="G53" s="266">
        <f t="shared" si="26"/>
        <v>505314172583.98846</v>
      </c>
      <c r="O53" s="98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61">
        <f t="shared" si="28"/>
        <v>-31916820520.763512</v>
      </c>
      <c r="T53" s="9">
        <f t="shared" si="29"/>
        <v>1.5983714818689132E-9</v>
      </c>
      <c r="U53" s="266">
        <f t="shared" si="30"/>
        <v>1628234547008.3079</v>
      </c>
    </row>
    <row r="54" spans="1:21" ht="17" thickBot="1" x14ac:dyDescent="0.25">
      <c r="A54" s="131">
        <v>10</v>
      </c>
      <c r="B54" s="94">
        <f t="shared" si="25"/>
        <v>1000000000</v>
      </c>
      <c r="C54" s="110">
        <f t="shared" si="22"/>
        <v>5000000000</v>
      </c>
      <c r="D54" s="10">
        <f>SUM($C$45:C54)</f>
        <v>5555555555</v>
      </c>
      <c r="E54" s="10">
        <f t="shared" si="23"/>
        <v>-99598376034.893951</v>
      </c>
      <c r="F54" s="10">
        <f t="shared" si="24"/>
        <v>6.3387522235171966E-10</v>
      </c>
      <c r="G54" s="267">
        <f t="shared" si="26"/>
        <v>6287938572700.7871</v>
      </c>
      <c r="O54" s="99">
        <v>10</v>
      </c>
      <c r="P54" s="94">
        <f t="shared" si="31"/>
        <v>3222222220</v>
      </c>
      <c r="Q54" s="110">
        <f t="shared" si="27"/>
        <v>16111111110</v>
      </c>
      <c r="R54" s="10">
        <f>SUM($Q$45:Q54)</f>
        <v>17901234555</v>
      </c>
      <c r="S54" s="262">
        <f t="shared" si="28"/>
        <v>-320928100357.68378</v>
      </c>
      <c r="T54" s="10">
        <f t="shared" si="29"/>
        <v>1.96719896714015E-10</v>
      </c>
      <c r="U54" s="267">
        <f t="shared" si="30"/>
        <v>20261135388348.883</v>
      </c>
    </row>
  </sheetData>
  <mergeCells count="2">
    <mergeCell ref="A18:F18"/>
    <mergeCell ref="O18:T18"/>
  </mergeCells>
  <conditionalFormatting sqref="F45:F54">
    <cfRule type="cellIs" dxfId="476" priority="65" operator="equal">
      <formula>MAX($F$45:$F$54)</formula>
    </cfRule>
  </conditionalFormatting>
  <conditionalFormatting sqref="F21:F30">
    <cfRule type="cellIs" dxfId="475" priority="63" operator="equal">
      <formula>MAX($F$21:$F$30)</formula>
    </cfRule>
  </conditionalFormatting>
  <conditionalFormatting sqref="E33:E42">
    <cfRule type="cellIs" dxfId="474" priority="61" stopIfTrue="1" operator="lessThan">
      <formula>0</formula>
    </cfRule>
    <cfRule type="cellIs" dxfId="473" priority="62" operator="equal">
      <formula>MIN($E$33:$E$42)</formula>
    </cfRule>
  </conditionalFormatting>
  <conditionalFormatting sqref="E21:E30">
    <cfRule type="cellIs" dxfId="472" priority="57" stopIfTrue="1" operator="lessThan">
      <formula>0</formula>
    </cfRule>
    <cfRule type="cellIs" dxfId="471" priority="58" operator="equal">
      <formula>MIN($E$21:$E$30)</formula>
    </cfRule>
  </conditionalFormatting>
  <conditionalFormatting sqref="E45:E54">
    <cfRule type="cellIs" dxfId="470" priority="53" stopIfTrue="1" operator="lessThan">
      <formula>0</formula>
    </cfRule>
    <cfRule type="cellIs" dxfId="469" priority="54" operator="equal">
      <formula>MIN($E$45:$E$54)</formula>
    </cfRule>
  </conditionalFormatting>
  <conditionalFormatting sqref="F33:F42">
    <cfRule type="cellIs" dxfId="468" priority="43" operator="lessThanOrEqual">
      <formula>0</formula>
    </cfRule>
    <cfRule type="cellIs" dxfId="467" priority="44" operator="equal">
      <formula>MAX($F$33:$F$42)</formula>
    </cfRule>
  </conditionalFormatting>
  <conditionalFormatting sqref="R7:R16">
    <cfRule type="cellIs" dxfId="466" priority="29" operator="lessThanOrEqual">
      <formula>0</formula>
    </cfRule>
    <cfRule type="cellIs" dxfId="465" priority="30" operator="greaterThan">
      <formula>0</formula>
    </cfRule>
  </conditionalFormatting>
  <conditionalFormatting sqref="T21:T30">
    <cfRule type="cellIs" dxfId="464" priority="21" operator="equal">
      <formula>MAX($T$21:$T$30)</formula>
    </cfRule>
  </conditionalFormatting>
  <conditionalFormatting sqref="S33:S42">
    <cfRule type="cellIs" dxfId="463" priority="19" stopIfTrue="1" operator="lessThan">
      <formula>0</formula>
    </cfRule>
    <cfRule type="cellIs" dxfId="462" priority="20" operator="equal">
      <formula>MIN($E$21:$E$30)</formula>
    </cfRule>
  </conditionalFormatting>
  <conditionalFormatting sqref="T33:T42">
    <cfRule type="cellIs" dxfId="461" priority="18" operator="equal">
      <formula>MAX($T$21:$T$30)</formula>
    </cfRule>
  </conditionalFormatting>
  <conditionalFormatting sqref="S45:S54">
    <cfRule type="cellIs" dxfId="460" priority="16" stopIfTrue="1" operator="lessThan">
      <formula>0</formula>
    </cfRule>
    <cfRule type="cellIs" dxfId="459" priority="17" operator="equal">
      <formula>MIN($E$21:$E$30)</formula>
    </cfRule>
  </conditionalFormatting>
  <conditionalFormatting sqref="T45:T54">
    <cfRule type="cellIs" dxfId="458" priority="15" operator="equal">
      <formula>MAX($T$21:$T$30)</formula>
    </cfRule>
  </conditionalFormatting>
  <conditionalFormatting sqref="S21:S30">
    <cfRule type="cellIs" dxfId="457" priority="13" stopIfTrue="1" operator="lessThan">
      <formula>0</formula>
    </cfRule>
    <cfRule type="cellIs" dxfId="456" priority="14" operator="equal">
      <formula>MIN($E$21:$E$30)</formula>
    </cfRule>
  </conditionalFormatting>
  <conditionalFormatting sqref="U7:U16">
    <cfRule type="cellIs" dxfId="455" priority="9" operator="lessThanOrEqual">
      <formula>0</formula>
    </cfRule>
    <cfRule type="cellIs" dxfId="454" priority="10" operator="greaterThan">
      <formula>0</formula>
    </cfRule>
  </conditionalFormatting>
  <conditionalFormatting sqref="S7:T16">
    <cfRule type="cellIs" dxfId="453" priority="1" operator="lessThanOrEqual">
      <formula>0</formula>
    </cfRule>
    <cfRule type="cellIs" dxfId="45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Analysis!B44</f>
        <v>0.33485542418995212</v>
      </c>
      <c r="D2" s="135" t="s">
        <v>126</v>
      </c>
      <c r="E2" s="141">
        <f>Analysis!K44</f>
        <v>0.66514457581004782</v>
      </c>
      <c r="F2" s="135" t="s">
        <v>47</v>
      </c>
      <c r="G2" s="141">
        <f>Analysis!S44</f>
        <v>1.4005325308358645</v>
      </c>
      <c r="H2" t="s">
        <v>155</v>
      </c>
      <c r="I2" s="155">
        <f>Analysis!T44</f>
        <v>-2.2938597727148751</v>
      </c>
      <c r="J2" t="s">
        <v>48</v>
      </c>
      <c r="K2" s="155">
        <f>C2*G2+E2*I2</f>
        <v>-1.0567724707852977</v>
      </c>
      <c r="L2" t="s">
        <v>47</v>
      </c>
      <c r="M2" s="162">
        <v>3</v>
      </c>
      <c r="N2" t="s">
        <v>155</v>
      </c>
      <c r="O2" s="162">
        <v>6</v>
      </c>
    </row>
    <row r="4" spans="1:23" x14ac:dyDescent="0.2">
      <c r="A4" t="s">
        <v>123</v>
      </c>
      <c r="B4">
        <f>$C$2</f>
        <v>0.33485542418995212</v>
      </c>
      <c r="C4" t="s">
        <v>124</v>
      </c>
      <c r="D4">
        <f>$E$2</f>
        <v>0.66514457581004782</v>
      </c>
      <c r="E4" t="s">
        <v>47</v>
      </c>
      <c r="F4">
        <f>G2</f>
        <v>1.4005325308358645</v>
      </c>
      <c r="G4" t="s">
        <v>155</v>
      </c>
      <c r="H4">
        <f>I2</f>
        <v>-2.2938597727148751</v>
      </c>
      <c r="I4" t="s">
        <v>48</v>
      </c>
      <c r="J4">
        <f>K2</f>
        <v>-1.0567724707852977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0.33485542418995212</v>
      </c>
      <c r="C7" s="95">
        <v>1</v>
      </c>
      <c r="D7" s="22">
        <f>C7*D4</f>
        <v>0.66514457581004782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-0.3302891516200957</v>
      </c>
      <c r="S7" s="277">
        <f>IF(Rules!B20=Rules!E20,SUM(C7)*B4*F4,SUM(C7)*B4*F4*POWER(O2,A7-1))</f>
        <v>0.4689759147048706</v>
      </c>
      <c r="T7" s="260">
        <f>IF(Rules!B20=Rules!E20,SUM(C7)*D4*H4,SUM(C7)*D4*H4*POWER(O2,A7-1))</f>
        <v>-1.5257483854901683</v>
      </c>
      <c r="U7" s="274">
        <f>S7+T7</f>
        <v>-1.0567724707852977</v>
      </c>
      <c r="V7" s="108">
        <f>(U7+W7*D7)/B7</f>
        <v>-1.1695432317473604</v>
      </c>
      <c r="W7" s="57">
        <f>COUNT(D7:M7)</f>
        <v>1</v>
      </c>
    </row>
    <row r="8" spans="1:23" x14ac:dyDescent="0.2">
      <c r="A8" s="98">
        <v>2</v>
      </c>
      <c r="B8" s="97">
        <f>C8*B4</f>
        <v>0.43080814605940487</v>
      </c>
      <c r="C8" s="97">
        <f>1/(1-B4*D4)</f>
        <v>1.286549701566196</v>
      </c>
      <c r="D8" s="130">
        <f>C8*D4</f>
        <v>0.85574155550679099</v>
      </c>
      <c r="E8" s="1">
        <f>D8*D4</f>
        <v>0.56919185394059502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0.99999999999999989</v>
      </c>
      <c r="R8" s="278">
        <f>B8-E8</f>
        <v>-0.13838370788119014</v>
      </c>
      <c r="S8" s="279">
        <f>IF(Rules!B20=Rules!E20,SUM(C8:D8)*B4*F4,SUM(C8:D8)*B4*F4*POWER(O2,A8-1))</f>
        <v>1.0046830018500512</v>
      </c>
      <c r="T8" s="261">
        <f>IF(Rules!B20=Rules!E20,SUM(C8:D8)*D4*H4,SUM(C8:D8)*D4*H4*POWER(O2,A8-1))</f>
        <v>-3.2685974267288129</v>
      </c>
      <c r="U8" s="275">
        <f>S8+T8+U7</f>
        <v>-3.3206868956640596</v>
      </c>
      <c r="V8" s="93">
        <f>(U8+W8*E8)/B8</f>
        <v>-5.0656033497610506</v>
      </c>
      <c r="W8" s="9">
        <f>COUNT(D8:M8)</f>
        <v>2</v>
      </c>
    </row>
    <row r="9" spans="1:23" x14ac:dyDescent="0.2">
      <c r="A9" s="98">
        <v>3</v>
      </c>
      <c r="B9" s="97">
        <f>C9*B4</f>
        <v>0.46934653321337272</v>
      </c>
      <c r="C9" s="97">
        <f>1/(1-D4*B4/(1-D4*B4))</f>
        <v>1.4016393324037313</v>
      </c>
      <c r="D9" s="130">
        <f>C9*D4*C8</f>
        <v>1.1994410225706691</v>
      </c>
      <c r="E9" s="1">
        <f>D9*(D4)</f>
        <v>0.79780169016693769</v>
      </c>
      <c r="F9" s="1">
        <f>E9*D4</f>
        <v>0.53065346678662695</v>
      </c>
      <c r="G9" s="1"/>
      <c r="H9" s="1"/>
      <c r="I9" s="1"/>
      <c r="J9" s="1"/>
      <c r="K9" s="1"/>
      <c r="L9" s="1"/>
      <c r="M9" s="242"/>
      <c r="N9" s="97">
        <f>B9+F9</f>
        <v>0.99999999999999967</v>
      </c>
      <c r="R9" s="278">
        <f>B9-F9</f>
        <v>-6.130693357325423E-2</v>
      </c>
      <c r="S9" s="279">
        <f>IF(Rules!B20=Rules!E20,SUM(C9:E9)*B4*F4,SUM(C9:E9)*B4*F4*POWER(O2,A9-1))</f>
        <v>1.5939938160941203</v>
      </c>
      <c r="T9" s="261">
        <f>IF(Rules!B20=Rules!E20,SUM(C9:E9)*D4*H4,SUM(C9:E9)*D4*H4*POWER(O2,A9-1))</f>
        <v>-5.1858387928459173</v>
      </c>
      <c r="U9" s="275">
        <f t="shared" ref="U9:U16" si="0">S9+T9+U8</f>
        <v>-6.9125318724158564</v>
      </c>
      <c r="V9" s="93">
        <f>(U9+W9*F9)/B9</f>
        <v>-11.336126072198249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0.48683817149430514</v>
      </c>
      <c r="C10" s="97">
        <f>1/(1-D4*B4/(1-D4*B4/(1-D4*B4)))</f>
        <v>1.4538757216551415</v>
      </c>
      <c r="D10" s="130">
        <f>C10*D4*C9</f>
        <v>1.3554378662167743</v>
      </c>
      <c r="E10" s="1">
        <f>D10*D4*C8</f>
        <v>1.1599045080291484</v>
      </c>
      <c r="F10" s="1">
        <f>E10*D4</f>
        <v>0.77150419197321007</v>
      </c>
      <c r="G10" s="1">
        <f>F10*D4</f>
        <v>0.51316182850569447</v>
      </c>
      <c r="H10" s="1"/>
      <c r="I10" s="1"/>
      <c r="J10" s="1"/>
      <c r="K10" s="1"/>
      <c r="L10" s="1"/>
      <c r="M10" s="242"/>
      <c r="N10" s="97">
        <f>B10+G10</f>
        <v>0.99999999999999956</v>
      </c>
      <c r="R10" s="278">
        <f>B10-G10</f>
        <v>-2.6323657011389334E-2</v>
      </c>
      <c r="S10" s="279">
        <f>IF(Rules!B20=Rules!E20,SUM(C10:F10)*B4*F4,SUM(C10:F10)*B4*F4*POWER(O2,A10-1))</f>
        <v>2.2232845713176048</v>
      </c>
      <c r="T10" s="261">
        <f>IF(Rules!B20=Rules!E20,SUM(C10:F10)*D4*H4,SUM(C10:F10)*D4*H4*POWER(O2,A10-1))</f>
        <v>-7.2331493767814319</v>
      </c>
      <c r="U10" s="275">
        <f t="shared" si="0"/>
        <v>-11.922396677879684</v>
      </c>
      <c r="V10" s="93">
        <f>(U10+W10*G10)/B10</f>
        <v>-20.273162504005416</v>
      </c>
      <c r="W10" s="9">
        <f t="shared" si="1"/>
        <v>4</v>
      </c>
    </row>
    <row r="11" spans="1:23" x14ac:dyDescent="0.2">
      <c r="A11" s="98">
        <v>5</v>
      </c>
      <c r="B11" s="97">
        <f>C11*B4</f>
        <v>0.49521476441014656</v>
      </c>
      <c r="C11" s="97">
        <f>1/(1-D4*B4/(1-D4*B4/(1-D4*B4/(1-D4*B4))))</f>
        <v>1.4788912725786638</v>
      </c>
      <c r="D11" s="130">
        <f>C11*D4*C10</f>
        <v>1.4301433931887124</v>
      </c>
      <c r="E11" s="1">
        <f>D11*D4*C9</f>
        <v>1.3333123872795023</v>
      </c>
      <c r="F11" s="1">
        <f>E11*D4*C8</f>
        <v>1.1409708162670344</v>
      </c>
      <c r="G11" s="1">
        <f>F11*D4</f>
        <v>0.75891054959758064</v>
      </c>
      <c r="H11" s="1">
        <f>G11*D4</f>
        <v>0.504785235589853</v>
      </c>
      <c r="I11" s="1"/>
      <c r="J11" s="1"/>
      <c r="K11" s="1"/>
      <c r="L11" s="1"/>
      <c r="M11" s="242"/>
      <c r="N11" s="97">
        <f>B11+H11</f>
        <v>0.99999999999999956</v>
      </c>
      <c r="R11" s="278">
        <f>B11-H11</f>
        <v>-9.5704711797064412E-3</v>
      </c>
      <c r="S11" s="279">
        <f>IF(Rules!B20=Rules!E20,SUM(C11:G11)*B4*F4,SUM(C11:G11)*B4*F4*POWER(O2,A11-1))</f>
        <v>2.880557191085269</v>
      </c>
      <c r="T11" s="261">
        <f>IF(Rules!B20=Rules!E20,SUM(C11:G11)*D4*H4,SUM(C11:G11)*D4*H4*POWER(O2,A11-1))</f>
        <v>-9.3714950934660397</v>
      </c>
      <c r="U11" s="275">
        <f t="shared" si="0"/>
        <v>-18.413334580260454</v>
      </c>
      <c r="V11" s="93">
        <f>(U11+W11*H11)/B11</f>
        <v>-32.085893927732876</v>
      </c>
      <c r="W11" s="9">
        <f t="shared" si="1"/>
        <v>5</v>
      </c>
    </row>
    <row r="12" spans="1:23" x14ac:dyDescent="0.2">
      <c r="A12" s="98">
        <v>6</v>
      </c>
      <c r="B12" s="97">
        <f>C12*B4</f>
        <v>0.49932916566561319</v>
      </c>
      <c r="C12" s="97">
        <f>1/(1-D4*B4/(1-D4*B4/(1-D4*B4/(1-D4*B4/(1-D4*B4)))))</f>
        <v>1.4911783701086494</v>
      </c>
      <c r="D12" s="130">
        <f>C12*D4*C11</f>
        <v>1.466837132164897</v>
      </c>
      <c r="E12" s="1">
        <f>D12*D4*C10</f>
        <v>1.4184865867736887</v>
      </c>
      <c r="F12" s="1">
        <f>E12*D4*C9</f>
        <v>1.3224448305972194</v>
      </c>
      <c r="G12" s="1">
        <f>F12*D4*C8</f>
        <v>1.1316709964071794</v>
      </c>
      <c r="H12" s="1">
        <f>G12*D4</f>
        <v>0.75272482486178749</v>
      </c>
      <c r="I12" s="1">
        <f>H12*D4</f>
        <v>0.50067083433438619</v>
      </c>
      <c r="J12" s="1"/>
      <c r="K12" s="1"/>
      <c r="L12" s="1"/>
      <c r="M12" s="242"/>
      <c r="N12" s="97">
        <f>B12+I12</f>
        <v>0.99999999999999933</v>
      </c>
      <c r="R12" s="278">
        <f>B12-I12</f>
        <v>-1.3416686687729995E-3</v>
      </c>
      <c r="S12" s="279">
        <f>IF(Rules!B20=Rules!E20,SUM(C12:H12)*B4*F4,SUM(C12:H12)*B4*F4*POWER(O2,A12-1))</f>
        <v>3.5564050984404125</v>
      </c>
      <c r="T12" s="261">
        <f>IF(Rules!B20=Rules!E20,SUM(C12:H12)*D4*H4,SUM(C12:H12)*D4*H4*POWER(O2,A12-1))</f>
        <v>-11.570272943567241</v>
      </c>
      <c r="U12" s="275">
        <f t="shared" si="0"/>
        <v>-26.427202425387282</v>
      </c>
      <c r="V12" s="93">
        <f>(U12+W12*I12)/B12</f>
        <v>-46.90929156552977</v>
      </c>
      <c r="W12" s="9">
        <f t="shared" si="1"/>
        <v>6</v>
      </c>
    </row>
    <row r="13" spans="1:23" x14ac:dyDescent="0.2">
      <c r="A13" s="98">
        <v>7</v>
      </c>
      <c r="B13" s="97">
        <f>C13*B4</f>
        <v>0.50137521052093437</v>
      </c>
      <c r="C13" s="97">
        <f>1/(1-D4*B4/(1-D4*B4/(1-D4*B4/(1-D4*B4/(1-D4*B4/(1-D4*B4))))))</f>
        <v>1.4972886036826485</v>
      </c>
      <c r="D13" s="130">
        <f>C13*D4*C12</f>
        <v>1.4850845103842591</v>
      </c>
      <c r="E13" s="1">
        <f>D13*D4*C11</f>
        <v>1.46084274550994</v>
      </c>
      <c r="F13" s="1">
        <f>E13*D4*C10</f>
        <v>1.4126897897881623</v>
      </c>
      <c r="G13" s="1">
        <f>F13*D4*C9</f>
        <v>1.3170405185092449</v>
      </c>
      <c r="H13" s="1">
        <f>G13*D4*C8</f>
        <v>1.1270463019745718</v>
      </c>
      <c r="I13" s="1">
        <f>H13*D4</f>
        <v>0.74964873444515956</v>
      </c>
      <c r="J13" s="1">
        <f>I13*D4</f>
        <v>0.49862478947906486</v>
      </c>
      <c r="K13" s="1"/>
      <c r="L13" s="1"/>
      <c r="M13" s="242"/>
      <c r="N13" s="97">
        <f>B13+J13</f>
        <v>0.99999999999999922</v>
      </c>
      <c r="R13" s="278">
        <f>B13-J13</f>
        <v>2.7504210418695108E-3</v>
      </c>
      <c r="S13" s="279">
        <f>IF(Rules!B20=Rules!E20,SUM(C13:I13)*B4*F4,SUM(C13:I13)*B4*F4*POWER(O2,A13-1))</f>
        <v>4.2440637615346581</v>
      </c>
      <c r="T13" s="261">
        <f>IF(Rules!B20=Rules!E20,SUM(C13:I13)*D4*H4,SUM(C13:I13)*D4*H4*POWER(O2,A13-1))</f>
        <v>-13.807475456716851</v>
      </c>
      <c r="U13" s="275">
        <f t="shared" si="0"/>
        <v>-35.990614120569475</v>
      </c>
      <c r="V13" s="93">
        <f>(U13+W13*J13)/B13</f>
        <v>-64.822192865195547</v>
      </c>
      <c r="W13" s="9">
        <f t="shared" si="1"/>
        <v>7</v>
      </c>
    </row>
    <row r="14" spans="1:23" x14ac:dyDescent="0.2">
      <c r="A14" s="98">
        <v>8</v>
      </c>
      <c r="B14" s="97">
        <f>C14*B4</f>
        <v>0.50239894053964007</v>
      </c>
      <c r="C14" s="97">
        <f>1/(1-D4*B4/(1-D4*B4/(1-D4*B4/(1-D4*B4/(1-D4*B4/(1-D4*B4/(1-D4*B4)))))))</f>
        <v>1.500345833593683</v>
      </c>
      <c r="D14" s="130">
        <f>C14*D4*C13</f>
        <v>1.4942145100503252</v>
      </c>
      <c r="E14" s="1">
        <f>D14*D4*C12</f>
        <v>1.482035473060656</v>
      </c>
      <c r="F14" s="1">
        <f>E14*D4*C11</f>
        <v>1.4578434791221826</v>
      </c>
      <c r="G14" s="1">
        <f>F14*D4*C10</f>
        <v>1.4097893865682656</v>
      </c>
      <c r="H14" s="1">
        <f>G14*D4*C9</f>
        <v>1.3143364934725867</v>
      </c>
      <c r="I14" s="1">
        <f>H14*D4*C8</f>
        <v>1.1247323553835726</v>
      </c>
      <c r="J14" s="1">
        <f>I14*D4</f>
        <v>0.74810962542144233</v>
      </c>
      <c r="K14" s="1">
        <f>J14*D4</f>
        <v>0.49760105946035904</v>
      </c>
      <c r="L14" s="1"/>
      <c r="M14" s="242"/>
      <c r="N14" s="97">
        <f>B14+K14</f>
        <v>0.99999999999999911</v>
      </c>
      <c r="R14" s="278">
        <f>B14-K14</f>
        <v>4.79788107928103E-3</v>
      </c>
      <c r="S14" s="279">
        <f>IF(Rules!B20=Rules!E20,SUM(C14:J14)*B4*F4,SUM(C14:J14)*B4*F4*POWER(O2,A14-1))</f>
        <v>4.9389763044300059</v>
      </c>
      <c r="T14" s="261">
        <f>IF(Rules!B20=Rules!E20,SUM(C14:J14)*D4*H4,SUM(C14:J14)*D4*H4*POWER(O2,A14-1))</f>
        <v>-16.068277466232995</v>
      </c>
      <c r="U14" s="275">
        <f t="shared" si="0"/>
        <v>-47.11991528237246</v>
      </c>
      <c r="V14" s="93">
        <f>(U14+W14*K14)/B14</f>
        <v>-85.866237616569663</v>
      </c>
      <c r="W14" s="9">
        <f t="shared" si="1"/>
        <v>8</v>
      </c>
    </row>
    <row r="15" spans="1:23" x14ac:dyDescent="0.2">
      <c r="A15" s="98">
        <v>9</v>
      </c>
      <c r="B15" s="97">
        <f>C15*B4</f>
        <v>0.50291273036283979</v>
      </c>
      <c r="C15" s="97">
        <f>1/(1-D4*B4/(1-D4*B4/(1-D4*B4/(1-D4*B4/(1-D4*B4/(1-D4*B4/(1-D4*B4/(1-D4*B4))))))))</f>
        <v>1.5018801967429216</v>
      </c>
      <c r="D15" s="130">
        <f>C15*D4*C14</f>
        <v>1.4987966760789933</v>
      </c>
      <c r="E15" s="1">
        <f>D15*D4*C13</f>
        <v>1.4926716833333287</v>
      </c>
      <c r="F15" s="1">
        <f>E15*D4*C12</f>
        <v>1.4805052216088095</v>
      </c>
      <c r="G15" s="1">
        <f>F15*D4*C11</f>
        <v>1.4563382067174104</v>
      </c>
      <c r="H15" s="1">
        <f>G15*D4*C10</f>
        <v>1.40833373162963</v>
      </c>
      <c r="I15" s="1">
        <f>H15*D4*C9</f>
        <v>1.3129793968551908</v>
      </c>
      <c r="J15" s="1">
        <f>I15*D4*C8</f>
        <v>1.1235710314132292</v>
      </c>
      <c r="K15" s="1">
        <f>J15*D4</f>
        <v>0.74733717708181024</v>
      </c>
      <c r="L15" s="1">
        <f>K15*D4</f>
        <v>0.49708726963715927</v>
      </c>
      <c r="M15" s="242"/>
      <c r="N15" s="97">
        <f>B15+L15</f>
        <v>0.99999999999999911</v>
      </c>
      <c r="R15" s="278">
        <f>B15-L15</f>
        <v>5.8254607256805202E-3</v>
      </c>
      <c r="S15" s="279">
        <f>IF(Rules!B20=Rules!E20,SUM(C15:K15)*B4*F4,SUM(C15:K15)*B4*F4*POWER(O2,A15-1))</f>
        <v>5.6382222843923469</v>
      </c>
      <c r="T15" s="261">
        <f>IF(Rules!B20=Rules!E20,SUM(C15:K15)*D4*H4,SUM(C15:K15)*D4*H4*POWER(O2,A15-1))</f>
        <v>-18.343177714915107</v>
      </c>
      <c r="U15" s="275">
        <f t="shared" si="0"/>
        <v>-59.824870712895219</v>
      </c>
      <c r="V15" s="93">
        <f>(U15+W15*L15)/B15</f>
        <v>-110.06101445518445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0.50317098756071921</v>
      </c>
      <c r="C16" s="131">
        <f>1/(1-D4*B4/(1-D4*B4/(1-D4*B4/(1-D4*B4/(1-D4*B4/(1-D4*B4/(1-D4*B4/(1-D4*B4/(1-D4*B4)))))))))</f>
        <v>1.5026514465994953</v>
      </c>
      <c r="D16" s="139">
        <f>C16*D4*C15</f>
        <v>1.5010999084618626</v>
      </c>
      <c r="E16" s="110">
        <f>D16*D4*C14</f>
        <v>1.498017989813224</v>
      </c>
      <c r="F16" s="110">
        <f>E16*D4*C13</f>
        <v>1.4918961792521779</v>
      </c>
      <c r="G16" s="110">
        <f>F16*D4*C12</f>
        <v>1.4797360385028777</v>
      </c>
      <c r="H16" s="110">
        <f>G16*D4*C11</f>
        <v>1.455581579365625</v>
      </c>
      <c r="I16" s="110">
        <f>H16*D4*C10</f>
        <v>1.4076020445689748</v>
      </c>
      <c r="J16" s="110">
        <f>I16*D4*C9</f>
        <v>1.3122972502772812</v>
      </c>
      <c r="K16" s="110">
        <f>J16*D4*C8</f>
        <v>1.1229872902395652</v>
      </c>
      <c r="L16" s="110">
        <f>K16*D4</f>
        <v>0.74694890480647069</v>
      </c>
      <c r="M16" s="244">
        <f>L16*D4</f>
        <v>0.49682901243927974</v>
      </c>
      <c r="N16" s="131">
        <f>B16+M16</f>
        <v>0.99999999999999889</v>
      </c>
      <c r="R16" s="280">
        <f>B16-M16</f>
        <v>6.3419751214394693E-3</v>
      </c>
      <c r="S16" s="281">
        <f>IF(Rules!B20=Rules!E20,SUM(C16:L16)*B4*F4,SUM(C16:L16)*B4*F4*POWER(O2,A16-1))</f>
        <v>6.340000333618713</v>
      </c>
      <c r="T16" s="262">
        <f>IF(Rules!B20=Rules!E20,SUM(C16:L16)*D4*H4,SUM(C16:L16)*D4*H4*POWER(O2,A16-1))</f>
        <v>-20.626315701336843</v>
      </c>
      <c r="U16" s="275">
        <f t="shared" si="0"/>
        <v>-74.111186080613351</v>
      </c>
      <c r="V16" s="94">
        <f>(U16+W16*M16)/B16</f>
        <v>-137.41431375328821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6</v>
      </c>
      <c r="D21" s="57">
        <f>SUM($C$21:C21)</f>
        <v>6</v>
      </c>
      <c r="E21" s="57">
        <f t="shared" ref="E21:E30" si="3">D21/R7</f>
        <v>-18.165900910064718</v>
      </c>
      <c r="F21" s="8">
        <f t="shared" ref="F21:F30" si="4">U7/E21</f>
        <v>5.8173413805191393E-2</v>
      </c>
      <c r="G21" s="265">
        <f>E21*U7</f>
        <v>19.197223988769981</v>
      </c>
      <c r="O21" s="100">
        <v>1</v>
      </c>
      <c r="P21" s="108">
        <v>1</v>
      </c>
      <c r="Q21" s="109">
        <f>P21*6+15</f>
        <v>21</v>
      </c>
      <c r="R21" s="57">
        <f>SUM($Q$21)</f>
        <v>21</v>
      </c>
      <c r="S21" s="260">
        <f>R21/R7</f>
        <v>-63.58065318522651</v>
      </c>
      <c r="T21" s="8">
        <f>U7/S21</f>
        <v>1.6620975372911826E-2</v>
      </c>
      <c r="U21" s="265">
        <f>S21*U7</f>
        <v>67.190283960694927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-303.50393585391754</v>
      </c>
      <c r="F22" s="9">
        <f t="shared" si="4"/>
        <v>1.0941165841296938E-2</v>
      </c>
      <c r="G22" s="266">
        <f t="shared" ref="G22:G30" si="5">E22*U8</f>
        <v>1007.8415425725693</v>
      </c>
      <c r="O22" s="98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61">
        <f t="shared" ref="S22:S30" si="7">R22/R8</f>
        <v>-1170.658038293682</v>
      </c>
      <c r="T22" s="9">
        <f>U8/S22</f>
        <v>2.836598551447354E-3</v>
      </c>
      <c r="U22" s="266">
        <f t="shared" ref="U22:U30" si="8">S22*U8</f>
        <v>3887.3888070656249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-4208.33313562685</v>
      </c>
      <c r="F23" s="9">
        <f t="shared" si="4"/>
        <v>1.6425819082372156E-3</v>
      </c>
      <c r="G23" s="266">
        <f t="shared" si="5"/>
        <v>29090.23692976436</v>
      </c>
      <c r="O23" s="98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61">
        <f t="shared" si="7"/>
        <v>-16686.530223822745</v>
      </c>
      <c r="T23" s="9">
        <f t="shared" ref="T23:T30" si="11">U9/S23</f>
        <v>4.1425819386627717E-4</v>
      </c>
      <c r="U23" s="266">
        <f t="shared" si="8"/>
        <v>115346.17201220522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-59034.350710755651</v>
      </c>
      <c r="F24" s="9">
        <f t="shared" si="4"/>
        <v>2.0195693751752411E-4</v>
      </c>
      <c r="G24" s="266">
        <f t="shared" si="5"/>
        <v>703830.94679469732</v>
      </c>
      <c r="O24" s="98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61">
        <f t="shared" si="7"/>
        <v>-235681.53913097046</v>
      </c>
      <c r="T24" s="9">
        <f t="shared" si="11"/>
        <v>5.0586892472958159E-5</v>
      </c>
      <c r="U24" s="266">
        <f t="shared" si="8"/>
        <v>2809888.7991726529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-974873.63211370981</v>
      </c>
      <c r="F25" s="9">
        <f t="shared" si="4"/>
        <v>1.8887919391497823E-5</v>
      </c>
      <c r="G25" s="266">
        <f t="shared" si="5"/>
        <v>17950674.361583482</v>
      </c>
      <c r="O25" s="98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61">
        <f t="shared" si="7"/>
        <v>-3897927.207502888</v>
      </c>
      <c r="T25" s="9">
        <f t="shared" si="11"/>
        <v>4.7238785128715907E-6</v>
      </c>
      <c r="U25" s="266">
        <f t="shared" si="8"/>
        <v>71773837.841251001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-41728633.382488579</v>
      </c>
      <c r="F26" s="9">
        <f t="shared" si="4"/>
        <v>6.3331099734690712E-7</v>
      </c>
      <c r="G26" s="266">
        <f t="shared" si="5"/>
        <v>1102771041.3337989</v>
      </c>
      <c r="O26" s="98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61">
        <f t="shared" si="7"/>
        <v>-166901117.40090626</v>
      </c>
      <c r="T26" s="9">
        <f t="shared" si="11"/>
        <v>1.5834047630674391E-7</v>
      </c>
      <c r="U26" s="266">
        <f t="shared" si="8"/>
        <v>4410729614.5770779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122134754.96524988</v>
      </c>
      <c r="F27" s="9">
        <f t="shared" si="4"/>
        <v>-2.946795458083133E-7</v>
      </c>
      <c r="G27" s="266">
        <f t="shared" si="5"/>
        <v>-4395704836.6646156</v>
      </c>
      <c r="O27" s="98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61">
        <f t="shared" si="7"/>
        <v>488531384.66635835</v>
      </c>
      <c r="T27" s="9">
        <f t="shared" si="11"/>
        <v>-7.367103782932841E-8</v>
      </c>
      <c r="U27" s="266">
        <f t="shared" si="8"/>
        <v>-17582544551.314396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420089194.93728501</v>
      </c>
      <c r="F28" s="9">
        <f t="shared" si="4"/>
        <v>-1.1216645381561642E-7</v>
      </c>
      <c r="G28" s="266">
        <f t="shared" si="5"/>
        <v>-19794567276.484921</v>
      </c>
      <c r="O28" s="98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61">
        <f t="shared" si="7"/>
        <v>1680351777.5409563</v>
      </c>
      <c r="T28" s="9">
        <f t="shared" si="11"/>
        <v>-2.8041696930465487E-8</v>
      </c>
      <c r="U28" s="266">
        <f t="shared" si="8"/>
        <v>-79178033402.313828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2075927479.2960327</v>
      </c>
      <c r="F29" s="9">
        <f t="shared" si="4"/>
        <v>-2.8818381812250214E-8</v>
      </c>
      <c r="G29" s="266">
        <f t="shared" si="5"/>
        <v>-124192093058.23163</v>
      </c>
      <c r="O29" s="98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61">
        <f t="shared" si="7"/>
        <v>8303705282.3575878</v>
      </c>
      <c r="T29" s="9">
        <f t="shared" si="11"/>
        <v>-7.2045994744059296E-9</v>
      </c>
      <c r="U29" s="266">
        <f t="shared" si="8"/>
        <v>-496768094955.02777</v>
      </c>
    </row>
    <row r="30" spans="1:21" ht="17" thickBot="1" x14ac:dyDescent="0.25">
      <c r="A30" s="131">
        <v>10</v>
      </c>
      <c r="B30" s="94">
        <f t="shared" si="9"/>
        <v>10077696</v>
      </c>
      <c r="C30" s="110">
        <f t="shared" si="2"/>
        <v>60466176</v>
      </c>
      <c r="D30" s="10">
        <f>SUM($C$21:C30)</f>
        <v>72559410</v>
      </c>
      <c r="E30" s="10">
        <f t="shared" si="3"/>
        <v>11441137596.820284</v>
      </c>
      <c r="F30" s="10">
        <f t="shared" si="4"/>
        <v>-6.4776063965186735E-9</v>
      </c>
      <c r="G30" s="267">
        <f t="shared" si="5"/>
        <v>-847916277411.84949</v>
      </c>
      <c r="O30" s="99">
        <v>10</v>
      </c>
      <c r="P30" s="94">
        <f t="shared" si="10"/>
        <v>40310781</v>
      </c>
      <c r="Q30" s="110">
        <f t="shared" si="6"/>
        <v>241864701</v>
      </c>
      <c r="R30" s="10">
        <f>SUM($Q$21:Q30)</f>
        <v>290237610</v>
      </c>
      <c r="S30" s="262">
        <f t="shared" si="7"/>
        <v>45764545656.893608</v>
      </c>
      <c r="T30" s="10">
        <f t="shared" si="11"/>
        <v>-1.619401766516824E-9</v>
      </c>
      <c r="U30" s="267">
        <f t="shared" si="8"/>
        <v>-3391664759072.7676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6</v>
      </c>
      <c r="D33" s="57">
        <f>SUM($C$33:C33)</f>
        <v>6</v>
      </c>
      <c r="E33" s="9">
        <f t="shared" ref="E33:E42" si="13">D33/R7</f>
        <v>-18.165900910064718</v>
      </c>
      <c r="F33" s="8">
        <f t="shared" ref="F33:F42" si="14">U7/E33</f>
        <v>5.8173413805191393E-2</v>
      </c>
      <c r="G33" s="268">
        <f>E33*U7</f>
        <v>19.197223988769981</v>
      </c>
      <c r="O33" s="100">
        <v>1</v>
      </c>
      <c r="P33" s="108">
        <v>1</v>
      </c>
      <c r="Q33" s="109">
        <f>P33*6+15</f>
        <v>21</v>
      </c>
      <c r="R33" s="57">
        <f>SUM($Q$21)</f>
        <v>21</v>
      </c>
      <c r="S33" s="260">
        <f>R33/R7</f>
        <v>-63.58065318522651</v>
      </c>
      <c r="T33" s="8">
        <f>U7/S33</f>
        <v>1.6620975372911826E-2</v>
      </c>
      <c r="U33" s="268">
        <f>S33*U7</f>
        <v>67.190283960694927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-346.8616409759058</v>
      </c>
      <c r="F34" s="9">
        <f t="shared" si="14"/>
        <v>9.5735201111348204E-3</v>
      </c>
      <c r="G34" s="266">
        <f t="shared" ref="G34:G42" si="16">E34*U8</f>
        <v>1151.8189057972222</v>
      </c>
      <c r="O34" s="98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61">
        <f>R34/R8</f>
        <v>-1214.0157434156702</v>
      </c>
      <c r="T34" s="9">
        <f t="shared" ref="T34:T42" si="18">U8/S34</f>
        <v>2.7352914603242344E-3</v>
      </c>
      <c r="U34" s="266">
        <f t="shared" ref="U34:U42" si="19">S34*U8</f>
        <v>4031.3661702902773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-5578.4881100169878</v>
      </c>
      <c r="F35" s="9">
        <f t="shared" si="14"/>
        <v>1.2391407377929872E-3</v>
      </c>
      <c r="G35" s="266">
        <f t="shared" si="16"/>
        <v>38561.476860385323</v>
      </c>
      <c r="O35" s="98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61">
        <f t="shared" ref="S35:S42" si="21">R35/R9</f>
        <v>-17469.475923474252</v>
      </c>
      <c r="T35" s="9">
        <f t="shared" si="18"/>
        <v>3.9569200030364291E-4</v>
      </c>
      <c r="U35" s="266">
        <f t="shared" si="19"/>
        <v>120758.3091154172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-91172.74241043345</v>
      </c>
      <c r="F36" s="9">
        <f t="shared" si="14"/>
        <v>1.3076711704259684E-4</v>
      </c>
      <c r="G36" s="266">
        <f t="shared" si="16"/>
        <v>1086997.6012273319</v>
      </c>
      <c r="O36" s="98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61">
        <f t="shared" si="21"/>
        <v>-247306.0637883007</v>
      </c>
      <c r="T36" s="9">
        <f t="shared" si="18"/>
        <v>4.8209075407408981E-5</v>
      </c>
      <c r="U36" s="266">
        <f t="shared" si="19"/>
        <v>2948480.9933291376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-1756026.3945662389</v>
      </c>
      <c r="F37" s="9">
        <f t="shared" si="14"/>
        <v>1.048579602062803E-5</v>
      </c>
      <c r="G37" s="266">
        <f t="shared" si="16"/>
        <v>32334301.534916613</v>
      </c>
      <c r="O37" s="98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61">
        <f t="shared" si="21"/>
        <v>-4092275.0055448497</v>
      </c>
      <c r="T37" s="9">
        <f t="shared" si="18"/>
        <v>4.499534991004077E-6</v>
      </c>
      <c r="U37" s="266">
        <f t="shared" si="19"/>
        <v>75352428.871534526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-87687819.458132684</v>
      </c>
      <c r="F38" s="9">
        <f t="shared" si="14"/>
        <v>3.0137825970236586E-7</v>
      </c>
      <c r="G38" s="266">
        <f t="shared" si="16"/>
        <v>2317343755.0608864</v>
      </c>
      <c r="O38" s="98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61">
        <f t="shared" si="21"/>
        <v>-175241477.62578475</v>
      </c>
      <c r="T38" s="9">
        <f t="shared" si="18"/>
        <v>1.5080449436645713E-7</v>
      </c>
      <c r="U38" s="266">
        <f t="shared" si="19"/>
        <v>4631142002.5405903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299423974.53454024</v>
      </c>
      <c r="F39" s="9">
        <f t="shared" si="14"/>
        <v>-1.2019950699177482E-7</v>
      </c>
      <c r="G39" s="266">
        <f t="shared" si="16"/>
        <v>-10776452725.919859</v>
      </c>
      <c r="O39" s="98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61">
        <f t="shared" si="21"/>
        <v>512955281.58155179</v>
      </c>
      <c r="T39" s="9">
        <f t="shared" si="18"/>
        <v>-7.0163258694993154E-8</v>
      </c>
      <c r="U39" s="266">
        <f t="shared" si="19"/>
        <v>-18461575600.509689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1201530405.7648432</v>
      </c>
      <c r="F40" s="9">
        <f t="shared" si="14"/>
        <v>-3.9216581666427261E-8</v>
      </c>
      <c r="G40" s="266">
        <f t="shared" si="16"/>
        <v>-56616010928.834023</v>
      </c>
      <c r="O40" s="98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61">
        <f t="shared" si="21"/>
        <v>1764367615.6451397</v>
      </c>
      <c r="T40" s="9">
        <f t="shared" si="18"/>
        <v>-2.6706404529615613E-8</v>
      </c>
      <c r="U40" s="266">
        <f t="shared" si="19"/>
        <v>-83136852576.160477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6927109785.8592052</v>
      </c>
      <c r="F41" s="9">
        <f t="shared" si="14"/>
        <v>-8.636339333760802E-9</v>
      </c>
      <c r="G41" s="266">
        <f t="shared" si="16"/>
        <v>-414413447353.05823</v>
      </c>
      <c r="O41" s="98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61">
        <f t="shared" si="21"/>
        <v>8718888924.2861767</v>
      </c>
      <c r="T41" s="9">
        <f t="shared" si="18"/>
        <v>-6.8615245855759234E-9</v>
      </c>
      <c r="U41" s="266">
        <f t="shared" si="19"/>
        <v>-521606402655.51459</v>
      </c>
    </row>
    <row r="42" spans="1:21" ht="17" thickBot="1" x14ac:dyDescent="0.25">
      <c r="A42" s="131">
        <v>10</v>
      </c>
      <c r="B42" s="94">
        <f t="shared" si="15"/>
        <v>40353607</v>
      </c>
      <c r="C42" s="110">
        <f t="shared" si="12"/>
        <v>242121642</v>
      </c>
      <c r="D42" s="10">
        <f>SUM($C$33:C42)</f>
        <v>282475248</v>
      </c>
      <c r="E42" s="9">
        <f t="shared" si="13"/>
        <v>44540579644.51384</v>
      </c>
      <c r="F42" s="10">
        <f t="shared" si="14"/>
        <v>-1.6639025956129825E-9</v>
      </c>
      <c r="G42" s="267">
        <f t="shared" si="16"/>
        <v>-3300955186172.9443</v>
      </c>
      <c r="O42" s="99">
        <v>10</v>
      </c>
      <c r="P42" s="94">
        <f t="shared" si="20"/>
        <v>42326320</v>
      </c>
      <c r="Q42" s="110">
        <f t="shared" si="17"/>
        <v>253957935</v>
      </c>
      <c r="R42" s="10">
        <f>SUM($Q$33:Q42)</f>
        <v>304749480</v>
      </c>
      <c r="S42" s="262">
        <f t="shared" si="21"/>
        <v>48052771284.102661</v>
      </c>
      <c r="T42" s="10">
        <f t="shared" si="18"/>
        <v>-1.5422874498214761E-9</v>
      </c>
      <c r="U42" s="267">
        <f t="shared" si="19"/>
        <v>-3561247874325.2861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6</v>
      </c>
      <c r="D45" s="57">
        <f>SUM(C45:C45)</f>
        <v>6</v>
      </c>
      <c r="E45" s="57">
        <f t="shared" ref="E45:E54" si="23">D45/R7</f>
        <v>-18.165900910064718</v>
      </c>
      <c r="F45" s="8">
        <f t="shared" ref="F45:F54" si="24">U7/E45</f>
        <v>5.8173413805191393E-2</v>
      </c>
      <c r="G45" s="265">
        <f>E45*U7</f>
        <v>19.197223988769981</v>
      </c>
      <c r="O45" s="100">
        <v>1</v>
      </c>
      <c r="P45" s="108">
        <v>1</v>
      </c>
      <c r="Q45" s="109">
        <f>P45*6+15</f>
        <v>21</v>
      </c>
      <c r="R45" s="57">
        <f>SUM($Q$21)</f>
        <v>21</v>
      </c>
      <c r="S45" s="260">
        <f>R45/R7</f>
        <v>-63.58065318522651</v>
      </c>
      <c r="T45" s="8">
        <f>U7/S45</f>
        <v>1.6620975372911826E-2</v>
      </c>
      <c r="U45" s="268">
        <f>S45*U7</f>
        <v>67.190283960694927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-563.65016658584693</v>
      </c>
      <c r="F46" s="9">
        <f t="shared" si="24"/>
        <v>5.8913969914675809E-3</v>
      </c>
      <c r="G46" s="266">
        <f t="shared" ref="G46:G54" si="26">E46*U8</f>
        <v>1871.7057219204862</v>
      </c>
      <c r="O46" s="98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61">
        <f t="shared" ref="S46:S54" si="28">R46/R8</f>
        <v>-2081.1698458554347</v>
      </c>
      <c r="T46" s="9">
        <f t="shared" ref="T46:T54" si="29">U8/S46</f>
        <v>1.5955866851891367E-3</v>
      </c>
      <c r="U46" s="266">
        <f t="shared" ref="U46:U54" si="30">S46*U8</f>
        <v>6910.9134347833333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-15365.309355660826</v>
      </c>
      <c r="F47" s="9">
        <f t="shared" si="24"/>
        <v>4.498791213643329E-4</v>
      </c>
      <c r="G47" s="266">
        <f t="shared" si="26"/>
        <v>106213.19065053501</v>
      </c>
      <c r="O47" s="98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61">
        <f t="shared" si="28"/>
        <v>-57203.97018078823</v>
      </c>
      <c r="T47" s="9">
        <f t="shared" si="29"/>
        <v>1.2084007194901672E-4</v>
      </c>
      <c r="U47" s="266">
        <f t="shared" si="30"/>
        <v>395424.26710342488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-429651.54860916757</v>
      </c>
      <c r="F48" s="9">
        <f t="shared" si="24"/>
        <v>2.7748990353866707E-5</v>
      </c>
      <c r="G48" s="266">
        <f t="shared" si="26"/>
        <v>5122476.1957838014</v>
      </c>
      <c r="O48" s="98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61">
        <f t="shared" si="28"/>
        <v>-1601221.2885832374</v>
      </c>
      <c r="T48" s="9">
        <f t="shared" si="29"/>
        <v>7.4458144935286458E-6</v>
      </c>
      <c r="U48" s="266">
        <f t="shared" si="30"/>
        <v>19090395.371555015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-14181746.901636161</v>
      </c>
      <c r="F49" s="9">
        <f t="shared" si="24"/>
        <v>1.2983826821881929E-6</v>
      </c>
      <c r="G49" s="266">
        <f t="shared" si="26"/>
        <v>261133250.63239866</v>
      </c>
      <c r="O49" s="98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61">
        <f t="shared" si="28"/>
        <v>-52858526.032938443</v>
      </c>
      <c r="T49" s="9">
        <f t="shared" si="29"/>
        <v>3.4835126822844633E-7</v>
      </c>
      <c r="U49" s="266">
        <f t="shared" si="30"/>
        <v>973301725.2639029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-1213949492.8278503</v>
      </c>
      <c r="F50" s="9">
        <f t="shared" si="24"/>
        <v>2.176960621633944E-8</v>
      </c>
      <c r="G50" s="266">
        <f t="shared" si="26"/>
        <v>32081288981.157829</v>
      </c>
      <c r="O50" s="98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61">
        <f t="shared" si="28"/>
        <v>-4524714738.6633301</v>
      </c>
      <c r="T50" s="9">
        <f t="shared" si="29"/>
        <v>5.8406339298185863E-9</v>
      </c>
      <c r="U50" s="266">
        <f t="shared" si="30"/>
        <v>119575552315.78914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7106047293.2955637</v>
      </c>
      <c r="F51" s="9">
        <f t="shared" si="24"/>
        <v>-5.0647867422056161E-9</v>
      </c>
      <c r="G51" s="266">
        <f t="shared" si="26"/>
        <v>-255751006055.51782</v>
      </c>
      <c r="O51" s="98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61">
        <f t="shared" si="28"/>
        <v>26486172804.467716</v>
      </c>
      <c r="T51" s="9">
        <f t="shared" si="29"/>
        <v>-1.3588454015711374E-9</v>
      </c>
      <c r="U51" s="266">
        <f t="shared" si="30"/>
        <v>-953253624936.31897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48883135310.045135</v>
      </c>
      <c r="F52" s="9">
        <f t="shared" si="24"/>
        <v>-9.6392989082043715E-10</v>
      </c>
      <c r="G52" s="266">
        <f t="shared" si="26"/>
        <v>-2303369194546.0767</v>
      </c>
      <c r="O52" s="98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61">
        <f t="shared" si="28"/>
        <v>182200774790.9827</v>
      </c>
      <c r="T52" s="9">
        <f t="shared" si="29"/>
        <v>-2.5861533978890894E-10</v>
      </c>
      <c r="U52" s="266">
        <f t="shared" si="30"/>
        <v>-8585285072533.7285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483124988482.55884</v>
      </c>
      <c r="F53" s="9">
        <f t="shared" si="24"/>
        <v>-1.2382897208608148E-10</v>
      </c>
      <c r="G53" s="266">
        <f t="shared" si="26"/>
        <v>-28902889974138.074</v>
      </c>
      <c r="O53" s="98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61">
        <f t="shared" si="28"/>
        <v>1800738591328.2527</v>
      </c>
      <c r="T53" s="9">
        <f t="shared" si="29"/>
        <v>-3.3222407183914164E-11</v>
      </c>
      <c r="U53" s="266">
        <f t="shared" si="30"/>
        <v>-107728953413933.78</v>
      </c>
    </row>
    <row r="54" spans="1:21" ht="17" thickBot="1" x14ac:dyDescent="0.25">
      <c r="A54" s="131">
        <v>10</v>
      </c>
      <c r="B54" s="94">
        <f t="shared" si="25"/>
        <v>5159780352</v>
      </c>
      <c r="C54" s="110">
        <f t="shared" si="22"/>
        <v>30958682112</v>
      </c>
      <c r="D54" s="10">
        <f>SUM($C$45:C54)</f>
        <v>33773107758</v>
      </c>
      <c r="E54" s="10">
        <f t="shared" si="23"/>
        <v>5325329587596.1035</v>
      </c>
      <c r="F54" s="10">
        <f t="shared" si="24"/>
        <v>-1.3916732262588039E-11</v>
      </c>
      <c r="G54" s="267">
        <f t="shared" si="26"/>
        <v>-394666492006930.81</v>
      </c>
      <c r="O54" s="99">
        <v>10</v>
      </c>
      <c r="P54" s="94">
        <f t="shared" si="31"/>
        <v>19231908582</v>
      </c>
      <c r="Q54" s="110">
        <f t="shared" si="27"/>
        <v>115391451507</v>
      </c>
      <c r="R54" s="10">
        <f>SUM($Q$45:Q54)</f>
        <v>125881583448</v>
      </c>
      <c r="S54" s="262">
        <f t="shared" si="28"/>
        <v>19848955733435.301</v>
      </c>
      <c r="T54" s="10">
        <f t="shared" si="29"/>
        <v>-3.7337574367085741E-12</v>
      </c>
      <c r="U54" s="267">
        <f t="shared" si="30"/>
        <v>-1471029651866480.8</v>
      </c>
    </row>
  </sheetData>
  <mergeCells count="2">
    <mergeCell ref="A18:F18"/>
    <mergeCell ref="O18:T18"/>
  </mergeCells>
  <conditionalFormatting sqref="F45:F54">
    <cfRule type="cellIs" dxfId="449" priority="65" operator="equal">
      <formula>MAX($F$45:$F$54)</formula>
    </cfRule>
  </conditionalFormatting>
  <conditionalFormatting sqref="F21:F30">
    <cfRule type="cellIs" dxfId="448" priority="63" operator="equal">
      <formula>MAX($F$21:$F$30)</formula>
    </cfRule>
  </conditionalFormatting>
  <conditionalFormatting sqref="E33:E42">
    <cfRule type="cellIs" dxfId="447" priority="61" stopIfTrue="1" operator="lessThan">
      <formula>0</formula>
    </cfRule>
    <cfRule type="cellIs" dxfId="446" priority="62" operator="equal">
      <formula>MIN($E$33:$E$42)</formula>
    </cfRule>
  </conditionalFormatting>
  <conditionalFormatting sqref="E21:E30">
    <cfRule type="cellIs" dxfId="445" priority="57" stopIfTrue="1" operator="lessThan">
      <formula>0</formula>
    </cfRule>
    <cfRule type="cellIs" dxfId="444" priority="58" operator="equal">
      <formula>MIN($E$21:$E$30)</formula>
    </cfRule>
  </conditionalFormatting>
  <conditionalFormatting sqref="E45:E54">
    <cfRule type="cellIs" dxfId="443" priority="53" stopIfTrue="1" operator="lessThan">
      <formula>0</formula>
    </cfRule>
    <cfRule type="cellIs" dxfId="442" priority="54" operator="equal">
      <formula>MIN($E$45:$E$54)</formula>
    </cfRule>
  </conditionalFormatting>
  <conditionalFormatting sqref="F33:F42">
    <cfRule type="cellIs" dxfId="441" priority="43" operator="lessThanOrEqual">
      <formula>0</formula>
    </cfRule>
    <cfRule type="cellIs" dxfId="440" priority="44" operator="equal">
      <formula>MAX($F$33:$F$42)</formula>
    </cfRule>
  </conditionalFormatting>
  <conditionalFormatting sqref="R7:R16">
    <cfRule type="cellIs" dxfId="439" priority="29" operator="lessThanOrEqual">
      <formula>0</formula>
    </cfRule>
    <cfRule type="cellIs" dxfId="438" priority="30" operator="greaterThan">
      <formula>0</formula>
    </cfRule>
  </conditionalFormatting>
  <conditionalFormatting sqref="T21:T30">
    <cfRule type="cellIs" dxfId="437" priority="21" operator="equal">
      <formula>MAX($T$21:$T$30)</formula>
    </cfRule>
  </conditionalFormatting>
  <conditionalFormatting sqref="S33:S42">
    <cfRule type="cellIs" dxfId="436" priority="19" stopIfTrue="1" operator="lessThan">
      <formula>0</formula>
    </cfRule>
    <cfRule type="cellIs" dxfId="435" priority="20" operator="equal">
      <formula>MIN($E$21:$E$30)</formula>
    </cfRule>
  </conditionalFormatting>
  <conditionalFormatting sqref="T33:T42">
    <cfRule type="cellIs" dxfId="434" priority="18" operator="equal">
      <formula>MAX($T$21:$T$30)</formula>
    </cfRule>
  </conditionalFormatting>
  <conditionalFormatting sqref="S45:S54">
    <cfRule type="cellIs" dxfId="433" priority="16" stopIfTrue="1" operator="lessThan">
      <formula>0</formula>
    </cfRule>
    <cfRule type="cellIs" dxfId="432" priority="17" operator="equal">
      <formula>MIN($E$21:$E$30)</formula>
    </cfRule>
  </conditionalFormatting>
  <conditionalFormatting sqref="T45:T54">
    <cfRule type="cellIs" dxfId="431" priority="15" operator="equal">
      <formula>MAX($T$21:$T$30)</formula>
    </cfRule>
  </conditionalFormatting>
  <conditionalFormatting sqref="S21:S30">
    <cfRule type="cellIs" dxfId="430" priority="13" stopIfTrue="1" operator="lessThan">
      <formula>0</formula>
    </cfRule>
    <cfRule type="cellIs" dxfId="429" priority="14" operator="equal">
      <formula>MIN($E$21:$E$30)</formula>
    </cfRule>
  </conditionalFormatting>
  <conditionalFormatting sqref="U7:U16">
    <cfRule type="cellIs" dxfId="428" priority="9" operator="lessThanOrEqual">
      <formula>0</formula>
    </cfRule>
    <cfRule type="cellIs" dxfId="427" priority="10" operator="greaterThan">
      <formula>0</formula>
    </cfRule>
  </conditionalFormatting>
  <conditionalFormatting sqref="S7:T16">
    <cfRule type="cellIs" dxfId="426" priority="1" operator="lessThanOrEqual">
      <formula>0</formula>
    </cfRule>
    <cfRule type="cellIs" dxfId="425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53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-0.34456837192534162</v>
      </c>
      <c r="C2">
        <f>(SUM(HS!C4:C11)+Rules!$B$5*HS!C12+HS!C36)/(9+Rules!$B$5)</f>
        <v>-7.5884358318949102E-2</v>
      </c>
      <c r="D2">
        <f>(SUM(HS!D4:D11)+Rules!$B$5*HS!D12+HS!D36)/(9+Rules!$B$5)</f>
        <v>-4.9750706146412041E-2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-0.10316172777512723</v>
      </c>
      <c r="J2">
        <f>(SUM(HS!J4:J11)+Rules!$B$5*HS!J12+HS!J36)/(9+Rules!$B$5)</f>
        <v>-0.19004714305350842</v>
      </c>
      <c r="K2">
        <f>(SUM(HS!K4:K11)+Rules!$B$5*HS!K12+HS!K36)/(9+Rules!$B$5)</f>
        <v>-0.29096372773977425</v>
      </c>
    </row>
    <row r="3" spans="1:11" x14ac:dyDescent="0.2">
      <c r="A3">
        <v>3</v>
      </c>
      <c r="B3">
        <f>(SUM(HS!B5:B12)+Rules!$B$5*HS!B13+HS!B37)/(9+Rules!$B$5)</f>
        <v>-0.36474464099475529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-0.13094188065020099</v>
      </c>
      <c r="J3">
        <f>(SUM(HS!J5:J12)+Rules!$B$5*HS!J13+HS!J37)/(9+Rules!$B$5)</f>
        <v>-0.21507662281362433</v>
      </c>
      <c r="K3">
        <f>(SUM(HS!K5:K12)+Rules!$B$5*HS!K13+HS!K37)/(9+Rules!$B$5)</f>
        <v>-0.31277980128259808</v>
      </c>
    </row>
    <row r="4" spans="1:11" x14ac:dyDescent="0.2">
      <c r="A4">
        <v>4</v>
      </c>
      <c r="B4">
        <f>(SUM(HS!B6:B13)+Rules!$B$5*HS!B14+HS!B38)/(9+Rules!$B$5)</f>
        <v>-0.38538530661686615</v>
      </c>
      <c r="C4">
        <f>(SUM(HS!C6:C13)+Rules!$B$5*HS!C14+HS!C38)/(9+Rules!$B$5)</f>
        <v>-0.11491332761892134</v>
      </c>
      <c r="D4">
        <f>(SUM(HS!D6:D13)+Rules!$B$5*HS!D14+HS!D38)/(9+Rules!$B$5)</f>
        <v>-8.2613314299744348E-2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-0.33509986436351097</v>
      </c>
    </row>
    <row r="5" spans="1:11" x14ac:dyDescent="0.2">
      <c r="A5">
        <v>5</v>
      </c>
      <c r="B5">
        <f>(SUM(HS!B7:B14)+Rules!$B$5*HS!B15+HS!B39)/(9+Rules!$B$5)</f>
        <v>-0.40632230211141912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-0.18809330390318518</v>
      </c>
      <c r="J5">
        <f>(SUM(HS!J7:J14)+Rules!$B$5*HS!J15+HS!J39)/(9+Rules!$B$5)</f>
        <v>-0.26661505335795899</v>
      </c>
      <c r="K5">
        <f>(SUM(HS!K7:K14)+Rules!$B$5*HS!K15+HS!K39)/(9+Rules!$B$5)</f>
        <v>-0.3577434525808979</v>
      </c>
    </row>
    <row r="6" spans="1:11" x14ac:dyDescent="0.2">
      <c r="A6">
        <v>6</v>
      </c>
      <c r="B6">
        <f>(SUM(HS!B8:B15)+Rules!$B$5*HS!B16+HS!B40)/(9+Rules!$B$5)</f>
        <v>-0.41968690347101079</v>
      </c>
      <c r="C6">
        <f>(SUM(HS!C8:C15)+Rules!$B$5*HS!C16+HS!C40)/(9+Rules!$B$5)</f>
        <v>-0.14075911746001987</v>
      </c>
      <c r="D6">
        <f>(SUM(HS!D8:D15)+Rules!$B$5*HS!D16+HS!D40)/(9+Rules!$B$5)</f>
        <v>-0.10729107800860835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-0.38050766229289529</v>
      </c>
    </row>
    <row r="7" spans="1:11" x14ac:dyDescent="0.2">
      <c r="A7">
        <v>7</v>
      </c>
      <c r="B7">
        <f>(SUM(HS!B9:B16)+Rules!$B$5*HS!B17+HS!B41)/(9+Rules!$B$5)</f>
        <v>-0.39971038372569095</v>
      </c>
      <c r="C7">
        <f>(SUM(HS!C9:C16)+Rules!$B$5*HS!C17+HS!C41)/(9+Rules!$B$5)</f>
        <v>-0.10918342786661633</v>
      </c>
      <c r="D7">
        <f>(SUM(HS!D9:D16)+Rules!$B$5*HS!D17+HS!D41)/(9+Rules!$B$5)</f>
        <v>-7.6582981904463582E-2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-0.21060476872434966</v>
      </c>
      <c r="J7">
        <f>(SUM(HS!J9:J16)+Rules!$B$5*HS!J17+HS!J41)/(9+Rules!$B$5)</f>
        <v>-0.28536544048687662</v>
      </c>
      <c r="K7">
        <f>(SUM(HS!K9:K16)+Rules!$B$5*HS!K17+HS!K41)/(9+Rules!$B$5)</f>
        <v>-0.36507789921394679</v>
      </c>
    </row>
    <row r="8" spans="1:11" x14ac:dyDescent="0.2">
      <c r="A8">
        <v>8</v>
      </c>
      <c r="B8">
        <f>(SUM(HS!B10:B17)+Rules!$B$5*HS!B18+HS!B42)/(9+Rules!$B$5)</f>
        <v>-0.33034033459070061</v>
      </c>
      <c r="C8">
        <f>(SUM(HS!C10:C17)+Rules!$B$5*HS!C18+HS!C42)/(9+Rules!$B$5)</f>
        <v>-2.1798188008805671E-2</v>
      </c>
      <c r="D8">
        <f>(SUM(HS!D10:D17)+Rules!$B$5*HS!D18+HS!D42)/(9+Rules!$B$5)</f>
        <v>8.0052625306546912E-3</v>
      </c>
      <c r="E8">
        <f>(SUM(HS!E10:E17)+Rules!$B$5*HS!E18+HS!E42)/(9+Rules!$B$5)</f>
        <v>3.8784473277208804E-2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-5.989827565865629E-2</v>
      </c>
      <c r="J8">
        <f>(SUM(HS!J10:J17)+Rules!$B$5*HS!J18+HS!J42)/(9+Rules!$B$5)</f>
        <v>-0.2101863319982176</v>
      </c>
      <c r="K8">
        <f>(SUM(HS!K10:K17)+Rules!$B$5*HS!K18+HS!K42)/(9+Rules!$B$5)</f>
        <v>-0.30177738614031369</v>
      </c>
    </row>
    <row r="9" spans="1:11" x14ac:dyDescent="0.2">
      <c r="A9">
        <v>9</v>
      </c>
      <c r="B9">
        <f>(SUM(HS!B11:B18)+Rules!$B$5*HS!B19+HS!B43)/(9+Rules!$B$5)</f>
        <v>-0.25192476177072076</v>
      </c>
      <c r="C9">
        <f>(SUM(HS!C11:C18)+Rules!$B$5*HS!C19+HS!C43)/(9+Rules!$B$5)</f>
        <v>7.444603757634051E-2</v>
      </c>
      <c r="D9">
        <f>(SUM(HS!D11:D18)+Rules!$B$5*HS!D19+HS!D43)/(9+Rules!$B$5)</f>
        <v>0.10126470173887678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0.19601883925727875</v>
      </c>
      <c r="H9">
        <f>(SUM(HS!H11:H18)+Rules!$B$5*HS!H19+HS!H43)/(9+Rules!$B$5)</f>
        <v>0.17186785993695267</v>
      </c>
      <c r="I9">
        <f>(SUM(HS!I11:I18)+Rules!$B$5*HS!I19+HS!I43)/(9+Rules!$B$5)</f>
        <v>9.8376217435392585E-2</v>
      </c>
      <c r="J9">
        <f>(SUM(HS!J11:J18)+Rules!$B$5*HS!J19+HS!J43)/(9+Rules!$B$5)</f>
        <v>-5.217805346265169E-2</v>
      </c>
      <c r="K9">
        <f>(SUM(HS!K11:K18)+Rules!$B$5*HS!K19+HS!K43)/(9+Rules!$B$5)</f>
        <v>-0.21343169035706566</v>
      </c>
    </row>
    <row r="10" spans="1:11" x14ac:dyDescent="0.2">
      <c r="A10">
        <v>10</v>
      </c>
      <c r="B10">
        <f>(SUM(HS!B12:B19)+Rules!$B$5*HS!B20+HS!B44)/(9+Rules!$B$5)</f>
        <v>-0.14666789263035868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-4.4990260383613007E-2</v>
      </c>
    </row>
    <row r="11" spans="1:11" x14ac:dyDescent="0.2">
      <c r="A11">
        <v>11</v>
      </c>
      <c r="B11">
        <f>(SUM(HS!B12:B20)+Rules!$B$5*HS!B21)/(9+Rules!$B$5)</f>
        <v>-4.1986836980868178E-2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0.22998214532399175</v>
      </c>
      <c r="J11">
        <f>(SUM(HS!J12:J20)+Rules!$B$5*HS!J21)/(9+Rules!$B$5)</f>
        <v>0.15825711845512572</v>
      </c>
      <c r="K11">
        <f>(SUM(HS!K12:K20)+Rules!$B$5*HS!K21)/(9+Rules!$B$5)</f>
        <v>5.9690795265877464E-2</v>
      </c>
    </row>
    <row r="12" spans="1:11" x14ac:dyDescent="0.2">
      <c r="A12">
        <v>12</v>
      </c>
      <c r="B12">
        <f>(SUM(HS!B13:B21)+Rules!$B$5*HS!B22)/(9+Rules!$B$5)</f>
        <v>-0.46566058377683939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-0.42069618899826788</v>
      </c>
    </row>
    <row r="13" spans="1:11" x14ac:dyDescent="0.2">
      <c r="A13">
        <v>13</v>
      </c>
      <c r="B13">
        <f>(SUM(HS!B14:B22)+Rules!$B$5*HS!B23)/(9+Rules!$B$5)</f>
        <v>-0.50382768493563657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-0.46207503264124877</v>
      </c>
    </row>
    <row r="14" spans="1:11" x14ac:dyDescent="0.2">
      <c r="A14">
        <v>14</v>
      </c>
      <c r="B14">
        <f>(SUM(HS!B15:B23)+Rules!$B$5*HS!B24)/(9+Rules!$B$5)</f>
        <v>-0.53926856458309114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-0.50049824459544523</v>
      </c>
    </row>
    <row r="15" spans="1:11" x14ac:dyDescent="0.2">
      <c r="A15">
        <v>15</v>
      </c>
      <c r="B15">
        <f>(SUM(HS!B16:B24)+Rules!$B$5*HS!B25)/(9+Rules!$B$5)</f>
        <v>-0.572177952827156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-0.53617694141005634</v>
      </c>
    </row>
    <row r="16" spans="1:11" x14ac:dyDescent="0.2">
      <c r="A16">
        <v>16</v>
      </c>
      <c r="B16">
        <f>(SUM(HS!B17:B25)+Rules!$B$5*HS!B26)/(9+Rules!$B$5)</f>
        <v>-0.60481011846064825</v>
      </c>
      <c r="C16">
        <f>(SUM(HS!C17:C25)+Rules!$B$5*HS!C26)/(9+Rules!$B$5)</f>
        <v>-0.47099499297916814</v>
      </c>
      <c r="D16">
        <f>(SUM(HS!D17:D25)+Rules!$B$5*HS!D26)/(9+Rules!$B$5)</f>
        <v>-0.46376775234094397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-0.56930715988076652</v>
      </c>
    </row>
    <row r="17" spans="1:11" x14ac:dyDescent="0.2">
      <c r="A17">
        <v>17</v>
      </c>
      <c r="B17">
        <f>(SUM(HS!B18:B26)+Rules!$B$5*HS!B27)/(9+Rules!$B$5)</f>
        <v>-0.6460133870574184</v>
      </c>
      <c r="C17">
        <f>(SUM(HS!C18:C26)+Rules!$B$5*HS!C27)/(9+Rules!$B$5)</f>
        <v>-0.53615079392674181</v>
      </c>
      <c r="D17">
        <f>(SUM(HS!D18:D26)+Rules!$B$5*HS!D27)/(9+Rules!$B$5)</f>
        <v>-0.53167419530828441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-0.61051042847753678</v>
      </c>
    </row>
    <row r="18" spans="1:11" x14ac:dyDescent="0.2">
      <c r="A18">
        <v>18</v>
      </c>
      <c r="B18">
        <f>(SUM(HS!B19:B27)+Rules!$B$5*HS!B28)/(9+Rules!$B$5)</f>
        <v>-0.70435886158074468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-0.66885590300086295</v>
      </c>
    </row>
    <row r="19" spans="1:11" x14ac:dyDescent="0.2">
      <c r="A19">
        <v>19</v>
      </c>
      <c r="B19">
        <f>(SUM(HS!B20:B28)+Rules!$B$5*HS!B29)/(9+Rules!$B$5)</f>
        <v>-0.77984654203062687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-0.74434358345074514</v>
      </c>
    </row>
    <row r="20" spans="1:11" x14ac:dyDescent="0.2">
      <c r="A20">
        <v>20</v>
      </c>
      <c r="B20">
        <f>(SUM(HS!B21:B29)+Rules!$B$5*HS!B30)/(9+Rules!$B$5)</f>
        <v>-0.87247642840706496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-0.85472494911712416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7.4082476325384949E-2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0.40074805174057659</v>
      </c>
      <c r="J34">
        <f>(SUM(HS!J35:J43)+Rules!$B$5*HS!J44)/(9+Rules!$B$5)</f>
        <v>0.32142328174266549</v>
      </c>
      <c r="K34">
        <f>(SUM(HS!K35:K43)+Rules!$B$5*HS!K44)/(9+Rules!$B$5)</f>
        <v>0.19656557835630536</v>
      </c>
    </row>
    <row r="35" spans="1:11" x14ac:dyDescent="0.2">
      <c r="A35">
        <v>12</v>
      </c>
      <c r="B35">
        <f>(SUM(HS!B36:B44)+Rules!$B$5*HS!B45)/(9+Rules!$B$5)</f>
        <v>-0.20521353107155851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9.5115020927032307E-2</v>
      </c>
      <c r="J35">
        <f>(SUM(HS!J36:J44)+Rules!$B$5*HS!J45)/(9+Rules!$B$5)</f>
        <v>6.5790841226897296E-5</v>
      </c>
      <c r="K35">
        <f>(SUM(HS!K36:K44)+Rules!$B$5*HS!K45)/(9+Rules!$B$5)</f>
        <v>-0.12808280155666141</v>
      </c>
    </row>
    <row r="36" spans="1:11" x14ac:dyDescent="0.2">
      <c r="A36">
        <v>13</v>
      </c>
      <c r="B36">
        <f>(SUM(HS!B37:B45)+Rules!$B$5*HS!B46)/(9+Rules!$B$5)</f>
        <v>-0.23472177802444921</v>
      </c>
      <c r="C36">
        <f>(SUM(HS!C37:C45)+Rules!$B$5*HS!C46)/(9+Rules!$B$5)</f>
        <v>4.6636132695309543E-2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5.4057070196311334E-2</v>
      </c>
      <c r="J36">
        <f>(SUM(HS!J37:J45)+Rules!$B$5*HS!J46)/(9+Rules!$B$5)</f>
        <v>-3.7694688127479885E-2</v>
      </c>
      <c r="K36">
        <f>(SUM(HS!K37:K45)+Rules!$B$5*HS!K46)/(9+Rules!$B$5)</f>
        <v>-0.16080628455762785</v>
      </c>
    </row>
    <row r="37" spans="1:11" x14ac:dyDescent="0.2">
      <c r="A37">
        <v>14</v>
      </c>
      <c r="B37">
        <f>(SUM(HS!B38:B46)+Rules!$B$5*HS!B47)/(9+Rules!$B$5)</f>
        <v>-0.26406959413166387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1.3277219463208478E-2</v>
      </c>
      <c r="J37">
        <f>(SUM(HS!J38:J46)+Rules!$B$5*HS!J47)/(9+Rules!$B$5)</f>
        <v>-7.516318944168382E-2</v>
      </c>
      <c r="K37">
        <f>(SUM(HS!K38:K46)+Rules!$B$5*HS!K47)/(9+Rules!$B$5)</f>
        <v>-0.1933035414076569</v>
      </c>
    </row>
    <row r="38" spans="1:11" x14ac:dyDescent="0.2">
      <c r="A38">
        <v>15</v>
      </c>
      <c r="B38">
        <f>(SUM(HS!B39:B47)+Rules!$B$5*HS!B48)/(9+Rules!$B$5)</f>
        <v>-0.29312934580507005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-0.22543993358238781</v>
      </c>
    </row>
    <row r="39" spans="1:11" x14ac:dyDescent="0.2">
      <c r="A39">
        <v>16</v>
      </c>
      <c r="B39">
        <f>(SUM(HS!B40:B48)+Rules!$B$5*HS!B49)/(9+Rules!$B$5)</f>
        <v>-0.31409107314591783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-0.25710121084742421</v>
      </c>
    </row>
    <row r="40" spans="1:11" x14ac:dyDescent="0.2">
      <c r="A40">
        <v>17</v>
      </c>
      <c r="B40">
        <f>(SUM(HS!B41:B49)+Rules!$B$5*HS!B50)/(9+Rules!$B$5)</f>
        <v>-0.30094774596936263</v>
      </c>
      <c r="C40">
        <f>(SUM(HS!C41:C49)+Rules!$B$5*HS!C50)/(9+Rules!$B$5)</f>
        <v>-4.9104358288916297E-4</v>
      </c>
      <c r="D40">
        <f>(SUM(HS!D41:D49)+Rules!$B$5*HS!D50)/(9+Rules!$B$5)</f>
        <v>2.8975282965620523E-2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-0.14978689218213323</v>
      </c>
      <c r="K40">
        <f>(SUM(HS!K41:K49)+Rules!$B$5*HS!K50)/(9+Rules!$B$5)</f>
        <v>-0.24941602102444038</v>
      </c>
    </row>
    <row r="41" spans="1:11" x14ac:dyDescent="0.2">
      <c r="A41">
        <v>18</v>
      </c>
      <c r="B41">
        <f>(SUM(HS!B42:B50)+Rules!$B$5*HS!B51)/(9+Rules!$B$5)</f>
        <v>-0.24952112818969466</v>
      </c>
      <c r="C41">
        <f>(SUM(HS!C42:C50)+Rules!$B$5*HS!C51)/(9+Rules!$B$5)</f>
        <v>6.2905069471517722E-2</v>
      </c>
      <c r="D41">
        <f>(SUM(HS!D42:D50)+Rules!$B$5*HS!D51)/(9+Rules!$B$5)</f>
        <v>9.0248278565440085E-2</v>
      </c>
      <c r="E41">
        <f>(SUM(HS!E42:E50)+Rules!$B$5*HS!E51)/(9+Rules!$B$5)</f>
        <v>0.11850192387781082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3.9677444270566554E-2</v>
      </c>
      <c r="J41">
        <f>(SUM(HS!J42:J50)+Rules!$B$5*HS!J51)/(9+Rules!$B$5)</f>
        <v>-0.10074430758041522</v>
      </c>
      <c r="K41">
        <f>(SUM(HS!K42:K50)+Rules!$B$5*HS!K51)/(9+Rules!$B$5)</f>
        <v>-0.20109793381277147</v>
      </c>
    </row>
    <row r="42" spans="1:11" x14ac:dyDescent="0.2">
      <c r="A42">
        <v>19</v>
      </c>
      <c r="B42">
        <f>(SUM(HS!B43:B51)+Rules!$B$5*HS!B52)/(9+Rules!$B$5)</f>
        <v>-0.19809451041002663</v>
      </c>
      <c r="C42">
        <f>(SUM(HS!C43:C51)+Rules!$B$5*HS!C52)/(9+Rules!$B$5)</f>
        <v>0.12395801957914128</v>
      </c>
      <c r="D42">
        <f>(SUM(HS!D43:D51)+Rules!$B$5*HS!D52)/(9+Rules!$B$5)</f>
        <v>0.14933970866308213</v>
      </c>
      <c r="E42">
        <f>(SUM(HS!E43:E51)+Rules!$B$5*HS!E52)/(9+Rules!$B$5)</f>
        <v>0.17557680563858263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0.15227028727077524</v>
      </c>
      <c r="J42">
        <f>(SUM(HS!J43:J51)+Rules!$B$5*HS!J52)/(9+Rules!$B$5)</f>
        <v>7.8926417444343377E-3</v>
      </c>
      <c r="K42">
        <f>(SUM(HS!K43:K51)+Rules!$B$5*HS!K52)/(9+Rules!$B$5)</f>
        <v>-0.14967131603310346</v>
      </c>
    </row>
    <row r="43" spans="1:11" x14ac:dyDescent="0.2">
      <c r="A43">
        <v>20</v>
      </c>
      <c r="B43">
        <f>(SUM(HS!B44:B52)+Rules!$B$5*HS!B53)/(9+Rules!$B$5)</f>
        <v>-0.14666789263035859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0.19795370833197612</v>
      </c>
      <c r="J43">
        <f>(SUM(HS!J44:J52)+Rules!$B$5*HS!J53)/(9+Rules!$B$5)</f>
        <v>0.11652959106928391</v>
      </c>
      <c r="K43">
        <f>(SUM(HS!K44:K52)+Rules!$B$5*HS!K53)/(9+Rules!$B$5)</f>
        <v>-4.4990260383612993E-2</v>
      </c>
    </row>
    <row r="44" spans="1:11" x14ac:dyDescent="0.2">
      <c r="A44">
        <v>21</v>
      </c>
      <c r="B44">
        <f>(SUM(HS!B45:B53)+Rules!$B$5*HS!B54)/(9+Rules!$B$5)</f>
        <v>-4.1986836980868178E-2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0.22998214532399175</v>
      </c>
      <c r="J44">
        <f>(SUM(HS!J45:J53)+Rules!$B$5*HS!J54)/(9+Rules!$B$5)</f>
        <v>0.15825711845512572</v>
      </c>
      <c r="K44">
        <f>(SUM(HS!K45:K53)+Rules!$B$5*HS!K54)/(9+Rules!$B$5)</f>
        <v>5.9690795265877464E-2</v>
      </c>
    </row>
    <row r="45" spans="1:11" x14ac:dyDescent="0.2">
      <c r="A45">
        <v>22</v>
      </c>
      <c r="B45">
        <f>B12</f>
        <v>-0.46566058377683939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 x14ac:dyDescent="0.2">
      <c r="A46">
        <v>23</v>
      </c>
      <c r="B46">
        <f t="shared" ref="B46:K46" si="1">B13</f>
        <v>-0.50382768493563657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 x14ac:dyDescent="0.2">
      <c r="A47">
        <v>24</v>
      </c>
      <c r="B47">
        <f t="shared" ref="B47:K47" si="2">B14</f>
        <v>-0.53926856458309114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-0.50049824459544523</v>
      </c>
    </row>
    <row r="48" spans="1:11" x14ac:dyDescent="0.2">
      <c r="A48">
        <v>25</v>
      </c>
      <c r="B48">
        <f t="shared" ref="B48:K48" si="3">B15</f>
        <v>-0.572177952827156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-0.53617694141005634</v>
      </c>
    </row>
    <row r="49" spans="1:11" x14ac:dyDescent="0.2">
      <c r="A49">
        <v>26</v>
      </c>
      <c r="B49">
        <f t="shared" ref="B49:K49" si="4">B16</f>
        <v>-0.60481011846064825</v>
      </c>
      <c r="C49">
        <f t="shared" si="4"/>
        <v>-0.47099499297916814</v>
      </c>
      <c r="D49">
        <f t="shared" si="4"/>
        <v>-0.46376775234094397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-0.56930715988076652</v>
      </c>
    </row>
    <row r="50" spans="1:11" x14ac:dyDescent="0.2">
      <c r="A50">
        <v>27</v>
      </c>
      <c r="B50">
        <f t="shared" ref="B50:K50" si="5">B17</f>
        <v>-0.6460133870574184</v>
      </c>
      <c r="C50">
        <f t="shared" si="5"/>
        <v>-0.53615079392674181</v>
      </c>
      <c r="D50">
        <f t="shared" si="5"/>
        <v>-0.53167419530828441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-0.61051042847753678</v>
      </c>
    </row>
    <row r="51" spans="1:11" x14ac:dyDescent="0.2">
      <c r="A51">
        <v>28</v>
      </c>
      <c r="B51">
        <f t="shared" ref="B51:K51" si="6">B18</f>
        <v>-0.70435886158074468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-0.66885590300086295</v>
      </c>
    </row>
    <row r="52" spans="1:11" x14ac:dyDescent="0.2">
      <c r="A52">
        <v>29</v>
      </c>
      <c r="B52">
        <f t="shared" ref="B52:K52" si="7">B19</f>
        <v>-0.77984654203062687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-0.74434358345074514</v>
      </c>
    </row>
    <row r="53" spans="1:11" x14ac:dyDescent="0.2">
      <c r="A53">
        <v>30</v>
      </c>
      <c r="B53">
        <f t="shared" ref="B53:K53" si="8">B20</f>
        <v>-0.87247642840706496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-0.85472494911712416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Analysis!B45</f>
        <v>0.34459750221458368</v>
      </c>
      <c r="D2" s="135" t="s">
        <v>126</v>
      </c>
      <c r="E2" s="141">
        <f>Analysis!L45</f>
        <v>0.65540249778541626</v>
      </c>
      <c r="F2" s="135" t="s">
        <v>47</v>
      </c>
      <c r="G2" s="141">
        <f>Analysis!S45</f>
        <v>1.6667868687880663</v>
      </c>
      <c r="H2" t="s">
        <v>155</v>
      </c>
      <c r="I2" s="155">
        <f>Analysis!T45</f>
        <v>-2.7299439776100511</v>
      </c>
      <c r="J2" t="s">
        <v>48</v>
      </c>
      <c r="K2" s="155">
        <f>C2*G2+E2*I2</f>
        <v>-1.2148415100314476</v>
      </c>
      <c r="L2" t="s">
        <v>47</v>
      </c>
      <c r="M2" s="162">
        <v>3</v>
      </c>
      <c r="N2" t="s">
        <v>155</v>
      </c>
      <c r="O2" s="162">
        <v>7</v>
      </c>
    </row>
    <row r="4" spans="1:23" x14ac:dyDescent="0.2">
      <c r="A4" t="s">
        <v>123</v>
      </c>
      <c r="B4">
        <f>$C$2</f>
        <v>0.34459750221458368</v>
      </c>
      <c r="C4" t="s">
        <v>124</v>
      </c>
      <c r="D4">
        <f>$E$2</f>
        <v>0.65540249778541626</v>
      </c>
      <c r="E4" t="s">
        <v>47</v>
      </c>
      <c r="F4">
        <f>G2</f>
        <v>1.6667868687880663</v>
      </c>
      <c r="G4" t="s">
        <v>155</v>
      </c>
      <c r="H4">
        <f>I2</f>
        <v>-2.7299439776100511</v>
      </c>
      <c r="I4" t="s">
        <v>48</v>
      </c>
      <c r="J4">
        <f>K2</f>
        <v>-1.2148415100314476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0.34459750221458368</v>
      </c>
      <c r="C7" s="95">
        <v>1</v>
      </c>
      <c r="D7" s="22">
        <f>C7*D4</f>
        <v>0.65540249778541626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-0.31080499557083258</v>
      </c>
      <c r="S7" s="277">
        <f>IF(Rules!B20=Rules!E20,SUM(C7)*B4*F4,SUM(C7)*B4*F4*POWER(O2,A7-1))</f>
        <v>0.57437059170843463</v>
      </c>
      <c r="T7" s="260">
        <f>IF(Rules!B20=Rules!E20,SUM(C7)*D4*H4,SUM(C7)*D4*H4*POWER(O2,A7-1))</f>
        <v>-1.7892121017398821</v>
      </c>
      <c r="U7" s="274">
        <f>S7+T7</f>
        <v>-1.2148415100314476</v>
      </c>
      <c r="V7" s="108">
        <f>(U7+W7*D7)/B7</f>
        <v>-1.6234563763543013</v>
      </c>
      <c r="W7" s="57">
        <f>COUNT(D7:M7)</f>
        <v>1</v>
      </c>
    </row>
    <row r="8" spans="1:23" x14ac:dyDescent="0.2">
      <c r="A8" s="98">
        <v>2</v>
      </c>
      <c r="B8" s="97">
        <f>C8*B4</f>
        <v>0.44513018221454215</v>
      </c>
      <c r="C8" s="97">
        <f>1/(1-B4*D4)</f>
        <v>1.2917394332630883</v>
      </c>
      <c r="D8" s="130">
        <f>C8*D4</f>
        <v>0.84660925104854601</v>
      </c>
      <c r="E8" s="1">
        <f>D8*D4</f>
        <v>0.55486981778545763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0.99999999999999978</v>
      </c>
      <c r="R8" s="278">
        <f>B8-E8</f>
        <v>-0.10973963557091548</v>
      </c>
      <c r="S8" s="279">
        <f>IF(Rules!B20=Rules!E20,SUM(C8:D8)*B4*F4,SUM(C8:D8)*B4*F4*POWER(O2,A8-1))</f>
        <v>1.2282045990870261</v>
      </c>
      <c r="T8" s="261">
        <f>IF(Rules!B20=Rules!E20,SUM(C8:D8)*D4*H4,SUM(C8:D8)*D4*H4*POWER(O2,A8-1))</f>
        <v>-3.8259593437099304</v>
      </c>
      <c r="U8" s="275">
        <f>S8+T8+U7</f>
        <v>-3.8125962546543519</v>
      </c>
      <c r="V8" s="93">
        <f>(U8+W8*E8)/B8</f>
        <v>-6.0720587528722643</v>
      </c>
      <c r="W8" s="9">
        <f>COUNT(D8:M8)</f>
        <v>2</v>
      </c>
    </row>
    <row r="9" spans="1:23" x14ac:dyDescent="0.2">
      <c r="A9" s="98">
        <v>3</v>
      </c>
      <c r="B9" s="97">
        <f>C9*B4</f>
        <v>0.48654057334041423</v>
      </c>
      <c r="C9" s="97">
        <f>1/(1-D4*B4/(1-D4*B4))</f>
        <v>1.4119097504004583</v>
      </c>
      <c r="D9" s="130">
        <f>C9*D4*C8</f>
        <v>1.1953358563346717</v>
      </c>
      <c r="E9" s="1">
        <f>D9*(D4)</f>
        <v>0.78342610593421325</v>
      </c>
      <c r="F9" s="1">
        <f>E9*D4</f>
        <v>0.51345942665958544</v>
      </c>
      <c r="G9" s="1"/>
      <c r="H9" s="1"/>
      <c r="I9" s="1"/>
      <c r="J9" s="1"/>
      <c r="K9" s="1"/>
      <c r="L9" s="1"/>
      <c r="M9" s="242"/>
      <c r="N9" s="97">
        <f>B9+F9</f>
        <v>0.99999999999999967</v>
      </c>
      <c r="R9" s="278">
        <f>B9-F9</f>
        <v>-2.691885331917121E-2</v>
      </c>
      <c r="S9" s="279">
        <f>IF(Rules!B20=Rules!E20,SUM(C9:E9)*B4*F4,SUM(C9:E9)*B4*F4*POWER(O2,A9-1))</f>
        <v>1.9475021178949423</v>
      </c>
      <c r="T9" s="261">
        <f>IF(Rules!B20=Rules!E20,SUM(C9:E9)*D4*H4,SUM(C9:E9)*D4*H4*POWER(O2,A9-1))</f>
        <v>-6.0666308613350806</v>
      </c>
      <c r="U9" s="275">
        <f t="shared" ref="U9:U16" si="0">S9+T9+U8</f>
        <v>-7.9317249980944897</v>
      </c>
      <c r="V9" s="93">
        <f>(U9+W9*F9)/B9</f>
        <v>-13.136307778475748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0.50592767087177426</v>
      </c>
      <c r="C10" s="97">
        <f>1/(1-D4*B4/(1-D4*B4/(1-D4*B4)))</f>
        <v>1.4681698724465186</v>
      </c>
      <c r="D10" s="130">
        <f>C10*D4*C9</f>
        <v>1.3585991466501846</v>
      </c>
      <c r="E10" s="1">
        <f>D10*D4*C8</f>
        <v>1.1502026060207067</v>
      </c>
      <c r="F10" s="1">
        <f>E10*D4</f>
        <v>0.75384566094526617</v>
      </c>
      <c r="G10" s="1">
        <f>F10*D4</f>
        <v>0.49407232912822546</v>
      </c>
      <c r="H10" s="1"/>
      <c r="I10" s="1"/>
      <c r="J10" s="1"/>
      <c r="K10" s="1"/>
      <c r="L10" s="1"/>
      <c r="M10" s="242"/>
      <c r="N10" s="97">
        <f>B10+G10</f>
        <v>0.99999999999999978</v>
      </c>
      <c r="R10" s="278">
        <f>B10-G10</f>
        <v>1.1855341743548797E-2</v>
      </c>
      <c r="S10" s="279">
        <f>IF(Rules!B20=Rules!E20,SUM(C10:F10)*B4*F4,SUM(C10:F10)*B4*F4*POWER(O2,A10-1))</f>
        <v>2.7172423238603098</v>
      </c>
      <c r="T10" s="261">
        <f>IF(Rules!B20=Rules!E20,SUM(C10:F10)*D4*H4,SUM(C10:F10)*D4*H4*POWER(O2,A10-1))</f>
        <v>-8.4644355393435653</v>
      </c>
      <c r="U10" s="275">
        <f t="shared" si="0"/>
        <v>-13.678918213577745</v>
      </c>
      <c r="V10" s="93">
        <f>(U10+W10*G10)/B10</f>
        <v>-23.13103151068967</v>
      </c>
      <c r="W10" s="9">
        <f t="shared" si="1"/>
        <v>4</v>
      </c>
    </row>
    <row r="11" spans="1:23" x14ac:dyDescent="0.2">
      <c r="A11" s="98">
        <v>5</v>
      </c>
      <c r="B11" s="97">
        <f>C11*B4</f>
        <v>0.51554520976187923</v>
      </c>
      <c r="C11" s="97">
        <f>1/(1-D4*B4/(1-D4*B4/(1-D4*B4/(1-D4*B4))))</f>
        <v>1.4960793576525839</v>
      </c>
      <c r="D11" s="130">
        <f>C11*D4*C10</f>
        <v>1.4395906948381516</v>
      </c>
      <c r="E11" s="1">
        <f>D11*D4*C9</f>
        <v>1.3321528565856773</v>
      </c>
      <c r="F11" s="1">
        <f>E11*D4*C8</f>
        <v>1.1278129321961814</v>
      </c>
      <c r="G11" s="1">
        <f>F11*D4</f>
        <v>0.73917141279607157</v>
      </c>
      <c r="H11" s="1">
        <f>G11*D4</f>
        <v>0.48445479023812033</v>
      </c>
      <c r="I11" s="1"/>
      <c r="J11" s="1"/>
      <c r="K11" s="1"/>
      <c r="L11" s="1"/>
      <c r="M11" s="242"/>
      <c r="N11" s="97">
        <f>B11+H11</f>
        <v>0.99999999999999956</v>
      </c>
      <c r="R11" s="278">
        <f>B11-H11</f>
        <v>3.1090419523758905E-2</v>
      </c>
      <c r="S11" s="279">
        <f>IF(Rules!B20=Rules!E20,SUM(C11:G11)*B4*F4,SUM(C11:G11)*B4*F4*POWER(O2,A11-1))</f>
        <v>3.5236528725366165</v>
      </c>
      <c r="T11" s="261">
        <f>IF(Rules!B20=Rules!E20,SUM(C11:G11)*D4*H4,SUM(C11:G11)*D4*H4*POWER(O2,A11-1))</f>
        <v>-10.976471380821271</v>
      </c>
      <c r="U11" s="275">
        <f t="shared" si="0"/>
        <v>-21.131736721862399</v>
      </c>
      <c r="V11" s="93">
        <f>(U11+W11*H11)/B11</f>
        <v>-36.290634490258093</v>
      </c>
      <c r="W11" s="9">
        <f t="shared" si="1"/>
        <v>5</v>
      </c>
    </row>
    <row r="12" spans="1:23" x14ac:dyDescent="0.2">
      <c r="A12" s="98">
        <v>6</v>
      </c>
      <c r="B12" s="97">
        <f>C12*B4</f>
        <v>0.5204532532436259</v>
      </c>
      <c r="C12" s="97">
        <f>1/(1-D4*B4/(1-D4*B4/(1-D4*B4/(1-D4*B4/(1-D4*B4)))))</f>
        <v>1.5103221871861838</v>
      </c>
      <c r="D12" s="130">
        <f>C12*D4*C11</f>
        <v>1.4809224788530302</v>
      </c>
      <c r="E12" s="1">
        <f>D12*D4*C10</f>
        <v>1.4250061064130675</v>
      </c>
      <c r="F12" s="1">
        <f>E12*D4*C9</f>
        <v>1.3186567279969976</v>
      </c>
      <c r="G12" s="1">
        <f>F12*D4*C8</f>
        <v>1.1163869848796646</v>
      </c>
      <c r="H12" s="1">
        <f>G12*D4</f>
        <v>0.73168281838526195</v>
      </c>
      <c r="I12" s="1">
        <f>H12*D4</f>
        <v>0.47954674675637377</v>
      </c>
      <c r="J12" s="1"/>
      <c r="K12" s="1"/>
      <c r="L12" s="1"/>
      <c r="M12" s="242"/>
      <c r="N12" s="97">
        <f>B12+I12</f>
        <v>0.99999999999999967</v>
      </c>
      <c r="R12" s="278">
        <f>B12-I12</f>
        <v>4.0906506487252137E-2</v>
      </c>
      <c r="S12" s="279">
        <f>IF(Rules!B20=Rules!E20,SUM(C12:H12)*B4*F4,SUM(C12:H12)*B4*F4*POWER(O2,A12-1))</f>
        <v>4.3554391608459584</v>
      </c>
      <c r="T12" s="261">
        <f>IF(Rules!B20=Rules!E20,SUM(C12:H12)*D4*H4,SUM(C12:H12)*D4*H4*POWER(O2,A12-1))</f>
        <v>-13.567554759024318</v>
      </c>
      <c r="U12" s="275">
        <f t="shared" si="0"/>
        <v>-30.34385232004076</v>
      </c>
      <c r="V12" s="93">
        <f>(U12+W12*I12)/B12</f>
        <v>-52.774330198384455</v>
      </c>
      <c r="W12" s="9">
        <f t="shared" si="1"/>
        <v>6</v>
      </c>
    </row>
    <row r="13" spans="1:23" x14ac:dyDescent="0.2">
      <c r="A13" s="98">
        <v>7</v>
      </c>
      <c r="B13" s="97">
        <f>C13*B4</f>
        <v>0.52299412594478478</v>
      </c>
      <c r="C13" s="97">
        <f>1/(1-D4*B4/(1-D4*B4/(1-D4*B4/(1-D4*B4/(1-D4*B4/(1-D4*B4))))))</f>
        <v>1.5176956379071838</v>
      </c>
      <c r="D13" s="130">
        <f>C13*D4*C12</f>
        <v>1.5023197631444545</v>
      </c>
      <c r="E13" s="1">
        <f>D13*D4*C11</f>
        <v>1.4730758288142127</v>
      </c>
      <c r="F13" s="1">
        <f>E13*D4*C10</f>
        <v>1.4174557286047291</v>
      </c>
      <c r="G13" s="1">
        <f>F13*D4*C9</f>
        <v>1.3116698410980032</v>
      </c>
      <c r="H13" s="1">
        <f>G13*D4*C8</f>
        <v>1.1104718217949459</v>
      </c>
      <c r="I13" s="1">
        <f>H13*D4</f>
        <v>0.7278060057247292</v>
      </c>
      <c r="J13" s="1">
        <f>I13*D4</f>
        <v>0.4770058740552145</v>
      </c>
      <c r="K13" s="1"/>
      <c r="L13" s="1"/>
      <c r="M13" s="242"/>
      <c r="N13" s="97">
        <f>B13+J13</f>
        <v>0.99999999999999933</v>
      </c>
      <c r="R13" s="278">
        <f>B13-J13</f>
        <v>4.5988251889570286E-2</v>
      </c>
      <c r="S13" s="279">
        <f>IF(Rules!B20=Rules!E20,SUM(C13:I13)*B4*F4,SUM(C13:I13)*B4*F4*POWER(O2,A13-1))</f>
        <v>5.2040816601317754</v>
      </c>
      <c r="T13" s="261">
        <f>IF(Rules!B20=Rules!E20,SUM(C13:I13)*D4*H4,SUM(C13:I13)*D4*H4*POWER(O2,A13-1))</f>
        <v>-16.211146634535488</v>
      </c>
      <c r="U13" s="275">
        <f t="shared" si="0"/>
        <v>-41.350917294444471</v>
      </c>
      <c r="V13" s="93">
        <f>(U13+W13*J13)/B13</f>
        <v>-72.681267896441113</v>
      </c>
      <c r="W13" s="9">
        <f t="shared" si="1"/>
        <v>7</v>
      </c>
    </row>
    <row r="14" spans="1:23" x14ac:dyDescent="0.2">
      <c r="A14" s="98">
        <v>8</v>
      </c>
      <c r="B14" s="97">
        <f>C14*B4</f>
        <v>0.52431929573278102</v>
      </c>
      <c r="C14" s="97">
        <f>1/(1-D4*B4/(1-D4*B4/(1-D4*B4/(1-D4*B4/(1-D4*B4/(1-D4*B4/(1-D4*B4)))))))</f>
        <v>1.5215411962164576</v>
      </c>
      <c r="D14" s="130">
        <f>C14*D4*C13</f>
        <v>1.5134793283895873</v>
      </c>
      <c r="E14" s="1">
        <f>D14*D4*C12</f>
        <v>1.4981461693370992</v>
      </c>
      <c r="F14" s="1">
        <f>E14*D4*C11</f>
        <v>1.4689834775666757</v>
      </c>
      <c r="G14" s="1">
        <f>F14*D4*C10</f>
        <v>1.413517895530682</v>
      </c>
      <c r="H14" s="1">
        <f>G14*D4*C9</f>
        <v>1.3080258917468723</v>
      </c>
      <c r="I14" s="1">
        <f>H14*D4*C8</f>
        <v>1.1073868205639261</v>
      </c>
      <c r="J14" s="1">
        <f>I14*D4</f>
        <v>0.72578408821224771</v>
      </c>
      <c r="K14" s="1">
        <f>J14*D4</f>
        <v>0.47568070426721804</v>
      </c>
      <c r="L14" s="1"/>
      <c r="M14" s="242"/>
      <c r="N14" s="97">
        <f>B14+K14</f>
        <v>0.99999999999999911</v>
      </c>
      <c r="R14" s="278">
        <f>B14-K14</f>
        <v>4.8638591465562986E-2</v>
      </c>
      <c r="S14" s="279">
        <f>IF(Rules!B20=Rules!E20,SUM(C14:J14)*B4*F4,SUM(C14:J14)*B4*F4*POWER(O2,A14-1))</f>
        <v>6.0635527205684605</v>
      </c>
      <c r="T14" s="261">
        <f>IF(Rules!B20=Rules!E20,SUM(C14:J14)*D4*H4,SUM(C14:J14)*D4*H4*POWER(O2,A14-1))</f>
        <v>-18.888470377477294</v>
      </c>
      <c r="U14" s="275">
        <f t="shared" si="0"/>
        <v>-54.175834951353309</v>
      </c>
      <c r="V14" s="93">
        <f>(U14+W14*K14)/B14</f>
        <v>-96.068158710082642</v>
      </c>
      <c r="W14" s="9">
        <f t="shared" si="1"/>
        <v>8</v>
      </c>
    </row>
    <row r="15" spans="1:23" x14ac:dyDescent="0.2">
      <c r="A15" s="98">
        <v>9</v>
      </c>
      <c r="B15" s="97">
        <f>C15*B4</f>
        <v>0.52501309441248023</v>
      </c>
      <c r="C15" s="97">
        <f>1/(1-D4*B4/(1-D4*B4/(1-D4*B4/(1-D4*B4/(1-D4*B4/(1-D4*B4/(1-D4*B4/(1-D4*B4))))))))</f>
        <v>1.5235545557888295</v>
      </c>
      <c r="D15" s="130">
        <f>C15*D4*C14</f>
        <v>1.5193219696142999</v>
      </c>
      <c r="E15" s="1">
        <f>D15*D4*C13</f>
        <v>1.511271860333034</v>
      </c>
      <c r="F15" s="1">
        <f>E15*D4*C12</f>
        <v>1.4959610652852466</v>
      </c>
      <c r="G15" s="1">
        <f>F15*D4*C11</f>
        <v>1.4668409084271401</v>
      </c>
      <c r="H15" s="1">
        <f>G15*D4*C10</f>
        <v>1.4114562250848293</v>
      </c>
      <c r="I15" s="1">
        <f>H15*D4*C9</f>
        <v>1.3061180854630248</v>
      </c>
      <c r="J15" s="1">
        <f>I15*D4*C8</f>
        <v>1.1057716541148122</v>
      </c>
      <c r="K15" s="1">
        <f>J15*D4</f>
        <v>0.7247255040871593</v>
      </c>
      <c r="L15" s="1">
        <f>K15*D4</f>
        <v>0.4749869055875191</v>
      </c>
      <c r="M15" s="242"/>
      <c r="N15" s="97">
        <f>B15+L15</f>
        <v>0.99999999999999933</v>
      </c>
      <c r="R15" s="278">
        <f>B15-L15</f>
        <v>5.0026188824961126E-2</v>
      </c>
      <c r="S15" s="279">
        <f>IF(Rules!B20=Rules!E20,SUM(C15:K15)*B4*F4,SUM(C15:K15)*B4*F4*POWER(O2,A15-1))</f>
        <v>6.9297937264374818</v>
      </c>
      <c r="T15" s="261">
        <f>IF(Rules!B20=Rules!E20,SUM(C15:K15)*D4*H4,SUM(C15:K15)*D4*H4*POWER(O2,A15-1))</f>
        <v>-21.586883062768372</v>
      </c>
      <c r="U15" s="275">
        <f t="shared" si="0"/>
        <v>-68.832924287684193</v>
      </c>
      <c r="V15" s="93">
        <f>(U15+W15*L15)/B15</f>
        <v>-122.96463235767611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0.52537706868311884</v>
      </c>
      <c r="C16" s="131">
        <f>1/(1-D4*B4/(1-D4*B4/(1-D4*B4/(1-D4*B4/(1-D4*B4/(1-D4*B4/(1-D4*B4/(1-D4*B4/(1-D4*B4)))))))))</f>
        <v>1.5246107859364642</v>
      </c>
      <c r="D16" s="139">
        <f>C16*D4*C15</f>
        <v>1.5223870822191412</v>
      </c>
      <c r="E16" s="110">
        <f>D16*D4*C14</f>
        <v>1.5181577394023711</v>
      </c>
      <c r="F16" s="110">
        <f>E16*D4*C13</f>
        <v>1.5101137987809561</v>
      </c>
      <c r="G16" s="110">
        <f>F16*D4*C12</f>
        <v>1.4948147361312514</v>
      </c>
      <c r="H16" s="110">
        <f>G16*D4*C11</f>
        <v>1.4657168935469249</v>
      </c>
      <c r="I16" s="110">
        <f>H16*D4*C10</f>
        <v>1.4103746505318882</v>
      </c>
      <c r="J16" s="110">
        <f>I16*D4*C9</f>
        <v>1.3051172297090405</v>
      </c>
      <c r="K16" s="110">
        <f>J16*D4*C8</f>
        <v>1.104924320374524</v>
      </c>
      <c r="L16" s="110">
        <f>K16*D4</f>
        <v>0.72417015943731655</v>
      </c>
      <c r="M16" s="244">
        <f>L16*D4</f>
        <v>0.47462293131688038</v>
      </c>
      <c r="N16" s="131">
        <f>B16+M16</f>
        <v>0.99999999999999922</v>
      </c>
      <c r="R16" s="280">
        <f>B16-M16</f>
        <v>5.0754137366238461E-2</v>
      </c>
      <c r="S16" s="281">
        <f>IF(Rules!B20=Rules!E20,SUM(C16:L16)*B4*F4,SUM(C16:L16)*B4*F4*POWER(O2,A16-1))</f>
        <v>7.8001751443104235</v>
      </c>
      <c r="T16" s="262">
        <f>IF(Rules!B20=Rules!E20,SUM(C16:L16)*D4*H4,SUM(C16:L16)*D4*H4*POWER(O2,A16-1))</f>
        <v>-24.298193475363988</v>
      </c>
      <c r="U16" s="275">
        <f t="shared" si="0"/>
        <v>-85.330942618737765</v>
      </c>
      <c r="V16" s="94">
        <f>(U16+W16*M16)/B16</f>
        <v>-153.3845272454661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7</v>
      </c>
      <c r="D21" s="57">
        <f>SUM($C$21:C21)</f>
        <v>7</v>
      </c>
      <c r="E21" s="57">
        <f t="shared" ref="E21:E30" si="3">D21/R7</f>
        <v>-22.522160517863032</v>
      </c>
      <c r="F21" s="8">
        <f t="shared" ref="F21:F30" si="4">U7/E21</f>
        <v>5.3939830020655374E-2</v>
      </c>
      <c r="G21" s="265">
        <f>E21*U7</f>
        <v>27.360855492691375</v>
      </c>
      <c r="O21" s="100">
        <v>1</v>
      </c>
      <c r="P21" s="108">
        <v>1</v>
      </c>
      <c r="Q21" s="109">
        <f>P21*7+21</f>
        <v>28</v>
      </c>
      <c r="R21" s="57">
        <f>SUM($Q$21)</f>
        <v>28</v>
      </c>
      <c r="S21" s="260">
        <f>R21/R7</f>
        <v>-90.088642071452128</v>
      </c>
      <c r="T21" s="8">
        <f>U7/S21</f>
        <v>1.3484957505163844E-2</v>
      </c>
      <c r="U21" s="265">
        <f>S21*U7</f>
        <v>109.4434219707655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-510.29876041288577</v>
      </c>
      <c r="F22" s="9">
        <f t="shared" si="4"/>
        <v>7.4713022065143906E-3</v>
      </c>
      <c r="G22" s="266">
        <f t="shared" ref="G22:G30" si="5">E22*U8</f>
        <v>1945.5631427049268</v>
      </c>
      <c r="O22" s="98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61">
        <f t="shared" ref="S22:S30" si="7">R22/R8</f>
        <v>-2232.5570768063753</v>
      </c>
      <c r="T22" s="9">
        <f>U8/S22</f>
        <v>1.7077262186318608E-3</v>
      </c>
      <c r="U22" s="266">
        <f t="shared" ref="U22:U30" si="8">S22*U8</f>
        <v>8511.8387493340542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-14822.325277720432</v>
      </c>
      <c r="F23" s="9">
        <f t="shared" si="4"/>
        <v>5.3512015486643894E-4</v>
      </c>
      <c r="G23" s="266">
        <f t="shared" si="5"/>
        <v>117566.607935183</v>
      </c>
      <c r="O23" s="98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61">
        <f t="shared" si="7"/>
        <v>-66310.402558222995</v>
      </c>
      <c r="T23" s="9">
        <f t="shared" ref="T23:T30" si="11">U9/S23</f>
        <v>1.1961509344073338E-4</v>
      </c>
      <c r="U23" s="266">
        <f t="shared" si="8"/>
        <v>525955.87760476617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236180.45439505344</v>
      </c>
      <c r="F24" s="9">
        <f t="shared" si="4"/>
        <v>-5.7917232180006491E-5</v>
      </c>
      <c r="G24" s="266">
        <f t="shared" si="5"/>
        <v>-3230693.1193155646</v>
      </c>
      <c r="O24" s="98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61">
        <f t="shared" si="7"/>
        <v>1061631.1425057652</v>
      </c>
      <c r="T24" s="9">
        <f t="shared" si="11"/>
        <v>-1.2884812498332924E-5</v>
      </c>
      <c r="U24" s="266">
        <f t="shared" si="8"/>
        <v>-14521965.571323462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630644.43324788776</v>
      </c>
      <c r="F25" s="9">
        <f t="shared" si="4"/>
        <v>-3.3508163408391072E-5</v>
      </c>
      <c r="G25" s="266">
        <f t="shared" si="5"/>
        <v>-13326612.12850249</v>
      </c>
      <c r="O25" s="98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61">
        <f t="shared" si="7"/>
        <v>2837337.0752552235</v>
      </c>
      <c r="T25" s="9">
        <f t="shared" si="11"/>
        <v>-7.4477357329712269E-6</v>
      </c>
      <c r="U25" s="266">
        <f t="shared" si="8"/>
        <v>-59957860.065472469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3355358.6406302787</v>
      </c>
      <c r="F26" s="9">
        <f t="shared" si="4"/>
        <v>-9.0434005928918809E-6</v>
      </c>
      <c r="G26" s="266">
        <f t="shared" si="5"/>
        <v>-101814507.07205789</v>
      </c>
      <c r="O26" s="98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61">
        <f t="shared" si="7"/>
        <v>15098600.517071163</v>
      </c>
      <c r="T26" s="9">
        <f t="shared" si="11"/>
        <v>-2.0097129058903588E-6</v>
      </c>
      <c r="U26" s="266">
        <f t="shared" si="8"/>
        <v>-458149704.32929844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20892270.536986869</v>
      </c>
      <c r="F27" s="9">
        <f t="shared" si="4"/>
        <v>-1.9792447748193956E-6</v>
      </c>
      <c r="G27" s="266">
        <f t="shared" si="5"/>
        <v>-863914551.06810296</v>
      </c>
      <c r="O27" s="98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61">
        <f t="shared" si="7"/>
        <v>94014684.671685606</v>
      </c>
      <c r="T27" s="9">
        <f t="shared" si="11"/>
        <v>-4.3983466454042282E-7</v>
      </c>
      <c r="U27" s="266">
        <f t="shared" si="8"/>
        <v>-3887593450.3221478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138277030.59127131</v>
      </c>
      <c r="F28" s="9">
        <f t="shared" si="4"/>
        <v>-3.917920042084932E-7</v>
      </c>
      <c r="G28" s="266">
        <f t="shared" si="5"/>
        <v>-7491273586.875947</v>
      </c>
      <c r="O28" s="98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61">
        <f t="shared" si="7"/>
        <v>622246061.98615551</v>
      </c>
      <c r="T28" s="9">
        <f t="shared" si="11"/>
        <v>-8.7064970372699092E-8</v>
      </c>
      <c r="U28" s="266">
        <f t="shared" si="8"/>
        <v>-33710699953.291523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941091218.53610611</v>
      </c>
      <c r="F29" s="9">
        <f t="shared" si="4"/>
        <v>-7.3141607244785201E-8</v>
      </c>
      <c r="G29" s="266">
        <f t="shared" si="5"/>
        <v>-64778060593.300247</v>
      </c>
      <c r="O29" s="98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61">
        <f t="shared" si="7"/>
        <v>4234909853.7422838</v>
      </c>
      <c r="T29" s="9">
        <f t="shared" si="11"/>
        <v>-1.625369291553119E-8</v>
      </c>
      <c r="U29" s="266">
        <f t="shared" si="8"/>
        <v>-291501229327.81036</v>
      </c>
    </row>
    <row r="30" spans="1:21" ht="17" thickBot="1" x14ac:dyDescent="0.25">
      <c r="A30" s="131">
        <v>10</v>
      </c>
      <c r="B30" s="94">
        <f t="shared" si="9"/>
        <v>40353607</v>
      </c>
      <c r="C30" s="110">
        <f t="shared" si="2"/>
        <v>282475249</v>
      </c>
      <c r="D30" s="10">
        <f>SUM($C$21:C30)</f>
        <v>329554456</v>
      </c>
      <c r="E30" s="10">
        <f t="shared" si="3"/>
        <v>6493154511.1673775</v>
      </c>
      <c r="F30" s="10">
        <f t="shared" si="4"/>
        <v>-1.3141677511597743E-8</v>
      </c>
      <c r="G30" s="267">
        <f t="shared" si="5"/>
        <v>-554066995007.02173</v>
      </c>
      <c r="O30" s="99">
        <v>10</v>
      </c>
      <c r="P30" s="94">
        <f t="shared" si="10"/>
        <v>181591228</v>
      </c>
      <c r="Q30" s="110">
        <f t="shared" si="6"/>
        <v>1271138617</v>
      </c>
      <c r="R30" s="10">
        <f>SUM($Q$21:Q30)</f>
        <v>1482995017</v>
      </c>
      <c r="S30" s="262">
        <f t="shared" si="7"/>
        <v>29219194610.654243</v>
      </c>
      <c r="T30" s="10">
        <f t="shared" si="11"/>
        <v>-2.9203728492784466E-9</v>
      </c>
      <c r="U30" s="267">
        <f t="shared" si="8"/>
        <v>-2493301418687.4692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7</v>
      </c>
      <c r="D33" s="57">
        <f>SUM($C$33:C33)</f>
        <v>7</v>
      </c>
      <c r="E33" s="9">
        <f t="shared" ref="E33:E42" si="13">D33/R7</f>
        <v>-22.522160517863032</v>
      </c>
      <c r="F33" s="8">
        <f t="shared" ref="F33:F42" si="14">U7/E33</f>
        <v>5.3939830020655374E-2</v>
      </c>
      <c r="G33" s="268">
        <f>E33*U7</f>
        <v>27.360855492691375</v>
      </c>
      <c r="O33" s="100">
        <v>1</v>
      </c>
      <c r="P33" s="108">
        <v>1</v>
      </c>
      <c r="Q33" s="109">
        <f>P33*7+21</f>
        <v>28</v>
      </c>
      <c r="R33" s="57">
        <f>SUM($Q$21)</f>
        <v>28</v>
      </c>
      <c r="S33" s="260">
        <f>R33/R7</f>
        <v>-90.088642071452128</v>
      </c>
      <c r="T33" s="8">
        <f>U7/S33</f>
        <v>1.3484957505163844E-2</v>
      </c>
      <c r="U33" s="268">
        <f>S33*U7</f>
        <v>109.4434219707655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-574.08610546449654</v>
      </c>
      <c r="F34" s="9">
        <f t="shared" si="14"/>
        <v>6.6411575169016803E-3</v>
      </c>
      <c r="G34" s="266">
        <f t="shared" ref="G34:G42" si="16">E34*U8</f>
        <v>2188.7585355430429</v>
      </c>
      <c r="O34" s="98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61">
        <f>R34/R8</f>
        <v>-2296.3444218579862</v>
      </c>
      <c r="T34" s="9">
        <f t="shared" ref="T34:T42" si="18">U8/S34</f>
        <v>1.6602893792254201E-3</v>
      </c>
      <c r="U34" s="266">
        <f t="shared" ref="U34:U42" si="19">S34*U8</f>
        <v>8755.0341421721714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-18982.977987255992</v>
      </c>
      <c r="F35" s="9">
        <f t="shared" si="14"/>
        <v>4.1783354558064408E-4</v>
      </c>
      <c r="G35" s="266">
        <f t="shared" si="16"/>
        <v>150567.76103979576</v>
      </c>
      <c r="O35" s="98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61">
        <f t="shared" ref="S35:S42" si="21">R35/R9</f>
        <v>-68650.769707336745</v>
      </c>
      <c r="T35" s="9">
        <f t="shared" si="18"/>
        <v>1.1553730616434475E-4</v>
      </c>
      <c r="U35" s="266">
        <f t="shared" si="19"/>
        <v>544519.02622611076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345413.91455276567</v>
      </c>
      <c r="F36" s="9">
        <f t="shared" si="14"/>
        <v>-3.9601526276927517E-5</v>
      </c>
      <c r="G36" s="266">
        <f t="shared" si="16"/>
        <v>-4724888.6869990136</v>
      </c>
      <c r="O36" s="98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61">
        <f t="shared" si="21"/>
        <v>1100600.9174809491</v>
      </c>
      <c r="T36" s="9">
        <f t="shared" si="18"/>
        <v>-1.2428590596567916E-5</v>
      </c>
      <c r="U36" s="266">
        <f t="shared" si="19"/>
        <v>-15055029.936010532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1053925.952171854</v>
      </c>
      <c r="F37" s="9">
        <f t="shared" si="14"/>
        <v>-2.0050494703461521E-5</v>
      </c>
      <c r="G37" s="266">
        <f t="shared" si="16"/>
        <v>-22271285.745633762</v>
      </c>
      <c r="O37" s="98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61">
        <f t="shared" si="21"/>
        <v>2942256.8560097814</v>
      </c>
      <c r="T37" s="9">
        <f t="shared" si="18"/>
        <v>-7.1821522579509787E-6</v>
      </c>
      <c r="U37" s="266">
        <f t="shared" si="19"/>
        <v>-62174997.249293305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6408344.8456223635</v>
      </c>
      <c r="F38" s="9">
        <f t="shared" si="14"/>
        <v>-4.7350529740560233E-6</v>
      </c>
      <c r="G38" s="266">
        <f t="shared" si="16"/>
        <v>-194453869.6114594</v>
      </c>
      <c r="O38" s="98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61">
        <f t="shared" si="21"/>
        <v>15657655.835254513</v>
      </c>
      <c r="T38" s="9">
        <f t="shared" si="18"/>
        <v>-1.9379562713161095E-6</v>
      </c>
      <c r="U38" s="266">
        <f t="shared" si="19"/>
        <v>-475113596.34298742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45601885.564943917</v>
      </c>
      <c r="F39" s="9">
        <f t="shared" si="14"/>
        <v>-9.0678086623314231E-7</v>
      </c>
      <c r="G39" s="266">
        <f t="shared" si="16"/>
        <v>-1885679798.466717</v>
      </c>
      <c r="O39" s="98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61">
        <f t="shared" si="21"/>
        <v>97496552.179598317</v>
      </c>
      <c r="T39" s="9">
        <f t="shared" si="18"/>
        <v>-4.2412697033913552E-7</v>
      </c>
      <c r="U39" s="266">
        <f t="shared" si="19"/>
        <v>-4031571865.67206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344936284.01798141</v>
      </c>
      <c r="F40" s="9">
        <f t="shared" si="14"/>
        <v>-1.5706041220218265E-7</v>
      </c>
      <c r="G40" s="266">
        <f t="shared" si="16"/>
        <v>-18687211191.691288</v>
      </c>
      <c r="O40" s="98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61">
        <f t="shared" si="21"/>
        <v>645292041.85984564</v>
      </c>
      <c r="T40" s="9">
        <f t="shared" si="18"/>
        <v>-8.3955529337087415E-8</v>
      </c>
      <c r="U40" s="266">
        <f t="shared" si="19"/>
        <v>-34959235155.220764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2682949274.2215567</v>
      </c>
      <c r="F41" s="9">
        <f t="shared" si="14"/>
        <v>-2.565569351200488E-8</v>
      </c>
      <c r="G41" s="266">
        <f t="shared" si="16"/>
        <v>-184675244260.18967</v>
      </c>
      <c r="O41" s="98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61">
        <f t="shared" si="21"/>
        <v>4391758180.2749033</v>
      </c>
      <c r="T41" s="9">
        <f t="shared" si="18"/>
        <v>-1.5673204548656542E-8</v>
      </c>
      <c r="U41" s="266">
        <f t="shared" si="19"/>
        <v>-302297558312.68011</v>
      </c>
    </row>
    <row r="42" spans="1:21" ht="17" thickBot="1" x14ac:dyDescent="0.25">
      <c r="A42" s="131">
        <v>10</v>
      </c>
      <c r="B42" s="94">
        <f t="shared" si="15"/>
        <v>134217728</v>
      </c>
      <c r="C42" s="110">
        <f t="shared" si="12"/>
        <v>939524096</v>
      </c>
      <c r="D42" s="10">
        <f>SUM($C$33:C42)</f>
        <v>1073741823</v>
      </c>
      <c r="E42" s="9">
        <f t="shared" si="13"/>
        <v>21155749633.807205</v>
      </c>
      <c r="F42" s="10">
        <f t="shared" si="14"/>
        <v>-4.0334634364540615E-9</v>
      </c>
      <c r="G42" s="267">
        <f t="shared" si="16"/>
        <v>-1805240058058.7852</v>
      </c>
      <c r="O42" s="99">
        <v>10</v>
      </c>
      <c r="P42" s="94">
        <f t="shared" si="20"/>
        <v>188316829</v>
      </c>
      <c r="Q42" s="110">
        <f t="shared" si="17"/>
        <v>1318217824</v>
      </c>
      <c r="R42" s="10">
        <f>SUM($Q$33:Q42)</f>
        <v>1537920748</v>
      </c>
      <c r="S42" s="262">
        <f t="shared" si="21"/>
        <v>30301386799.315823</v>
      </c>
      <c r="T42" s="10">
        <f t="shared" si="18"/>
        <v>-2.8160738379361719E-9</v>
      </c>
      <c r="U42" s="267">
        <f t="shared" si="19"/>
        <v>-2585645898240.5967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7</v>
      </c>
      <c r="D45" s="57">
        <f>SUM(C45:C45)</f>
        <v>7</v>
      </c>
      <c r="E45" s="57">
        <f t="shared" ref="E45:E54" si="23">D45/R7</f>
        <v>-22.522160517863032</v>
      </c>
      <c r="F45" s="8">
        <f t="shared" ref="F45:F54" si="24">U7/E45</f>
        <v>5.3939830020655374E-2</v>
      </c>
      <c r="G45" s="265">
        <f>E45*U7</f>
        <v>27.360855492691375</v>
      </c>
      <c r="O45" s="100">
        <v>1</v>
      </c>
      <c r="P45" s="108">
        <v>1</v>
      </c>
      <c r="Q45" s="109">
        <f>P45*7+21</f>
        <v>28</v>
      </c>
      <c r="R45" s="57">
        <f>SUM($Q$21)</f>
        <v>28</v>
      </c>
      <c r="S45" s="260">
        <f>R45/R7</f>
        <v>-90.088642071452128</v>
      </c>
      <c r="T45" s="8">
        <f>U7/S45</f>
        <v>1.3484957505163844E-2</v>
      </c>
      <c r="U45" s="268">
        <f>S45*U7</f>
        <v>109.4434219707655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-956.81017577416083</v>
      </c>
      <c r="F46" s="9">
        <f t="shared" si="24"/>
        <v>3.984694510141008E-3</v>
      </c>
      <c r="G46" s="266">
        <f t="shared" ref="G46:G54" si="26">E46*U8</f>
        <v>3647.9308925717378</v>
      </c>
      <c r="O46" s="98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61">
        <f t="shared" ref="S46:S54" si="28">R46/R8</f>
        <v>-4018.6027382514758</v>
      </c>
      <c r="T46" s="9">
        <f t="shared" ref="T46:T54" si="29">U8/S46</f>
        <v>9.487367881288115E-4</v>
      </c>
      <c r="U46" s="266">
        <f t="shared" ref="U46:U54" si="30">S46*U8</f>
        <v>15321.309748801299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-54868.607607000202</v>
      </c>
      <c r="F47" s="9">
        <f t="shared" si="24"/>
        <v>1.4455852524827969E-4</v>
      </c>
      <c r="G47" s="266">
        <f t="shared" si="26"/>
        <v>435202.70656708098</v>
      </c>
      <c r="O47" s="98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61">
        <f t="shared" si="28"/>
        <v>-231956.38855660748</v>
      </c>
      <c r="T47" s="9">
        <f t="shared" si="29"/>
        <v>3.4194897788550464E-5</v>
      </c>
      <c r="U47" s="266">
        <f t="shared" si="30"/>
        <v>1839814.2855821622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1744783.1068434573</v>
      </c>
      <c r="F48" s="9">
        <f t="shared" si="24"/>
        <v>-7.8398960649754976E-6</v>
      </c>
      <c r="G48" s="266">
        <f t="shared" si="26"/>
        <v>-23866745.418943733</v>
      </c>
      <c r="O48" s="98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61">
        <f t="shared" si="28"/>
        <v>7381229.6509814076</v>
      </c>
      <c r="T48" s="9">
        <f t="shared" si="29"/>
        <v>-1.8532031735063274E-6</v>
      </c>
      <c r="U48" s="266">
        <f t="shared" si="30"/>
        <v>-100967236.71140967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9314670.0635124482</v>
      </c>
      <c r="F49" s="9">
        <f t="shared" si="24"/>
        <v>-2.2686511253511731E-6</v>
      </c>
      <c r="G49" s="266">
        <f t="shared" si="26"/>
        <v>-196835155.43315837</v>
      </c>
      <c r="O49" s="98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61">
        <f t="shared" si="28"/>
        <v>39407959.711309463</v>
      </c>
      <c r="T49" s="9">
        <f t="shared" si="29"/>
        <v>-5.3623016458266231E-7</v>
      </c>
      <c r="U49" s="266">
        <f t="shared" si="30"/>
        <v>-832758629.36515212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99112961.437161073</v>
      </c>
      <c r="F50" s="9">
        <f t="shared" si="24"/>
        <v>-3.0615422927584667E-7</v>
      </c>
      <c r="G50" s="266">
        <f t="shared" si="26"/>
        <v>-3007469064.8511105</v>
      </c>
      <c r="O50" s="98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61">
        <f t="shared" si="28"/>
        <v>419323830.68071294</v>
      </c>
      <c r="T50" s="9">
        <f t="shared" si="29"/>
        <v>-7.2363767808716737E-8</v>
      </c>
      <c r="U50" s="266">
        <f t="shared" si="30"/>
        <v>-12723900392.449329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1234252546.4176841</v>
      </c>
      <c r="F51" s="9">
        <f t="shared" si="24"/>
        <v>-3.3502800876904882E-8</v>
      </c>
      <c r="G51" s="266">
        <f t="shared" si="26"/>
        <v>-51037474967.375137</v>
      </c>
      <c r="O51" s="98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61">
        <f t="shared" si="28"/>
        <v>5221837450.5003147</v>
      </c>
      <c r="T51" s="9">
        <f t="shared" si="29"/>
        <v>-7.918844216508991E-9</v>
      </c>
      <c r="U51" s="266">
        <f t="shared" si="30"/>
        <v>-215927768540.6713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16337965822.11125</v>
      </c>
      <c r="F52" s="9">
        <f t="shared" si="24"/>
        <v>-3.3159473793263522E-9</v>
      </c>
      <c r="G52" s="266">
        <f t="shared" si="26"/>
        <v>-885122939819.55042</v>
      </c>
      <c r="O52" s="98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61">
        <f t="shared" si="28"/>
        <v>69122162827.851639</v>
      </c>
      <c r="T52" s="9">
        <f t="shared" si="29"/>
        <v>-7.837693835807471E-10</v>
      </c>
      <c r="U52" s="266">
        <f t="shared" si="30"/>
        <v>-3744750884842.2593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222387099603.49744</v>
      </c>
      <c r="F53" s="9">
        <f t="shared" si="24"/>
        <v>-3.0951851258642737E-10</v>
      </c>
      <c r="G53" s="266">
        <f t="shared" si="26"/>
        <v>-15307554389565.223</v>
      </c>
      <c r="O53" s="98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61">
        <f t="shared" si="28"/>
        <v>940868498031.87207</v>
      </c>
      <c r="T53" s="9">
        <f t="shared" si="29"/>
        <v>-7.3158921179389367E-11</v>
      </c>
      <c r="U53" s="266">
        <f t="shared" si="30"/>
        <v>-64762730089694.992</v>
      </c>
    </row>
    <row r="54" spans="1:21" ht="17" thickBot="1" x14ac:dyDescent="0.25">
      <c r="A54" s="131">
        <v>10</v>
      </c>
      <c r="B54" s="94">
        <f t="shared" si="25"/>
        <v>20661046784</v>
      </c>
      <c r="C54" s="110">
        <f t="shared" si="22"/>
        <v>144627327488</v>
      </c>
      <c r="D54" s="10">
        <f>SUM($C$45:C54)</f>
        <v>155752506525</v>
      </c>
      <c r="E54" s="10">
        <f t="shared" si="23"/>
        <v>3068764727515.7163</v>
      </c>
      <c r="F54" s="10">
        <f t="shared" si="24"/>
        <v>-2.780628369898414E-11</v>
      </c>
      <c r="G54" s="267">
        <f t="shared" si="26"/>
        <v>-261860586874050.03</v>
      </c>
      <c r="O54" s="99">
        <v>10</v>
      </c>
      <c r="P54" s="94">
        <f t="shared" si="31"/>
        <v>87412121006</v>
      </c>
      <c r="Q54" s="110">
        <f t="shared" si="27"/>
        <v>611884847063</v>
      </c>
      <c r="R54" s="10">
        <f>SUM($Q$45:Q54)</f>
        <v>658952912205</v>
      </c>
      <c r="S54" s="262">
        <f t="shared" si="28"/>
        <v>12983235385325.139</v>
      </c>
      <c r="T54" s="10">
        <f t="shared" si="29"/>
        <v>-6.5723943290119145E-12</v>
      </c>
      <c r="U54" s="267">
        <f t="shared" si="30"/>
        <v>-1107871713670745.1</v>
      </c>
    </row>
  </sheetData>
  <mergeCells count="2">
    <mergeCell ref="A18:F18"/>
    <mergeCell ref="O18:T18"/>
  </mergeCells>
  <conditionalFormatting sqref="F45:F54">
    <cfRule type="cellIs" dxfId="422" priority="65" operator="equal">
      <formula>MAX($F$45:$F$54)</formula>
    </cfRule>
  </conditionalFormatting>
  <conditionalFormatting sqref="F21:F30">
    <cfRule type="cellIs" dxfId="421" priority="63" operator="equal">
      <formula>MAX($F$21:$F$30)</formula>
    </cfRule>
  </conditionalFormatting>
  <conditionalFormatting sqref="E33:E42">
    <cfRule type="cellIs" dxfId="420" priority="61" stopIfTrue="1" operator="lessThan">
      <formula>0</formula>
    </cfRule>
    <cfRule type="cellIs" dxfId="419" priority="62" operator="equal">
      <formula>MIN($E$33:$E$42)</formula>
    </cfRule>
  </conditionalFormatting>
  <conditionalFormatting sqref="E21:E30">
    <cfRule type="cellIs" dxfId="418" priority="57" stopIfTrue="1" operator="lessThan">
      <formula>0</formula>
    </cfRule>
    <cfRule type="cellIs" dxfId="417" priority="58" operator="equal">
      <formula>MIN($E$21:$E$30)</formula>
    </cfRule>
  </conditionalFormatting>
  <conditionalFormatting sqref="E45:E54">
    <cfRule type="cellIs" dxfId="416" priority="53" stopIfTrue="1" operator="lessThan">
      <formula>0</formula>
    </cfRule>
    <cfRule type="cellIs" dxfId="415" priority="54" operator="equal">
      <formula>MIN($E$45:$E$54)</formula>
    </cfRule>
  </conditionalFormatting>
  <conditionalFormatting sqref="F33:F42">
    <cfRule type="cellIs" dxfId="414" priority="43" operator="lessThanOrEqual">
      <formula>0</formula>
    </cfRule>
    <cfRule type="cellIs" dxfId="413" priority="44" operator="equal">
      <formula>MAX($F$33:$F$42)</formula>
    </cfRule>
  </conditionalFormatting>
  <conditionalFormatting sqref="R7:R16">
    <cfRule type="cellIs" dxfId="412" priority="29" operator="lessThanOrEqual">
      <formula>0</formula>
    </cfRule>
    <cfRule type="cellIs" dxfId="411" priority="30" operator="greaterThan">
      <formula>0</formula>
    </cfRule>
  </conditionalFormatting>
  <conditionalFormatting sqref="T21:T30">
    <cfRule type="cellIs" dxfId="410" priority="21" operator="equal">
      <formula>MAX($T$21:$T$30)</formula>
    </cfRule>
  </conditionalFormatting>
  <conditionalFormatting sqref="S33:S42">
    <cfRule type="cellIs" dxfId="409" priority="19" stopIfTrue="1" operator="lessThan">
      <formula>0</formula>
    </cfRule>
    <cfRule type="cellIs" dxfId="408" priority="20" operator="equal">
      <formula>MIN($E$21:$E$30)</formula>
    </cfRule>
  </conditionalFormatting>
  <conditionalFormatting sqref="T33:T42">
    <cfRule type="cellIs" dxfId="407" priority="18" operator="equal">
      <formula>MAX($T$21:$T$30)</formula>
    </cfRule>
  </conditionalFormatting>
  <conditionalFormatting sqref="S45:S54">
    <cfRule type="cellIs" dxfId="406" priority="16" stopIfTrue="1" operator="lessThan">
      <formula>0</formula>
    </cfRule>
    <cfRule type="cellIs" dxfId="405" priority="17" operator="equal">
      <formula>MIN($E$21:$E$30)</formula>
    </cfRule>
  </conditionalFormatting>
  <conditionalFormatting sqref="T45:T54">
    <cfRule type="cellIs" dxfId="404" priority="15" operator="equal">
      <formula>MAX($T$21:$T$30)</formula>
    </cfRule>
  </conditionalFormatting>
  <conditionalFormatting sqref="S21:S30">
    <cfRule type="cellIs" dxfId="403" priority="13" stopIfTrue="1" operator="lessThan">
      <formula>0</formula>
    </cfRule>
    <cfRule type="cellIs" dxfId="402" priority="14" operator="equal">
      <formula>MIN($E$21:$E$30)</formula>
    </cfRule>
  </conditionalFormatting>
  <conditionalFormatting sqref="U7:U16">
    <cfRule type="cellIs" dxfId="401" priority="9" operator="lessThanOrEqual">
      <formula>0</formula>
    </cfRule>
    <cfRule type="cellIs" dxfId="400" priority="10" operator="greaterThan">
      <formula>0</formula>
    </cfRule>
  </conditionalFormatting>
  <conditionalFormatting sqref="S7:T16">
    <cfRule type="cellIs" dxfId="399" priority="1" operator="lessThanOrEqual">
      <formula>0</formula>
    </cfRule>
    <cfRule type="cellIs" dxfId="39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Analysis!B46</f>
        <v>0.35140509585095231</v>
      </c>
      <c r="D2" s="135" t="s">
        <v>126</v>
      </c>
      <c r="E2" s="141">
        <f>Analysis!M46</f>
        <v>0.64859490414904764</v>
      </c>
      <c r="F2" s="135" t="s">
        <v>47</v>
      </c>
      <c r="G2" s="141">
        <f>Analysis!S46</f>
        <v>1.939041959457479</v>
      </c>
      <c r="H2" t="s">
        <v>155</v>
      </c>
      <c r="I2" s="155">
        <f>Analysis!T46</f>
        <v>-3.175856504918992</v>
      </c>
      <c r="J2" t="s">
        <v>48</v>
      </c>
      <c r="K2" s="155">
        <f>C2*G2+E2*I2</f>
        <v>-1.3784551197768893</v>
      </c>
      <c r="L2" t="s">
        <v>47</v>
      </c>
      <c r="M2" s="162">
        <v>3</v>
      </c>
      <c r="N2" t="s">
        <v>155</v>
      </c>
      <c r="O2" s="162">
        <v>8</v>
      </c>
    </row>
    <row r="4" spans="1:23" x14ac:dyDescent="0.2">
      <c r="A4" t="s">
        <v>123</v>
      </c>
      <c r="B4">
        <f>$C$2</f>
        <v>0.35140509585095231</v>
      </c>
      <c r="C4" t="s">
        <v>124</v>
      </c>
      <c r="D4">
        <f>$E$2</f>
        <v>0.64859490414904764</v>
      </c>
      <c r="E4" t="s">
        <v>47</v>
      </c>
      <c r="F4">
        <f>G2</f>
        <v>1.939041959457479</v>
      </c>
      <c r="G4" t="s">
        <v>155</v>
      </c>
      <c r="H4">
        <f>I2</f>
        <v>-3.175856504918992</v>
      </c>
      <c r="I4" t="s">
        <v>48</v>
      </c>
      <c r="J4">
        <f>K2</f>
        <v>-1.3784551197768893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0.35140509585095231</v>
      </c>
      <c r="C7" s="95">
        <v>1</v>
      </c>
      <c r="D7" s="22">
        <f>C7*D4</f>
        <v>0.64859490414904764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-0.29718980829809533</v>
      </c>
      <c r="S7" s="277">
        <f>IF(Rules!B20=Rules!E20,SUM(C7)*B4*F4,SUM(C7)*B4*F4*POWER(O2,A7-1))</f>
        <v>0.68138922562217386</v>
      </c>
      <c r="T7" s="260">
        <f>IF(Rules!B20=Rules!E20,SUM(C7)*D4*H4,SUM(C7)*D4*H4*POWER(O2,A7-1))</f>
        <v>-2.0598443453990631</v>
      </c>
      <c r="U7" s="274">
        <f>S7+T7</f>
        <v>-1.3784551197768893</v>
      </c>
      <c r="V7" s="108">
        <f>(U7+W7*D7)/B7</f>
        <v>-2.0769767548772551</v>
      </c>
      <c r="W7" s="57">
        <f>COUNT(D7:M7)</f>
        <v>1</v>
      </c>
    </row>
    <row r="8" spans="1:23" x14ac:dyDescent="0.2">
      <c r="A8" s="98">
        <v>2</v>
      </c>
      <c r="B8" s="97">
        <f>C8*B4</f>
        <v>0.45514052050055764</v>
      </c>
      <c r="C8" s="97">
        <f>1/(1-B4*D4)</f>
        <v>1.295201822268407</v>
      </c>
      <c r="D8" s="130">
        <f>C8*D4</f>
        <v>0.84006130176784921</v>
      </c>
      <c r="E8" s="1">
        <f>D8*D4</f>
        <v>0.54485947949944236</v>
      </c>
      <c r="F8" s="1"/>
      <c r="G8" s="1"/>
      <c r="H8" s="1"/>
      <c r="I8" s="1"/>
      <c r="J8" s="1"/>
      <c r="K8" s="1"/>
      <c r="L8" s="1"/>
      <c r="M8" s="242"/>
      <c r="N8" s="97">
        <f>B8+E8</f>
        <v>1</v>
      </c>
      <c r="R8" s="278">
        <f>B8-E8</f>
        <v>-8.9718958998884712E-2</v>
      </c>
      <c r="S8" s="279">
        <f>IF(Rules!B20=Rules!E20,SUM(C8:D8)*B4*F4,SUM(C8:D8)*B4*F4*POWER(O2,A8-1))</f>
        <v>1.4549452865866481</v>
      </c>
      <c r="T8" s="261">
        <f>IF(Rules!B20=Rules!E20,SUM(C8:D8)*D4*H4,SUM(C8:D8)*D4*H4*POWER(O2,A8-1))</f>
        <v>-4.3983096719852197</v>
      </c>
      <c r="U8" s="275">
        <f>S8+T8+U7</f>
        <v>-4.3218195051754611</v>
      </c>
      <c r="V8" s="93">
        <f>(U8+W8*E8)/B8</f>
        <v>-7.1013245373581642</v>
      </c>
      <c r="W8" s="9">
        <f>COUNT(D8:M8)</f>
        <v>2</v>
      </c>
    </row>
    <row r="9" spans="1:23" x14ac:dyDescent="0.2">
      <c r="A9" s="98">
        <v>3</v>
      </c>
      <c r="B9" s="97">
        <f>C9*B4</f>
        <v>0.49858967709303187</v>
      </c>
      <c r="C9" s="97">
        <f>1/(1-D4*B4/(1-D4*B4))</f>
        <v>1.418845893186784</v>
      </c>
      <c r="D9" s="130">
        <f>C9*D4*C8</f>
        <v>1.1919175280384566</v>
      </c>
      <c r="E9" s="1">
        <f>D9*(D4)</f>
        <v>0.77307163485167263</v>
      </c>
      <c r="F9" s="1">
        <f>E9*D4</f>
        <v>0.50141032290696819</v>
      </c>
      <c r="G9" s="1"/>
      <c r="H9" s="1"/>
      <c r="I9" s="1"/>
      <c r="J9" s="1"/>
      <c r="K9" s="1"/>
      <c r="L9" s="1"/>
      <c r="M9" s="242"/>
      <c r="N9" s="97">
        <f>B9+F9</f>
        <v>1</v>
      </c>
      <c r="R9" s="278">
        <f>B9-F9</f>
        <v>-2.8206458139363177E-3</v>
      </c>
      <c r="S9" s="279">
        <f>IF(Rules!B20=Rules!E20,SUM(C9:E9)*B4*F4,SUM(C9:E9)*B4*F4*POWER(O2,A9-1))</f>
        <v>2.3057087484934131</v>
      </c>
      <c r="T9" s="261">
        <f>IF(Rules!B20=Rules!E20,SUM(C9:E9)*D4*H4,SUM(C9:E9)*D4*H4*POWER(O2,A9-1))</f>
        <v>-6.9701735060231522</v>
      </c>
      <c r="U9" s="275">
        <f t="shared" ref="U9:U16" si="0">S9+T9+U8</f>
        <v>-8.9862842627052011</v>
      </c>
      <c r="V9" s="93">
        <f>(U9+W9*F9)/B9</f>
        <v>-15.006434424409914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0.51935578387370762</v>
      </c>
      <c r="C10" s="97">
        <f>1/(1-D4*B4/(1-D4*B4/(1-D4*B4)))</f>
        <v>1.4779403884740225</v>
      </c>
      <c r="D10" s="130">
        <f>C10*D4*C9</f>
        <v>1.3600838295092339</v>
      </c>
      <c r="E10" s="1">
        <f>D10*D4*C8</f>
        <v>1.1425537923309286</v>
      </c>
      <c r="F10" s="1">
        <f>E10*D4</f>
        <v>0.74105456742200948</v>
      </c>
      <c r="G10" s="1">
        <f>F10*D4</f>
        <v>0.48064421612629221</v>
      </c>
      <c r="H10" s="1"/>
      <c r="I10" s="1"/>
      <c r="J10" s="1"/>
      <c r="K10" s="1"/>
      <c r="L10" s="1"/>
      <c r="M10" s="242"/>
      <c r="N10" s="97">
        <f>B10+G10</f>
        <v>0.99999999999999978</v>
      </c>
      <c r="R10" s="278">
        <f>B10-G10</f>
        <v>3.871156774741541E-2</v>
      </c>
      <c r="S10" s="279">
        <f>IF(Rules!B20=Rules!E20,SUM(C10:F10)*B4*F4,SUM(C10:F10)*B4*F4*POWER(O2,A10-1))</f>
        <v>3.2172695658160939</v>
      </c>
      <c r="T10" s="261">
        <f>IF(Rules!B20=Rules!E20,SUM(C10:F10)*D4*H4,SUM(C10:F10)*D4*H4*POWER(O2,A10-1))</f>
        <v>-9.7258281663019019</v>
      </c>
      <c r="U10" s="275">
        <f t="shared" si="0"/>
        <v>-15.494842863191009</v>
      </c>
      <c r="V10" s="93">
        <f>(U10+W10*G10)/B10</f>
        <v>-26.132886972885284</v>
      </c>
      <c r="W10" s="9">
        <f t="shared" si="1"/>
        <v>4</v>
      </c>
    </row>
    <row r="11" spans="1:23" x14ac:dyDescent="0.2">
      <c r="A11" s="98">
        <v>5</v>
      </c>
      <c r="B11" s="97">
        <f>C11*B4</f>
        <v>0.5299040919579282</v>
      </c>
      <c r="C11" s="97">
        <f>1/(1-D4*B4/(1-D4*B4/(1-D4*B4/(1-D4*B4))))</f>
        <v>1.5079579044655795</v>
      </c>
      <c r="D11" s="130">
        <f>C11*D4*C10</f>
        <v>1.445505231606057</v>
      </c>
      <c r="E11" s="1">
        <f>D11*D4*C9</f>
        <v>1.3302351747815129</v>
      </c>
      <c r="F11" s="1">
        <f>E11*D4*C8</f>
        <v>1.1174790925843401</v>
      </c>
      <c r="G11" s="1">
        <f>F11*D4</f>
        <v>0.72479124494330482</v>
      </c>
      <c r="H11" s="1">
        <f>G11*D4</f>
        <v>0.47009590804207169</v>
      </c>
      <c r="I11" s="1"/>
      <c r="J11" s="1"/>
      <c r="K11" s="1"/>
      <c r="L11" s="1"/>
      <c r="M11" s="242"/>
      <c r="N11" s="97">
        <f>B11+H11</f>
        <v>0.99999999999999989</v>
      </c>
      <c r="R11" s="278">
        <f>B11-H11</f>
        <v>5.9808183915856516E-2</v>
      </c>
      <c r="S11" s="279">
        <f>IF(Rules!B20=Rules!E20,SUM(C11:G11)*B4*F4,SUM(C11:G11)*B4*F4*POWER(O2,A11-1))</f>
        <v>4.1741690335059047</v>
      </c>
      <c r="T11" s="261">
        <f>IF(Rules!B20=Rules!E20,SUM(C11:G11)*D4*H4,SUM(C11:G11)*D4*H4*POWER(O2,A11-1))</f>
        <v>-12.618541880459121</v>
      </c>
      <c r="U11" s="275">
        <f t="shared" si="0"/>
        <v>-23.939215710144225</v>
      </c>
      <c r="V11" s="93">
        <f>(U11+W11*H11)/B11</f>
        <v>-40.740836875152695</v>
      </c>
      <c r="W11" s="9">
        <f t="shared" si="1"/>
        <v>5</v>
      </c>
    </row>
    <row r="12" spans="1:23" x14ac:dyDescent="0.2">
      <c r="A12" s="98">
        <v>6</v>
      </c>
      <c r="B12" s="97">
        <f>C12*B4</f>
        <v>0.535428002501112</v>
      </c>
      <c r="C12" s="97">
        <f>1/(1-D4*B4/(1-D4*B4/(1-D4*B4/(1-D4*B4/(1-D4*B4)))))</f>
        <v>1.5236773991695687</v>
      </c>
      <c r="D12" s="130">
        <f>C12*D4*C11</f>
        <v>1.4902384892895391</v>
      </c>
      <c r="E12" s="1">
        <f>D12*D4*C10</f>
        <v>1.4285196730157834</v>
      </c>
      <c r="F12" s="1">
        <f>E12*D4*C9</f>
        <v>1.3146041089049889</v>
      </c>
      <c r="G12" s="1">
        <f>F12*D4*C8</f>
        <v>1.1043480390360885</v>
      </c>
      <c r="H12" s="1">
        <f>G12*D4</f>
        <v>0.71627451052580049</v>
      </c>
      <c r="I12" s="1">
        <f>H12*D4</f>
        <v>0.46457199749888756</v>
      </c>
      <c r="J12" s="1"/>
      <c r="K12" s="1"/>
      <c r="L12" s="1"/>
      <c r="M12" s="242"/>
      <c r="N12" s="97">
        <f>B12+I12</f>
        <v>0.99999999999999956</v>
      </c>
      <c r="R12" s="278">
        <f>B12-I12</f>
        <v>7.0856005002224443E-2</v>
      </c>
      <c r="S12" s="279">
        <f>IF(Rules!B20=Rules!E20,SUM(C12:H12)*B4*F4,SUM(C12:H12)*B4*F4*POWER(O2,A12-1))</f>
        <v>5.163337392072525</v>
      </c>
      <c r="T12" s="261">
        <f>IF(Rules!B20=Rules!E20,SUM(C12:H12)*D4*H4,SUM(C12:H12)*D4*H4*POWER(O2,A12-1))</f>
        <v>-15.608804675091163</v>
      </c>
      <c r="U12" s="275">
        <f t="shared" si="0"/>
        <v>-34.384682993162862</v>
      </c>
      <c r="V12" s="93">
        <f>(U12+W12*I12)/B12</f>
        <v>-59.013071525156015</v>
      </c>
      <c r="W12" s="9">
        <f t="shared" si="1"/>
        <v>6</v>
      </c>
    </row>
    <row r="13" spans="1:23" x14ac:dyDescent="0.2">
      <c r="A13" s="98">
        <v>7</v>
      </c>
      <c r="B13" s="97">
        <f>C13*B4</f>
        <v>0.53836694835133991</v>
      </c>
      <c r="C13" s="97">
        <f>1/(1-D4*B4/(1-D4*B4/(1-D4*B4/(1-D4*B4/(1-D4*B4/(1-D4*B4))))))</f>
        <v>1.5320408118944497</v>
      </c>
      <c r="D13" s="130">
        <f>C13*D4*C12</f>
        <v>1.5140384080261422</v>
      </c>
      <c r="E13" s="1">
        <f>D13*D4*C11</f>
        <v>1.4808110372529832</v>
      </c>
      <c r="F13" s="1">
        <f>E13*D4*C10</f>
        <v>1.4194826626329331</v>
      </c>
      <c r="G13" s="1">
        <f>F13*D4*C9</f>
        <v>1.3062877439252671</v>
      </c>
      <c r="H13" s="1">
        <f>G13*D4*C8</f>
        <v>1.0973617826452469</v>
      </c>
      <c r="I13" s="1">
        <f>H13*D4</f>
        <v>0.71174326023162193</v>
      </c>
      <c r="J13" s="1">
        <f>I13*D4</f>
        <v>0.46163305164865948</v>
      </c>
      <c r="K13" s="1"/>
      <c r="L13" s="1"/>
      <c r="M13" s="242"/>
      <c r="N13" s="97">
        <f>B13+J13</f>
        <v>0.99999999999999933</v>
      </c>
      <c r="R13" s="278">
        <f>B13-J13</f>
        <v>7.6733896702680437E-2</v>
      </c>
      <c r="S13" s="279">
        <f>IF(Rules!B20=Rules!E20,SUM(C13:I13)*B4*F4,SUM(C13:I13)*B4*F4*POWER(O2,A13-1))</f>
        <v>6.174589517595634</v>
      </c>
      <c r="T13" s="261">
        <f>IF(Rules!B20=Rules!E20,SUM(C13:I13)*D4*H4,SUM(C13:I13)*D4*H4*POWER(O2,A13-1))</f>
        <v>-18.665826850088958</v>
      </c>
      <c r="U13" s="275">
        <f t="shared" si="0"/>
        <v>-46.875920325656182</v>
      </c>
      <c r="V13" s="93">
        <f>(U13+W13*J13)/B13</f>
        <v>-81.068291985177808</v>
      </c>
      <c r="W13" s="9">
        <f t="shared" si="1"/>
        <v>7</v>
      </c>
    </row>
    <row r="14" spans="1:23" x14ac:dyDescent="0.2">
      <c r="A14" s="98">
        <v>8</v>
      </c>
      <c r="B14" s="97">
        <f>C14*B4</f>
        <v>0.53994377514084535</v>
      </c>
      <c r="C14" s="97">
        <f>1/(1-D4*B4/(1-D4*B4/(1-D4*B4/(1-D4*B4/(1-D4*B4/(1-D4*B4/(1-D4*B4)))))))</f>
        <v>1.536528017140256</v>
      </c>
      <c r="D14" s="130">
        <f>C14*D4*C13</f>
        <v>1.5268077312339916</v>
      </c>
      <c r="E14" s="1">
        <f>D14*D4*C12</f>
        <v>1.5088668192207273</v>
      </c>
      <c r="F14" s="1">
        <f>E14*D4*C11</f>
        <v>1.4757529451051254</v>
      </c>
      <c r="G14" s="1">
        <f>F14*D4*C10</f>
        <v>1.4146340533713468</v>
      </c>
      <c r="H14" s="1">
        <f>G14*D4*C9</f>
        <v>1.3018257811128824</v>
      </c>
      <c r="I14" s="1">
        <f>H14*D4*C8</f>
        <v>1.093613460356635</v>
      </c>
      <c r="J14" s="1">
        <f>I14*D4</f>
        <v>0.70931211749612</v>
      </c>
      <c r="K14" s="1">
        <f>J14*D4</f>
        <v>0.46005622485915398</v>
      </c>
      <c r="L14" s="1"/>
      <c r="M14" s="242"/>
      <c r="N14" s="97">
        <f>B14+K14</f>
        <v>0.99999999999999933</v>
      </c>
      <c r="R14" s="278">
        <f>B14-K14</f>
        <v>7.9887550281691366E-2</v>
      </c>
      <c r="S14" s="279">
        <f>IF(Rules!B20=Rules!E20,SUM(C14:J14)*B4*F4,SUM(C14:J14)*B4*F4*POWER(O2,A14-1))</f>
        <v>7.2004722497965252</v>
      </c>
      <c r="T14" s="261">
        <f>IF(Rules!B20=Rules!E20,SUM(C14:J14)*D4*H4,SUM(C14:J14)*D4*H4*POWER(O2,A14-1))</f>
        <v>-21.767077450341745</v>
      </c>
      <c r="U14" s="275">
        <f t="shared" si="0"/>
        <v>-61.442525526201401</v>
      </c>
      <c r="V14" s="93">
        <f>(U14+W14*K14)/B14</f>
        <v>-106.9779454578596</v>
      </c>
      <c r="W14" s="9">
        <f t="shared" si="1"/>
        <v>8</v>
      </c>
    </row>
    <row r="15" spans="1:23" x14ac:dyDescent="0.2">
      <c r="A15" s="98">
        <v>9</v>
      </c>
      <c r="B15" s="97">
        <f>C15*B4</f>
        <v>0.54079360023119571</v>
      </c>
      <c r="C15" s="97">
        <f>1/(1-D4*B4/(1-D4*B4/(1-D4*B4/(1-D4*B4/(1-D4*B4/(1-D4*B4/(1-D4*B4/(1-D4*B4))))))))</f>
        <v>1.5389463801645384</v>
      </c>
      <c r="D15" s="130">
        <f>C15*D4*C14</f>
        <v>1.5336897117540131</v>
      </c>
      <c r="E15" s="1">
        <f>D15*D4*C13</f>
        <v>1.5239873813549287</v>
      </c>
      <c r="F15" s="1">
        <f>E15*D4*C12</f>
        <v>1.5060796101543494</v>
      </c>
      <c r="G15" s="1">
        <f>F15*D4*C11</f>
        <v>1.4730269046514985</v>
      </c>
      <c r="H15" s="1">
        <f>G15*D4*C10</f>
        <v>1.4120209129609824</v>
      </c>
      <c r="I15" s="1">
        <f>H15*D4*C9</f>
        <v>1.2994210224067189</v>
      </c>
      <c r="J15" s="1">
        <f>I15*D4*C8</f>
        <v>1.091593315627498</v>
      </c>
      <c r="K15" s="1">
        <f>J15*D4</f>
        <v>0.70800186191915815</v>
      </c>
      <c r="L15" s="1">
        <f>K15*D4</f>
        <v>0.45920639976880362</v>
      </c>
      <c r="M15" s="242"/>
      <c r="N15" s="97">
        <f>B15+L15</f>
        <v>0.99999999999999933</v>
      </c>
      <c r="R15" s="278">
        <f>B15-L15</f>
        <v>8.1587200462392095E-2</v>
      </c>
      <c r="S15" s="279">
        <f>IF(Rules!B20=Rules!E20,SUM(C15:K15)*B4*F4,SUM(C15:K15)*B4*F4*POWER(O2,A15-1))</f>
        <v>8.2357928752216534</v>
      </c>
      <c r="T15" s="261">
        <f>IF(Rules!B20=Rules!E20,SUM(C15:K15)*D4*H4,SUM(C15:K15)*D4*H4*POWER(O2,A15-1))</f>
        <v>-24.896858867137272</v>
      </c>
      <c r="U15" s="275">
        <f t="shared" si="0"/>
        <v>-78.103591518117014</v>
      </c>
      <c r="V15" s="93">
        <f>(U15+W15*L15)/B15</f>
        <v>-136.78182191611441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0.54125272070739638</v>
      </c>
      <c r="C16" s="131">
        <f>1/(1-D4*B4/(1-D4*B4/(1-D4*B4/(1-D4*B4/(1-D4*B4/(1-D4*B4/(1-D4*B4/(1-D4*B4/(1-D4*B4)))))))))</f>
        <v>1.5402529078205727</v>
      </c>
      <c r="D16" s="139">
        <f>C16*D4*C15</f>
        <v>1.5374077217415192</v>
      </c>
      <c r="E16" s="110">
        <f>D16*D4*C14</f>
        <v>1.5321563090158126</v>
      </c>
      <c r="F16" s="110">
        <f>E16*D4*C13</f>
        <v>1.5224636791316932</v>
      </c>
      <c r="G16" s="110">
        <f>F16*D4*C12</f>
        <v>1.5045738123515344</v>
      </c>
      <c r="H16" s="110">
        <f>G16*D4*C11</f>
        <v>1.4715541533695897</v>
      </c>
      <c r="I16" s="110">
        <f>H16*D4*C10</f>
        <v>1.4106091562557392</v>
      </c>
      <c r="J16" s="110">
        <f>I16*D4*C9</f>
        <v>1.2981218445231069</v>
      </c>
      <c r="K16" s="110">
        <f>J16*D4*C8</f>
        <v>1.0905019265633629</v>
      </c>
      <c r="L16" s="110">
        <f>K16*D4</f>
        <v>0.70729399253371616</v>
      </c>
      <c r="M16" s="244">
        <f>L16*D4</f>
        <v>0.45874727929260284</v>
      </c>
      <c r="N16" s="131">
        <f>B16+M16</f>
        <v>0.99999999999999922</v>
      </c>
      <c r="R16" s="280">
        <f>B16-M16</f>
        <v>8.2505441414793546E-2</v>
      </c>
      <c r="S16" s="281">
        <f>IF(Rules!B20=Rules!E20,SUM(C16:L16)*B4*F4,SUM(C16:L16)*B4*F4*POWER(O2,A16-1))</f>
        <v>9.2770703594939583</v>
      </c>
      <c r="T16" s="262">
        <f>IF(Rules!B20=Rules!E20,SUM(C16:L16)*D4*H4,SUM(C16:L16)*D4*H4*POWER(O2,A16-1))</f>
        <v>-28.044647909459144</v>
      </c>
      <c r="U16" s="275">
        <f t="shared" si="0"/>
        <v>-96.871169068082196</v>
      </c>
      <c r="V16" s="94">
        <f>(U16+W16*M16)/B16</f>
        <v>-170.50019841848544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8</v>
      </c>
      <c r="D21" s="57">
        <f>SUM($C$21:C21)</f>
        <v>8</v>
      </c>
      <c r="E21" s="57">
        <f t="shared" ref="E21:E30" si="3">D21/R7</f>
        <v>-26.918823514888587</v>
      </c>
      <c r="F21" s="8">
        <f t="shared" ref="F21:F30" si="4">U7/E21</f>
        <v>5.1207851599252723E-2</v>
      </c>
      <c r="G21" s="265">
        <f>E21*U7</f>
        <v>37.106390092468693</v>
      </c>
      <c r="O21" s="100">
        <v>1</v>
      </c>
      <c r="P21" s="108">
        <v>1</v>
      </c>
      <c r="Q21" s="109">
        <f>P21*8+28</f>
        <v>36</v>
      </c>
      <c r="R21" s="57">
        <f>SUM($Q$21)</f>
        <v>36</v>
      </c>
      <c r="S21" s="260">
        <f>R21/R7</f>
        <v>-121.13470581699865</v>
      </c>
      <c r="T21" s="8">
        <f>U7/S21</f>
        <v>1.1379522577611715E-2</v>
      </c>
      <c r="U21" s="265">
        <f>S21*U7</f>
        <v>166.97875541610912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-802.5059675613827</v>
      </c>
      <c r="F22" s="9">
        <f t="shared" si="4"/>
        <v>5.3854048192419086E-3</v>
      </c>
      <c r="G22" s="266">
        <f t="shared" ref="G22:G30" si="5">E22*U8</f>
        <v>3468.2859436264898</v>
      </c>
      <c r="O22" s="98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61">
        <f t="shared" ref="S22:S30" si="7">R22/R8</f>
        <v>-3923.3625080778711</v>
      </c>
      <c r="T22" s="9">
        <f>U8/S22</f>
        <v>1.1015600766631176E-3</v>
      </c>
      <c r="U22" s="266">
        <f t="shared" ref="U22:U30" si="8">S22*U8</f>
        <v>16956.06461328506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-207044.78283468209</v>
      </c>
      <c r="F23" s="9">
        <f t="shared" si="4"/>
        <v>4.3402611452810336E-5</v>
      </c>
      <c r="G23" s="266">
        <f t="shared" si="5"/>
        <v>1860563.2736625196</v>
      </c>
      <c r="O23" s="98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61">
        <f t="shared" si="7"/>
        <v>-1030969.569320643</v>
      </c>
      <c r="T23" s="9">
        <f t="shared" ref="T23:T30" si="11">U9/S23</f>
        <v>8.7163428777308237E-6</v>
      </c>
      <c r="U23" s="266">
        <f t="shared" si="8"/>
        <v>9264585.616114052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120894.09632118198</v>
      </c>
      <c r="F24" s="9">
        <f t="shared" si="4"/>
        <v>-1.2816873060555019E-4</v>
      </c>
      <c r="G24" s="266">
        <f t="shared" si="5"/>
        <v>-1873235.0255841929</v>
      </c>
      <c r="O24" s="98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61">
        <f t="shared" si="7"/>
        <v>604057.16845609387</v>
      </c>
      <c r="T24" s="9">
        <f t="shared" si="11"/>
        <v>-2.56512854615966E-5</v>
      </c>
      <c r="U24" s="266">
        <f t="shared" si="8"/>
        <v>-9359770.9056112748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626135.04621182254</v>
      </c>
      <c r="F25" s="9">
        <f t="shared" si="4"/>
        <v>-3.8233310617220345E-5</v>
      </c>
      <c r="G25" s="266">
        <f t="shared" si="5"/>
        <v>-14989181.934945943</v>
      </c>
      <c r="O25" s="98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61">
        <f t="shared" si="7"/>
        <v>3130340.8286631438</v>
      </c>
      <c r="T25" s="9">
        <f t="shared" si="11"/>
        <v>-7.6474789872538585E-6</v>
      </c>
      <c r="U25" s="266">
        <f t="shared" si="8"/>
        <v>-74937904.343638629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4228180.8011980727</v>
      </c>
      <c r="F26" s="9">
        <f t="shared" si="4"/>
        <v>-8.1322641130719425E-6</v>
      </c>
      <c r="G26" s="266">
        <f t="shared" si="5"/>
        <v>-145384656.48697311</v>
      </c>
      <c r="O26" s="98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61">
        <f t="shared" si="7"/>
        <v>21140565.29087371</v>
      </c>
      <c r="T26" s="9">
        <f t="shared" si="11"/>
        <v>-1.6264788817168753E-6</v>
      </c>
      <c r="U26" s="266">
        <f t="shared" si="8"/>
        <v>-726911635.8229543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31234488.315986667</v>
      </c>
      <c r="F27" s="9">
        <f t="shared" si="4"/>
        <v>-1.5007743956434146E-6</v>
      </c>
      <c r="G27" s="266">
        <f t="shared" si="5"/>
        <v>-1464145385.7128298</v>
      </c>
      <c r="O27" s="98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61">
        <f t="shared" si="7"/>
        <v>156172076.68252552</v>
      </c>
      <c r="T27" s="9">
        <f t="shared" si="11"/>
        <v>-3.0015558044315389E-7</v>
      </c>
      <c r="U27" s="266">
        <f t="shared" si="8"/>
        <v>-7320709823.6623335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240011865.83379674</v>
      </c>
      <c r="F28" s="9">
        <f t="shared" si="4"/>
        <v>-2.5599786624195105E-7</v>
      </c>
      <c r="G28" s="266">
        <f t="shared" si="5"/>
        <v>-14746935193.084282</v>
      </c>
      <c r="O28" s="98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61">
        <f t="shared" si="7"/>
        <v>1200058928.6059437</v>
      </c>
      <c r="T28" s="9">
        <f t="shared" si="11"/>
        <v>-5.119959033809824E-8</v>
      </c>
      <c r="U28" s="266">
        <f t="shared" si="8"/>
        <v>-73734651353.816605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1880095004.2489376</v>
      </c>
      <c r="F29" s="9">
        <f t="shared" si="4"/>
        <v>-4.1542364264362225E-8</v>
      </c>
      <c r="G29" s="266">
        <f t="shared" si="5"/>
        <v>-146842172227.11148</v>
      </c>
      <c r="O29" s="98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61">
        <f t="shared" si="7"/>
        <v>9400474579.9990063</v>
      </c>
      <c r="T29" s="9">
        <f t="shared" si="11"/>
        <v>-8.3084732428610295E-9</v>
      </c>
      <c r="U29" s="266">
        <f t="shared" si="8"/>
        <v>-734210826672.68494</v>
      </c>
    </row>
    <row r="30" spans="1:21" ht="17" thickBot="1" x14ac:dyDescent="0.25">
      <c r="A30" s="131">
        <v>10</v>
      </c>
      <c r="B30" s="94">
        <f t="shared" si="9"/>
        <v>134217728</v>
      </c>
      <c r="C30" s="110">
        <f t="shared" si="2"/>
        <v>1073741824</v>
      </c>
      <c r="D30" s="10">
        <f>SUM($C$21:C30)</f>
        <v>1227133512</v>
      </c>
      <c r="E30" s="10">
        <f t="shared" si="3"/>
        <v>14873364604.288635</v>
      </c>
      <c r="F30" s="10">
        <f t="shared" si="4"/>
        <v>-6.5130635633143857E-9</v>
      </c>
      <c r="G30" s="267">
        <f t="shared" si="5"/>
        <v>-1440800217193.2739</v>
      </c>
      <c r="O30" s="99">
        <v>10</v>
      </c>
      <c r="P30" s="94">
        <f t="shared" si="10"/>
        <v>671088636</v>
      </c>
      <c r="Q30" s="110">
        <f t="shared" si="6"/>
        <v>5368709116</v>
      </c>
      <c r="R30" s="10">
        <f>SUM($Q$21:Q30)</f>
        <v>6135667520</v>
      </c>
      <c r="S30" s="262">
        <f t="shared" si="7"/>
        <v>74366822536.626663</v>
      </c>
      <c r="T30" s="10">
        <f t="shared" si="11"/>
        <v>-1.3026127211549456E-9</v>
      </c>
      <c r="U30" s="267">
        <f t="shared" si="8"/>
        <v>-7204001039001.627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8</v>
      </c>
      <c r="D33" s="57">
        <f>SUM($C$33:C33)</f>
        <v>8</v>
      </c>
      <c r="E33" s="9">
        <f t="shared" ref="E33:E42" si="13">D33/R7</f>
        <v>-26.918823514888587</v>
      </c>
      <c r="F33" s="8">
        <f t="shared" ref="F33:F42" si="14">U7/E33</f>
        <v>5.1207851599252723E-2</v>
      </c>
      <c r="G33" s="268">
        <f>E33*U7</f>
        <v>37.106390092468693</v>
      </c>
      <c r="O33" s="100">
        <v>1</v>
      </c>
      <c r="P33" s="108">
        <v>1</v>
      </c>
      <c r="Q33" s="109">
        <f>P33*8+28</f>
        <v>36</v>
      </c>
      <c r="R33" s="57">
        <f>SUM($Q$21)</f>
        <v>36</v>
      </c>
      <c r="S33" s="260">
        <f>R33/R7</f>
        <v>-121.13470581699865</v>
      </c>
      <c r="T33" s="8">
        <f>U7/S33</f>
        <v>1.1379522577611715E-2</v>
      </c>
      <c r="U33" s="268">
        <f>S33*U7</f>
        <v>166.97875541610912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-891.67329729042524</v>
      </c>
      <c r="F34" s="9">
        <f t="shared" si="14"/>
        <v>4.8468643373177174E-3</v>
      </c>
      <c r="G34" s="266">
        <f t="shared" ref="G34:G42" si="16">E34*U8</f>
        <v>3853.6510484738774</v>
      </c>
      <c r="O34" s="98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61">
        <f>R34/R8</f>
        <v>-4012.5298378069137</v>
      </c>
      <c r="T34" s="9">
        <f t="shared" ref="T34:T42" si="18">U8/S34</f>
        <v>1.0770809638483815E-3</v>
      </c>
      <c r="U34" s="266">
        <f t="shared" ref="U34:U42" si="19">S34*U8</f>
        <v>17341.429718132451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-258096.92106789138</v>
      </c>
      <c r="F35" s="9">
        <f t="shared" si="14"/>
        <v>3.4817479517089605E-5</v>
      </c>
      <c r="G35" s="266">
        <f t="shared" si="16"/>
        <v>2319332.3000450586</v>
      </c>
      <c r="O35" s="98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61">
        <f t="shared" ref="S35:S42" si="21">R35/R9</f>
        <v>-1059331.8683390927</v>
      </c>
      <c r="T35" s="9">
        <f t="shared" si="18"/>
        <v>8.4829735905091134E-6</v>
      </c>
      <c r="U35" s="266">
        <f t="shared" si="19"/>
        <v>9519457.2974376865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169458.39142456275</v>
      </c>
      <c r="F36" s="9">
        <f t="shared" si="14"/>
        <v>-9.1437448053959588E-5</v>
      </c>
      <c r="G36" s="266">
        <f t="shared" si="16"/>
        <v>-2625731.1469727145</v>
      </c>
      <c r="O36" s="98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61">
        <f t="shared" si="21"/>
        <v>621209.66417345812</v>
      </c>
      <c r="T36" s="9">
        <f t="shared" si="18"/>
        <v>-2.4943016435211863E-5</v>
      </c>
      <c r="U36" s="266">
        <f t="shared" si="19"/>
        <v>-9625546.1314633917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987289.63385803509</v>
      </c>
      <c r="F37" s="9">
        <f t="shared" si="14"/>
        <v>-2.4247409158543343E-5</v>
      </c>
      <c r="G37" s="266">
        <f t="shared" si="16"/>
        <v>-23634939.513316814</v>
      </c>
      <c r="O37" s="98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61">
        <f t="shared" si="21"/>
        <v>3219693.1488659848</v>
      </c>
      <c r="T37" s="9">
        <f t="shared" si="18"/>
        <v>-7.4352475851855355E-6</v>
      </c>
      <c r="U37" s="266">
        <f t="shared" si="19"/>
        <v>-77076928.811176315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7500281.7331193881</v>
      </c>
      <c r="F38" s="9">
        <f t="shared" si="14"/>
        <v>-4.5844521868196779E-6</v>
      </c>
      <c r="G38" s="266">
        <f t="shared" si="16"/>
        <v>-257894809.7527203</v>
      </c>
      <c r="O38" s="98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61">
        <f t="shared" si="21"/>
        <v>21744494.343868677</v>
      </c>
      <c r="T38" s="9">
        <f t="shared" si="18"/>
        <v>-1.581305246716779E-6</v>
      </c>
      <c r="U38" s="266">
        <f t="shared" si="19"/>
        <v>-747677544.8605473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62331879.463029057</v>
      </c>
      <c r="F39" s="9">
        <f t="shared" si="14"/>
        <v>-7.5203765279466223E-7</v>
      </c>
      <c r="G39" s="266">
        <f t="shared" si="16"/>
        <v>-2921864215.457355</v>
      </c>
      <c r="O39" s="98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61">
        <f t="shared" si="21"/>
        <v>160634042.18554991</v>
      </c>
      <c r="T39" s="9">
        <f t="shared" si="18"/>
        <v>-2.9181809588972028E-7</v>
      </c>
      <c r="U39" s="266">
        <f t="shared" si="19"/>
        <v>-7529868563.0779314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538841407.05545521</v>
      </c>
      <c r="F40" s="9">
        <f t="shared" si="14"/>
        <v>-1.1402710467623362E-7</v>
      </c>
      <c r="G40" s="266">
        <f t="shared" si="16"/>
        <v>-33107776907.579086</v>
      </c>
      <c r="O40" s="98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61">
        <f t="shared" si="21"/>
        <v>1234346223.564189</v>
      </c>
      <c r="T40" s="9">
        <f t="shared" si="18"/>
        <v>-4.9777383649123503E-8</v>
      </c>
      <c r="U40" s="266">
        <f t="shared" si="19"/>
        <v>-75841349349.512985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4748544940.925909</v>
      </c>
      <c r="F41" s="9">
        <f t="shared" si="14"/>
        <v>-1.644789982821301E-8</v>
      </c>
      <c r="G41" s="266">
        <f t="shared" si="16"/>
        <v>-370878414371.49829</v>
      </c>
      <c r="O41" s="98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61">
        <f t="shared" si="21"/>
        <v>9669059454.5358009</v>
      </c>
      <c r="T41" s="9">
        <f t="shared" si="18"/>
        <v>-8.077682414237121E-9</v>
      </c>
      <c r="U41" s="266">
        <f t="shared" si="19"/>
        <v>-755188270001.45154</v>
      </c>
    </row>
    <row r="42" spans="1:21" ht="17" thickBot="1" x14ac:dyDescent="0.25">
      <c r="A42" s="131">
        <v>10</v>
      </c>
      <c r="B42" s="94">
        <f t="shared" si="15"/>
        <v>387420489</v>
      </c>
      <c r="C42" s="110">
        <f t="shared" si="12"/>
        <v>3099363912</v>
      </c>
      <c r="D42" s="10">
        <f>SUM($C$33:C42)</f>
        <v>3486784400</v>
      </c>
      <c r="E42" s="9">
        <f t="shared" si="13"/>
        <v>42261265926.332054</v>
      </c>
      <c r="F42" s="10">
        <f t="shared" si="14"/>
        <v>-2.292197522831987E-9</v>
      </c>
      <c r="G42" s="267">
        <f t="shared" si="16"/>
        <v>-4093898236580.8936</v>
      </c>
      <c r="O42" s="99">
        <v>10</v>
      </c>
      <c r="P42" s="94">
        <f t="shared" si="20"/>
        <v>690262597</v>
      </c>
      <c r="Q42" s="110">
        <f t="shared" si="17"/>
        <v>5522100804</v>
      </c>
      <c r="R42" s="10">
        <f>SUM($Q$33:Q42)</f>
        <v>6310972296</v>
      </c>
      <c r="S42" s="262">
        <f t="shared" si="21"/>
        <v>76491588770.148895</v>
      </c>
      <c r="T42" s="10">
        <f t="shared" si="18"/>
        <v>-1.2664290365202416E-9</v>
      </c>
      <c r="U42" s="267">
        <f t="shared" si="19"/>
        <v>-7409829628039.3115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8</v>
      </c>
      <c r="D45" s="57">
        <f>SUM(C45:C45)</f>
        <v>8</v>
      </c>
      <c r="E45" s="57">
        <f t="shared" ref="E45:E54" si="23">D45/R7</f>
        <v>-26.918823514888587</v>
      </c>
      <c r="F45" s="8">
        <f t="shared" ref="F45:F54" si="24">U7/E45</f>
        <v>5.1207851599252723E-2</v>
      </c>
      <c r="G45" s="265">
        <f>E45*U7</f>
        <v>37.106390092468693</v>
      </c>
      <c r="O45" s="100">
        <v>1</v>
      </c>
      <c r="P45" s="108">
        <v>1</v>
      </c>
      <c r="Q45" s="109">
        <f>P45*8+28</f>
        <v>36</v>
      </c>
      <c r="R45" s="57">
        <f>SUM($Q$21)</f>
        <v>36</v>
      </c>
      <c r="S45" s="260">
        <f>R45/R7</f>
        <v>-121.13470581699865</v>
      </c>
      <c r="T45" s="8">
        <f>U7/S45</f>
        <v>1.1379522577611715E-2</v>
      </c>
      <c r="U45" s="268">
        <f>S45*U7</f>
        <v>166.97875541610912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-1515.844605393723</v>
      </c>
      <c r="F46" s="9">
        <f t="shared" si="24"/>
        <v>2.8510966690104222E-3</v>
      </c>
      <c r="G46" s="266">
        <f t="shared" ref="G46:G54" si="26">E46*U8</f>
        <v>6551.2067824055921</v>
      </c>
      <c r="O46" s="98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61">
        <f t="shared" ref="S46:S54" si="28">R46/R8</f>
        <v>-7133.3863783234019</v>
      </c>
      <c r="T46" s="9">
        <f t="shared" ref="T46:T54" si="29">U8/S46</f>
        <v>6.0585804216471467E-4</v>
      </c>
      <c r="U46" s="266">
        <f t="shared" ref="U46:U54" si="30">S46*U8</f>
        <v>30829.208387791019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-774290.76320367411</v>
      </c>
      <c r="F47" s="9">
        <f t="shared" si="24"/>
        <v>1.1605826505696536E-5</v>
      </c>
      <c r="G47" s="266">
        <f t="shared" si="26"/>
        <v>6957996.9001351763</v>
      </c>
      <c r="O47" s="98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61">
        <f t="shared" si="28"/>
        <v>-3662990.918232766</v>
      </c>
      <c r="T47" s="9">
        <f t="shared" si="29"/>
        <v>2.453264139415528E-6</v>
      </c>
      <c r="U47" s="266">
        <f t="shared" si="30"/>
        <v>32916677.642947178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902882.57577306672</v>
      </c>
      <c r="F48" s="9">
        <f t="shared" si="24"/>
        <v>-1.7161526071010956E-5</v>
      </c>
      <c r="G48" s="266">
        <f t="shared" si="26"/>
        <v>-13990023.635516819</v>
      </c>
      <c r="O48" s="98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61">
        <f t="shared" si="28"/>
        <v>4273451.3125226013</v>
      </c>
      <c r="T48" s="9">
        <f t="shared" si="29"/>
        <v>-3.6258381645266631E-6</v>
      </c>
      <c r="U48" s="266">
        <f t="shared" si="30"/>
        <v>-66216456.57103508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9350559.7960772179</v>
      </c>
      <c r="F49" s="9">
        <f t="shared" si="24"/>
        <v>-2.56019064443471E-6</v>
      </c>
      <c r="G49" s="266">
        <f t="shared" si="26"/>
        <v>-223845067.96889472</v>
      </c>
      <c r="O49" s="98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61">
        <f t="shared" si="28"/>
        <v>44259160.313647375</v>
      </c>
      <c r="T49" s="9">
        <f t="shared" si="29"/>
        <v>-5.4088725453660566E-7</v>
      </c>
      <c r="U49" s="266">
        <f t="shared" si="30"/>
        <v>-1059529585.898259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126282140.79694577</v>
      </c>
      <c r="F50" s="9">
        <f t="shared" si="24"/>
        <v>-2.7228460632807458E-7</v>
      </c>
      <c r="G50" s="266">
        <f t="shared" si="26"/>
        <v>-4342171379.0009394</v>
      </c>
      <c r="O50" s="98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61">
        <f t="shared" si="28"/>
        <v>597735308.37182212</v>
      </c>
      <c r="T50" s="9">
        <f t="shared" si="29"/>
        <v>-5.752493204194961E-8</v>
      </c>
      <c r="U50" s="266">
        <f t="shared" si="30"/>
        <v>-20552939092.185551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1865740984.7791426</v>
      </c>
      <c r="F51" s="9">
        <f t="shared" si="24"/>
        <v>-2.5124559468904589E-8</v>
      </c>
      <c r="G51" s="266">
        <f t="shared" si="26"/>
        <v>-87458325750.81839</v>
      </c>
      <c r="O51" s="98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61">
        <f t="shared" si="28"/>
        <v>8831173824.3358173</v>
      </c>
      <c r="T51" s="9">
        <f t="shared" si="29"/>
        <v>-5.3080056239501854E-9</v>
      </c>
      <c r="U51" s="266">
        <f t="shared" si="30"/>
        <v>-413969400571.58618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28673419274.003838</v>
      </c>
      <c r="F52" s="9">
        <f t="shared" si="24"/>
        <v>-2.1428391549349328E-9</v>
      </c>
      <c r="G52" s="266">
        <f t="shared" si="26"/>
        <v>-1761767295666.4561</v>
      </c>
      <c r="O52" s="98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61">
        <f t="shared" si="28"/>
        <v>135720851043.35542</v>
      </c>
      <c r="T52" s="9">
        <f t="shared" si="29"/>
        <v>-4.5271249814498921E-10</v>
      </c>
      <c r="U52" s="266">
        <f t="shared" si="30"/>
        <v>-8339031854669.1436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449217369688.93945</v>
      </c>
      <c r="F53" s="9">
        <f t="shared" si="24"/>
        <v>-1.7386592057248329E-10</v>
      </c>
      <c r="G53" s="266">
        <f t="shared" si="26"/>
        <v>-35085489945027.887</v>
      </c>
      <c r="O53" s="98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61">
        <f t="shared" si="28"/>
        <v>2126295549655.0654</v>
      </c>
      <c r="T53" s="9">
        <f t="shared" si="29"/>
        <v>-3.6732236744222705E-11</v>
      </c>
      <c r="U53" s="266">
        <f t="shared" si="30"/>
        <v>-166071319057049.31</v>
      </c>
    </row>
    <row r="54" spans="1:21" ht="17" thickBot="1" x14ac:dyDescent="0.25">
      <c r="A54" s="131">
        <v>10</v>
      </c>
      <c r="B54" s="94">
        <f t="shared" si="25"/>
        <v>68719476736</v>
      </c>
      <c r="C54" s="110">
        <f t="shared" si="22"/>
        <v>549755813888</v>
      </c>
      <c r="D54" s="10">
        <f>SUM($C$45:C54)</f>
        <v>586406201480</v>
      </c>
      <c r="E54" s="10">
        <f t="shared" si="23"/>
        <v>7107485172182.293</v>
      </c>
      <c r="F54" s="10">
        <f t="shared" si="24"/>
        <v>-1.3629457778852985E-11</v>
      </c>
      <c r="G54" s="267">
        <f t="shared" si="26"/>
        <v>-688510397763358.25</v>
      </c>
      <c r="O54" s="99">
        <v>10</v>
      </c>
      <c r="P54" s="94">
        <f t="shared" si="31"/>
        <v>325272189880</v>
      </c>
      <c r="Q54" s="110">
        <f t="shared" si="27"/>
        <v>2602177519068</v>
      </c>
      <c r="R54" s="10">
        <f>SUM($Q$45:Q54)</f>
        <v>2775656020320</v>
      </c>
      <c r="S54" s="262">
        <f t="shared" si="28"/>
        <v>33642096481436.605</v>
      </c>
      <c r="T54" s="10">
        <f t="shared" si="29"/>
        <v>-2.8794629110446432E-12</v>
      </c>
      <c r="U54" s="267">
        <f t="shared" si="30"/>
        <v>-3258949216057978.5</v>
      </c>
    </row>
  </sheetData>
  <mergeCells count="2">
    <mergeCell ref="A18:F18"/>
    <mergeCell ref="O18:T18"/>
  </mergeCells>
  <conditionalFormatting sqref="F45:F54">
    <cfRule type="cellIs" dxfId="395" priority="65" operator="equal">
      <formula>MAX($F$45:$F$54)</formula>
    </cfRule>
  </conditionalFormatting>
  <conditionalFormatting sqref="F21:F30">
    <cfRule type="cellIs" dxfId="394" priority="63" operator="equal">
      <formula>MAX($F$21:$F$30)</formula>
    </cfRule>
  </conditionalFormatting>
  <conditionalFormatting sqref="E33:E42">
    <cfRule type="cellIs" dxfId="393" priority="61" stopIfTrue="1" operator="lessThan">
      <formula>0</formula>
    </cfRule>
    <cfRule type="cellIs" dxfId="392" priority="62" operator="equal">
      <formula>MIN($E$33:$E$42)</formula>
    </cfRule>
  </conditionalFormatting>
  <conditionalFormatting sqref="E21:E30">
    <cfRule type="cellIs" dxfId="391" priority="57" stopIfTrue="1" operator="lessThan">
      <formula>0</formula>
    </cfRule>
    <cfRule type="cellIs" dxfId="390" priority="58" operator="equal">
      <formula>MIN($E$21:$E$30)</formula>
    </cfRule>
  </conditionalFormatting>
  <conditionalFormatting sqref="E45:E54">
    <cfRule type="cellIs" dxfId="389" priority="53" stopIfTrue="1" operator="lessThan">
      <formula>0</formula>
    </cfRule>
    <cfRule type="cellIs" dxfId="388" priority="54" operator="equal">
      <formula>MIN($E$45:$E$54)</formula>
    </cfRule>
  </conditionalFormatting>
  <conditionalFormatting sqref="F33:F42">
    <cfRule type="cellIs" dxfId="387" priority="43" operator="lessThanOrEqual">
      <formula>0</formula>
    </cfRule>
    <cfRule type="cellIs" dxfId="386" priority="44" operator="equal">
      <formula>MAX($F$33:$F$42)</formula>
    </cfRule>
  </conditionalFormatting>
  <conditionalFormatting sqref="R7:R16">
    <cfRule type="cellIs" dxfId="385" priority="29" operator="lessThanOrEqual">
      <formula>0</formula>
    </cfRule>
    <cfRule type="cellIs" dxfId="384" priority="30" operator="greaterThan">
      <formula>0</formula>
    </cfRule>
  </conditionalFormatting>
  <conditionalFormatting sqref="T21:T30">
    <cfRule type="cellIs" dxfId="383" priority="21" operator="equal">
      <formula>MAX($T$21:$T$30)</formula>
    </cfRule>
  </conditionalFormatting>
  <conditionalFormatting sqref="S33:S42">
    <cfRule type="cellIs" dxfId="382" priority="19" stopIfTrue="1" operator="lessThan">
      <formula>0</formula>
    </cfRule>
    <cfRule type="cellIs" dxfId="381" priority="20" operator="equal">
      <formula>MIN($E$21:$E$30)</formula>
    </cfRule>
  </conditionalFormatting>
  <conditionalFormatting sqref="T33:T42">
    <cfRule type="cellIs" dxfId="380" priority="18" operator="equal">
      <formula>MAX($T$21:$T$30)</formula>
    </cfRule>
  </conditionalFormatting>
  <conditionalFormatting sqref="S45:S54">
    <cfRule type="cellIs" dxfId="379" priority="16" stopIfTrue="1" operator="lessThan">
      <formula>0</formula>
    </cfRule>
    <cfRule type="cellIs" dxfId="378" priority="17" operator="equal">
      <formula>MIN($E$21:$E$30)</formula>
    </cfRule>
  </conditionalFormatting>
  <conditionalFormatting sqref="T45:T54">
    <cfRule type="cellIs" dxfId="377" priority="15" operator="equal">
      <formula>MAX($T$21:$T$30)</formula>
    </cfRule>
  </conditionalFormatting>
  <conditionalFormatting sqref="S21:S30">
    <cfRule type="cellIs" dxfId="376" priority="13" stopIfTrue="1" operator="lessThan">
      <formula>0</formula>
    </cfRule>
    <cfRule type="cellIs" dxfId="375" priority="14" operator="equal">
      <formula>MIN($E$21:$E$30)</formula>
    </cfRule>
  </conditionalFormatting>
  <conditionalFormatting sqref="U7:U16">
    <cfRule type="cellIs" dxfId="374" priority="9" operator="lessThanOrEqual">
      <formula>0</formula>
    </cfRule>
    <cfRule type="cellIs" dxfId="373" priority="10" operator="greaterThan">
      <formula>0</formula>
    </cfRule>
  </conditionalFormatting>
  <conditionalFormatting sqref="S7:T16">
    <cfRule type="cellIs" dxfId="372" priority="1" operator="lessThanOrEqual">
      <formula>0</formula>
    </cfRule>
    <cfRule type="cellIs" dxfId="371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0.99999999999999967</v>
      </c>
    </row>
    <row r="2" spans="1:23" x14ac:dyDescent="0.2">
      <c r="A2" t="s">
        <v>40</v>
      </c>
      <c r="B2" s="135" t="s">
        <v>125</v>
      </c>
      <c r="C2" s="141">
        <f>Analysis!B47</f>
        <v>0.35619716370434029</v>
      </c>
      <c r="D2" s="135" t="s">
        <v>126</v>
      </c>
      <c r="E2" s="141">
        <f>Analysis!N47</f>
        <v>0.64380283629565938</v>
      </c>
      <c r="F2" s="135" t="s">
        <v>47</v>
      </c>
      <c r="G2" s="141">
        <f>Analysis!S47</f>
        <v>2.2162547551663359</v>
      </c>
      <c r="H2" t="s">
        <v>155</v>
      </c>
      <c r="I2" s="155">
        <f>Analysis!T47</f>
        <v>-3.6298890008145808</v>
      </c>
      <c r="J2" t="s">
        <v>48</v>
      </c>
      <c r="K2" s="155">
        <f>C2*G2+E2*I2</f>
        <v>-1.5475091763263382</v>
      </c>
      <c r="L2" t="s">
        <v>47</v>
      </c>
      <c r="M2" s="162">
        <v>3</v>
      </c>
      <c r="N2" t="s">
        <v>155</v>
      </c>
      <c r="O2" s="162">
        <v>9</v>
      </c>
    </row>
    <row r="4" spans="1:23" x14ac:dyDescent="0.2">
      <c r="A4" t="s">
        <v>123</v>
      </c>
      <c r="B4">
        <f>$C$2</f>
        <v>0.35619716370434029</v>
      </c>
      <c r="C4" t="s">
        <v>124</v>
      </c>
      <c r="D4">
        <f>$E$2</f>
        <v>0.64380283629565938</v>
      </c>
      <c r="E4" t="s">
        <v>47</v>
      </c>
      <c r="F4">
        <f>G2</f>
        <v>2.2162547551663359</v>
      </c>
      <c r="G4" t="s">
        <v>155</v>
      </c>
      <c r="H4">
        <f>I2</f>
        <v>-3.6298890008145808</v>
      </c>
      <c r="I4" t="s">
        <v>48</v>
      </c>
      <c r="J4">
        <f>K2</f>
        <v>-1.5475091763263382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0.35619716370434029</v>
      </c>
      <c r="C7" s="95">
        <v>1</v>
      </c>
      <c r="D7" s="22">
        <f>C7*D4</f>
        <v>0.64380283629565938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0.99999999999999967</v>
      </c>
      <c r="R7" s="276">
        <f>B7-D7</f>
        <v>-0.28760567259131908</v>
      </c>
      <c r="S7" s="277">
        <f>IF(Rules!B20=Rules!E20,SUM(C7)*B4*F4,SUM(C7)*B4*F4*POWER(O2,A7-1))</f>
        <v>0.78942365783650592</v>
      </c>
      <c r="T7" s="260">
        <f>IF(Rules!B20=Rules!E20,SUM(C7)*D4*H4,SUM(C7)*D4*H4*POWER(O2,A7-1))</f>
        <v>-2.3369328341628441</v>
      </c>
      <c r="U7" s="274">
        <f>S7+T7</f>
        <v>-1.5475091763263382</v>
      </c>
      <c r="V7" s="108">
        <f>(U7+W7*D7)/B7</f>
        <v>-2.5370958337579461</v>
      </c>
      <c r="W7" s="57">
        <f>COUNT(D7:M7)</f>
        <v>1</v>
      </c>
    </row>
    <row r="8" spans="1:23" x14ac:dyDescent="0.2">
      <c r="A8" s="98">
        <v>2</v>
      </c>
      <c r="B8" s="97">
        <f>C8*B4</f>
        <v>0.46218600157919215</v>
      </c>
      <c r="C8" s="97">
        <f>1/(1-B4*D4)</f>
        <v>1.297556658712834</v>
      </c>
      <c r="D8" s="130">
        <f>C8*D4</f>
        <v>0.83537065713364145</v>
      </c>
      <c r="E8" s="1">
        <f>D8*D4</f>
        <v>0.53781399842080713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0.99999999999999933</v>
      </c>
      <c r="R8" s="278">
        <f>B8-E8</f>
        <v>-7.5627996841614975E-2</v>
      </c>
      <c r="S8" s="279">
        <f>IF(Rules!B20=Rules!E20,SUM(C8:D8)*B4*F4,SUM(C8:D8)*B4*F4*POWER(O2,A8-1))</f>
        <v>1.6837832835749251</v>
      </c>
      <c r="T8" s="261">
        <f>IF(Rules!B20=Rules!E20,SUM(C8:D8)*D4*H4,SUM(C8:D8)*D4*H4*POWER(O2,A8-1))</f>
        <v>-4.984507877284452</v>
      </c>
      <c r="U8" s="275">
        <f>S8+T8+U7</f>
        <v>-4.8482337700358649</v>
      </c>
      <c r="V8" s="93">
        <f>(U8+W8*E8)/B8</f>
        <v>-8.1625271217735964</v>
      </c>
      <c r="W8" s="9">
        <f>COUNT(D8:M8)</f>
        <v>2</v>
      </c>
    </row>
    <row r="9" spans="1:23" x14ac:dyDescent="0.2">
      <c r="A9" s="98">
        <v>3</v>
      </c>
      <c r="B9" s="97">
        <f>C9*B4</f>
        <v>0.50708312367462993</v>
      </c>
      <c r="C9" s="97">
        <f>1/(1-D4*B4/(1-D4*B4))</f>
        <v>1.4236023622454552</v>
      </c>
      <c r="D9" s="130">
        <f>C9*D4*C8</f>
        <v>1.1892356408459901</v>
      </c>
      <c r="E9" s="1">
        <f>D9*(D4)</f>
        <v>0.76563327860053454</v>
      </c>
      <c r="F9" s="1">
        <f>E9*D4</f>
        <v>0.4929168763253689</v>
      </c>
      <c r="G9" s="1"/>
      <c r="H9" s="1"/>
      <c r="I9" s="1"/>
      <c r="J9" s="1"/>
      <c r="K9" s="1"/>
      <c r="L9" s="1"/>
      <c r="M9" s="242"/>
      <c r="N9" s="97">
        <f>B9+F9</f>
        <v>0.99999999999999889</v>
      </c>
      <c r="R9" s="278">
        <f>B9-F9</f>
        <v>1.416624734926103E-2</v>
      </c>
      <c r="S9" s="279">
        <f>IF(Rules!B20=Rules!E20,SUM(C9:E9)*B4*F4,SUM(C9:E9)*B4*F4*POWER(O2,A9-1))</f>
        <v>2.6670451570888711</v>
      </c>
      <c r="T9" s="261">
        <f>IF(Rules!B20=Rules!E20,SUM(C9:E9)*D4*H4,SUM(C9:E9)*D4*H4*POWER(O2,A9-1))</f>
        <v>-7.8952604674622151</v>
      </c>
      <c r="U9" s="275">
        <f t="shared" ref="U9:U16" si="0">S9+T9+U8</f>
        <v>-10.076449080409208</v>
      </c>
      <c r="V9" s="93">
        <f>(U9+W9*F9)/B9</f>
        <v>-16.955205271137793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0.52884458998302286</v>
      </c>
      <c r="C10" s="97">
        <f>1/(1-D4*B4/(1-D4*B4/(1-D4*B4)))</f>
        <v>1.48469624093354</v>
      </c>
      <c r="D10" s="130">
        <f>C10*D4*C9</f>
        <v>1.360752668249374</v>
      </c>
      <c r="E10" s="1">
        <f>D10*D4*C8</f>
        <v>1.1367328506718355</v>
      </c>
      <c r="F10" s="1">
        <f>E10*D4</f>
        <v>0.73183183337297797</v>
      </c>
      <c r="G10" s="1">
        <f>F10*D4</f>
        <v>0.47115541001697558</v>
      </c>
      <c r="H10" s="1"/>
      <c r="I10" s="1"/>
      <c r="J10" s="1"/>
      <c r="K10" s="1"/>
      <c r="L10" s="1"/>
      <c r="M10" s="242"/>
      <c r="N10" s="97">
        <f>B10+G10</f>
        <v>0.99999999999999845</v>
      </c>
      <c r="R10" s="278">
        <f>B10-G10</f>
        <v>5.7689179966047277E-2</v>
      </c>
      <c r="S10" s="279">
        <f>IF(Rules!B20=Rules!E20,SUM(C10:F10)*B4*F4,SUM(C10:F10)*B4*F4*POWER(O2,A10-1))</f>
        <v>3.7213538538568436</v>
      </c>
      <c r="T10" s="261">
        <f>IF(Rules!B20=Rules!E20,SUM(C10:F10)*D4*H4,SUM(C10:F10)*D4*H4*POWER(O2,A10-1))</f>
        <v>-11.016333146703847</v>
      </c>
      <c r="U10" s="275">
        <f t="shared" si="0"/>
        <v>-17.371428373256212</v>
      </c>
      <c r="V10" s="93">
        <f>(U10+W10*G10)/B10</f>
        <v>-29.284230238009002</v>
      </c>
      <c r="W10" s="9">
        <f t="shared" si="1"/>
        <v>4</v>
      </c>
    </row>
    <row r="11" spans="1:23" x14ac:dyDescent="0.2">
      <c r="A11" s="98">
        <v>5</v>
      </c>
      <c r="B11" s="97">
        <f>C11*B4</f>
        <v>0.54007862145588381</v>
      </c>
      <c r="C11" s="97">
        <f>1/(1-D4*B4/(1-D4*B4/(1-D4*B4/(1-D4*B4))))</f>
        <v>1.5162350419616857</v>
      </c>
      <c r="D11" s="130">
        <f>C11*D4*C10</f>
        <v>1.4492957680881031</v>
      </c>
      <c r="E11" s="1">
        <f>D11*D4*C9</f>
        <v>1.328307453832027</v>
      </c>
      <c r="F11" s="1">
        <f>E11*D4*C8</f>
        <v>1.1096290705831744</v>
      </c>
      <c r="G11" s="1">
        <f>F11*D4</f>
        <v>0.71438234287756408</v>
      </c>
      <c r="H11" s="1">
        <f>G11*D4</f>
        <v>0.45992137854411397</v>
      </c>
      <c r="I11" s="1"/>
      <c r="J11" s="1"/>
      <c r="K11" s="1"/>
      <c r="L11" s="1"/>
      <c r="M11" s="242"/>
      <c r="N11" s="97">
        <f>B11+H11</f>
        <v>0.99999999999999778</v>
      </c>
      <c r="R11" s="278">
        <f>B11-H11</f>
        <v>8.0157242911769844E-2</v>
      </c>
      <c r="S11" s="279">
        <f>IF(Rules!B20=Rules!E20,SUM(C11:G11)*B4*F4,SUM(C11:G11)*B4*F4*POWER(O2,A11-1))</f>
        <v>4.8295752703816461</v>
      </c>
      <c r="T11" s="261">
        <f>IF(Rules!B20=Rules!E20,SUM(C11:G11)*D4*H4,SUM(C11:G11)*D4*H4*POWER(O2,A11-1))</f>
        <v>-14.297003785454375</v>
      </c>
      <c r="U11" s="275">
        <f t="shared" si="0"/>
        <v>-26.838856888328941</v>
      </c>
      <c r="V11" s="93">
        <f>(U11+W11*H11)/B11</f>
        <v>-45.43644021579339</v>
      </c>
      <c r="W11" s="9">
        <f t="shared" si="1"/>
        <v>5</v>
      </c>
    </row>
    <row r="12" spans="1:23" x14ac:dyDescent="0.2">
      <c r="A12" s="98">
        <v>6</v>
      </c>
      <c r="B12" s="97">
        <f>C12*B4</f>
        <v>0.54606688481114074</v>
      </c>
      <c r="C12" s="97">
        <f>1/(1-D4*B4/(1-D4*B4/(1-D4*B4/(1-D4*B4/(1-D4*B4)))))</f>
        <v>1.5330466956339968</v>
      </c>
      <c r="D12" s="130">
        <f>C12*D4*C11</f>
        <v>1.4964933748783291</v>
      </c>
      <c r="E12" s="1">
        <f>D12*D4*C10</f>
        <v>1.4304256630139613</v>
      </c>
      <c r="F12" s="1">
        <f>E12*D4*C9</f>
        <v>1.3110126394977231</v>
      </c>
      <c r="G12" s="1">
        <f>F12*D4*C8</f>
        <v>1.0951814901677226</v>
      </c>
      <c r="H12" s="1">
        <f>G12*D4</f>
        <v>0.70508094962848655</v>
      </c>
      <c r="I12" s="1">
        <f>H12*D4</f>
        <v>0.4539331151888566</v>
      </c>
      <c r="J12" s="1"/>
      <c r="K12" s="1"/>
      <c r="L12" s="1"/>
      <c r="M12" s="242"/>
      <c r="N12" s="97">
        <f>B12+I12</f>
        <v>0.99999999999999734</v>
      </c>
      <c r="R12" s="278">
        <f>B12-I12</f>
        <v>9.2133769622284145E-2</v>
      </c>
      <c r="S12" s="279">
        <f>IF(Rules!B20=Rules!E20,SUM(C12:H12)*B4*F4,SUM(C12:H12)*B4*F4*POWER(O2,A12-1))</f>
        <v>5.9769166168175776</v>
      </c>
      <c r="T12" s="261">
        <f>IF(Rules!B20=Rules!E20,SUM(C12:H12)*D4*H4,SUM(C12:H12)*D4*H4*POWER(O2,A12-1))</f>
        <v>-17.693481250833351</v>
      </c>
      <c r="U12" s="275">
        <f t="shared" si="0"/>
        <v>-38.555421522344716</v>
      </c>
      <c r="V12" s="93">
        <f>(U12+W12*I12)/B12</f>
        <v>-65.618010957767822</v>
      </c>
      <c r="W12" s="9">
        <f t="shared" si="1"/>
        <v>6</v>
      </c>
    </row>
    <row r="13" spans="1:23" x14ac:dyDescent="0.2">
      <c r="A13" s="98">
        <v>7</v>
      </c>
      <c r="B13" s="97">
        <f>C13*B4</f>
        <v>0.54931348960057735</v>
      </c>
      <c r="C13" s="97">
        <f>1/(1-D4*B4/(1-D4*B4/(1-D4*B4/(1-D4*B4/(1-D4*B4/(1-D4*B4))))))</f>
        <v>1.5421613240484204</v>
      </c>
      <c r="D13" s="130">
        <f>C13*D4*C12</f>
        <v>1.5220820918676345</v>
      </c>
      <c r="E13" s="1">
        <f>D13*D4*C11</f>
        <v>1.4857902065134923</v>
      </c>
      <c r="F13" s="1">
        <f>E13*D4*C10</f>
        <v>1.4201950218620307</v>
      </c>
      <c r="G13" s="1">
        <f>F13*D4*C9</f>
        <v>1.3016360600590642</v>
      </c>
      <c r="H13" s="1">
        <f>G13*D4*C8</f>
        <v>1.0873485708403845</v>
      </c>
      <c r="I13" s="1">
        <f>H13*D4</f>
        <v>0.70003809394907124</v>
      </c>
      <c r="J13" s="1">
        <f>I13*D4</f>
        <v>0.45068651039941932</v>
      </c>
      <c r="K13" s="1"/>
      <c r="L13" s="1"/>
      <c r="M13" s="242"/>
      <c r="N13" s="97">
        <f>B13+J13</f>
        <v>0.99999999999999667</v>
      </c>
      <c r="R13" s="278">
        <f>B13-J13</f>
        <v>9.8626979201158038E-2</v>
      </c>
      <c r="S13" s="279">
        <f>IF(Rules!B20=Rules!E20,SUM(C13:I13)*B4*F4,SUM(C13:I13)*B4*F4*POWER(O2,A13-1))</f>
        <v>7.1515873530869518</v>
      </c>
      <c r="T13" s="261">
        <f>IF(Rules!B20=Rules!E20,SUM(C13:I13)*D4*H4,SUM(C13:I13)*D4*H4*POWER(O2,A13-1))</f>
        <v>-21.1708619774782</v>
      </c>
      <c r="U13" s="275">
        <f t="shared" si="0"/>
        <v>-52.57469614673596</v>
      </c>
      <c r="V13" s="93">
        <f>(U13+W13*J13)/B13</f>
        <v>-89.966642927110229</v>
      </c>
      <c r="W13" s="9">
        <f t="shared" si="1"/>
        <v>7</v>
      </c>
    </row>
    <row r="14" spans="1:23" x14ac:dyDescent="0.2">
      <c r="A14" s="98">
        <v>8</v>
      </c>
      <c r="B14" s="97">
        <f>C14*B4</f>
        <v>0.55108986414578476</v>
      </c>
      <c r="C14" s="97">
        <f>1/(1-D4*B4/(1-D4*B4/(1-D4*B4/(1-D4*B4/(1-D4*B4/(1-D4*B4/(1-D4*B4)))))))</f>
        <v>1.547148378203298</v>
      </c>
      <c r="D14" s="130">
        <f>C14*D4*C13</f>
        <v>1.5360829168686361</v>
      </c>
      <c r="E14" s="1">
        <f>D14*D4*C12</f>
        <v>1.5160828266992266</v>
      </c>
      <c r="F14" s="1">
        <f>E14*D4*C11</f>
        <v>1.4799339853010343</v>
      </c>
      <c r="G14" s="1">
        <f>F14*D4*C10</f>
        <v>1.4145973431477714</v>
      </c>
      <c r="H14" s="1">
        <f>G14*D4*C9</f>
        <v>1.2965056798261072</v>
      </c>
      <c r="I14" s="1">
        <f>H14*D4*C8</f>
        <v>1.0830628017338337</v>
      </c>
      <c r="J14" s="1">
        <f>I14*D4</f>
        <v>0.69727890364256551</v>
      </c>
      <c r="K14" s="1">
        <f>J14*D4</f>
        <v>0.44891013585421147</v>
      </c>
      <c r="L14" s="1"/>
      <c r="M14" s="242"/>
      <c r="N14" s="97">
        <f>B14+K14</f>
        <v>0.99999999999999623</v>
      </c>
      <c r="R14" s="278">
        <f>B14-K14</f>
        <v>0.10217972829157329</v>
      </c>
      <c r="S14" s="279">
        <f>IF(Rules!B20=Rules!E20,SUM(C14:J14)*B4*F4,SUM(C14:J14)*B4*F4*POWER(O2,A14-1))</f>
        <v>8.3447550040053535</v>
      </c>
      <c r="T14" s="261">
        <f>IF(Rules!B20=Rules!E20,SUM(C14:J14)*D4*H4,SUM(C14:J14)*D4*H4*POWER(O2,A14-1))</f>
        <v>-24.702999166948707</v>
      </c>
      <c r="U14" s="275">
        <f t="shared" si="0"/>
        <v>-68.93294030967931</v>
      </c>
      <c r="V14" s="93">
        <f>(U14+W14*K14)/B14</f>
        <v>-118.56806570762878</v>
      </c>
      <c r="W14" s="9">
        <f t="shared" si="1"/>
        <v>8</v>
      </c>
    </row>
    <row r="15" spans="1:23" x14ac:dyDescent="0.2">
      <c r="A15" s="98">
        <v>9</v>
      </c>
      <c r="B15" s="97">
        <f>C15*B4</f>
        <v>0.55206667601094728</v>
      </c>
      <c r="C15" s="97">
        <f>1/(1-D4*B4/(1-D4*B4/(1-D4*B4/(1-D4*B4/(1-D4*B4/(1-D4*B4/(1-D4*B4/(1-D4*B4))))))))</f>
        <v>1.5498907129681345</v>
      </c>
      <c r="D15" s="130">
        <f>C15*D4*C14</f>
        <v>1.543781840510579</v>
      </c>
      <c r="E15" s="1">
        <f>D15*D4*C13</f>
        <v>1.532740457210833</v>
      </c>
      <c r="F15" s="1">
        <f>E15*D4*C12</f>
        <v>1.5127838864984851</v>
      </c>
      <c r="G15" s="1">
        <f>F15*D4*C11</f>
        <v>1.4767137036432156</v>
      </c>
      <c r="H15" s="1">
        <f>G15*D4*C10</f>
        <v>1.4115192316086198</v>
      </c>
      <c r="I15" s="1">
        <f>H15*D4*C9</f>
        <v>1.293684531382008</v>
      </c>
      <c r="J15" s="1">
        <f>I15*D4*C8</f>
        <v>1.0807060971042148</v>
      </c>
      <c r="K15" s="1">
        <f>J15*D4</f>
        <v>0.69576165051770578</v>
      </c>
      <c r="L15" s="1">
        <f>K15*D4</f>
        <v>0.44793332398904828</v>
      </c>
      <c r="M15" s="242"/>
      <c r="N15" s="97">
        <f>B15+L15</f>
        <v>0.99999999999999556</v>
      </c>
      <c r="R15" s="278">
        <f>B15-L15</f>
        <v>0.10413335202189899</v>
      </c>
      <c r="S15" s="279">
        <f>IF(Rules!B20=Rules!E20,SUM(C15:K15)*B4*F4,SUM(C15:K15)*B4*F4*POWER(O2,A15-1))</f>
        <v>9.5501175213934424</v>
      </c>
      <c r="T15" s="261">
        <f>IF(Rules!B20=Rules!E20,SUM(C15:K15)*D4*H4,SUM(C15:K15)*D4*H4*POWER(O2,A15-1))</f>
        <v>-28.271236850214077</v>
      </c>
      <c r="U15" s="275">
        <f t="shared" si="0"/>
        <v>-87.654059638499945</v>
      </c>
      <c r="V15" s="93">
        <f>(U15+W15*L15)/B15</f>
        <v>-151.47202929694728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0.55260529285160431</v>
      </c>
      <c r="C16" s="131">
        <f>1/(1-D4*B4/(1-D4*B4/(1-D4*B4/(1-D4*B4/(1-D4*B4/(1-D4*B4/(1-D4*B4/(1-D4*B4/(1-D4*B4)))))))))</f>
        <v>1.5514028441570962</v>
      </c>
      <c r="D16" s="139">
        <f>C16*D4*C15</f>
        <v>1.5480270489036949</v>
      </c>
      <c r="E16" s="110">
        <f>D16*D4*C14</f>
        <v>1.5419255220518511</v>
      </c>
      <c r="F16" s="110">
        <f>E16*D4*C13</f>
        <v>1.5308974154490393</v>
      </c>
      <c r="G16" s="110">
        <f>F16*D4*C12</f>
        <v>1.5109648414890913</v>
      </c>
      <c r="H16" s="110">
        <f>G16*D4*C11</f>
        <v>1.4749380311781068</v>
      </c>
      <c r="I16" s="110">
        <f>H16*D4*C10</f>
        <v>1.409821952151298</v>
      </c>
      <c r="J16" s="110">
        <f>I16*D4*C9</f>
        <v>1.2921289421061415</v>
      </c>
      <c r="K16" s="110">
        <f>J16*D4*C8</f>
        <v>1.0794066034686043</v>
      </c>
      <c r="L16" s="110">
        <f>K16*D4</f>
        <v>0.69492503282935159</v>
      </c>
      <c r="M16" s="244">
        <f>L16*D4</f>
        <v>0.44739470714839075</v>
      </c>
      <c r="N16" s="131">
        <f>B16+M16</f>
        <v>0.99999999999999512</v>
      </c>
      <c r="R16" s="280">
        <f>B16-M16</f>
        <v>0.10521058570321357</v>
      </c>
      <c r="S16" s="281">
        <f>IF(Rules!B20=Rules!E20,SUM(C16:L16)*B4*F4,SUM(C16:L16)*B4*F4*POWER(O2,A16-1))</f>
        <v>10.76334810305989</v>
      </c>
      <c r="T16" s="262">
        <f>IF(Rules!B20=Rules!E20,SUM(C16:L16)*D4*H4,SUM(C16:L16)*D4*H4*POWER(O2,A16-1))</f>
        <v>-31.862766383895725</v>
      </c>
      <c r="U16" s="275">
        <f t="shared" si="0"/>
        <v>-108.75347791933578</v>
      </c>
      <c r="V16" s="94">
        <f>(U16+W16*M16)/B16</f>
        <v>-188.7052697409739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9</v>
      </c>
      <c r="D21" s="57">
        <f>SUM($C$21:C21)</f>
        <v>9</v>
      </c>
      <c r="E21" s="57">
        <f t="shared" ref="E21:E30" si="3">D21/R7</f>
        <v>-31.292845926543283</v>
      </c>
      <c r="F21" s="8">
        <f t="shared" ref="F21:F30" si="4">U7/E21</f>
        <v>4.9452490833174961E-2</v>
      </c>
      <c r="G21" s="265">
        <f>E21*U7</f>
        <v>48.425966224692004</v>
      </c>
      <c r="O21" s="100">
        <v>1</v>
      </c>
      <c r="P21" s="108">
        <v>1</v>
      </c>
      <c r="Q21" s="109">
        <f>P21*9+36</f>
        <v>45</v>
      </c>
      <c r="R21" s="57">
        <f>SUM($Q$21)</f>
        <v>45</v>
      </c>
      <c r="S21" s="260">
        <f>R21/R7</f>
        <v>-156.46422963271641</v>
      </c>
      <c r="T21" s="8">
        <f>U7/S21</f>
        <v>9.8904981666349933E-3</v>
      </c>
      <c r="U21" s="265">
        <f>S21*U7</f>
        <v>242.12983112346001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-1190.0354863091745</v>
      </c>
      <c r="F22" s="9">
        <f t="shared" si="4"/>
        <v>4.0740245360853721E-3</v>
      </c>
      <c r="G22" s="266">
        <f t="shared" ref="G22:G30" si="5">E22*U8</f>
        <v>5769.5702322651932</v>
      </c>
      <c r="O22" s="98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61">
        <f t="shared" ref="S22:S30" si="7">R22/R8</f>
        <v>-6426.1916260695434</v>
      </c>
      <c r="T22" s="9">
        <f>U8/S22</f>
        <v>7.5444898816395768E-4</v>
      </c>
      <c r="U22" s="266">
        <f t="shared" ref="U22:U30" si="8">S22*U8</f>
        <v>31155.679254232047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57813.475919769429</v>
      </c>
      <c r="F23" s="9">
        <f t="shared" si="4"/>
        <v>-1.7429239325434759E-4</v>
      </c>
      <c r="G23" s="266">
        <f t="shared" si="5"/>
        <v>-582554.54626702063</v>
      </c>
      <c r="O23" s="98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61">
        <f t="shared" si="7"/>
        <v>317021.14817543892</v>
      </c>
      <c r="T23" s="9">
        <f t="shared" ref="T23:T30" si="11">U9/S23</f>
        <v>-3.1784785142576421E-5</v>
      </c>
      <c r="U23" s="266">
        <f t="shared" si="8"/>
        <v>-3194447.4570026728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127926.93542087906</v>
      </c>
      <c r="F24" s="9">
        <f t="shared" si="4"/>
        <v>-1.3579179643524085E-4</v>
      </c>
      <c r="G24" s="266">
        <f t="shared" si="5"/>
        <v>-2222273.5956739737</v>
      </c>
      <c r="O24" s="98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61">
        <f t="shared" si="7"/>
        <v>703286.12789917411</v>
      </c>
      <c r="T24" s="9">
        <f t="shared" si="11"/>
        <v>-2.4700371135070431E-5</v>
      </c>
      <c r="U24" s="266">
        <f t="shared" si="8"/>
        <v>-12217084.596705209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828733.59395755781</v>
      </c>
      <c r="F25" s="9">
        <f t="shared" si="4"/>
        <v>-3.2385385465263823E-5</v>
      </c>
      <c r="G25" s="266">
        <f t="shared" si="5"/>
        <v>-22242262.326777399</v>
      </c>
      <c r="O25" s="98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61">
        <f t="shared" si="7"/>
        <v>4557754.0684892489</v>
      </c>
      <c r="T25" s="9">
        <f t="shared" si="11"/>
        <v>-5.8886145423869198E-6</v>
      </c>
      <c r="U25" s="266">
        <f t="shared" si="8"/>
        <v>-122324909.17638193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6489151.6156459833</v>
      </c>
      <c r="F26" s="9">
        <f t="shared" si="4"/>
        <v>-5.9415196016354128E-6</v>
      </c>
      <c r="G26" s="266">
        <f t="shared" si="5"/>
        <v>-250191975.86363512</v>
      </c>
      <c r="O26" s="98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61">
        <f t="shared" si="7"/>
        <v>35690040.833895043</v>
      </c>
      <c r="T26" s="9">
        <f t="shared" si="11"/>
        <v>-1.0802851613923737E-6</v>
      </c>
      <c r="U26" s="266">
        <f t="shared" si="8"/>
        <v>-1376044568.5005186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54557475.485742345</v>
      </c>
      <c r="F27" s="9">
        <f t="shared" si="4"/>
        <v>-9.6365705485173064E-7</v>
      </c>
      <c r="G27" s="266">
        <f t="shared" si="5"/>
        <v>-2868342696.1958995</v>
      </c>
      <c r="O27" s="98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61">
        <f t="shared" si="7"/>
        <v>300065795.78635734</v>
      </c>
      <c r="T27" s="9">
        <f t="shared" si="11"/>
        <v>-1.7521056010052011E-7</v>
      </c>
      <c r="U27" s="266">
        <f t="shared" si="8"/>
        <v>-15775868037.496262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473944889.16441751</v>
      </c>
      <c r="F28" s="9">
        <f t="shared" si="4"/>
        <v>-1.4544505465859257E-7</v>
      </c>
      <c r="G28" s="266">
        <f t="shared" si="5"/>
        <v>-32670414754.84837</v>
      </c>
      <c r="O28" s="98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61">
        <f t="shared" si="7"/>
        <v>2606696538.0839233</v>
      </c>
      <c r="T28" s="9">
        <f t="shared" si="11"/>
        <v>-2.6444558966710068E-8</v>
      </c>
      <c r="U28" s="266">
        <f t="shared" si="8"/>
        <v>-179687256865.1868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4185479873.0414653</v>
      </c>
      <c r="F29" s="9">
        <f t="shared" si="4"/>
        <v>-2.0942415755736106E-8</v>
      </c>
      <c r="G29" s="266">
        <f t="shared" si="5"/>
        <v>-366874302407.31775</v>
      </c>
      <c r="O29" s="98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61">
        <f t="shared" si="7"/>
        <v>23020138912.803673</v>
      </c>
      <c r="T29" s="9">
        <f t="shared" si="11"/>
        <v>-3.8077120199195341E-9</v>
      </c>
      <c r="U29" s="266">
        <f t="shared" si="8"/>
        <v>-2017808629149.4465</v>
      </c>
    </row>
    <row r="30" spans="1:21" ht="17" thickBot="1" x14ac:dyDescent="0.25">
      <c r="A30" s="131">
        <v>10</v>
      </c>
      <c r="B30" s="94">
        <f t="shared" si="9"/>
        <v>387420489</v>
      </c>
      <c r="C30" s="110">
        <f t="shared" si="2"/>
        <v>3486784401</v>
      </c>
      <c r="D30" s="10">
        <f>SUM($C$21:C30)</f>
        <v>3922632450</v>
      </c>
      <c r="E30" s="10">
        <f t="shared" si="3"/>
        <v>37283629054.829857</v>
      </c>
      <c r="F30" s="10">
        <f t="shared" si="4"/>
        <v>-2.9169230752564699E-9</v>
      </c>
      <c r="G30" s="267">
        <f t="shared" si="5"/>
        <v>-4054724329167.1445</v>
      </c>
      <c r="O30" s="99">
        <v>10</v>
      </c>
      <c r="P30" s="94">
        <f t="shared" si="10"/>
        <v>2130812685</v>
      </c>
      <c r="Q30" s="110">
        <f t="shared" si="6"/>
        <v>19177314201</v>
      </c>
      <c r="R30" s="10">
        <f>SUM($Q$21:Q30)</f>
        <v>21574478430</v>
      </c>
      <c r="S30" s="262">
        <f t="shared" si="7"/>
        <v>205059959373.85059</v>
      </c>
      <c r="T30" s="10">
        <f t="shared" si="11"/>
        <v>-5.3034965115283306E-10</v>
      </c>
      <c r="U30" s="267">
        <f t="shared" si="8"/>
        <v>-22300983763903.953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9</v>
      </c>
      <c r="D33" s="57">
        <f>SUM($C$33:C33)</f>
        <v>9</v>
      </c>
      <c r="E33" s="9">
        <f t="shared" ref="E33:E42" si="13">D33/R7</f>
        <v>-31.292845926543283</v>
      </c>
      <c r="F33" s="8">
        <f t="shared" ref="F33:F42" si="14">U7/E33</f>
        <v>4.9452490833174961E-2</v>
      </c>
      <c r="G33" s="268">
        <f>E33*U7</f>
        <v>48.425966224692004</v>
      </c>
      <c r="O33" s="100">
        <v>1</v>
      </c>
      <c r="P33" s="108">
        <v>1</v>
      </c>
      <c r="Q33" s="109">
        <f>P33*9+36</f>
        <v>45</v>
      </c>
      <c r="R33" s="57">
        <f>SUM($Q$21)</f>
        <v>45</v>
      </c>
      <c r="S33" s="260">
        <f>R33/R7</f>
        <v>-156.46422963271641</v>
      </c>
      <c r="T33" s="8">
        <f>U7/S33</f>
        <v>9.8904981666349933E-3</v>
      </c>
      <c r="U33" s="268">
        <f>S33*U7</f>
        <v>242.12983112346001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-1309.0390349400921</v>
      </c>
      <c r="F34" s="9">
        <f t="shared" si="14"/>
        <v>3.7036586691685199E-3</v>
      </c>
      <c r="G34" s="266">
        <f t="shared" ref="G34:G42" si="16">E34*U8</f>
        <v>6346.5272554917128</v>
      </c>
      <c r="O34" s="98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61">
        <f>R34/R8</f>
        <v>-6545.1951747004605</v>
      </c>
      <c r="T34" s="9">
        <f t="shared" ref="T34:T42" si="18">U8/S34</f>
        <v>7.4073173383370399E-4</v>
      </c>
      <c r="U34" s="266">
        <f t="shared" ref="U34:U42" si="19">S34*U8</f>
        <v>31732.636277458565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70519.734363674797</v>
      </c>
      <c r="F35" s="9">
        <f t="shared" si="14"/>
        <v>-1.4288835843374441E-4</v>
      </c>
      <c r="G35" s="266">
        <f t="shared" si="16"/>
        <v>-710588.51247955253</v>
      </c>
      <c r="O35" s="98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61">
        <f t="shared" ref="S35:S42" si="21">R35/R9</f>
        <v>324009.59031958692</v>
      </c>
      <c r="T35" s="9">
        <f t="shared" si="18"/>
        <v>-3.1099230953226726E-5</v>
      </c>
      <c r="U35" s="266">
        <f t="shared" si="19"/>
        <v>-3264866.1384195657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173325.3966495081</v>
      </c>
      <c r="F36" s="9">
        <f t="shared" si="14"/>
        <v>-1.0022436820602835E-4</v>
      </c>
      <c r="G36" s="266">
        <f t="shared" si="16"/>
        <v>-3010909.7131631519</v>
      </c>
      <c r="O36" s="98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61">
        <f t="shared" si="21"/>
        <v>719198.9905978688</v>
      </c>
      <c r="T36" s="9">
        <f t="shared" si="18"/>
        <v>-2.4153855331214209E-5</v>
      </c>
      <c r="U36" s="266">
        <f t="shared" si="19"/>
        <v>-12493513.751289045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1247535.4237179819</v>
      </c>
      <c r="F37" s="9">
        <f t="shared" si="14"/>
        <v>-2.1513502845748563E-5</v>
      </c>
      <c r="G37" s="266">
        <f t="shared" si="16"/>
        <v>-33482424.700287722</v>
      </c>
      <c r="O37" s="98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61">
        <f t="shared" si="21"/>
        <v>4661275.5931646135</v>
      </c>
      <c r="T37" s="9">
        <f t="shared" si="18"/>
        <v>-5.7578352431437375E-6</v>
      </c>
      <c r="U37" s="266">
        <f t="shared" si="19"/>
        <v>-125103308.56200565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10853772.770827049</v>
      </c>
      <c r="F38" s="9">
        <f t="shared" si="14"/>
        <v>-3.5522598764896405E-6</v>
      </c>
      <c r="G38" s="266">
        <f t="shared" si="16"/>
        <v>-418471784.28698426</v>
      </c>
      <c r="O38" s="98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61">
        <f t="shared" si="21"/>
        <v>36501111.522811323</v>
      </c>
      <c r="T38" s="9">
        <f t="shared" si="18"/>
        <v>-1.0562807518409283E-6</v>
      </c>
      <c r="U38" s="266">
        <f t="shared" si="19"/>
        <v>-1407315740.7961044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101392124.96414556</v>
      </c>
      <c r="F39" s="9">
        <f t="shared" si="14"/>
        <v>-5.1852839818997296E-7</v>
      </c>
      <c r="G39" s="266">
        <f t="shared" si="16"/>
        <v>-5330660161.6618347</v>
      </c>
      <c r="O39" s="98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61">
        <f t="shared" si="21"/>
        <v>306885400.37576872</v>
      </c>
      <c r="T39" s="9">
        <f t="shared" si="18"/>
        <v>-1.713170326198652E-7</v>
      </c>
      <c r="U39" s="266">
        <f t="shared" si="19"/>
        <v>-16134406676.62545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978667693.4063344</v>
      </c>
      <c r="F40" s="9">
        <f t="shared" si="14"/>
        <v>-7.0435491816177631E-8</v>
      </c>
      <c r="G40" s="266">
        <f t="shared" si="16"/>
        <v>-67462441692.590378</v>
      </c>
      <c r="O40" s="98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61">
        <f t="shared" si="21"/>
        <v>2665939561.1493821</v>
      </c>
      <c r="T40" s="9">
        <f t="shared" si="18"/>
        <v>-2.5856902877408012E-8</v>
      </c>
      <c r="U40" s="266">
        <f t="shared" si="19"/>
        <v>-183771052637.923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9603071250.3108749</v>
      </c>
      <c r="F41" s="9">
        <f t="shared" si="14"/>
        <v>-9.1277110576121532E-9</v>
      </c>
      <c r="G41" s="266">
        <f t="shared" si="16"/>
        <v>-841748180087.51367</v>
      </c>
      <c r="O41" s="98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61">
        <f t="shared" si="21"/>
        <v>23543323799.702759</v>
      </c>
      <c r="T41" s="9">
        <f t="shared" si="18"/>
        <v>-3.7230962112327828E-9</v>
      </c>
      <c r="U41" s="266">
        <f t="shared" si="19"/>
        <v>-2063667908427.6606</v>
      </c>
    </row>
    <row r="42" spans="1:21" ht="17" thickBot="1" x14ac:dyDescent="0.25">
      <c r="A42" s="131">
        <v>10</v>
      </c>
      <c r="B42" s="94">
        <f t="shared" si="15"/>
        <v>1000000000</v>
      </c>
      <c r="C42" s="110">
        <f t="shared" si="12"/>
        <v>9000000000</v>
      </c>
      <c r="D42" s="10">
        <f>SUM($C$33:C42)</f>
        <v>9999999999</v>
      </c>
      <c r="E42" s="9">
        <f t="shared" si="13"/>
        <v>95047470101.618866</v>
      </c>
      <c r="F42" s="10">
        <f t="shared" si="14"/>
        <v>-1.1442017110299021E-9</v>
      </c>
      <c r="G42" s="267">
        <f t="shared" si="16"/>
        <v>-10336742940985.135</v>
      </c>
      <c r="O42" s="99">
        <v>10</v>
      </c>
      <c r="P42" s="94">
        <f t="shared" si="20"/>
        <v>2179240246</v>
      </c>
      <c r="Q42" s="110">
        <f t="shared" si="17"/>
        <v>19613162250</v>
      </c>
      <c r="R42" s="10">
        <f>SUM($Q$33:Q42)</f>
        <v>22064807475</v>
      </c>
      <c r="S42" s="262">
        <f t="shared" si="21"/>
        <v>209720412898.77591</v>
      </c>
      <c r="T42" s="10">
        <f t="shared" si="18"/>
        <v>-5.1856410358979675E-10</v>
      </c>
      <c r="U42" s="267">
        <f t="shared" si="19"/>
        <v>-22807824293421.008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9</v>
      </c>
      <c r="D45" s="57">
        <f>SUM(C45:C45)</f>
        <v>9</v>
      </c>
      <c r="E45" s="57">
        <f t="shared" ref="E45:E54" si="23">D45/R7</f>
        <v>-31.292845926543283</v>
      </c>
      <c r="F45" s="8">
        <f t="shared" ref="F45:F54" si="24">U7/E45</f>
        <v>4.9452490833174961E-2</v>
      </c>
      <c r="G45" s="265">
        <f>E45*U7</f>
        <v>48.425966224692004</v>
      </c>
      <c r="O45" s="100">
        <v>1</v>
      </c>
      <c r="P45" s="108">
        <v>1</v>
      </c>
      <c r="Q45" s="109">
        <f>P45*9+36</f>
        <v>45</v>
      </c>
      <c r="R45" s="57">
        <f>SUM($Q$21)</f>
        <v>45</v>
      </c>
      <c r="S45" s="260">
        <f>R45/R7</f>
        <v>-156.46422963271641</v>
      </c>
      <c r="T45" s="8">
        <f>U7/S45</f>
        <v>9.8904981666349933E-3</v>
      </c>
      <c r="U45" s="268">
        <f>S45*U7</f>
        <v>242.12983112346001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-2261.067423987432</v>
      </c>
      <c r="F46" s="9">
        <f t="shared" si="24"/>
        <v>2.1442234400449321E-3</v>
      </c>
      <c r="G46" s="266">
        <f t="shared" ref="G46:G54" si="26">E46*U8</f>
        <v>10962.183441303869</v>
      </c>
      <c r="O46" s="98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61">
        <f t="shared" ref="S46:S54" si="28">R46/R8</f>
        <v>-11781.35131446083</v>
      </c>
      <c r="T46" s="9">
        <f t="shared" ref="T46:T54" si="29">U8/S46</f>
        <v>4.1151762990761329E-4</v>
      </c>
      <c r="U46" s="266">
        <f t="shared" ref="U46:U54" si="30">S46*U8</f>
        <v>57118.74529942542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217912.33231297706</v>
      </c>
      <c r="F47" s="9">
        <f t="shared" si="24"/>
        <v>-4.6240839026663655E-5</v>
      </c>
      <c r="G47" s="266">
        <f t="shared" si="26"/>
        <v>-2195782.5205449234</v>
      </c>
      <c r="O47" s="98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61">
        <f t="shared" si="28"/>
        <v>1140386.6953405067</v>
      </c>
      <c r="T47" s="9">
        <f t="shared" si="29"/>
        <v>-8.8359931956243079E-6</v>
      </c>
      <c r="U47" s="266">
        <f t="shared" si="30"/>
        <v>-11491048.467574745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963352.22710235149</v>
      </c>
      <c r="F48" s="9">
        <f t="shared" si="24"/>
        <v>-1.8032270943627126E-5</v>
      </c>
      <c r="G48" s="266">
        <f t="shared" si="26"/>
        <v>-16734804.211325351</v>
      </c>
      <c r="O48" s="98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61">
        <f t="shared" si="28"/>
        <v>5043285.4162814114</v>
      </c>
      <c r="T48" s="9">
        <f t="shared" si="29"/>
        <v>-3.4444666401737713E-6</v>
      </c>
      <c r="U48" s="266">
        <f t="shared" si="30"/>
        <v>-87609071.374820173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12479957.688927857</v>
      </c>
      <c r="F49" s="9">
        <f t="shared" si="24"/>
        <v>-2.1505567212090962E-6</v>
      </c>
      <c r="G49" s="266">
        <f t="shared" si="26"/>
        <v>-334947798.38553512</v>
      </c>
      <c r="O49" s="98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61">
        <f t="shared" si="28"/>
        <v>65336116.984021217</v>
      </c>
      <c r="T49" s="9">
        <f t="shared" si="29"/>
        <v>-4.1078132780515143E-7</v>
      </c>
      <c r="U49" s="266">
        <f t="shared" si="30"/>
        <v>-1753546693.3732634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195438340.07682699</v>
      </c>
      <c r="F50" s="9">
        <f t="shared" si="24"/>
        <v>-1.9727665261170629E-7</v>
      </c>
      <c r="G50" s="266">
        <f t="shared" si="26"/>
        <v>-7535207583.2894211</v>
      </c>
      <c r="O50" s="98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61">
        <f t="shared" si="28"/>
        <v>1023177054.2600199</v>
      </c>
      <c r="T50" s="9">
        <f t="shared" si="29"/>
        <v>-3.7682062319339924E-8</v>
      </c>
      <c r="U50" s="266">
        <f t="shared" si="30"/>
        <v>-39449022618.986038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3286286263.913012</v>
      </c>
      <c r="F51" s="9">
        <f t="shared" si="24"/>
        <v>-1.5998209505989526E-8</v>
      </c>
      <c r="G51" s="266">
        <f t="shared" si="26"/>
        <v>-172775501776.41873</v>
      </c>
      <c r="O51" s="98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61">
        <f t="shared" si="28"/>
        <v>17204674996.069191</v>
      </c>
      <c r="T51" s="9">
        <f t="shared" si="29"/>
        <v>-3.0558377975025901E-9</v>
      </c>
      <c r="U51" s="266">
        <f t="shared" si="30"/>
        <v>-904530560221.68335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57096420909.95005</v>
      </c>
      <c r="F52" s="9">
        <f t="shared" si="24"/>
        <v>-1.2073075546783798E-9</v>
      </c>
      <c r="G52" s="266">
        <f t="shared" si="26"/>
        <v>-3935824174481.9126</v>
      </c>
      <c r="O52" s="98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61">
        <f t="shared" si="28"/>
        <v>298916556362.76422</v>
      </c>
      <c r="T52" s="9">
        <f t="shared" si="29"/>
        <v>-2.3060930832490425E-10</v>
      </c>
      <c r="U52" s="266">
        <f t="shared" si="30"/>
        <v>-20605197137329.316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1008454447302.4921</v>
      </c>
      <c r="F53" s="9">
        <f t="shared" si="24"/>
        <v>-8.6919205793543968E-11</v>
      </c>
      <c r="G53" s="266">
        <f t="shared" si="26"/>
        <v>-88395126266563.141</v>
      </c>
      <c r="O53" s="98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61">
        <f t="shared" si="28"/>
        <v>5279555635694.7295</v>
      </c>
      <c r="T53" s="9">
        <f t="shared" si="29"/>
        <v>-1.6602544927432261E-11</v>
      </c>
      <c r="U53" s="266">
        <f t="shared" si="30"/>
        <v>-462774484555964.31</v>
      </c>
    </row>
    <row r="54" spans="1:21" ht="17" thickBot="1" x14ac:dyDescent="0.25">
      <c r="A54" s="131">
        <v>10</v>
      </c>
      <c r="B54" s="94">
        <f t="shared" si="25"/>
        <v>198359290368</v>
      </c>
      <c r="C54" s="110">
        <f t="shared" si="22"/>
        <v>1785233613312</v>
      </c>
      <c r="D54" s="10">
        <f>SUM($C$45:C54)</f>
        <v>1890247355271</v>
      </c>
      <c r="E54" s="10">
        <f t="shared" si="23"/>
        <v>17966322900275.082</v>
      </c>
      <c r="F54" s="10">
        <f t="shared" si="24"/>
        <v>-6.0531850909609697E-12</v>
      </c>
      <c r="G54" s="267">
        <f t="shared" si="26"/>
        <v>-1953900100826723</v>
      </c>
      <c r="O54" s="99">
        <v>10</v>
      </c>
      <c r="P54" s="94">
        <f t="shared" si="31"/>
        <v>1038469226040</v>
      </c>
      <c r="Q54" s="110">
        <f t="shared" si="27"/>
        <v>9346223034396</v>
      </c>
      <c r="R54" s="10">
        <f>SUM($Q$45:Q54)</f>
        <v>9896000859927</v>
      </c>
      <c r="S54" s="262">
        <f t="shared" si="28"/>
        <v>94058984595356.5</v>
      </c>
      <c r="T54" s="10">
        <f t="shared" si="29"/>
        <v>-1.1562263656916483E-12</v>
      </c>
      <c r="U54" s="267">
        <f t="shared" si="30"/>
        <v>-1.0229241704306248E+16</v>
      </c>
    </row>
  </sheetData>
  <mergeCells count="2">
    <mergeCell ref="A18:F18"/>
    <mergeCell ref="O18:T18"/>
  </mergeCells>
  <conditionalFormatting sqref="F45:F54">
    <cfRule type="cellIs" dxfId="368" priority="65" operator="equal">
      <formula>MAX($F$45:$F$54)</formula>
    </cfRule>
  </conditionalFormatting>
  <conditionalFormatting sqref="F21:F30">
    <cfRule type="cellIs" dxfId="367" priority="63" operator="equal">
      <formula>MAX($F$21:$F$30)</formula>
    </cfRule>
  </conditionalFormatting>
  <conditionalFormatting sqref="E33:E42">
    <cfRule type="cellIs" dxfId="366" priority="61" stopIfTrue="1" operator="lessThan">
      <formula>0</formula>
    </cfRule>
    <cfRule type="cellIs" dxfId="365" priority="62" operator="equal">
      <formula>MIN($E$33:$E$42)</formula>
    </cfRule>
  </conditionalFormatting>
  <conditionalFormatting sqref="E21:E30">
    <cfRule type="cellIs" dxfId="364" priority="57" stopIfTrue="1" operator="lessThan">
      <formula>0</formula>
    </cfRule>
    <cfRule type="cellIs" dxfId="363" priority="58" operator="equal">
      <formula>MIN($E$21:$E$30)</formula>
    </cfRule>
  </conditionalFormatting>
  <conditionalFormatting sqref="E45:E54">
    <cfRule type="cellIs" dxfId="362" priority="53" stopIfTrue="1" operator="lessThan">
      <formula>0</formula>
    </cfRule>
    <cfRule type="cellIs" dxfId="361" priority="54" operator="equal">
      <formula>MIN($E$45:$E$54)</formula>
    </cfRule>
  </conditionalFormatting>
  <conditionalFormatting sqref="F33:F42">
    <cfRule type="cellIs" dxfId="360" priority="43" operator="lessThanOrEqual">
      <formula>0</formula>
    </cfRule>
    <cfRule type="cellIs" dxfId="359" priority="44" operator="equal">
      <formula>MAX($F$33:$F$42)</formula>
    </cfRule>
  </conditionalFormatting>
  <conditionalFormatting sqref="R7:R16">
    <cfRule type="cellIs" dxfId="358" priority="29" operator="lessThanOrEqual">
      <formula>0</formula>
    </cfRule>
    <cfRule type="cellIs" dxfId="357" priority="30" operator="greaterThan">
      <formula>0</formula>
    </cfRule>
  </conditionalFormatting>
  <conditionalFormatting sqref="T21:T30">
    <cfRule type="cellIs" dxfId="356" priority="21" operator="equal">
      <formula>MAX($T$21:$T$30)</formula>
    </cfRule>
  </conditionalFormatting>
  <conditionalFormatting sqref="S33:S42">
    <cfRule type="cellIs" dxfId="355" priority="19" stopIfTrue="1" operator="lessThan">
      <formula>0</formula>
    </cfRule>
    <cfRule type="cellIs" dxfId="354" priority="20" operator="equal">
      <formula>MIN($E$21:$E$30)</formula>
    </cfRule>
  </conditionalFormatting>
  <conditionalFormatting sqref="T33:T42">
    <cfRule type="cellIs" dxfId="353" priority="18" operator="equal">
      <formula>MAX($T$21:$T$30)</formula>
    </cfRule>
  </conditionalFormatting>
  <conditionalFormatting sqref="S45:S54">
    <cfRule type="cellIs" dxfId="352" priority="16" stopIfTrue="1" operator="lessThan">
      <formula>0</formula>
    </cfRule>
    <cfRule type="cellIs" dxfId="351" priority="17" operator="equal">
      <formula>MIN($E$21:$E$30)</formula>
    </cfRule>
  </conditionalFormatting>
  <conditionalFormatting sqref="T45:T54">
    <cfRule type="cellIs" dxfId="350" priority="15" operator="equal">
      <formula>MAX($T$21:$T$30)</formula>
    </cfRule>
  </conditionalFormatting>
  <conditionalFormatting sqref="S21:S30">
    <cfRule type="cellIs" dxfId="349" priority="13" stopIfTrue="1" operator="lessThan">
      <formula>0</formula>
    </cfRule>
    <cfRule type="cellIs" dxfId="348" priority="14" operator="equal">
      <formula>MIN($E$21:$E$30)</formula>
    </cfRule>
  </conditionalFormatting>
  <conditionalFormatting sqref="U7:U16">
    <cfRule type="cellIs" dxfId="347" priority="9" operator="lessThanOrEqual">
      <formula>0</formula>
    </cfRule>
    <cfRule type="cellIs" dxfId="346" priority="10" operator="greaterThan">
      <formula>0</formula>
    </cfRule>
  </conditionalFormatting>
  <conditionalFormatting sqref="S7:T16">
    <cfRule type="cellIs" dxfId="345" priority="1" operator="lessThanOrEqual">
      <formula>0</formula>
    </cfRule>
    <cfRule type="cellIs" dxfId="34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35" t="s">
        <v>125</v>
      </c>
      <c r="C2" s="141">
        <f>Analysis!B48</f>
        <v>0.35958789597790025</v>
      </c>
      <c r="D2" s="135" t="s">
        <v>126</v>
      </c>
      <c r="E2" s="141">
        <f>Analysis!O48</f>
        <v>0.64041210402209947</v>
      </c>
      <c r="F2" s="135" t="s">
        <v>47</v>
      </c>
      <c r="G2" s="141">
        <f>Analysis!S48</f>
        <v>2.4975164107472629</v>
      </c>
      <c r="H2" t="s">
        <v>155</v>
      </c>
      <c r="I2" s="155">
        <f>Analysis!T48</f>
        <v>-4.0905529148182227</v>
      </c>
      <c r="J2" t="s">
        <v>48</v>
      </c>
      <c r="K2" s="155">
        <f>C2*G2+E2*I2</f>
        <v>-1.721562927481584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0.35958789597790025</v>
      </c>
      <c r="C4" t="s">
        <v>124</v>
      </c>
      <c r="D4">
        <f>$E$2</f>
        <v>0.64041210402209947</v>
      </c>
      <c r="E4" t="s">
        <v>47</v>
      </c>
      <c r="F4">
        <f>G2</f>
        <v>2.4975164107472629</v>
      </c>
      <c r="G4" t="s">
        <v>155</v>
      </c>
      <c r="H4">
        <f>I2</f>
        <v>-4.0905529148182227</v>
      </c>
      <c r="I4" t="s">
        <v>48</v>
      </c>
      <c r="J4">
        <f>K2</f>
        <v>-1.721562927481584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0.35958789597790025</v>
      </c>
      <c r="C7" s="95">
        <v>1</v>
      </c>
      <c r="D7" s="22">
        <f>C7*D4</f>
        <v>0.64041210402209947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0.99999999999999978</v>
      </c>
      <c r="R7" s="276">
        <f>B7-D7</f>
        <v>-0.28082420804419922</v>
      </c>
      <c r="S7" s="277">
        <f>IF(Rules!B20=Rules!E20,SUM(C7)*B4*F4,SUM(C7)*B4*F4*POWER(O2,A7-1))</f>
        <v>0.89807667131088553</v>
      </c>
      <c r="T7" s="260">
        <f>IF(Rules!B20=Rules!E20,SUM(C7)*D4*H4,SUM(C7)*D4*H4*POWER(O2,A7-1))</f>
        <v>-2.6196395987924697</v>
      </c>
      <c r="U7" s="274">
        <f>S7+T7</f>
        <v>-1.721562927481584</v>
      </c>
      <c r="V7" s="108">
        <f>(U7+W7*D7)/B7</f>
        <v>-3.0066385313646116</v>
      </c>
      <c r="W7" s="57">
        <f>COUNT(D7:M7)</f>
        <v>1</v>
      </c>
    </row>
    <row r="8" spans="1:23" x14ac:dyDescent="0.2">
      <c r="A8" s="98">
        <v>2</v>
      </c>
      <c r="B8" s="97">
        <f>C8*B4</f>
        <v>0.46716984189025124</v>
      </c>
      <c r="C8" s="97">
        <f>1/(1-B4*D4)</f>
        <v>1.2991812213806073</v>
      </c>
      <c r="D8" s="130">
        <f>C8*D4</f>
        <v>0.83201137949035575</v>
      </c>
      <c r="E8" s="1">
        <f>D8*D4</f>
        <v>0.53283015810974821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0.99999999999999944</v>
      </c>
      <c r="R8" s="278">
        <f>B8-E8</f>
        <v>-6.5660316219496973E-2</v>
      </c>
      <c r="S8" s="279">
        <f>IF(Rules!B20=Rules!E20,SUM(C8:D8)*B4*F4,SUM(C8:D8)*B4*F4*POWER(O2,A8-1))</f>
        <v>1.9139743569125833</v>
      </c>
      <c r="T8" s="261">
        <f>IF(Rules!B20=Rules!E20,SUM(C8:D8)*D4*H4,SUM(C8:D8)*D4*H4*POWER(O2,A8-1))</f>
        <v>-5.5829565298950898</v>
      </c>
      <c r="U8" s="275">
        <f>S8+T8+U7</f>
        <v>-5.3905451004640899</v>
      </c>
      <c r="V8" s="93">
        <f>(U8+W8*E8)/B8</f>
        <v>-9.2576283750366901</v>
      </c>
      <c r="W8" s="9">
        <f>COUNT(D8:M8)</f>
        <v>2</v>
      </c>
    </row>
    <row r="9" spans="1:23" x14ac:dyDescent="0.2">
      <c r="A9" s="98">
        <v>3</v>
      </c>
      <c r="B9" s="97">
        <f>C9*B4</f>
        <v>0.51309683323024746</v>
      </c>
      <c r="C9" s="97">
        <f>1/(1-D4*B4/(1-D4*B4))</f>
        <v>1.4269024040280311</v>
      </c>
      <c r="D9" s="130">
        <f>C9*D4*C8</f>
        <v>1.1871990375734671</v>
      </c>
      <c r="E9" s="1">
        <f>D9*(D4)</f>
        <v>0.76029663354543564</v>
      </c>
      <c r="F9" s="1">
        <f>E9*D4</f>
        <v>0.48690316676975159</v>
      </c>
      <c r="G9" s="1"/>
      <c r="H9" s="1"/>
      <c r="I9" s="1"/>
      <c r="J9" s="1"/>
      <c r="K9" s="1"/>
      <c r="L9" s="1"/>
      <c r="M9" s="242"/>
      <c r="N9" s="97">
        <f>B9+F9</f>
        <v>0.99999999999999911</v>
      </c>
      <c r="R9" s="278">
        <f>B9-F9</f>
        <v>2.6193666460495868E-2</v>
      </c>
      <c r="S9" s="279">
        <f>IF(Rules!B20=Rules!E20,SUM(C9:E9)*B4*F4,SUM(C9:E9)*B4*F4*POWER(O2,A9-1))</f>
        <v>3.0304681910058178</v>
      </c>
      <c r="T9" s="261">
        <f>IF(Rules!B20=Rules!E20,SUM(C9:E9)*D4*H4,SUM(C9:E9)*D4*H4*POWER(O2,A9-1))</f>
        <v>-8.8397068197439967</v>
      </c>
      <c r="U9" s="275">
        <f t="shared" ref="U9:U16" si="0">S9+T9+U8</f>
        <v>-11.199783729202268</v>
      </c>
      <c r="V9" s="93">
        <f>(U9+W9*F9)/B9</f>
        <v>-18.98096733043506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0.53557398459834504</v>
      </c>
      <c r="C10" s="97">
        <f>1/(1-D4*B4/(1-D4*B4/(1-D4*B4)))</f>
        <v>1.4894104907003338</v>
      </c>
      <c r="D10" s="130">
        <f>C10*D4*C9</f>
        <v>1.361031603606625</v>
      </c>
      <c r="E10" s="1">
        <f>D10*D4*C8</f>
        <v>1.1323937820467191</v>
      </c>
      <c r="F10" s="1">
        <f>E10*D4</f>
        <v>0.72519868454208214</v>
      </c>
      <c r="G10" s="1">
        <f>F10*D4</f>
        <v>0.46442601540165362</v>
      </c>
      <c r="H10" s="1"/>
      <c r="I10" s="1"/>
      <c r="J10" s="1"/>
      <c r="K10" s="1"/>
      <c r="L10" s="1"/>
      <c r="M10" s="242"/>
      <c r="N10" s="97">
        <f>B10+G10</f>
        <v>0.99999999999999867</v>
      </c>
      <c r="R10" s="278">
        <f>B10-G10</f>
        <v>7.1147969196691419E-2</v>
      </c>
      <c r="S10" s="279">
        <f>IF(Rules!B20=Rules!E20,SUM(C10:F10)*B4*F4,SUM(C10:F10)*B4*F4*POWER(O2,A10-1))</f>
        <v>4.2281760068658709</v>
      </c>
      <c r="T10" s="261">
        <f>IF(Rules!B20=Rules!E20,SUM(C10:F10)*D4*H4,SUM(C10:F10)*D4*H4*POWER(O2,A10-1))</f>
        <v>-12.333353768206051</v>
      </c>
      <c r="U10" s="275">
        <f t="shared" si="0"/>
        <v>-19.304961490542446</v>
      </c>
      <c r="V10" s="93">
        <f>(U10+W10*G10)/B10</f>
        <v>-32.576745567693031</v>
      </c>
      <c r="W10" s="9">
        <f t="shared" si="1"/>
        <v>4</v>
      </c>
    </row>
    <row r="11" spans="1:23" x14ac:dyDescent="0.2">
      <c r="A11" s="98">
        <v>5</v>
      </c>
      <c r="B11" s="97">
        <f>C11*B4</f>
        <v>0.54730800973948901</v>
      </c>
      <c r="C11" s="97">
        <f>1/(1-D4*B4/(1-D4*B4/(1-D4*B4/(1-D4*B4))))</f>
        <v>1.5220423597715473</v>
      </c>
      <c r="D11" s="130">
        <f>C11*D4*C10</f>
        <v>1.4517795665837183</v>
      </c>
      <c r="E11" s="1">
        <f>D11*D4*C9</f>
        <v>1.326644255514593</v>
      </c>
      <c r="F11" s="1">
        <f>E11*D4*C8</f>
        <v>1.1037831171236525</v>
      </c>
      <c r="G11" s="1">
        <f>F11*D4</f>
        <v>0.70687606842122974</v>
      </c>
      <c r="H11" s="1">
        <f>G11*D4</f>
        <v>0.45269199026050927</v>
      </c>
      <c r="I11" s="1"/>
      <c r="J11" s="1"/>
      <c r="K11" s="1"/>
      <c r="L11" s="1"/>
      <c r="M11" s="242"/>
      <c r="N11" s="97">
        <f>B11+H11</f>
        <v>0.99999999999999822</v>
      </c>
      <c r="R11" s="278">
        <f>B11-H11</f>
        <v>9.461601947897974E-2</v>
      </c>
      <c r="S11" s="279">
        <f>IF(Rules!B20=Rules!E20,SUM(C11:G11)*B4*F4,SUM(C11:G11)*B4*F4*POWER(O2,A11-1))</f>
        <v>5.4882591279313431</v>
      </c>
      <c r="T11" s="261">
        <f>IF(Rules!B20=Rules!E20,SUM(C11:G11)*D4*H4,SUM(C11:G11)*D4*H4*POWER(O2,A11-1))</f>
        <v>-16.008946005664836</v>
      </c>
      <c r="U11" s="275">
        <f t="shared" si="0"/>
        <v>-29.825648368275939</v>
      </c>
      <c r="V11" s="93">
        <f>(U11+W11*H11)/B11</f>
        <v>-50.359556093638403</v>
      </c>
      <c r="W11" s="9">
        <f t="shared" si="1"/>
        <v>5</v>
      </c>
    </row>
    <row r="12" spans="1:23" x14ac:dyDescent="0.2">
      <c r="A12" s="98">
        <v>6</v>
      </c>
      <c r="B12" s="97">
        <f>C12*B4</f>
        <v>0.55364030246079254</v>
      </c>
      <c r="C12" s="97">
        <f>1/(1-D4*B4/(1-D4*B4/(1-D4*B4/(1-D4*B4/(1-D4*B4)))))</f>
        <v>1.5396522203706724</v>
      </c>
      <c r="D12" s="130">
        <f>C12*D4*C11</f>
        <v>1.5007519062984223</v>
      </c>
      <c r="E12" s="1">
        <f>D12*D4*C10</f>
        <v>1.4314719548295858</v>
      </c>
      <c r="F12" s="1">
        <f>E12*D4*C9</f>
        <v>1.3080870467640682</v>
      </c>
      <c r="G12" s="1">
        <f>F12*D4*C8</f>
        <v>1.0883433082716378</v>
      </c>
      <c r="H12" s="1">
        <f>G12*D4</f>
        <v>0.69698822794861204</v>
      </c>
      <c r="I12" s="1">
        <f>H12*D4</f>
        <v>0.44635969753920529</v>
      </c>
      <c r="J12" s="1"/>
      <c r="K12" s="1"/>
      <c r="L12" s="1"/>
      <c r="M12" s="242"/>
      <c r="N12" s="97">
        <f>B12+I12</f>
        <v>0.99999999999999778</v>
      </c>
      <c r="R12" s="278">
        <f>B12-I12</f>
        <v>0.10728060492158725</v>
      </c>
      <c r="S12" s="279">
        <f>IF(Rules!B20=Rules!E20,SUM(C12:H12)*B4*F4,SUM(C12:H12)*B4*F4*POWER(O2,A12-1))</f>
        <v>6.7942146497648945</v>
      </c>
      <c r="T12" s="261">
        <f>IF(Rules!B20=Rules!E20,SUM(C12:H12)*D4*H4,SUM(C12:H12)*D4*H4*POWER(O2,A12-1))</f>
        <v>-19.818345479613054</v>
      </c>
      <c r="U12" s="275">
        <f t="shared" si="0"/>
        <v>-42.849779198124097</v>
      </c>
      <c r="V12" s="93">
        <f>(U12+W12*I12)/B12</f>
        <v>-72.559061965568731</v>
      </c>
      <c r="W12" s="9">
        <f t="shared" si="1"/>
        <v>6</v>
      </c>
    </row>
    <row r="13" spans="1:23" x14ac:dyDescent="0.2">
      <c r="A13" s="98">
        <v>7</v>
      </c>
      <c r="B13" s="97">
        <f>C13*B4</f>
        <v>0.55711879403968045</v>
      </c>
      <c r="C13" s="97">
        <f>1/(1-D4*B4/(1-D4*B4/(1-D4*B4/(1-D4*B4/(1-D4*B4/(1-D4*B4))))))</f>
        <v>1.5493257706147043</v>
      </c>
      <c r="D13" s="130">
        <f>C13*D4*C12</f>
        <v>1.5276536745510065</v>
      </c>
      <c r="E13" s="1">
        <f>D13*D4*C11</f>
        <v>1.4890565115375602</v>
      </c>
      <c r="F13" s="1">
        <f>E13*D4*C10</f>
        <v>1.4203164603534015</v>
      </c>
      <c r="G13" s="1">
        <f>F13*D4*C9</f>
        <v>1.2978930937667272</v>
      </c>
      <c r="H13" s="1">
        <f>G13*D4*C8</f>
        <v>1.0798618233758603</v>
      </c>
      <c r="I13" s="1">
        <f>H13*D4</f>
        <v>0.69155658236127548</v>
      </c>
      <c r="J13" s="1">
        <f>I13*D4</f>
        <v>0.44288120596031677</v>
      </c>
      <c r="K13" s="1"/>
      <c r="L13" s="1"/>
      <c r="M13" s="242"/>
      <c r="N13" s="97">
        <f>B13+J13</f>
        <v>0.99999999999999722</v>
      </c>
      <c r="R13" s="278">
        <f>B13-J13</f>
        <v>0.11423758807936368</v>
      </c>
      <c r="S13" s="279">
        <f>IF(Rules!B20=Rules!E20,SUM(C13:I13)*B4*F4,SUM(C13:I13)*B4*F4*POWER(O2,A13-1))</f>
        <v>8.1326805066947845</v>
      </c>
      <c r="T13" s="261">
        <f>IF(Rules!B20=Rules!E20,SUM(C13:I13)*D4*H4,SUM(C13:I13)*D4*H4*POWER(O2,A13-1))</f>
        <v>-23.722575789178091</v>
      </c>
      <c r="U13" s="275">
        <f t="shared" si="0"/>
        <v>-58.439674480607401</v>
      </c>
      <c r="V13" s="93">
        <f>(U13+W13*J13)/B13</f>
        <v>-99.331608681906459</v>
      </c>
      <c r="W13" s="9">
        <f t="shared" si="1"/>
        <v>7</v>
      </c>
    </row>
    <row r="14" spans="1:23" x14ac:dyDescent="0.2">
      <c r="A14" s="98">
        <v>8</v>
      </c>
      <c r="B14" s="97">
        <f>C14*B4</f>
        <v>0.5590482841261265</v>
      </c>
      <c r="C14" s="97">
        <f>1/(1-D4*B4/(1-D4*B4/(1-D4*B4/(1-D4*B4/(1-D4*B4/(1-D4*B4/(1-D4*B4)))))))</f>
        <v>1.5546916077522386</v>
      </c>
      <c r="D14" s="130">
        <f>C14*D4*C13</f>
        <v>1.5425758596344108</v>
      </c>
      <c r="E14" s="1">
        <f>D14*D4*C12</f>
        <v>1.5209981818796063</v>
      </c>
      <c r="F14" s="1">
        <f>E14*D4*C11</f>
        <v>1.4825691742143599</v>
      </c>
      <c r="G14" s="1">
        <f>F14*D4*C10</f>
        <v>1.4141286011871352</v>
      </c>
      <c r="H14" s="1">
        <f>G14*D4*C9</f>
        <v>1.2922385935892811</v>
      </c>
      <c r="I14" s="1">
        <f>H14*D4*C8</f>
        <v>1.075157214882895</v>
      </c>
      <c r="J14" s="1">
        <f>I14*D4</f>
        <v>0.68854369413769523</v>
      </c>
      <c r="K14" s="1">
        <f>J14*D4</f>
        <v>0.44095171587387033</v>
      </c>
      <c r="L14" s="1"/>
      <c r="M14" s="242"/>
      <c r="N14" s="97">
        <f>B14+K14</f>
        <v>0.99999999999999689</v>
      </c>
      <c r="R14" s="278">
        <f>B14-K14</f>
        <v>0.11809656825225617</v>
      </c>
      <c r="S14" s="279">
        <f>IF(Rules!B20=Rules!E20,SUM(C14:J14)*B4*F4,SUM(C14:J14)*B4*F4*POWER(O2,A14-1))</f>
        <v>9.4934813136799843</v>
      </c>
      <c r="T14" s="261">
        <f>IF(Rules!B20=Rules!E20,SUM(C14:J14)*D4*H4,SUM(C14:J14)*D4*H4*POWER(O2,A14-1))</f>
        <v>-27.691955903287699</v>
      </c>
      <c r="U14" s="275">
        <f t="shared" si="0"/>
        <v>-76.638149070215121</v>
      </c>
      <c r="V14" s="93">
        <f>(U14+W14*K14)/B14</f>
        <v>-130.77678157532765</v>
      </c>
      <c r="W14" s="9">
        <f t="shared" si="1"/>
        <v>8</v>
      </c>
    </row>
    <row r="15" spans="1:23" x14ac:dyDescent="0.2">
      <c r="A15" s="98">
        <v>9</v>
      </c>
      <c r="B15" s="97">
        <f>C15*B4</f>
        <v>0.56012432997107575</v>
      </c>
      <c r="C15" s="97">
        <f>1/(1-D4*B4/(1-D4*B4/(1-D4*B4/(1-D4*B4/(1-D4*B4/(1-D4*B4/(1-D4*B4/(1-D4*B4))))))))</f>
        <v>1.5576840495362507</v>
      </c>
      <c r="D15" s="130">
        <f>C15*D4*C14</f>
        <v>1.5508977242396533</v>
      </c>
      <c r="E15" s="1">
        <f>D15*D4*C13</f>
        <v>1.5388115419449109</v>
      </c>
      <c r="F15" s="1">
        <f>E15*D4*C12</f>
        <v>1.5172865197749605</v>
      </c>
      <c r="G15" s="1">
        <f>F15*D4*C11</f>
        <v>1.4789512896652492</v>
      </c>
      <c r="H15" s="1">
        <f>G15*D4*C10</f>
        <v>1.4106777308293312</v>
      </c>
      <c r="I15" s="1">
        <f>H15*D4*C9</f>
        <v>1.2890851690322187</v>
      </c>
      <c r="J15" s="1">
        <f>I15*D4*C8</f>
        <v>1.0725335297670546</v>
      </c>
      <c r="K15" s="1">
        <f>J15*D4</f>
        <v>0.68686345443236851</v>
      </c>
      <c r="L15" s="1">
        <f>K15*D4</f>
        <v>0.43987567002892058</v>
      </c>
      <c r="M15" s="242"/>
      <c r="N15" s="97">
        <f>B15+L15</f>
        <v>0.99999999999999634</v>
      </c>
      <c r="R15" s="278">
        <f>B15-L15</f>
        <v>0.12024865994215517</v>
      </c>
      <c r="S15" s="279">
        <f>IF(Rules!B20=Rules!E20,SUM(C15:K15)*B4*F4,SUM(C15:K15)*B4*F4*POWER(O2,A15-1))</f>
        <v>10.869234263133405</v>
      </c>
      <c r="T15" s="261">
        <f>IF(Rules!B20=Rules!E20,SUM(C15:K15)*D4*H4,SUM(C15:K15)*D4*H4*POWER(O2,A15-1))</f>
        <v>-31.704950583667429</v>
      </c>
      <c r="U15" s="275">
        <f t="shared" si="0"/>
        <v>-97.473865390749154</v>
      </c>
      <c r="V15" s="93">
        <f>(U15+W15*L15)/B15</f>
        <v>-166.95397674533774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0.56072622471034106</v>
      </c>
      <c r="C16" s="131">
        <f>1/(1-D4*B4/(1-D4*B4/(1-D4*B4/(1-D4*B4/(1-D4*B4/(1-D4*B4/(1-D4*B4/(1-D4*B4/(1-D4*B4)))))))))</f>
        <v>1.5593578954748868</v>
      </c>
      <c r="D16" s="139">
        <f>C16*D4*C15</f>
        <v>1.5555526249116687</v>
      </c>
      <c r="E16" s="110">
        <f>D16*D4*C14</f>
        <v>1.5487755855423762</v>
      </c>
      <c r="F16" s="110">
        <f>E16*D4*C13</f>
        <v>1.5367059411242125</v>
      </c>
      <c r="G16" s="110">
        <f>F16*D4*C12</f>
        <v>1.5152103722713912</v>
      </c>
      <c r="H16" s="110">
        <f>G16*D4*C11</f>
        <v>1.4769275973777869</v>
      </c>
      <c r="I16" s="110">
        <f>H16*D4*C10</f>
        <v>1.4087474592484326</v>
      </c>
      <c r="J16" s="110">
        <f>I16*D4*C9</f>
        <v>1.2873212761084409</v>
      </c>
      <c r="K16" s="110">
        <f>J16*D4*C8</f>
        <v>1.0710659507822691</v>
      </c>
      <c r="L16" s="110">
        <f>K16*D4</f>
        <v>0.68592359908690337</v>
      </c>
      <c r="M16" s="244">
        <f>L16*D4</f>
        <v>0.43927377528965483</v>
      </c>
      <c r="N16" s="131">
        <f>B16+M16</f>
        <v>0.99999999999999589</v>
      </c>
      <c r="R16" s="280">
        <f>B16-M16</f>
        <v>0.12145244942068623</v>
      </c>
      <c r="S16" s="281">
        <f>IF(Rules!B20=Rules!E20,SUM(C16:L16)*B4*F4,SUM(C16:L16)*B4*F4*POWER(O2,A16-1))</f>
        <v>12.254784520274592</v>
      </c>
      <c r="T16" s="262">
        <f>IF(Rules!B20=Rules!E20,SUM(C16:L16)*D4*H4,SUM(C16:L16)*D4*H4*POWER(O2,A16-1))</f>
        <v>-35.746523464550862</v>
      </c>
      <c r="U16" s="275">
        <f t="shared" si="0"/>
        <v>-120.96560433502543</v>
      </c>
      <c r="V16" s="94">
        <f>(U16+W16*M16)/B16</f>
        <v>-207.89622715140152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-35.609465685472848</v>
      </c>
      <c r="F21" s="8">
        <f t="shared" ref="F21:F30" si="4">U7/E21</f>
        <v>4.8345654570826901E-2</v>
      </c>
      <c r="G21" s="265">
        <f>E21*U7</f>
        <v>61.303935991537649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-195.85206127010065</v>
      </c>
      <c r="T21" s="8">
        <f>U7/S21</f>
        <v>8.7901190128776181E-3</v>
      </c>
      <c r="U21" s="265">
        <f>S21*U7</f>
        <v>337.17164795345701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-1675.2889162501008</v>
      </c>
      <c r="F22" s="9">
        <f t="shared" si="4"/>
        <v>3.2176808717448383E-3</v>
      </c>
      <c r="G22" s="266">
        <f t="shared" ref="G22:G30" si="5">E22*U8</f>
        <v>9030.7204593537754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-9899.4345051142318</v>
      </c>
      <c r="T22" s="9">
        <f>U8/S22</f>
        <v>5.4453060906451117E-4</v>
      </c>
      <c r="U22" s="266">
        <f t="shared" ref="U22:U30" si="8">S22*U8</f>
        <v>53363.348168908677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42376.656268188075</v>
      </c>
      <c r="F23" s="9">
        <f t="shared" si="4"/>
        <v>-2.6429135084001155E-4</v>
      </c>
      <c r="G23" s="266">
        <f t="shared" si="5"/>
        <v>-474609.38537045009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253687.28009199077</v>
      </c>
      <c r="T23" s="9">
        <f t="shared" ref="T23:T30" si="11">U9/S23</f>
        <v>-4.4147990885238949E-5</v>
      </c>
      <c r="U23" s="266">
        <f t="shared" si="8"/>
        <v>-2841242.6718798568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156153.43804523721</v>
      </c>
      <c r="F24" s="9">
        <f t="shared" si="4"/>
        <v>-1.2362815530804933E-4</v>
      </c>
      <c r="G24" s="266">
        <f t="shared" si="5"/>
        <v>-3014536.1080791103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936639.52397251199</v>
      </c>
      <c r="T24" s="9">
        <f t="shared" si="11"/>
        <v>-2.0610876432659487E-5</v>
      </c>
      <c r="U24" s="266">
        <f t="shared" si="8"/>
        <v>-18081789.940809354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1174325.4536794864</v>
      </c>
      <c r="F25" s="9">
        <f t="shared" si="4"/>
        <v>-2.5398111123985207E-5</v>
      </c>
      <c r="G25" s="266">
        <f t="shared" si="5"/>
        <v>-35025018.051360473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7045688.4962075818</v>
      </c>
      <c r="T25" s="9">
        <f t="shared" si="11"/>
        <v>-4.2331772663991489E-6</v>
      </c>
      <c r="U25" s="266">
        <f t="shared" si="8"/>
        <v>-210142227.6002942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10357044.507831814</v>
      </c>
      <c r="F26" s="9">
        <f t="shared" si="4"/>
        <v>-4.1372593470774266E-6</v>
      </c>
      <c r="G26" s="266">
        <f t="shared" si="5"/>
        <v>-443797070.30573708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62141987.406509534</v>
      </c>
      <c r="T26" s="9">
        <f t="shared" si="11"/>
        <v>-6.8954632747448101E-7</v>
      </c>
      <c r="U26" s="266">
        <f t="shared" si="8"/>
        <v>-2662770439.3015418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97263170.439845398</v>
      </c>
      <c r="F27" s="9">
        <f t="shared" si="4"/>
        <v>-6.0084073155676882E-7</v>
      </c>
      <c r="G27" s="266">
        <f t="shared" si="5"/>
        <v>-5684028019.4564009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583578716.26005483</v>
      </c>
      <c r="T27" s="9">
        <f t="shared" si="11"/>
        <v>-1.0014017449972501E-7</v>
      </c>
      <c r="U27" s="266">
        <f t="shared" si="8"/>
        <v>-34104150212.048355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940849608.45487797</v>
      </c>
      <c r="F28" s="9">
        <f t="shared" si="4"/>
        <v>-8.1456322436138418E-8</v>
      </c>
      <c r="G28" s="266">
        <f t="shared" si="5"/>
        <v>-72104972545.418472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5645097312.023406</v>
      </c>
      <c r="T28" s="9">
        <f t="shared" si="11"/>
        <v>-1.3576054553919683E-8</v>
      </c>
      <c r="U28" s="266">
        <f t="shared" si="8"/>
        <v>-432629809314.72046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9240112201.9529591</v>
      </c>
      <c r="F29" s="9">
        <f t="shared" si="4"/>
        <v>-1.0548991533906634E-8</v>
      </c>
      <c r="G29" s="266">
        <f t="shared" si="5"/>
        <v>-900669452968.58154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55440672837.49321</v>
      </c>
      <c r="T29" s="9">
        <f t="shared" si="11"/>
        <v>-1.7581652675187214E-9</v>
      </c>
      <c r="U29" s="266">
        <f t="shared" si="8"/>
        <v>-5404016681334.376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91485278090.303497</v>
      </c>
      <c r="F30" s="10">
        <f t="shared" si="4"/>
        <v>-1.322241204925042E-9</v>
      </c>
      <c r="G30" s="267">
        <f t="shared" si="5"/>
        <v>-11066571951951.424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548911668130.13727</v>
      </c>
      <c r="T30" s="10">
        <f t="shared" si="11"/>
        <v>-2.2037353431945379E-10</v>
      </c>
      <c r="U30" s="267">
        <f t="shared" si="8"/>
        <v>-66399431661908.977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-35.609465685472848</v>
      </c>
      <c r="F33" s="8">
        <f t="shared" ref="F33:F42" si="14">U7/E33</f>
        <v>4.8345654570826901E-2</v>
      </c>
      <c r="G33" s="268">
        <f>E33*U7</f>
        <v>61.303935991537649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-195.85206127010065</v>
      </c>
      <c r="T33" s="8">
        <f>U7/S33</f>
        <v>8.7901190128776181E-3</v>
      </c>
      <c r="U33" s="268">
        <f>S33*U7</f>
        <v>337.17164795345701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-1827.5879086364737</v>
      </c>
      <c r="F34" s="9">
        <f t="shared" si="14"/>
        <v>2.9495407990994351E-3</v>
      </c>
      <c r="G34" s="266">
        <f t="shared" ref="G34:G42" si="16">E34*U8</f>
        <v>9851.6950465677564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-10051.733497500605</v>
      </c>
      <c r="T34" s="9">
        <f t="shared" ref="T34:T42" si="18">U8/S34</f>
        <v>5.3628014529080639E-4</v>
      </c>
      <c r="U34" s="266">
        <f t="shared" ref="U34:U42" si="19">S34*U8</f>
        <v>54184.322756122659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50775.633186207335</v>
      </c>
      <c r="F35" s="9">
        <f t="shared" si="14"/>
        <v>-2.205739845356487E-4</v>
      </c>
      <c r="G35" s="266">
        <f t="shared" si="16"/>
        <v>-568676.11039882759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258268.54022909221</v>
      </c>
      <c r="T35" s="9">
        <f t="shared" si="18"/>
        <v>-4.3364877964879936E-5</v>
      </c>
      <c r="U35" s="266">
        <f t="shared" si="19"/>
        <v>-2892551.7946226085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205768.34680308489</v>
      </c>
      <c r="F36" s="9">
        <f t="shared" si="14"/>
        <v>-9.3818907477624853E-5</v>
      </c>
      <c r="G36" s="266">
        <f t="shared" si="16"/>
        <v>-3972350.0110061369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953927.43835555809</v>
      </c>
      <c r="T36" s="9">
        <f t="shared" si="18"/>
        <v>-2.0237347951560749E-5</v>
      </c>
      <c r="U36" s="266">
        <f t="shared" si="19"/>
        <v>-18415532.462225851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1702143.0502662342</v>
      </c>
      <c r="F37" s="9">
        <f t="shared" si="14"/>
        <v>-1.7522409978180666E-5</v>
      </c>
      <c r="G37" s="266">
        <f t="shared" si="16"/>
        <v>-50767520.089745335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7176110.3853121158</v>
      </c>
      <c r="T37" s="9">
        <f t="shared" si="18"/>
        <v>-4.1562415803026573E-6</v>
      </c>
      <c r="U37" s="266">
        <f t="shared" si="19"/>
        <v>-214032145.00425231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16513329.704794781</v>
      </c>
      <c r="F38" s="9">
        <f t="shared" si="14"/>
        <v>-2.5948600290880348E-6</v>
      </c>
      <c r="G38" s="266">
        <f t="shared" si="16"/>
        <v>-707592531.67628014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63292707.987272769</v>
      </c>
      <c r="T38" s="9">
        <f t="shared" si="18"/>
        <v>-6.7700973083250842E-7</v>
      </c>
      <c r="U38" s="266">
        <f t="shared" si="19"/>
        <v>-2712078562.1059837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170584571.39747891</v>
      </c>
      <c r="F39" s="9">
        <f t="shared" si="14"/>
        <v>-3.4258476016824043E-7</v>
      </c>
      <c r="G39" s="266">
        <f t="shared" si="16"/>
        <v>-9968906823.8825989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594385667.11358929</v>
      </c>
      <c r="T39" s="9">
        <f t="shared" si="18"/>
        <v>-9.8319454377824632E-8</v>
      </c>
      <c r="U39" s="266">
        <f t="shared" si="19"/>
        <v>-34735704902.056831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1815115233.002588</v>
      </c>
      <c r="F40" s="9">
        <f t="shared" si="14"/>
        <v>-4.2222194864972438E-8</v>
      </c>
      <c r="G40" s="266">
        <f t="shared" si="16"/>
        <v>-139107071806.47058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5749636082.1393118</v>
      </c>
      <c r="T40" s="9">
        <f t="shared" si="18"/>
        <v>-1.3329217358344491E-8</v>
      </c>
      <c r="U40" s="266">
        <f t="shared" si="19"/>
        <v>-440641467162.48022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19608931119.351147</v>
      </c>
      <c r="F41" s="9">
        <f t="shared" si="14"/>
        <v>-4.9708913146498182E-9</v>
      </c>
      <c r="G41" s="266">
        <f t="shared" si="16"/>
        <v>-1911358312384.1057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56467351887.88253</v>
      </c>
      <c r="T41" s="9">
        <f t="shared" si="18"/>
        <v>-1.7261986286214762E-9</v>
      </c>
      <c r="U41" s="266">
        <f t="shared" si="19"/>
        <v>-5504091056891.5273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213560325244.31116</v>
      </c>
      <c r="F42" s="10">
        <f t="shared" si="14"/>
        <v>-5.6642358170527152E-10</v>
      </c>
      <c r="G42" s="267">
        <f t="shared" si="16"/>
        <v>-25833453805162.688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559076698937.57458</v>
      </c>
      <c r="T42" s="10">
        <f t="shared" si="18"/>
        <v>-2.1636674281882784E-10</v>
      </c>
      <c r="U42" s="267">
        <f t="shared" si="19"/>
        <v>-67629050756614.781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-35.609465685472848</v>
      </c>
      <c r="F45" s="8">
        <f t="shared" ref="F45:F54" si="24">U7/E45</f>
        <v>4.8345654570826901E-2</v>
      </c>
      <c r="G45" s="265">
        <f>E45*U7</f>
        <v>61.303935991537649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-195.85206127010065</v>
      </c>
      <c r="T45" s="8">
        <f>U7/S45</f>
        <v>8.7901190128776181E-3</v>
      </c>
      <c r="U45" s="268">
        <f>S45*U7</f>
        <v>337.17164795345701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-3198.2788401138287</v>
      </c>
      <c r="F46" s="9">
        <f t="shared" si="24"/>
        <v>1.6854518851996774E-3</v>
      </c>
      <c r="G46" s="266">
        <f t="shared" ref="G46:G54" si="26">E46*U8</f>
        <v>17240.466331493571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-18275.879086364737</v>
      </c>
      <c r="T46" s="9">
        <f t="shared" ref="T46:T54" si="29">U8/S46</f>
        <v>2.9495407990994351E-4</v>
      </c>
      <c r="U46" s="266">
        <f t="shared" ref="U46:U54" si="30">S46*U8</f>
        <v>98516.950465677568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160725.87647664125</v>
      </c>
      <c r="F47" s="9">
        <f t="shared" si="24"/>
        <v>-6.968251767990803E-5</v>
      </c>
      <c r="G47" s="266">
        <f t="shared" si="26"/>
        <v>-1800095.0562248603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921787.71675261355</v>
      </c>
      <c r="T47" s="9">
        <f t="shared" si="29"/>
        <v>-1.2150068313622399E-5</v>
      </c>
      <c r="U47" s="266">
        <f t="shared" si="30"/>
        <v>-10323823.07186443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1183589.650566105</v>
      </c>
      <c r="F48" s="9">
        <f t="shared" si="24"/>
        <v>-1.6310519005728868E-5</v>
      </c>
      <c r="G48" s="266">
        <f t="shared" si="26"/>
        <v>-22849152.624783248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6789933.7880534343</v>
      </c>
      <c r="T48" s="9">
        <f t="shared" si="29"/>
        <v>-2.8431737470707898E-6</v>
      </c>
      <c r="U48" s="266">
        <f t="shared" si="30"/>
        <v>-131079410.30170454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17800474.055814307</v>
      </c>
      <c r="F49" s="9">
        <f t="shared" si="24"/>
        <v>-1.6755535990084352E-6</v>
      </c>
      <c r="G49" s="266">
        <f t="shared" si="26"/>
        <v>-530910679.97733617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102118383.89741765</v>
      </c>
      <c r="T49" s="9">
        <f t="shared" si="29"/>
        <v>-2.9206933394321143E-7</v>
      </c>
      <c r="U49" s="266">
        <f t="shared" si="30"/>
        <v>-3045747010.0609908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313982289.94532806</v>
      </c>
      <c r="F50" s="9">
        <f t="shared" si="24"/>
        <v>-1.364719621784569E-7</v>
      </c>
      <c r="G50" s="266">
        <f t="shared" si="26"/>
        <v>-13454071796.278687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1801266688.8040226</v>
      </c>
      <c r="T50" s="9">
        <f t="shared" si="29"/>
        <v>-2.3788692404329553E-8</v>
      </c>
      <c r="U50" s="266">
        <f t="shared" si="30"/>
        <v>-77183879892.188477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5897220182.3096514</v>
      </c>
      <c r="F51" s="9">
        <f t="shared" si="24"/>
        <v>-9.9096985823784264E-9</v>
      </c>
      <c r="G51" s="266">
        <f t="shared" si="26"/>
        <v>-344631627794.64429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33831420900.754784</v>
      </c>
      <c r="T51" s="9">
        <f t="shared" si="29"/>
        <v>-1.7273786593841704E-9</v>
      </c>
      <c r="U51" s="266">
        <f t="shared" si="30"/>
        <v>-1977097224656.5271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114090395761.71251</v>
      </c>
      <c r="F52" s="9">
        <f t="shared" si="24"/>
        <v>-6.7173181895415994E-10</v>
      </c>
      <c r="G52" s="266">
        <f t="shared" si="26"/>
        <v>-8743676757865.9629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654518586051.48999</v>
      </c>
      <c r="T52" s="9">
        <f t="shared" si="29"/>
        <v>-1.1709086755282165E-10</v>
      </c>
      <c r="U52" s="266">
        <f t="shared" si="30"/>
        <v>-50161092967040.516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2240970372057.606</v>
      </c>
      <c r="F53" s="9">
        <f t="shared" si="24"/>
        <v>-4.3496275812540511E-11</v>
      </c>
      <c r="G53" s="266">
        <f t="shared" si="26"/>
        <v>-218436044390600.12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12856093186890.055</v>
      </c>
      <c r="T53" s="9">
        <f t="shared" si="29"/>
        <v>-7.5819196371528877E-12</v>
      </c>
      <c r="U53" s="266">
        <f t="shared" si="30"/>
        <v>-1253133096749848.5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44375174892866.719</v>
      </c>
      <c r="F54" s="10">
        <f t="shared" si="24"/>
        <v>-2.7259747060618475E-12</v>
      </c>
      <c r="G54" s="267">
        <f t="shared" si="26"/>
        <v>-5367869848388070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254573371753619.31</v>
      </c>
      <c r="T54" s="10">
        <f t="shared" si="29"/>
        <v>-4.7516990289187868E-13</v>
      </c>
      <c r="U54" s="267">
        <f t="shared" si="30"/>
        <v>-3.0794621761781652E+16</v>
      </c>
    </row>
  </sheetData>
  <mergeCells count="2">
    <mergeCell ref="A18:F18"/>
    <mergeCell ref="O18:T18"/>
  </mergeCells>
  <conditionalFormatting sqref="F45:F54">
    <cfRule type="cellIs" dxfId="341" priority="65" operator="equal">
      <formula>MAX($F$45:$F$54)</formula>
    </cfRule>
  </conditionalFormatting>
  <conditionalFormatting sqref="F21:F30">
    <cfRule type="cellIs" dxfId="340" priority="63" operator="equal">
      <formula>MAX($F$21:$F$30)</formula>
    </cfRule>
  </conditionalFormatting>
  <conditionalFormatting sqref="E33:E42">
    <cfRule type="cellIs" dxfId="339" priority="61" stopIfTrue="1" operator="lessThan">
      <formula>0</formula>
    </cfRule>
    <cfRule type="cellIs" dxfId="338" priority="62" operator="equal">
      <formula>MIN($E$33:$E$42)</formula>
    </cfRule>
  </conditionalFormatting>
  <conditionalFormatting sqref="E21:E30">
    <cfRule type="cellIs" dxfId="337" priority="57" stopIfTrue="1" operator="lessThan">
      <formula>0</formula>
    </cfRule>
    <cfRule type="cellIs" dxfId="336" priority="58" operator="equal">
      <formula>MIN($E$21:$E$30)</formula>
    </cfRule>
  </conditionalFormatting>
  <conditionalFormatting sqref="E45:E54">
    <cfRule type="cellIs" dxfId="335" priority="53" stopIfTrue="1" operator="lessThan">
      <formula>0</formula>
    </cfRule>
    <cfRule type="cellIs" dxfId="334" priority="54" operator="equal">
      <formula>MIN($E$45:$E$54)</formula>
    </cfRule>
  </conditionalFormatting>
  <conditionalFormatting sqref="F33:F42">
    <cfRule type="cellIs" dxfId="333" priority="43" operator="lessThanOrEqual">
      <formula>0</formula>
    </cfRule>
    <cfRule type="cellIs" dxfId="332" priority="44" operator="equal">
      <formula>MAX($F$33:$F$42)</formula>
    </cfRule>
  </conditionalFormatting>
  <conditionalFormatting sqref="R7:R16">
    <cfRule type="cellIs" dxfId="331" priority="29" operator="lessThanOrEqual">
      <formula>0</formula>
    </cfRule>
    <cfRule type="cellIs" dxfId="330" priority="30" operator="greaterThan">
      <formula>0</formula>
    </cfRule>
  </conditionalFormatting>
  <conditionalFormatting sqref="T21:T30">
    <cfRule type="cellIs" dxfId="329" priority="21" operator="equal">
      <formula>MAX($T$21:$T$30)</formula>
    </cfRule>
  </conditionalFormatting>
  <conditionalFormatting sqref="S33:S42">
    <cfRule type="cellIs" dxfId="328" priority="19" stopIfTrue="1" operator="lessThan">
      <formula>0</formula>
    </cfRule>
    <cfRule type="cellIs" dxfId="327" priority="20" operator="equal">
      <formula>MIN($E$21:$E$30)</formula>
    </cfRule>
  </conditionalFormatting>
  <conditionalFormatting sqref="T33:T42">
    <cfRule type="cellIs" dxfId="326" priority="18" operator="equal">
      <formula>MAX($T$21:$T$30)</formula>
    </cfRule>
  </conditionalFormatting>
  <conditionalFormatting sqref="S45:S54">
    <cfRule type="cellIs" dxfId="325" priority="16" stopIfTrue="1" operator="lessThan">
      <formula>0</formula>
    </cfRule>
    <cfRule type="cellIs" dxfId="324" priority="17" operator="equal">
      <formula>MIN($E$21:$E$30)</formula>
    </cfRule>
  </conditionalFormatting>
  <conditionalFormatting sqref="T45:T54">
    <cfRule type="cellIs" dxfId="323" priority="15" operator="equal">
      <formula>MAX($T$21:$T$30)</formula>
    </cfRule>
  </conditionalFormatting>
  <conditionalFormatting sqref="S21:S30">
    <cfRule type="cellIs" dxfId="322" priority="13" stopIfTrue="1" operator="lessThan">
      <formula>0</formula>
    </cfRule>
    <cfRule type="cellIs" dxfId="321" priority="14" operator="equal">
      <formula>MIN($E$21:$E$30)</formula>
    </cfRule>
  </conditionalFormatting>
  <conditionalFormatting sqref="U7:U16">
    <cfRule type="cellIs" dxfId="320" priority="9" operator="lessThanOrEqual">
      <formula>0</formula>
    </cfRule>
    <cfRule type="cellIs" dxfId="319" priority="10" operator="greaterThan">
      <formula>0</formula>
    </cfRule>
  </conditionalFormatting>
  <conditionalFormatting sqref="S7:T16">
    <cfRule type="cellIs" dxfId="318" priority="1" operator="lessThanOrEqual">
      <formula>0</formula>
    </cfRule>
    <cfRule type="cellIs" dxfId="317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2FE-DE9E-DE45-9F04-E65736F466C5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35" t="s">
        <v>125</v>
      </c>
      <c r="C2" s="141">
        <f>Analysis!B57</f>
        <v>0.20868360504437705</v>
      </c>
      <c r="D2" s="135" t="s">
        <v>126</v>
      </c>
      <c r="E2" s="141">
        <f>Analysis!J57</f>
        <v>0.79131639495562334</v>
      </c>
      <c r="F2" s="135" t="s">
        <v>47</v>
      </c>
      <c r="G2" s="141">
        <f>Analysis!S57</f>
        <v>1.0929857720198284</v>
      </c>
      <c r="H2" t="s">
        <v>155</v>
      </c>
      <c r="I2" s="155">
        <f>Analysis!T57</f>
        <v>-1.7901448480383939</v>
      </c>
      <c r="J2" t="s">
        <v>48</v>
      </c>
      <c r="K2" s="155">
        <f>C2*G2+E2*I2</f>
        <v>-1.1884827564308145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0.20868360504437705</v>
      </c>
      <c r="C4" t="s">
        <v>124</v>
      </c>
      <c r="D4">
        <f>$E$2</f>
        <v>0.79131639495562334</v>
      </c>
      <c r="E4" t="s">
        <v>47</v>
      </c>
      <c r="F4">
        <f>G2</f>
        <v>1.0929857720198284</v>
      </c>
      <c r="G4" t="s">
        <v>155</v>
      </c>
      <c r="H4">
        <f>I2</f>
        <v>-1.7901448480383939</v>
      </c>
      <c r="I4" t="s">
        <v>48</v>
      </c>
      <c r="J4">
        <f>K2</f>
        <v>-1.1884827564308145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0.20868360504437705</v>
      </c>
      <c r="C7" s="95">
        <v>1</v>
      </c>
      <c r="D7" s="22">
        <f>C7*D4</f>
        <v>0.79131639495562334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1.0000000000000004</v>
      </c>
      <c r="R7" s="276">
        <f>B7-D7</f>
        <v>-0.58263278991124623</v>
      </c>
      <c r="S7" s="277">
        <f>IF(Rules!B20=Rules!E20,SUM(C7)*B4*F4,SUM(C7)*B4*F4*POWER(O2,A7-1))</f>
        <v>0.2280882111673094</v>
      </c>
      <c r="T7" s="260">
        <f>IF(Rules!B20=Rules!E20,SUM(C7)*D4*H4,SUM(C7)*D4*H4*POWER(O2,A7-1))</f>
        <v>-1.416570967598124</v>
      </c>
      <c r="U7" s="274">
        <f>S7+T7</f>
        <v>-1.1884827564308145</v>
      </c>
      <c r="V7" s="108">
        <f>(U7+W7*D7)/B7</f>
        <v>-1.9031986791235123</v>
      </c>
      <c r="W7" s="57">
        <f>COUNT(D7:M7)</f>
        <v>1</v>
      </c>
    </row>
    <row r="8" spans="1:23" x14ac:dyDescent="0.2">
      <c r="A8" s="98">
        <v>2</v>
      </c>
      <c r="B8" s="97">
        <f>C8*B4</f>
        <v>0.24996082547641957</v>
      </c>
      <c r="C8" s="97">
        <f>1/(1-B4*D4)</f>
        <v>1.1977980992961321</v>
      </c>
      <c r="D8" s="130">
        <f>C8*D4</f>
        <v>0.94783727381971306</v>
      </c>
      <c r="E8" s="1">
        <f>D8*D4</f>
        <v>0.75003917452358138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1.0000000000000009</v>
      </c>
      <c r="R8" s="278">
        <f>B8-E8</f>
        <v>-0.50007834904716186</v>
      </c>
      <c r="S8" s="279">
        <f>IF(Rules!B20=Rules!E20,SUM(C8:D8)*B4*F4,SUM(C8:D8)*B4*F4*POWER(O2,A8-1))</f>
        <v>0.48939413407129562</v>
      </c>
      <c r="T8" s="261">
        <f>IF(Rules!B20=Rules!E20,SUM(C8:D8)*D4*H4,SUM(C8:D8)*D4*H4*POWER(O2,A8-1))</f>
        <v>-3.0394447766074748</v>
      </c>
      <c r="U8" s="275">
        <f>S8+T8+U7</f>
        <v>-3.7385333989669935</v>
      </c>
      <c r="V8" s="93">
        <f>(U8+W8*E8)/B8</f>
        <v>-8.9552234661306915</v>
      </c>
      <c r="W8" s="9">
        <f>COUNT(D8:M8)</f>
        <v>2</v>
      </c>
    </row>
    <row r="9" spans="1:23" x14ac:dyDescent="0.2">
      <c r="A9" s="98">
        <v>3</v>
      </c>
      <c r="B9" s="97">
        <f>C9*B4</f>
        <v>0.26013850735241828</v>
      </c>
      <c r="C9" s="97">
        <f>1/(1-D4*B4/(1-D4*B4))</f>
        <v>1.2465689736244456</v>
      </c>
      <c r="D9" s="130">
        <f>C9*D4*C8</f>
        <v>1.1815445375884324</v>
      </c>
      <c r="E9" s="1">
        <f>D9*(D4)</f>
        <v>0.93497556396398729</v>
      </c>
      <c r="F9" s="1">
        <f>E9*D4</f>
        <v>0.73986149264758327</v>
      </c>
      <c r="G9" s="1"/>
      <c r="H9" s="1"/>
      <c r="I9" s="1"/>
      <c r="J9" s="1"/>
      <c r="K9" s="1"/>
      <c r="L9" s="1"/>
      <c r="M9" s="242"/>
      <c r="N9" s="97">
        <f>B9+F9</f>
        <v>1.0000000000000016</v>
      </c>
      <c r="R9" s="278">
        <f>B9-F9</f>
        <v>-0.47972298529516499</v>
      </c>
      <c r="S9" s="279">
        <f>IF(Rules!B20=Rules!E20,SUM(C9:E9)*B4*F4,SUM(C9:E9)*B4*F4*POWER(O2,A9-1))</f>
        <v>0.76708097115341212</v>
      </c>
      <c r="T9" s="261">
        <f>IF(Rules!B20=Rules!E20,SUM(C9:E9)*D4*H4,SUM(C9:E9)*D4*H4*POWER(O2,A9-1))</f>
        <v>-4.7640543453419717</v>
      </c>
      <c r="U9" s="275">
        <f t="shared" ref="U9:U16" si="0">S9+T9+U8</f>
        <v>-7.7355067731555529</v>
      </c>
      <c r="V9" s="93">
        <f>(U9+W9*F9)/B9</f>
        <v>-21.203790055350016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0.26277667360102747</v>
      </c>
      <c r="C10" s="97">
        <f>1/(1-D4*B4/(1-D4*B4/(1-D4*B4)))</f>
        <v>1.259210916665674</v>
      </c>
      <c r="D10" s="130">
        <f>C10*D4*C9</f>
        <v>1.2421240116613483</v>
      </c>
      <c r="E10" s="1">
        <f>D10*D4*C8</f>
        <v>1.1773314369590979</v>
      </c>
      <c r="F10" s="1">
        <f>E10*D4</f>
        <v>0.93164166836239704</v>
      </c>
      <c r="G10" s="1">
        <f>F10*D4</f>
        <v>0.73722332639897448</v>
      </c>
      <c r="H10" s="1"/>
      <c r="I10" s="1"/>
      <c r="J10" s="1"/>
      <c r="K10" s="1"/>
      <c r="L10" s="1"/>
      <c r="M10" s="242"/>
      <c r="N10" s="97">
        <f>B10+G10</f>
        <v>1.000000000000002</v>
      </c>
      <c r="R10" s="278">
        <f>B10-G10</f>
        <v>-0.47444665279794701</v>
      </c>
      <c r="S10" s="279">
        <f>IF(Rules!B20=Rules!E20,SUM(C10:F10)*B4*F4,SUM(C10:F10)*B4*F4*POWER(O2,A10-1))</f>
        <v>1.051556912325166</v>
      </c>
      <c r="T10" s="261">
        <f>IF(Rules!B20=Rules!E20,SUM(C10:F10)*D4*H4,SUM(C10:F10)*D4*H4*POWER(O2,A10-1))</f>
        <v>-6.5308285121508858</v>
      </c>
      <c r="U10" s="275">
        <f t="shared" si="0"/>
        <v>-13.214778372981272</v>
      </c>
      <c r="V10" s="93">
        <f>(U10+W10*G10)/B10</f>
        <v>-39.06695722532821</v>
      </c>
      <c r="W10" s="9">
        <f t="shared" si="1"/>
        <v>4</v>
      </c>
    </row>
    <row r="11" spans="1:23" x14ac:dyDescent="0.2">
      <c r="A11" s="98">
        <v>5</v>
      </c>
      <c r="B11" s="97">
        <f>C11*B4</f>
        <v>0.26346927086784355</v>
      </c>
      <c r="C11" s="97">
        <f>1/(1-D4*B4/(1-D4*B4/(1-D4*B4/(1-D4*B4))))</f>
        <v>1.2625298034879942</v>
      </c>
      <c r="D11" s="130">
        <f>C11*D4*C10</f>
        <v>1.2580279290851168</v>
      </c>
      <c r="E11" s="1">
        <f>D11*D4*C9</f>
        <v>1.2409570766706655</v>
      </c>
      <c r="F11" s="1">
        <f>E11*D4*C8</f>
        <v>1.1762253724788041</v>
      </c>
      <c r="G11" s="1">
        <f>F11*D4</f>
        <v>0.93076642140526256</v>
      </c>
      <c r="H11" s="1">
        <f>G11*D4</f>
        <v>0.73653072913215889</v>
      </c>
      <c r="I11" s="1"/>
      <c r="J11" s="1"/>
      <c r="K11" s="1"/>
      <c r="L11" s="1"/>
      <c r="M11" s="242"/>
      <c r="N11" s="97">
        <f>B11+H11</f>
        <v>1.0000000000000024</v>
      </c>
      <c r="R11" s="278">
        <f>B11-H11</f>
        <v>-0.47306145826431534</v>
      </c>
      <c r="S11" s="279">
        <f>IF(Rules!B20=Rules!E20,SUM(C11:G11)*B4*F4,SUM(C11:G11)*B4*F4*POWER(O2,A11-1))</f>
        <v>1.338537173330973</v>
      </c>
      <c r="T11" s="261">
        <f>IF(Rules!B20=Rules!E20,SUM(C11:G11)*D4*H4,SUM(C11:G11)*D4*H4*POWER(O2,A11-1))</f>
        <v>-8.313156077148788</v>
      </c>
      <c r="U11" s="275">
        <f t="shared" si="0"/>
        <v>-20.189397276799085</v>
      </c>
      <c r="V11" s="93">
        <f>(U11+W11*H11)/B11</f>
        <v>-62.651494714228328</v>
      </c>
      <c r="W11" s="9">
        <f t="shared" si="1"/>
        <v>5</v>
      </c>
    </row>
    <row r="12" spans="1:23" x14ac:dyDescent="0.2">
      <c r="A12" s="98">
        <v>6</v>
      </c>
      <c r="B12" s="97">
        <f>C12*B4</f>
        <v>0.2636517037663399</v>
      </c>
      <c r="C12" s="97">
        <f>1/(1-D4*B4/(1-D4*B4/(1-D4*B4/(1-D4*B4/(1-D4*B4)))))</f>
        <v>1.2634040115910099</v>
      </c>
      <c r="D12" s="130">
        <f>C12*D4*C11</f>
        <v>1.26221708473455</v>
      </c>
      <c r="E12" s="1">
        <f>D12*D4*C10</f>
        <v>1.2577163254107366</v>
      </c>
      <c r="F12" s="1">
        <f>E12*D4*C9</f>
        <v>1.2406497013128543</v>
      </c>
      <c r="G12" s="1">
        <f>F12*D4*C8</f>
        <v>1.1759340306576171</v>
      </c>
      <c r="H12" s="1">
        <f>G12*D4</f>
        <v>0.93053587784562108</v>
      </c>
      <c r="I12" s="1">
        <f>H12*D4</f>
        <v>0.73634829623366316</v>
      </c>
      <c r="J12" s="1"/>
      <c r="K12" s="1"/>
      <c r="L12" s="1"/>
      <c r="M12" s="242"/>
      <c r="N12" s="97">
        <f>B12+I12</f>
        <v>1.0000000000000031</v>
      </c>
      <c r="R12" s="278">
        <f>B12-I12</f>
        <v>-0.47269659246732326</v>
      </c>
      <c r="S12" s="279">
        <f>IF(Rules!B20=Rules!E20,SUM(C12:H12)*B4*F4,SUM(C12:H12)*B4*F4*POWER(O2,A12-1))</f>
        <v>1.6263731891321476</v>
      </c>
      <c r="T12" s="261">
        <f>IF(Rules!B20=Rules!E20,SUM(C12:H12)*D4*H4,SUM(C12:H12)*D4*H4*POWER(O2,A12-1))</f>
        <v>-10.100798416603016</v>
      </c>
      <c r="U12" s="275">
        <f t="shared" si="0"/>
        <v>-28.663822504269952</v>
      </c>
      <c r="V12" s="93">
        <f>(U12+W12*I12)/B12</f>
        <v>-91.961221492259497</v>
      </c>
      <c r="W12" s="9">
        <f t="shared" si="1"/>
        <v>6</v>
      </c>
    </row>
    <row r="13" spans="1:23" x14ac:dyDescent="0.2">
      <c r="A13" s="98">
        <v>7</v>
      </c>
      <c r="B13" s="97">
        <f>C13*B4</f>
        <v>0.26369979936921567</v>
      </c>
      <c r="C13" s="97">
        <f>1/(1-D4*B4/(1-D4*B4/(1-D4*B4/(1-D4*B4/(1-D4*B4/(1-D4*B4))))))</f>
        <v>1.2636344829922759</v>
      </c>
      <c r="D13" s="130">
        <f>C13*D4*C12</f>
        <v>1.2633214906183623</v>
      </c>
      <c r="E13" s="1">
        <f>D13*D4*C11</f>
        <v>1.2621346412876642</v>
      </c>
      <c r="F13" s="1">
        <f>E13*D4*C10</f>
        <v>1.2576341759371434</v>
      </c>
      <c r="G13" s="1">
        <f>F13*D4*C9</f>
        <v>1.2405686665693139</v>
      </c>
      <c r="H13" s="1">
        <f>G13*D4*C8</f>
        <v>1.1758572229072148</v>
      </c>
      <c r="I13" s="1">
        <f>H13*D4</f>
        <v>0.930475098613468</v>
      </c>
      <c r="J13" s="1">
        <f>I13*D4</f>
        <v>0.7363002006307876</v>
      </c>
      <c r="K13" s="1"/>
      <c r="L13" s="1"/>
      <c r="M13" s="242"/>
      <c r="N13" s="97">
        <f>B13+J13</f>
        <v>1.0000000000000033</v>
      </c>
      <c r="R13" s="278">
        <f>B13-J13</f>
        <v>-0.47260040126157193</v>
      </c>
      <c r="S13" s="279">
        <f>IF(Rules!B20=Rules!E20,SUM(C13:I13)*B4*F4,SUM(C13:I13)*B4*F4*POWER(O2,A13-1))</f>
        <v>1.9144870891229182</v>
      </c>
      <c r="T13" s="261">
        <f>IF(Rules!B20=Rules!E20,SUM(C13:I13)*D4*H4,SUM(C13:I13)*D4*H4*POWER(O2,A13-1))</f>
        <v>-11.890166591308974</v>
      </c>
      <c r="U13" s="275">
        <f t="shared" si="0"/>
        <v>-38.639502006456006</v>
      </c>
      <c r="V13" s="93">
        <f>(U13+W13*J13)/B13</f>
        <v>-126.98303404909447</v>
      </c>
      <c r="W13" s="9">
        <f t="shared" si="1"/>
        <v>7</v>
      </c>
    </row>
    <row r="14" spans="1:23" x14ac:dyDescent="0.2">
      <c r="A14" s="98">
        <v>8</v>
      </c>
      <c r="B14" s="97">
        <f>C14*B4</f>
        <v>0.26371248195158659</v>
      </c>
      <c r="C14" s="97">
        <f>1/(1-D4*B4/(1-D4*B4/(1-D4*B4/(1-D4*B4/(1-D4*B4/(1-D4*B4/(1-D4*B4)))))))</f>
        <v>1.2636952572077118</v>
      </c>
      <c r="D14" s="130">
        <f>C14*D4*C13</f>
        <v>1.2636127172119556</v>
      </c>
      <c r="E14" s="1">
        <f>D14*D4*C12</f>
        <v>1.2632997302292552</v>
      </c>
      <c r="F14" s="1">
        <f>E14*D4*C11</f>
        <v>1.2621129013417329</v>
      </c>
      <c r="G14" s="1">
        <f>F14*D4*C10</f>
        <v>1.2576125135105751</v>
      </c>
      <c r="H14" s="1">
        <f>G14*D4*C9</f>
        <v>1.2405472980917736</v>
      </c>
      <c r="I14" s="1">
        <f>H14*D4*C8</f>
        <v>1.1758369690677175</v>
      </c>
      <c r="J14" s="1">
        <f>I14*D4</f>
        <v>0.93045907141821305</v>
      </c>
      <c r="K14" s="1">
        <f>J14*D4</f>
        <v>0.73628751804841719</v>
      </c>
      <c r="L14" s="1"/>
      <c r="M14" s="242"/>
      <c r="N14" s="97">
        <f>B14+K14</f>
        <v>1.0000000000000038</v>
      </c>
      <c r="R14" s="278">
        <f>B14-K14</f>
        <v>-0.4725750360968306</v>
      </c>
      <c r="S14" s="279">
        <f>IF(Rules!B20=Rules!E20,SUM(C14:J14)*B4*F4,SUM(C14:J14)*B4*F4*POWER(O2,A14-1))</f>
        <v>2.202688103250277</v>
      </c>
      <c r="T14" s="261">
        <f>IF(Rules!B20=Rules!E20,SUM(C14:J14)*D4*H4,SUM(C14:J14)*D4*H4*POWER(O2,A14-1))</f>
        <v>-13.680075799486699</v>
      </c>
      <c r="U14" s="275">
        <f t="shared" si="0"/>
        <v>-50.116889702692433</v>
      </c>
      <c r="V14" s="93">
        <f>(U14+W14*K14)/B14</f>
        <v>-167.70760803966948</v>
      </c>
      <c r="W14" s="9">
        <f t="shared" si="1"/>
        <v>8</v>
      </c>
    </row>
    <row r="15" spans="1:23" x14ac:dyDescent="0.2">
      <c r="A15" s="98">
        <v>9</v>
      </c>
      <c r="B15" s="97">
        <f>C15*B4</f>
        <v>0.26371582649166875</v>
      </c>
      <c r="C15" s="97">
        <f>1/(1-D4*B4/(1-D4*B4/(1-D4*B4/(1-D4*B4/(1-D4*B4/(1-D4*B4/(1-D4*B4/(1-D4*B4))))))))</f>
        <v>1.2637112840541018</v>
      </c>
      <c r="D15" s="130">
        <f>C15*D4*C14</f>
        <v>1.263689516950903</v>
      </c>
      <c r="E15" s="1">
        <f>D15*D4*C13</f>
        <v>1.2636069773300795</v>
      </c>
      <c r="F15" s="1">
        <f>E15*D4*C12</f>
        <v>1.2632939917691031</v>
      </c>
      <c r="G15" s="1">
        <f>F15*D4*C11</f>
        <v>1.2621071682726768</v>
      </c>
      <c r="H15" s="1">
        <f>G15*D4*C10</f>
        <v>1.2576068008842498</v>
      </c>
      <c r="I15" s="1">
        <f>H15*D4*C9</f>
        <v>1.2405416629831238</v>
      </c>
      <c r="J15" s="1">
        <f>I15*D4*C8</f>
        <v>1.1758316279016974</v>
      </c>
      <c r="K15" s="1">
        <f>J15*D4</f>
        <v>0.93045484486597307</v>
      </c>
      <c r="L15" s="1">
        <f>K15*D4</f>
        <v>0.73628417350833564</v>
      </c>
      <c r="M15" s="242"/>
      <c r="N15" s="97">
        <f>B15+L15</f>
        <v>1.0000000000000044</v>
      </c>
      <c r="R15" s="278">
        <f>B15-L15</f>
        <v>-0.47256834701666689</v>
      </c>
      <c r="S15" s="279">
        <f>IF(Rules!B20=Rules!E20,SUM(C15:K15)*B4*F4,SUM(C15:K15)*B4*F4*POWER(O2,A15-1))</f>
        <v>2.4909157438889333</v>
      </c>
      <c r="T15" s="261">
        <f>IF(Rules!B20=Rules!E20,SUM(C15:K15)*D4*H4,SUM(C15:K15)*D4*H4*POWER(O2,A15-1))</f>
        <v>-15.470150375013667</v>
      </c>
      <c r="U15" s="275">
        <f t="shared" si="0"/>
        <v>-63.096124333817166</v>
      </c>
      <c r="V15" s="93">
        <f>(U15+W15*L15)/B15</f>
        <v>-214.1303672346192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0.26371670849876422</v>
      </c>
      <c r="C16" s="131">
        <f>1/(1-D4*B4/(1-D4*B4/(1-D4*B4/(1-D4*B4/(1-D4*B4/(1-D4*B4/(1-D4*B4/(1-D4*B4/(1-D4*B4)))))))))</f>
        <v>1.2637155105820808</v>
      </c>
      <c r="D16" s="139">
        <f>C16*D4*C15</f>
        <v>1.2637097702332722</v>
      </c>
      <c r="E16" s="110">
        <f>D16*D4*C14</f>
        <v>1.2636880031561484</v>
      </c>
      <c r="F16" s="110">
        <f>E16*D4*C13</f>
        <v>1.2636054636342005</v>
      </c>
      <c r="G16" s="110">
        <f>F16*D4*C12</f>
        <v>1.2632924784481547</v>
      </c>
      <c r="H16" s="110">
        <f>G16*D4*C11</f>
        <v>1.2621056563734443</v>
      </c>
      <c r="I16" s="110">
        <f>H16*D4*C10</f>
        <v>1.2576052943760825</v>
      </c>
      <c r="J16" s="110">
        <f>I16*D4*C9</f>
        <v>1.2405401769175699</v>
      </c>
      <c r="K16" s="110">
        <f>J16*D4*C8</f>
        <v>1.1758302193533738</v>
      </c>
      <c r="L16" s="110">
        <f>K16*D4</f>
        <v>0.93045373025859157</v>
      </c>
      <c r="M16" s="244">
        <f>L16*D4</f>
        <v>0.73628329150124072</v>
      </c>
      <c r="N16" s="131">
        <f>B16+M16</f>
        <v>1.0000000000000049</v>
      </c>
      <c r="R16" s="280">
        <f>B16-M16</f>
        <v>-0.4725665830024765</v>
      </c>
      <c r="S16" s="281">
        <f>IF(Rules!B20=Rules!E20,SUM(C16:L16)*B4*F4,SUM(C16:L16)*B4*F4*POWER(O2,A16-1))</f>
        <v>2.7791513702124582</v>
      </c>
      <c r="T16" s="262">
        <f>IF(Rules!B20=Rules!E20,SUM(C16:L16)*D4*H4,SUM(C16:L16)*D4*H4*POWER(O2,A16-1))</f>
        <v>-17.260274546656458</v>
      </c>
      <c r="U16" s="275">
        <f t="shared" si="0"/>
        <v>-77.577247510261159</v>
      </c>
      <c r="V16" s="94">
        <f>(U16+W16*M16)/B16</f>
        <v>-266.2493969189585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-17.16346929516844</v>
      </c>
      <c r="F21" s="8">
        <f t="shared" ref="F21:F30" si="4">U7/E21</f>
        <v>6.9244902414069359E-2</v>
      </c>
      <c r="G21" s="265">
        <f>E21*U7</f>
        <v>20.398487297837438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-94.399081123426427</v>
      </c>
      <c r="T21" s="8">
        <f>U7/S21</f>
        <v>1.2589982257103519E-2</v>
      </c>
      <c r="U21" s="265">
        <f>S21*U7</f>
        <v>112.19168013810591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-219.96553182034685</v>
      </c>
      <c r="F22" s="9">
        <f t="shared" si="4"/>
        <v>1.6995996454664441E-2</v>
      </c>
      <c r="G22" s="266">
        <f t="shared" ref="G22:G30" si="5">E22*U8</f>
        <v>822.3484873319037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-1299.7963243929587</v>
      </c>
      <c r="T22" s="9">
        <f>U8/S22</f>
        <v>2.87624555386629E-3</v>
      </c>
      <c r="U22" s="266">
        <f t="shared" ref="U22:U30" si="8">S22*U8</f>
        <v>4859.3319705976128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-2313.8353466991721</v>
      </c>
      <c r="F23" s="9">
        <f t="shared" si="4"/>
        <v>3.343153515305541E-3</v>
      </c>
      <c r="G23" s="266">
        <f t="shared" si="5"/>
        <v>17898.688996358174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-13851.74403496937</v>
      </c>
      <c r="T23" s="9">
        <f t="shared" ref="T23:T30" si="11">U9/S23</f>
        <v>5.5845002287270888E-4</v>
      </c>
      <c r="U23" s="266">
        <f t="shared" si="8"/>
        <v>107150.25980252259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-23416.752830863421</v>
      </c>
      <c r="F24" s="9">
        <f t="shared" si="4"/>
        <v>5.6433009599708955E-4</v>
      </c>
      <c r="G24" s="266">
        <f t="shared" si="5"/>
        <v>309447.19887474191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-140458.36261464792</v>
      </c>
      <c r="T24" s="9">
        <f t="shared" si="11"/>
        <v>9.4083243795433142E-5</v>
      </c>
      <c r="U24" s="266">
        <f t="shared" si="8"/>
        <v>1856126.1325844105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-234874.3446732435</v>
      </c>
      <c r="F25" s="9">
        <f t="shared" si="4"/>
        <v>8.5958291038071931E-5</v>
      </c>
      <c r="G25" s="266">
        <f t="shared" si="5"/>
        <v>4741971.4547359515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-1409193.2207834369</v>
      </c>
      <c r="T25" s="9">
        <f t="shared" si="11"/>
        <v>1.4326919104517723E-5</v>
      </c>
      <c r="U25" s="266">
        <f t="shared" si="8"/>
        <v>28450761.774168853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-2350577.5537758064</v>
      </c>
      <c r="F26" s="9">
        <f t="shared" si="4"/>
        <v>1.2194374296745222E-5</v>
      </c>
      <c r="G26" s="266">
        <f t="shared" si="5"/>
        <v>67376537.783950776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-14103401.856997421</v>
      </c>
      <c r="T26" s="9">
        <f t="shared" si="11"/>
        <v>2.0324048619552282E-6</v>
      </c>
      <c r="U26" s="266">
        <f t="shared" si="8"/>
        <v>404257407.53536528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-23510580.969334159</v>
      </c>
      <c r="F27" s="9">
        <f t="shared" si="4"/>
        <v>1.6434941381012718E-6</v>
      </c>
      <c r="G27" s="266">
        <f t="shared" si="5"/>
        <v>908437140.53753364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-141063411.75766748</v>
      </c>
      <c r="T27" s="9">
        <f t="shared" si="11"/>
        <v>2.7391583348937226E-7</v>
      </c>
      <c r="U27" s="266">
        <f t="shared" si="8"/>
        <v>5450619981.6479225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-235118450.00892797</v>
      </c>
      <c r="F28" s="9">
        <f t="shared" si="4"/>
        <v>2.1315592077435599E-7</v>
      </c>
      <c r="G28" s="266">
        <f t="shared" si="5"/>
        <v>11783405426.165447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-1410710615.4109249</v>
      </c>
      <c r="T28" s="9">
        <f t="shared" si="11"/>
        <v>3.5525988927285361E-8</v>
      </c>
      <c r="U28" s="266">
        <f t="shared" si="8"/>
        <v>70700428314.96669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-2351217801.6459756</v>
      </c>
      <c r="F29" s="9">
        <f t="shared" si="4"/>
        <v>2.6835508088466571E-8</v>
      </c>
      <c r="G29" s="266">
        <f t="shared" si="5"/>
        <v>148352730748.53876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-14107306714.651531</v>
      </c>
      <c r="T29" s="9">
        <f t="shared" si="11"/>
        <v>4.4725847116010424E-9</v>
      </c>
      <c r="U29" s="266">
        <f t="shared" si="8"/>
        <v>890116378482.94678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-23512265804.757023</v>
      </c>
      <c r="F30" s="10">
        <f t="shared" si="4"/>
        <v>3.2994373300494785E-9</v>
      </c>
      <c r="G30" s="267">
        <f t="shared" si="5"/>
        <v>1824016863862.6853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-141073594722.73694</v>
      </c>
      <c r="T30" s="10">
        <f t="shared" si="11"/>
        <v>5.4990622208734275E-10</v>
      </c>
      <c r="U30" s="267">
        <f t="shared" si="8"/>
        <v>10944101174968.035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-17.16346929516844</v>
      </c>
      <c r="F33" s="8">
        <f t="shared" ref="F33:F42" si="14">U7/E33</f>
        <v>6.9244902414069359E-2</v>
      </c>
      <c r="G33" s="268">
        <f>E33*U7</f>
        <v>20.398487297837438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-94.399081123426427</v>
      </c>
      <c r="T33" s="8">
        <f>U7/S33</f>
        <v>1.2589982257103519E-2</v>
      </c>
      <c r="U33" s="268">
        <f>S33*U7</f>
        <v>112.19168013810591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-239.96239834946928</v>
      </c>
      <c r="F34" s="9">
        <f t="shared" si="14"/>
        <v>1.5579663416775739E-2</v>
      </c>
      <c r="G34" s="266">
        <f t="shared" ref="G34:G42" si="16">E34*U8</f>
        <v>897.1074407257131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-1319.7931909220811</v>
      </c>
      <c r="T34" s="9">
        <f t="shared" ref="T34:T42" si="18">U8/S34</f>
        <v>2.8326660757774071E-3</v>
      </c>
      <c r="U34" s="266">
        <f t="shared" ref="U34:U42" si="19">S34*U8</f>
        <v>4934.0909239914217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-2772.4333433422516</v>
      </c>
      <c r="F35" s="9">
        <f t="shared" si="14"/>
        <v>2.7901506781873309E-3</v>
      </c>
      <c r="G35" s="266">
        <f t="shared" si="16"/>
        <v>21446.176905546283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-14101.888396774684</v>
      </c>
      <c r="T35" s="9">
        <f t="shared" si="18"/>
        <v>5.4854403577075397E-4</v>
      </c>
      <c r="U35" s="266">
        <f t="shared" si="19"/>
        <v>109085.25320753428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-30856.99922986863</v>
      </c>
      <c r="F36" s="9">
        <f t="shared" si="14"/>
        <v>4.2825869989943061E-4</v>
      </c>
      <c r="G36" s="266">
        <f t="shared" si="16"/>
        <v>407768.40607796772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-143050.85640240327</v>
      </c>
      <c r="T36" s="9">
        <f t="shared" si="18"/>
        <v>9.2378184271808819E-5</v>
      </c>
      <c r="U36" s="266">
        <f t="shared" si="19"/>
        <v>1890385.3634229281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-340442.02330686589</v>
      </c>
      <c r="F37" s="9">
        <f t="shared" si="14"/>
        <v>5.9303481634524504E-5</v>
      </c>
      <c r="G37" s="266">
        <f t="shared" si="16"/>
        <v>6873319.2582596084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-1435278.6263569032</v>
      </c>
      <c r="T37" s="9">
        <f t="shared" si="18"/>
        <v>1.4066535170278982E-5</v>
      </c>
      <c r="U37" s="266">
        <f t="shared" si="19"/>
        <v>28977410.390417993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-3747774.0018243627</v>
      </c>
      <c r="F38" s="9">
        <f t="shared" si="14"/>
        <v>7.6482259843621338E-6</v>
      </c>
      <c r="G38" s="266">
        <f t="shared" si="16"/>
        <v>107425528.77441102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-14364563.037270863</v>
      </c>
      <c r="T38" s="9">
        <f t="shared" si="18"/>
        <v>1.9954538422016504E-6</v>
      </c>
      <c r="U38" s="266">
        <f t="shared" si="19"/>
        <v>411743285.25172889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-41233926.056728765</v>
      </c>
      <c r="F39" s="9">
        <f t="shared" si="14"/>
        <v>9.3708035352482795E-7</v>
      </c>
      <c r="G39" s="266">
        <f t="shared" si="16"/>
        <v>1593258368.6030297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-143675682.07462963</v>
      </c>
      <c r="T39" s="9">
        <f t="shared" si="18"/>
        <v>2.6893557384600021E-7</v>
      </c>
      <c r="U39" s="266">
        <f t="shared" si="19"/>
        <v>5551556805.8015871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-453597553.03722364</v>
      </c>
      <c r="F40" s="9">
        <f t="shared" si="14"/>
        <v>1.1048756627348844E-7</v>
      </c>
      <c r="G40" s="266">
        <f t="shared" si="16"/>
        <v>22732898534.977718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-1436834868.8246629</v>
      </c>
      <c r="T40" s="9">
        <f t="shared" si="18"/>
        <v>3.488006227444095E-8</v>
      </c>
      <c r="U40" s="266">
        <f t="shared" si="19"/>
        <v>72009694641.868179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-4989643730.6598492</v>
      </c>
      <c r="F41" s="9">
        <f t="shared" si="14"/>
        <v>1.264541673508884E-8</v>
      </c>
      <c r="G41" s="266">
        <f t="shared" si="16"/>
        <v>314827181211.16516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-14368553115.895679</v>
      </c>
      <c r="T41" s="9">
        <f t="shared" si="18"/>
        <v>4.3912649955001403E-9</v>
      </c>
      <c r="U41" s="266">
        <f t="shared" si="19"/>
        <v>906600013897.60986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-54886285939.232552</v>
      </c>
      <c r="F42" s="10">
        <f t="shared" si="14"/>
        <v>1.4134176904618932E-9</v>
      </c>
      <c r="G42" s="267">
        <f t="shared" si="16"/>
        <v>4257926989226.8105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-143686068677.53101</v>
      </c>
      <c r="T42" s="10">
        <f t="shared" si="18"/>
        <v>5.3990792722128632E-10</v>
      </c>
      <c r="U42" s="267">
        <f t="shared" si="19"/>
        <v>11146769713573.207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-17.16346929516844</v>
      </c>
      <c r="F45" s="8">
        <f t="shared" ref="F45:F54" si="24">U7/E45</f>
        <v>6.9244902414069359E-2</v>
      </c>
      <c r="G45" s="265">
        <f>E45*U7</f>
        <v>20.398487297837438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-94.399081123426427</v>
      </c>
      <c r="T45" s="8">
        <f>U7/S45</f>
        <v>1.2589982257103519E-2</v>
      </c>
      <c r="U45" s="268">
        <f>S45*U7</f>
        <v>112.19168013810591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-419.93419711157128</v>
      </c>
      <c r="F46" s="9">
        <f t="shared" si="24"/>
        <v>8.9026648095861353E-3</v>
      </c>
      <c r="G46" s="266">
        <f t="shared" ref="G46:G54" si="26">E46*U8</f>
        <v>1569.938021269998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-2399.6239834946928</v>
      </c>
      <c r="T46" s="9">
        <f t="shared" ref="T46:T54" si="29">U8/S46</f>
        <v>1.5579663416775739E-3</v>
      </c>
      <c r="U46" s="266">
        <f t="shared" ref="U46:U54" si="30">S46*U8</f>
        <v>8971.0744072571306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-8775.8980266698327</v>
      </c>
      <c r="F47" s="9">
        <f t="shared" si="24"/>
        <v>8.8144902660074837E-4</v>
      </c>
      <c r="G47" s="266">
        <f t="shared" si="26"/>
        <v>67886.018625826939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-50331.130131577942</v>
      </c>
      <c r="T47" s="9">
        <f t="shared" si="29"/>
        <v>1.5369229248246637E-4</v>
      </c>
      <c r="U47" s="266">
        <f t="shared" si="30"/>
        <v>389336.79803339468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-177490.97712754353</v>
      </c>
      <c r="F48" s="9">
        <f t="shared" si="24"/>
        <v>7.4453240310267955E-5</v>
      </c>
      <c r="G48" s="266">
        <f t="shared" si="26"/>
        <v>2345503.9259443758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-1018217.7430298659</v>
      </c>
      <c r="T48" s="9">
        <f t="shared" si="29"/>
        <v>1.2978342268578659E-5</v>
      </c>
      <c r="U48" s="266">
        <f t="shared" si="30"/>
        <v>13455521.809576875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-3560235.0827299384</v>
      </c>
      <c r="F49" s="9">
        <f t="shared" si="24"/>
        <v>5.670804541737771E-6</v>
      </c>
      <c r="G49" s="266">
        <f t="shared" si="26"/>
        <v>71879000.484032378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-20424481.494329423</v>
      </c>
      <c r="T49" s="9">
        <f t="shared" si="29"/>
        <v>9.8849007659775321E-7</v>
      </c>
      <c r="U49" s="266">
        <f t="shared" si="30"/>
        <v>412357971.06164777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-71259684.408087909</v>
      </c>
      <c r="F50" s="9">
        <f t="shared" si="24"/>
        <v>4.022445895230015E-7</v>
      </c>
      <c r="G50" s="266">
        <f t="shared" si="26"/>
        <v>2042574945.5837247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-408805527.85740346</v>
      </c>
      <c r="T50" s="9">
        <f t="shared" si="29"/>
        <v>7.0116034522576853E-8</v>
      </c>
      <c r="U50" s="266">
        <f t="shared" si="30"/>
        <v>11717929089.268997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-1425483787.5754013</v>
      </c>
      <c r="F51" s="9">
        <f t="shared" si="24"/>
        <v>2.7106237435486906E-8</v>
      </c>
      <c r="G51" s="266">
        <f t="shared" si="26"/>
        <v>55079983670.190224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-8177775377.8522997</v>
      </c>
      <c r="T51" s="9">
        <f t="shared" si="29"/>
        <v>4.7249404906745876E-9</v>
      </c>
      <c r="U51" s="266">
        <f t="shared" si="30"/>
        <v>315985168120.87048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-28511206011.396767</v>
      </c>
      <c r="F52" s="9">
        <f t="shared" si="24"/>
        <v>1.7577962041542277E-9</v>
      </c>
      <c r="G52" s="266">
        <f t="shared" si="26"/>
        <v>1428892966963.9131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-163564287077.91913</v>
      </c>
      <c r="T52" s="9">
        <f t="shared" si="29"/>
        <v>3.0640484300107418E-10</v>
      </c>
      <c r="U52" s="266">
        <f t="shared" si="30"/>
        <v>8197333334783.5938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-570232191620.94238</v>
      </c>
      <c r="F53" s="9">
        <f t="shared" si="24"/>
        <v>1.1064988133072615E-10</v>
      </c>
      <c r="G53" s="266">
        <f t="shared" si="26"/>
        <v>35979441261660.039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-3271332046622.4053</v>
      </c>
      <c r="T53" s="9">
        <f t="shared" si="29"/>
        <v>1.9287593993695271E-11</v>
      </c>
      <c r="U53" s="266">
        <f t="shared" si="30"/>
        <v>206408373550887.84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-11404686404120.445</v>
      </c>
      <c r="F54" s="10">
        <f t="shared" si="24"/>
        <v>6.8022253976429339E-12</v>
      </c>
      <c r="G54" s="267">
        <f t="shared" si="26"/>
        <v>884744179949362.12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-65426885160430.336</v>
      </c>
      <c r="T54" s="10">
        <f t="shared" si="29"/>
        <v>1.1857090142689425E-12</v>
      </c>
      <c r="U54" s="267">
        <f t="shared" si="30"/>
        <v>5075637663916137</v>
      </c>
    </row>
  </sheetData>
  <mergeCells count="2">
    <mergeCell ref="A18:F18"/>
    <mergeCell ref="O18:T18"/>
  </mergeCells>
  <conditionalFormatting sqref="F45:F54">
    <cfRule type="cellIs" dxfId="314" priority="35" operator="equal">
      <formula>MAX($F$45:$F$54)</formula>
    </cfRule>
  </conditionalFormatting>
  <conditionalFormatting sqref="F21:F30">
    <cfRule type="cellIs" dxfId="313" priority="34" operator="equal">
      <formula>MAX($F$21:$F$30)</formula>
    </cfRule>
  </conditionalFormatting>
  <conditionalFormatting sqref="E33:E42">
    <cfRule type="cellIs" dxfId="312" priority="32" stopIfTrue="1" operator="lessThan">
      <formula>0</formula>
    </cfRule>
    <cfRule type="cellIs" dxfId="311" priority="33" operator="equal">
      <formula>MIN($E$33:$E$42)</formula>
    </cfRule>
  </conditionalFormatting>
  <conditionalFormatting sqref="E21:E30">
    <cfRule type="cellIs" dxfId="310" priority="30" stopIfTrue="1" operator="lessThan">
      <formula>0</formula>
    </cfRule>
    <cfRule type="cellIs" dxfId="309" priority="31" operator="equal">
      <formula>MIN($E$21:$E$30)</formula>
    </cfRule>
  </conditionalFormatting>
  <conditionalFormatting sqref="E45:E54">
    <cfRule type="cellIs" dxfId="308" priority="28" stopIfTrue="1" operator="lessThan">
      <formula>0</formula>
    </cfRule>
    <cfRule type="cellIs" dxfId="307" priority="29" operator="equal">
      <formula>MIN($E$45:$E$54)</formula>
    </cfRule>
  </conditionalFormatting>
  <conditionalFormatting sqref="F33:F42">
    <cfRule type="cellIs" dxfId="306" priority="26" operator="lessThanOrEqual">
      <formula>0</formula>
    </cfRule>
    <cfRule type="cellIs" dxfId="305" priority="27" operator="equal">
      <formula>MAX($F$33:$F$42)</formula>
    </cfRule>
  </conditionalFormatting>
  <conditionalFormatting sqref="R7:R16">
    <cfRule type="cellIs" dxfId="304" priority="24" operator="lessThanOrEqual">
      <formula>0</formula>
    </cfRule>
    <cfRule type="cellIs" dxfId="303" priority="25" operator="greaterThan">
      <formula>0</formula>
    </cfRule>
  </conditionalFormatting>
  <conditionalFormatting sqref="T21:T30">
    <cfRule type="cellIs" dxfId="302" priority="21" operator="equal">
      <formula>MAX($T$21:$T$30)</formula>
    </cfRule>
  </conditionalFormatting>
  <conditionalFormatting sqref="S33:S42">
    <cfRule type="cellIs" dxfId="301" priority="19" stopIfTrue="1" operator="lessThan">
      <formula>0</formula>
    </cfRule>
    <cfRule type="cellIs" dxfId="300" priority="20" operator="equal">
      <formula>MIN($E$21:$E$30)</formula>
    </cfRule>
  </conditionalFormatting>
  <conditionalFormatting sqref="T33:T42">
    <cfRule type="cellIs" dxfId="299" priority="18" operator="equal">
      <formula>MAX($T$21:$T$30)</formula>
    </cfRule>
  </conditionalFormatting>
  <conditionalFormatting sqref="S45:S54">
    <cfRule type="cellIs" dxfId="298" priority="16" stopIfTrue="1" operator="lessThan">
      <formula>0</formula>
    </cfRule>
    <cfRule type="cellIs" dxfId="297" priority="17" operator="equal">
      <formula>MIN($E$21:$E$30)</formula>
    </cfRule>
  </conditionalFormatting>
  <conditionalFormatting sqref="T45:T54">
    <cfRule type="cellIs" dxfId="296" priority="15" operator="equal">
      <formula>MAX($T$21:$T$30)</formula>
    </cfRule>
  </conditionalFormatting>
  <conditionalFormatting sqref="S21:S30">
    <cfRule type="cellIs" dxfId="295" priority="13" stopIfTrue="1" operator="lessThan">
      <formula>0</formula>
    </cfRule>
    <cfRule type="cellIs" dxfId="294" priority="14" operator="equal">
      <formula>MIN($E$21:$E$30)</formula>
    </cfRule>
  </conditionalFormatting>
  <conditionalFormatting sqref="U7:U16">
    <cfRule type="cellIs" dxfId="293" priority="9" operator="lessThanOrEqual">
      <formula>0</formula>
    </cfRule>
    <cfRule type="cellIs" dxfId="292" priority="10" operator="greaterThan">
      <formula>0</formula>
    </cfRule>
  </conditionalFormatting>
  <conditionalFormatting sqref="S7:T16">
    <cfRule type="cellIs" dxfId="291" priority="1" operator="lessThanOrEqual">
      <formula>0</formula>
    </cfRule>
    <cfRule type="cellIs" dxfId="29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73AD-B6BC-3E41-8E28-6ED83E52CB7D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35" t="s">
        <v>125</v>
      </c>
      <c r="C2" s="141">
        <f>Analysis!B58</f>
        <v>0.22509740489820076</v>
      </c>
      <c r="D2" s="135" t="s">
        <v>126</v>
      </c>
      <c r="E2" s="141">
        <f>Analysis!K58</f>
        <v>0.77490259510179904</v>
      </c>
      <c r="F2" s="135" t="s">
        <v>47</v>
      </c>
      <c r="G2" s="141">
        <f>Analysis!S58</f>
        <v>1.3948213044889928</v>
      </c>
      <c r="H2" t="s">
        <v>155</v>
      </c>
      <c r="I2" s="155">
        <f>Analysis!T58</f>
        <v>-2.2845056505638248</v>
      </c>
      <c r="J2" t="s">
        <v>48</v>
      </c>
      <c r="K2" s="155">
        <f>C2*G2+E2*I2</f>
        <v>-1.4562987012094362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0.22509740489820076</v>
      </c>
      <c r="C4" t="s">
        <v>124</v>
      </c>
      <c r="D4">
        <f>$E$2</f>
        <v>0.77490259510179904</v>
      </c>
      <c r="E4" t="s">
        <v>47</v>
      </c>
      <c r="F4">
        <f>G2</f>
        <v>1.3948213044889928</v>
      </c>
      <c r="G4" t="s">
        <v>155</v>
      </c>
      <c r="H4">
        <f>I2</f>
        <v>-2.2845056505638248</v>
      </c>
      <c r="I4" t="s">
        <v>48</v>
      </c>
      <c r="J4">
        <f>K2</f>
        <v>-1.4562987012094362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0.22509740489820076</v>
      </c>
      <c r="C7" s="95">
        <v>1</v>
      </c>
      <c r="D7" s="22">
        <f>C7*D4</f>
        <v>0.77490259510179904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0.99999999999999978</v>
      </c>
      <c r="R7" s="276">
        <f>B7-D7</f>
        <v>-0.5498051902035983</v>
      </c>
      <c r="S7" s="277">
        <f>IF(Rules!B20=Rules!E20,SUM(C7)*B4*F4,SUM(C7)*B4*F4*POWER(O2,A7-1))</f>
        <v>0.31397065593719536</v>
      </c>
      <c r="T7" s="260">
        <f>IF(Rules!B20=Rules!E20,SUM(C7)*D4*H4,SUM(C7)*D4*H4*POWER(O2,A7-1))</f>
        <v>-1.7702693571466315</v>
      </c>
      <c r="U7" s="274">
        <f>S7+T7</f>
        <v>-1.4562987012094362</v>
      </c>
      <c r="V7" s="108">
        <f>(U7+W7*D7)/B7</f>
        <v>-3.0271166671859024</v>
      </c>
      <c r="W7" s="57">
        <f>COUNT(D7:M7)</f>
        <v>1</v>
      </c>
    </row>
    <row r="8" spans="1:23" x14ac:dyDescent="0.2">
      <c r="A8" s="98">
        <v>2</v>
      </c>
      <c r="B8" s="97">
        <f>C8*B4</f>
        <v>0.27265648357750627</v>
      </c>
      <c r="C8" s="97">
        <f>1/(1-B4*D4)</f>
        <v>1.2112822166955406</v>
      </c>
      <c r="D8" s="130">
        <f>C8*D4</f>
        <v>0.9386257331180341</v>
      </c>
      <c r="E8" s="1">
        <f>D8*D4</f>
        <v>0.72734351642249329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0.99999999999999956</v>
      </c>
      <c r="R8" s="278">
        <f>B8-E8</f>
        <v>-0.45468703284498702</v>
      </c>
      <c r="S8" s="279">
        <f>IF(Rules!B20=Rules!E20,SUM(C8:D8)*B4*F4,SUM(C8:D8)*B4*F4*POWER(O2,A8-1))</f>
        <v>0.67500800920755899</v>
      </c>
      <c r="T8" s="261">
        <f>IF(Rules!B20=Rules!E20,SUM(C8:D8)*D4*H4,SUM(C8:D8)*D4*H4*POWER(O2,A8-1))</f>
        <v>-3.8059161642409096</v>
      </c>
      <c r="U8" s="275">
        <f>S8+T8+U7</f>
        <v>-4.587206856242787</v>
      </c>
      <c r="V8" s="93">
        <f>(U8+W8*E8)/B8</f>
        <v>-11.488888077394057</v>
      </c>
      <c r="W8" s="9">
        <f>COUNT(D8:M8)</f>
        <v>2</v>
      </c>
    </row>
    <row r="9" spans="1:23" x14ac:dyDescent="0.2">
      <c r="A9" s="98">
        <v>3</v>
      </c>
      <c r="B9" s="97">
        <f>C9*B4</f>
        <v>0.28539663953704608</v>
      </c>
      <c r="C9" s="97">
        <f>1/(1-D4*B4/(1-D4*B4))</f>
        <v>1.2678806300148833</v>
      </c>
      <c r="D9" s="130">
        <f>C9*D4*C8</f>
        <v>1.1900653858538748</v>
      </c>
      <c r="E9" s="1">
        <f>D9*(D4)</f>
        <v>0.9221847558389914</v>
      </c>
      <c r="F9" s="1">
        <f>E9*D4</f>
        <v>0.71460336046295336</v>
      </c>
      <c r="G9" s="1"/>
      <c r="H9" s="1"/>
      <c r="I9" s="1"/>
      <c r="J9" s="1"/>
      <c r="K9" s="1"/>
      <c r="L9" s="1"/>
      <c r="M9" s="242"/>
      <c r="N9" s="97">
        <f>B9+F9</f>
        <v>0.99999999999999944</v>
      </c>
      <c r="R9" s="278">
        <f>B9-F9</f>
        <v>-0.42920672092590728</v>
      </c>
      <c r="S9" s="279">
        <f>IF(Rules!B20=Rules!E20,SUM(C9:E9)*B4*F4,SUM(C9:E9)*B4*F4*POWER(O2,A9-1))</f>
        <v>1.0612618755465806</v>
      </c>
      <c r="T9" s="261">
        <f>IF(Rules!B20=Rules!E20,SUM(C9:E9)*D4*H4,SUM(C9:E9)*D4*H4*POWER(O2,A9-1))</f>
        <v>-5.9837419283026261</v>
      </c>
      <c r="U9" s="275">
        <f t="shared" ref="U9:U16" si="0">S9+T9+U8</f>
        <v>-9.5096869089988321</v>
      </c>
      <c r="V9" s="93">
        <f>(U9+W9*F9)/B9</f>
        <v>-25.809262644292065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0.28901423044754831</v>
      </c>
      <c r="C10" s="97">
        <f>1/(1-D4*B4/(1-D4*B4/(1-D4*B4)))</f>
        <v>1.2839518544349884</v>
      </c>
      <c r="D10" s="130">
        <f>C10*D4*C9</f>
        <v>1.2614621415267062</v>
      </c>
      <c r="E10" s="1">
        <f>D10*D4*C8</f>
        <v>1.1840408273911498</v>
      </c>
      <c r="F10" s="1">
        <f>E10*D4</f>
        <v>0.91751630985188326</v>
      </c>
      <c r="G10" s="1">
        <f>F10*D4</f>
        <v>0.71098576955245063</v>
      </c>
      <c r="H10" s="1"/>
      <c r="I10" s="1"/>
      <c r="J10" s="1"/>
      <c r="K10" s="1"/>
      <c r="L10" s="1"/>
      <c r="M10" s="242"/>
      <c r="N10" s="97">
        <f>B10+G10</f>
        <v>0.99999999999999889</v>
      </c>
      <c r="R10" s="278">
        <f>B10-G10</f>
        <v>-0.42197153910490232</v>
      </c>
      <c r="S10" s="279">
        <f>IF(Rules!B20=Rules!E20,SUM(C10:F10)*B4*F4,SUM(C10:F10)*B4*F4*POWER(O2,A10-1))</f>
        <v>1.4590125748135003</v>
      </c>
      <c r="T10" s="261">
        <f>IF(Rules!B20=Rules!E20,SUM(C10:F10)*D4*H4,SUM(C10:F10)*D4*H4*POWER(O2,A10-1))</f>
        <v>-8.2263906006572878</v>
      </c>
      <c r="U10" s="275">
        <f t="shared" si="0"/>
        <v>-16.27706493484262</v>
      </c>
      <c r="V10" s="93">
        <f>(U10+W10*G10)/B10</f>
        <v>-46.479101862324129</v>
      </c>
      <c r="W10" s="9">
        <f t="shared" si="1"/>
        <v>4</v>
      </c>
    </row>
    <row r="11" spans="1:23" x14ac:dyDescent="0.2">
      <c r="A11" s="98">
        <v>5</v>
      </c>
      <c r="B11" s="97">
        <f>C11*B4</f>
        <v>0.29005823045356388</v>
      </c>
      <c r="C11" s="97">
        <f>1/(1-D4*B4/(1-D4*B4/(1-D4*B4/(1-D4*B4))))</f>
        <v>1.2885898466254702</v>
      </c>
      <c r="D11" s="130">
        <f>C11*D4*C10</f>
        <v>1.2820665202958847</v>
      </c>
      <c r="E11" s="1">
        <f>D11*D4*C9</f>
        <v>1.2596098309183357</v>
      </c>
      <c r="F11" s="1">
        <f>E11*D4*C8</f>
        <v>1.1823022009884057</v>
      </c>
      <c r="G11" s="1">
        <f>F11*D4</f>
        <v>0.91616904374048436</v>
      </c>
      <c r="H11" s="1">
        <f>G11*D4</f>
        <v>0.70994176954643495</v>
      </c>
      <c r="I11" s="1"/>
      <c r="J11" s="1"/>
      <c r="K11" s="1"/>
      <c r="L11" s="1"/>
      <c r="M11" s="242"/>
      <c r="N11" s="97">
        <f>B11+H11</f>
        <v>0.99999999999999889</v>
      </c>
      <c r="R11" s="278">
        <f>B11-H11</f>
        <v>-0.41988353909287107</v>
      </c>
      <c r="S11" s="279">
        <f>IF(Rules!B20=Rules!E20,SUM(C11:G11)*B4*F4,SUM(C11:G11)*B4*F4*POWER(O2,A11-1))</f>
        <v>1.8614495837226674</v>
      </c>
      <c r="T11" s="261">
        <f>IF(Rules!B20=Rules!E20,SUM(C11:G11)*D4*H4,SUM(C11:G11)*D4*H4*POWER(O2,A11-1))</f>
        <v>-10.495462221147047</v>
      </c>
      <c r="U11" s="275">
        <f t="shared" si="0"/>
        <v>-24.911077572267001</v>
      </c>
      <c r="V11" s="93">
        <f>(U11+W11*H11)/B11</f>
        <v>-73.645104609278178</v>
      </c>
      <c r="W11" s="9">
        <f t="shared" si="1"/>
        <v>5</v>
      </c>
    </row>
    <row r="12" spans="1:23" x14ac:dyDescent="0.2">
      <c r="A12" s="98">
        <v>6</v>
      </c>
      <c r="B12" s="97">
        <f>C12*B4</f>
        <v>0.29036092213684006</v>
      </c>
      <c r="C12" s="97">
        <f>1/(1-D4*B4/(1-D4*B4/(1-D4*B4/(1-D4*B4/(1-D4*B4)))))</f>
        <v>1.2899345608544639</v>
      </c>
      <c r="D12" s="130">
        <f>C12*D4*C11</f>
        <v>1.2880404418060056</v>
      </c>
      <c r="E12" s="1">
        <f>D12*D4*C10</f>
        <v>1.2815198967701995</v>
      </c>
      <c r="F12" s="1">
        <f>E12*D4*C9</f>
        <v>1.2590727820555314</v>
      </c>
      <c r="G12" s="1">
        <f>F12*D4*C8</f>
        <v>1.1817981131058359</v>
      </c>
      <c r="H12" s="1">
        <f>G12*D4</f>
        <v>0.91577842473212168</v>
      </c>
      <c r="I12" s="1">
        <f>H12*D4</f>
        <v>0.70963907786315861</v>
      </c>
      <c r="J12" s="1"/>
      <c r="K12" s="1"/>
      <c r="L12" s="1"/>
      <c r="M12" s="242"/>
      <c r="N12" s="97">
        <f>B12+I12</f>
        <v>0.99999999999999867</v>
      </c>
      <c r="R12" s="278">
        <f>B12-I12</f>
        <v>-0.41927815572631855</v>
      </c>
      <c r="S12" s="279">
        <f>IF(Rules!B20=Rules!E20,SUM(C12:H12)*B4*F4,SUM(C12:H12)*B4*F4*POWER(O2,A12-1))</f>
        <v>2.2656575338786062</v>
      </c>
      <c r="T12" s="261">
        <f>IF(Rules!B20=Rules!E20,SUM(C12:H12)*D4*H4,SUM(C12:H12)*D4*H4*POWER(O2,A12-1))</f>
        <v>-12.774518988220359</v>
      </c>
      <c r="U12" s="275">
        <f t="shared" si="0"/>
        <v>-35.419939026608752</v>
      </c>
      <c r="V12" s="93">
        <f>(U12+W12*I12)/B12</f>
        <v>-107.32196443688058</v>
      </c>
      <c r="W12" s="9">
        <f t="shared" si="1"/>
        <v>6</v>
      </c>
    </row>
    <row r="13" spans="1:23" x14ac:dyDescent="0.2">
      <c r="A13" s="98">
        <v>7</v>
      </c>
      <c r="B13" s="97">
        <f>C13*B4</f>
        <v>0.2904488010891827</v>
      </c>
      <c r="C13" s="97">
        <f>1/(1-D4*B4/(1-D4*B4/(1-D4*B4/(1-D4*B4/(1-D4*B4/(1-D4*B4))))))</f>
        <v>1.2903249649658857</v>
      </c>
      <c r="D13" s="130">
        <f>C13*D4*C12</f>
        <v>1.2897748203591406</v>
      </c>
      <c r="E13" s="1">
        <f>D13*D4*C11</f>
        <v>1.2878809358710424</v>
      </c>
      <c r="F13" s="1">
        <f>E13*D4*C10</f>
        <v>1.2813611983142552</v>
      </c>
      <c r="G13" s="1">
        <f>F13*D4*C9</f>
        <v>1.2589168633632526</v>
      </c>
      <c r="H13" s="1">
        <f>G13*D4*C8</f>
        <v>1.181651763808989</v>
      </c>
      <c r="I13" s="1">
        <f>H13*D4</f>
        <v>0.91566501828220359</v>
      </c>
      <c r="J13" s="1">
        <f>I13*D4</f>
        <v>0.70955119891081586</v>
      </c>
      <c r="K13" s="1"/>
      <c r="L13" s="1"/>
      <c r="M13" s="242"/>
      <c r="N13" s="97">
        <f>B13+J13</f>
        <v>0.99999999999999856</v>
      </c>
      <c r="R13" s="278">
        <f>B13-J13</f>
        <v>-0.41910239782163317</v>
      </c>
      <c r="S13" s="279">
        <f>IF(Rules!B20=Rules!E20,SUM(C13:I13)*B4*F4,SUM(C13:I13)*B4*F4*POWER(O2,A13-1))</f>
        <v>2.6705011392553697</v>
      </c>
      <c r="T13" s="261">
        <f>IF(Rules!B20=Rules!E20,SUM(C13:I13)*D4*H4,SUM(C13:I13)*D4*H4*POWER(O2,A13-1))</f>
        <v>-15.057159787552278</v>
      </c>
      <c r="U13" s="275">
        <f t="shared" si="0"/>
        <v>-47.80659767490566</v>
      </c>
      <c r="V13" s="93">
        <f>(U13+W13*J13)/B13</f>
        <v>-147.49497715907577</v>
      </c>
      <c r="W13" s="9">
        <f t="shared" si="1"/>
        <v>7</v>
      </c>
    </row>
    <row r="14" spans="1:23" x14ac:dyDescent="0.2">
      <c r="A14" s="98">
        <v>8</v>
      </c>
      <c r="B14" s="97">
        <f>C14*B4</f>
        <v>0.29047432450739019</v>
      </c>
      <c r="C14" s="97">
        <f>1/(1-D4*B4/(1-D4*B4/(1-D4*B4/(1-D4*B4/(1-D4*B4/(1-D4*B4/(1-D4*B4)))))))</f>
        <v>1.2904383532931258</v>
      </c>
      <c r="D14" s="130">
        <f>C14*D4*C13</f>
        <v>1.2902785504101</v>
      </c>
      <c r="E14" s="1">
        <f>D14*D4*C12</f>
        <v>1.2897284255927244</v>
      </c>
      <c r="F14" s="1">
        <f>E14*D4*C11</f>
        <v>1.2878346092299509</v>
      </c>
      <c r="G14" s="1">
        <f>F14*D4*C10</f>
        <v>1.2813151061960404</v>
      </c>
      <c r="H14" s="1">
        <f>G14*D4*C9</f>
        <v>1.2588715785950193</v>
      </c>
      <c r="I14" s="1">
        <f>H14*D4*C8</f>
        <v>1.1816092583602069</v>
      </c>
      <c r="J14" s="1">
        <f>I14*D4</f>
        <v>0.91563208069963642</v>
      </c>
      <c r="K14" s="1">
        <f>J14*D4</f>
        <v>0.70952567549260814</v>
      </c>
      <c r="L14" s="1"/>
      <c r="M14" s="242"/>
      <c r="N14" s="97">
        <f>B14+K14</f>
        <v>0.99999999999999833</v>
      </c>
      <c r="R14" s="278">
        <f>B14-K14</f>
        <v>-0.41905135098521795</v>
      </c>
      <c r="S14" s="279">
        <f>IF(Rules!B20=Rules!E20,SUM(C14:J14)*B4*F4,SUM(C14:J14)*B4*F4*POWER(O2,A14-1))</f>
        <v>3.0755648543166529</v>
      </c>
      <c r="T14" s="261">
        <f>IF(Rules!B20=Rules!E20,SUM(C14:J14)*D4*H4,SUM(C14:J14)*D4*H4*POWER(O2,A14-1))</f>
        <v>-17.341041637352923</v>
      </c>
      <c r="U14" s="275">
        <f t="shared" si="0"/>
        <v>-62.07207445794193</v>
      </c>
      <c r="V14" s="93">
        <f>(U14+W14*K14)/B14</f>
        <v>-194.15096032890941</v>
      </c>
      <c r="W14" s="9">
        <f t="shared" si="1"/>
        <v>8</v>
      </c>
    </row>
    <row r="15" spans="1:23" x14ac:dyDescent="0.2">
      <c r="A15" s="98">
        <v>9</v>
      </c>
      <c r="B15" s="97">
        <f>C15*B4</f>
        <v>0.29048173832758545</v>
      </c>
      <c r="C15" s="97">
        <f>1/(1-D4*B4/(1-D4*B4/(1-D4*B4/(1-D4*B4/(1-D4*B4/(1-D4*B4/(1-D4*B4/(1-D4*B4))))))))</f>
        <v>1.2904712893467361</v>
      </c>
      <c r="D15" s="130">
        <f>C15*D4*C14</f>
        <v>1.2904248695274847</v>
      </c>
      <c r="E15" s="1">
        <f>D15*D4*C13</f>
        <v>1.290265068314236</v>
      </c>
      <c r="F15" s="1">
        <f>E15*D4*C12</f>
        <v>1.2897149492451041</v>
      </c>
      <c r="G15" s="1">
        <f>F15*D4*C11</f>
        <v>1.2878211526707815</v>
      </c>
      <c r="H15" s="1">
        <f>G15*D4*C10</f>
        <v>1.2813017177590333</v>
      </c>
      <c r="I15" s="1">
        <f>H15*D4*C9</f>
        <v>1.2588584246700023</v>
      </c>
      <c r="J15" s="1">
        <f>I15*D4*C8</f>
        <v>1.1815969117476945</v>
      </c>
      <c r="K15" s="1">
        <f>J15*D4</f>
        <v>0.91562251327755995</v>
      </c>
      <c r="L15" s="1">
        <f>K15*D4</f>
        <v>0.70951826167241261</v>
      </c>
      <c r="M15" s="242"/>
      <c r="N15" s="97">
        <f>B15+L15</f>
        <v>0.999999999999998</v>
      </c>
      <c r="R15" s="278">
        <f>B15-L15</f>
        <v>-0.41903652334482716</v>
      </c>
      <c r="S15" s="279">
        <f>IF(Rules!B20=Rules!E20,SUM(C15:K15)*B4*F4,SUM(C15:K15)*B4*F4*POWER(O2,A15-1))</f>
        <v>3.4807028349827012</v>
      </c>
      <c r="T15" s="261">
        <f>IF(Rules!B20=Rules!E20,SUM(C15:K15)*D4*H4,SUM(C15:K15)*D4*H4*POWER(O2,A15-1))</f>
        <v>-19.625342220948973</v>
      </c>
      <c r="U15" s="275">
        <f t="shared" si="0"/>
        <v>-78.216713843908195</v>
      </c>
      <c r="V15" s="93">
        <f>(U15+W15*L15)/B15</f>
        <v>-247.28249666369845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0.29048389190042673</v>
      </c>
      <c r="C16" s="131">
        <f>1/(1-D4*B4/(1-D4*B4/(1-D4*B4/(1-D4*B4/(1-D4*B4/(1-D4*B4/(1-D4*B4/(1-D4*B4/(1-D4*B4)))))))))</f>
        <v>1.2904808566398032</v>
      </c>
      <c r="D16" s="139">
        <f>C16*D4*C15</f>
        <v>1.2904673724300453</v>
      </c>
      <c r="E16" s="110">
        <f>D16*D4*C14</f>
        <v>1.2904209527516901</v>
      </c>
      <c r="F16" s="110">
        <f>E16*D4*C13</f>
        <v>1.2902611520234797</v>
      </c>
      <c r="G16" s="110">
        <f>F16*D4*C12</f>
        <v>1.2897110346241025</v>
      </c>
      <c r="H16" s="110">
        <f>G16*D4*C11</f>
        <v>1.2878172437979463</v>
      </c>
      <c r="I16" s="110">
        <f>H16*D4*C10</f>
        <v>1.2812978286743821</v>
      </c>
      <c r="J16" s="110">
        <f>I16*D4*C9</f>
        <v>1.2588546037065949</v>
      </c>
      <c r="K16" s="110">
        <f>J16*D4*C8</f>
        <v>1.1815933252931148</v>
      </c>
      <c r="L16" s="110">
        <f>K16*D4</f>
        <v>0.91561973412459885</v>
      </c>
      <c r="M16" s="244">
        <f>L16*D4</f>
        <v>0.70951610809957089</v>
      </c>
      <c r="N16" s="131">
        <f>B16+M16</f>
        <v>0.99999999999999756</v>
      </c>
      <c r="R16" s="280">
        <f>B16-M16</f>
        <v>-0.41903221619914416</v>
      </c>
      <c r="S16" s="281">
        <f>IF(Rules!B20=Rules!E20,SUM(C16:L16)*B4*F4,SUM(C16:L16)*B4*F4*POWER(O2,A16-1))</f>
        <v>3.8858653911760355</v>
      </c>
      <c r="T16" s="262">
        <f>IF(Rules!B20=Rules!E20,SUM(C16:L16)*D4*H4,SUM(C16:L16)*D4*H4*POWER(O2,A16-1))</f>
        <v>-21.909781369414279</v>
      </c>
      <c r="U16" s="275">
        <f t="shared" si="0"/>
        <v>-96.240629822146445</v>
      </c>
      <c r="V16" s="94">
        <f>(U16+W16*M16)/B16</f>
        <v>-306.88610014805363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-18.188260456939123</v>
      </c>
      <c r="F21" s="8">
        <f t="shared" ref="F21:F30" si="4">U7/E21</f>
        <v>8.0068058441170722E-2</v>
      </c>
      <c r="G21" s="265">
        <f>E21*U7</f>
        <v>26.487540080699389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-100.03543251316518</v>
      </c>
      <c r="T21" s="8">
        <f>U7/S21</f>
        <v>1.4557828807485585E-2</v>
      </c>
      <c r="U21" s="265">
        <f>S21*U7</f>
        <v>145.68147044384665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-241.92464718364084</v>
      </c>
      <c r="F22" s="9">
        <f t="shared" si="4"/>
        <v>1.8961304313738308E-2</v>
      </c>
      <c r="G22" s="266">
        <f t="shared" ref="G22:G30" si="5">E22*U8</f>
        <v>1109.7584002549145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-1429.5547333578777</v>
      </c>
      <c r="T22" s="9">
        <f>U8/S22</f>
        <v>3.2088361146326363E-3</v>
      </c>
      <c r="U22" s="266">
        <f t="shared" ref="U22:U30" si="8">S22*U8</f>
        <v>6557.663274233586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-2586.1663992713106</v>
      </c>
      <c r="F23" s="9">
        <f t="shared" si="4"/>
        <v>3.6771365182373117E-3</v>
      </c>
      <c r="G23" s="266">
        <f t="shared" si="5"/>
        <v>24593.632751643028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-15482.050201043117</v>
      </c>
      <c r="T23" s="9">
        <f t="shared" ref="T23:T30" si="11">U9/S23</f>
        <v>6.1423950868975399E-4</v>
      </c>
      <c r="U23" s="266">
        <f t="shared" si="8"/>
        <v>147229.45012132247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-26328.789907411385</v>
      </c>
      <c r="F24" s="9">
        <f t="shared" si="4"/>
        <v>6.1822305514545243E-4</v>
      </c>
      <c r="G24" s="266">
        <f t="shared" si="5"/>
        <v>428555.42297876411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-157925.34288297882</v>
      </c>
      <c r="T24" s="9">
        <f t="shared" si="11"/>
        <v>1.0306809937974155E-4</v>
      </c>
      <c r="U24" s="266">
        <f t="shared" si="8"/>
        <v>2570561.060963532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-264620.995240836</v>
      </c>
      <c r="F25" s="9">
        <f t="shared" si="4"/>
        <v>9.4138704109985729E-5</v>
      </c>
      <c r="G25" s="266">
        <f t="shared" si="5"/>
        <v>6591994.1396949627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-1587666.4311256835</v>
      </c>
      <c r="T25" s="9">
        <f t="shared" si="11"/>
        <v>1.56903724131804E-5</v>
      </c>
      <c r="U25" s="266">
        <f t="shared" si="8"/>
        <v>39550481.624656208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-2650054.5874497471</v>
      </c>
      <c r="F26" s="9">
        <f t="shared" si="4"/>
        <v>1.3365739405653062E-5</v>
      </c>
      <c r="G26" s="266">
        <f t="shared" si="5"/>
        <v>93864771.90465486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-15900255.973153071</v>
      </c>
      <c r="T26" s="9">
        <f t="shared" si="11"/>
        <v>2.2276332586351983E-6</v>
      </c>
      <c r="U26" s="266">
        <f t="shared" si="8"/>
        <v>563186097.07655334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-26511683.201413713</v>
      </c>
      <c r="F27" s="9">
        <f t="shared" si="4"/>
        <v>1.8032275548749924E-6</v>
      </c>
      <c r="G27" s="266">
        <f t="shared" si="5"/>
        <v>1267433372.4945402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-159070015.69667184</v>
      </c>
      <c r="T27" s="9">
        <f t="shared" si="11"/>
        <v>3.005380835950084E-7</v>
      </c>
      <c r="U27" s="266">
        <f t="shared" si="8"/>
        <v>7604596242.5517187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-265149151.14524817</v>
      </c>
      <c r="F28" s="9">
        <f t="shared" si="4"/>
        <v>2.3410248228152529E-7</v>
      </c>
      <c r="G28" s="266">
        <f t="shared" si="5"/>
        <v>16458357852.347944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-1590894811.4177938</v>
      </c>
      <c r="T28" s="9">
        <f t="shared" si="11"/>
        <v>3.9017082721279198E-8</v>
      </c>
      <c r="U28" s="266">
        <f t="shared" si="8"/>
        <v>98750141189.078781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-2651585358.5527706</v>
      </c>
      <c r="F29" s="9">
        <f t="shared" si="4"/>
        <v>2.9498093882445747E-8</v>
      </c>
      <c r="G29" s="266">
        <f t="shared" si="5"/>
        <v>207398293222.61877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-15909512043.927418</v>
      </c>
      <c r="T29" s="9">
        <f t="shared" si="11"/>
        <v>4.91634901359298E-9</v>
      </c>
      <c r="U29" s="266">
        <f t="shared" si="8"/>
        <v>1244389750936.0818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-26516126160.379681</v>
      </c>
      <c r="F30" s="10">
        <f t="shared" si="4"/>
        <v>3.6295131966127434E-9</v>
      </c>
      <c r="G30" s="267">
        <f t="shared" si="5"/>
        <v>2551928682118.4341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-159096756842.95551</v>
      </c>
      <c r="T30" s="10">
        <f t="shared" si="11"/>
        <v>6.0491886655581312E-10</v>
      </c>
      <c r="U30" s="267">
        <f t="shared" si="8"/>
        <v>15311572081226.926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-18.188260456939123</v>
      </c>
      <c r="F33" s="8">
        <f t="shared" ref="F33:F42" si="14">U7/E33</f>
        <v>8.0068058441170722E-2</v>
      </c>
      <c r="G33" s="268">
        <f>E33*U7</f>
        <v>26.487540080699389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-100.03543251316518</v>
      </c>
      <c r="T33" s="8">
        <f>U7/S33</f>
        <v>1.4557828807485585E-2</v>
      </c>
      <c r="U33" s="268">
        <f>S33*U7</f>
        <v>145.68147044384665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-263.91779692760821</v>
      </c>
      <c r="F34" s="9">
        <f t="shared" si="14"/>
        <v>1.7381195620926781E-2</v>
      </c>
      <c r="G34" s="266">
        <f t="shared" ref="G34:G42" si="16">E34*U8</f>
        <v>1210.6455275508158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-1451.5478831018452</v>
      </c>
      <c r="T34" s="9">
        <f t="shared" ref="T34:T42" si="18">U8/S34</f>
        <v>3.1602173856230507E-3</v>
      </c>
      <c r="U34" s="266">
        <f t="shared" ref="U34:U42" si="19">S34*U8</f>
        <v>6658.5504015294873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-3098.7399198476064</v>
      </c>
      <c r="F35" s="9">
        <f t="shared" si="14"/>
        <v>3.0688883723634704E-3</v>
      </c>
      <c r="G35" s="266">
        <f t="shared" si="16"/>
        <v>29468.046450166872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-15761.635757721097</v>
      </c>
      <c r="T35" s="9">
        <f t="shared" si="18"/>
        <v>6.0334390764869416E-4</v>
      </c>
      <c r="U35" s="266">
        <f t="shared" si="19"/>
        <v>149888.2212296082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-34694.283010306266</v>
      </c>
      <c r="F36" s="9">
        <f t="shared" si="14"/>
        <v>4.6915697695805859E-4</v>
      </c>
      <c r="G36" s="266">
        <f t="shared" si="16"/>
        <v>564721.09742656222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-160840.23141458241</v>
      </c>
      <c r="T36" s="9">
        <f t="shared" si="18"/>
        <v>1.0120020837875317E-4</v>
      </c>
      <c r="U36" s="266">
        <f t="shared" si="19"/>
        <v>2618006.8908702717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-383558.73713920108</v>
      </c>
      <c r="F37" s="9">
        <f t="shared" si="14"/>
        <v>6.494723013760022E-5</v>
      </c>
      <c r="G37" s="266">
        <f t="shared" si="16"/>
        <v>9554861.4543954059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-1617055.5327481469</v>
      </c>
      <c r="T37" s="9">
        <f t="shared" si="18"/>
        <v>1.5405208459310749E-5</v>
      </c>
      <c r="U37" s="266">
        <f t="shared" si="19"/>
        <v>40282595.814952627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-4225261.8597100871</v>
      </c>
      <c r="F38" s="9">
        <f t="shared" si="14"/>
        <v>8.3828979605631033E-6</v>
      </c>
      <c r="G38" s="266">
        <f t="shared" si="16"/>
        <v>149658517.44238678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-16194690.582526285</v>
      </c>
      <c r="T38" s="9">
        <f t="shared" si="18"/>
        <v>2.187132804181272E-6</v>
      </c>
      <c r="U38" s="266">
        <f t="shared" si="19"/>
        <v>573614952.98787594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-46497395.627627961</v>
      </c>
      <c r="F39" s="9">
        <f t="shared" si="14"/>
        <v>1.0281564597243763E-6</v>
      </c>
      <c r="G39" s="266">
        <f t="shared" si="16"/>
        <v>2222882285.7009277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-162015739.71642661</v>
      </c>
      <c r="T39" s="9">
        <f t="shared" si="18"/>
        <v>2.9507378578513874E-7</v>
      </c>
      <c r="U39" s="266">
        <f t="shared" si="19"/>
        <v>7745421285.6254406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-511533680.76735187</v>
      </c>
      <c r="F40" s="9">
        <f t="shared" si="14"/>
        <v>1.2134503903013305E-7</v>
      </c>
      <c r="G40" s="266">
        <f t="shared" si="16"/>
        <v>31751956720.336163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-1620355806.9997778</v>
      </c>
      <c r="T40" s="9">
        <f t="shared" si="18"/>
        <v>3.8307681676948158E-8</v>
      </c>
      <c r="U40" s="266">
        <f t="shared" si="19"/>
        <v>100578846300.44879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-5627069619.5606642</v>
      </c>
      <c r="F41" s="9">
        <f t="shared" si="14"/>
        <v>1.3900079283187365E-8</v>
      </c>
      <c r="G41" s="266">
        <f t="shared" si="16"/>
        <v>440130894212.92584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-16204132615.457901</v>
      </c>
      <c r="T41" s="9">
        <f t="shared" si="18"/>
        <v>4.8269608562258691E-9</v>
      </c>
      <c r="U41" s="266">
        <f t="shared" si="19"/>
        <v>1267434003872.0103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-61898402073.394028</v>
      </c>
      <c r="F42" s="10">
        <f t="shared" si="14"/>
        <v>1.5548160630710989E-9</v>
      </c>
      <c r="G42" s="267">
        <f t="shared" si="16"/>
        <v>5957141200527.8965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-162042993056.48157</v>
      </c>
      <c r="T42" s="10">
        <f t="shared" si="18"/>
        <v>5.9392034179843181E-10</v>
      </c>
      <c r="U42" s="267">
        <f t="shared" si="19"/>
        <v>15595119710021.49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-18.188260456939123</v>
      </c>
      <c r="F45" s="8">
        <f t="shared" ref="F45:F54" si="24">U7/E45</f>
        <v>8.0068058441170722E-2</v>
      </c>
      <c r="G45" s="265">
        <f>E45*U7</f>
        <v>26.487540080699389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-100.03543251316518</v>
      </c>
      <c r="T45" s="8">
        <f>U7/S45</f>
        <v>1.4557828807485585E-2</v>
      </c>
      <c r="U45" s="268">
        <f>S45*U7</f>
        <v>145.68147044384665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-461.85614462331432</v>
      </c>
      <c r="F46" s="9">
        <f t="shared" si="24"/>
        <v>9.9321117833867326E-3</v>
      </c>
      <c r="G46" s="266">
        <f t="shared" ref="G46:G54" si="26">E46*U8</f>
        <v>2118.6296732139276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-2639.177969276082</v>
      </c>
      <c r="T46" s="9">
        <f t="shared" ref="T46:T54" si="29">U8/S46</f>
        <v>1.7381195620926782E-3</v>
      </c>
      <c r="U46" s="266">
        <f t="shared" ref="U46:U54" si="30">S46*U8</f>
        <v>12106.455275508159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-9808.7932801191164</v>
      </c>
      <c r="F47" s="9">
        <f t="shared" si="24"/>
        <v>9.6950630290817464E-4</v>
      </c>
      <c r="G47" s="266">
        <f t="shared" si="26"/>
        <v>93278.553049024471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-56254.943883248467</v>
      </c>
      <c r="T47" s="9">
        <f t="shared" si="29"/>
        <v>1.6904624291751567E-4</v>
      </c>
      <c r="U47" s="266">
        <f t="shared" si="30"/>
        <v>534966.9034129919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-199563.22215149528</v>
      </c>
      <c r="F48" s="9">
        <f t="shared" si="24"/>
        <v>8.156345021572232E-5</v>
      </c>
      <c r="G48" s="266">
        <f t="shared" si="26"/>
        <v>3248303.525566312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-1144840.2444978727</v>
      </c>
      <c r="T48" s="9">
        <f t="shared" si="29"/>
        <v>1.4217760961034128E-5</v>
      </c>
      <c r="U48" s="266">
        <f t="shared" si="30"/>
        <v>18634638.999712974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-4011136.0489116041</v>
      </c>
      <c r="F49" s="9">
        <f t="shared" si="24"/>
        <v>6.2104793426357252E-6</v>
      </c>
      <c r="G49" s="266">
        <f t="shared" si="26"/>
        <v>99921721.267353535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-23011225.972025834</v>
      </c>
      <c r="T49" s="9">
        <f t="shared" si="29"/>
        <v>1.0825619461801282E-6</v>
      </c>
      <c r="U49" s="266">
        <f t="shared" si="30"/>
        <v>573234435.22210062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-80338576.050184637</v>
      </c>
      <c r="F50" s="9">
        <f t="shared" si="24"/>
        <v>4.4088333112206499E-7</v>
      </c>
      <c r="G50" s="266">
        <f t="shared" si="26"/>
        <v>2845587465.1821098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-460889691.86874825</v>
      </c>
      <c r="T50" s="9">
        <f t="shared" si="29"/>
        <v>7.6851228507613515E-8</v>
      </c>
      <c r="U50" s="266">
        <f t="shared" si="30"/>
        <v>16324684783.983559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-1607445372.5428574</v>
      </c>
      <c r="F51" s="9">
        <f t="shared" si="24"/>
        <v>2.9740729291023574E-8</v>
      </c>
      <c r="G51" s="266">
        <f t="shared" si="26"/>
        <v>76846494209.545227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-9221660255.5560627</v>
      </c>
      <c r="T51" s="9">
        <f t="shared" si="29"/>
        <v>5.1841638436096282E-9</v>
      </c>
      <c r="U51" s="266">
        <f t="shared" si="30"/>
        <v>440856201732.03638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-32152823701.253941</v>
      </c>
      <c r="F52" s="9">
        <f t="shared" si="24"/>
        <v>1.9305326037514133E-9</v>
      </c>
      <c r="G52" s="266">
        <f t="shared" si="26"/>
        <v>1995792466817.3147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-184455672767.24191</v>
      </c>
      <c r="T52" s="9">
        <f t="shared" si="29"/>
        <v>3.3651485761713864E-10</v>
      </c>
      <c r="U52" s="266">
        <f t="shared" si="30"/>
        <v>11449546254198.012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-643079228652.93726</v>
      </c>
      <c r="F53" s="9">
        <f t="shared" si="24"/>
        <v>1.2162842517515191E-10</v>
      </c>
      <c r="G53" s="266">
        <f t="shared" si="26"/>
        <v>50299544006508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-3689243995905.4561</v>
      </c>
      <c r="T53" s="9">
        <f t="shared" si="29"/>
        <v>2.1201285122566518E-11</v>
      </c>
      <c r="U53" s="266">
        <f t="shared" si="30"/>
        <v>288560541928093.5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-12861716774656.449</v>
      </c>
      <c r="F54" s="10">
        <f t="shared" si="24"/>
        <v>7.4827203481719596E-12</v>
      </c>
      <c r="G54" s="267">
        <f t="shared" si="26"/>
        <v>1237819722987002.8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-73785638338762.047</v>
      </c>
      <c r="T54" s="10">
        <f t="shared" si="29"/>
        <v>1.3043274001410657E-12</v>
      </c>
      <c r="U54" s="267">
        <f t="shared" si="30"/>
        <v>7101176305551575</v>
      </c>
    </row>
  </sheetData>
  <mergeCells count="2">
    <mergeCell ref="A18:F18"/>
    <mergeCell ref="O18:T18"/>
  </mergeCells>
  <conditionalFormatting sqref="F45:F54">
    <cfRule type="cellIs" dxfId="287" priority="33" operator="equal">
      <formula>MAX($F$45:$F$54)</formula>
    </cfRule>
  </conditionalFormatting>
  <conditionalFormatting sqref="F21:F30">
    <cfRule type="cellIs" dxfId="286" priority="32" operator="equal">
      <formula>MAX($F$21:$F$30)</formula>
    </cfRule>
  </conditionalFormatting>
  <conditionalFormatting sqref="E33:E42">
    <cfRule type="cellIs" dxfId="285" priority="30" stopIfTrue="1" operator="lessThan">
      <formula>0</formula>
    </cfRule>
    <cfRule type="cellIs" dxfId="284" priority="31" operator="equal">
      <formula>MIN($E$33:$E$42)</formula>
    </cfRule>
  </conditionalFormatting>
  <conditionalFormatting sqref="E21:E30">
    <cfRule type="cellIs" dxfId="283" priority="28" stopIfTrue="1" operator="lessThan">
      <formula>0</formula>
    </cfRule>
    <cfRule type="cellIs" dxfId="282" priority="29" operator="equal">
      <formula>MIN($E$21:$E$30)</formula>
    </cfRule>
  </conditionalFormatting>
  <conditionalFormatting sqref="E45:E54">
    <cfRule type="cellIs" dxfId="281" priority="26" stopIfTrue="1" operator="lessThan">
      <formula>0</formula>
    </cfRule>
    <cfRule type="cellIs" dxfId="280" priority="27" operator="equal">
      <formula>MIN($E$45:$E$54)</formula>
    </cfRule>
  </conditionalFormatting>
  <conditionalFormatting sqref="F33:F42">
    <cfRule type="cellIs" dxfId="279" priority="24" operator="lessThanOrEqual">
      <formula>0</formula>
    </cfRule>
    <cfRule type="cellIs" dxfId="278" priority="25" operator="equal">
      <formula>MAX($F$33:$F$42)</formula>
    </cfRule>
  </conditionalFormatting>
  <conditionalFormatting sqref="R7:R16">
    <cfRule type="cellIs" dxfId="277" priority="22" operator="lessThanOrEqual">
      <formula>0</formula>
    </cfRule>
    <cfRule type="cellIs" dxfId="276" priority="23" operator="greaterThan">
      <formula>0</formula>
    </cfRule>
  </conditionalFormatting>
  <conditionalFormatting sqref="T21:T30">
    <cfRule type="cellIs" dxfId="275" priority="19" operator="equal">
      <formula>MAX($T$21:$T$30)</formula>
    </cfRule>
  </conditionalFormatting>
  <conditionalFormatting sqref="S33:S42">
    <cfRule type="cellIs" dxfId="274" priority="17" stopIfTrue="1" operator="lessThan">
      <formula>0</formula>
    </cfRule>
    <cfRule type="cellIs" dxfId="273" priority="18" operator="equal">
      <formula>MIN($E$21:$E$30)</formula>
    </cfRule>
  </conditionalFormatting>
  <conditionalFormatting sqref="T33:T42">
    <cfRule type="cellIs" dxfId="272" priority="16" operator="equal">
      <formula>MAX($T$21:$T$30)</formula>
    </cfRule>
  </conditionalFormatting>
  <conditionalFormatting sqref="S45:S54">
    <cfRule type="cellIs" dxfId="271" priority="14" stopIfTrue="1" operator="lessThan">
      <formula>0</formula>
    </cfRule>
    <cfRule type="cellIs" dxfId="270" priority="15" operator="equal">
      <formula>MIN($E$21:$E$30)</formula>
    </cfRule>
  </conditionalFormatting>
  <conditionalFormatting sqref="T45:T54">
    <cfRule type="cellIs" dxfId="269" priority="13" operator="equal">
      <formula>MAX($T$21:$T$30)</formula>
    </cfRule>
  </conditionalFormatting>
  <conditionalFormatting sqref="S21:S30">
    <cfRule type="cellIs" dxfId="268" priority="11" stopIfTrue="1" operator="lessThan">
      <formula>0</formula>
    </cfRule>
    <cfRule type="cellIs" dxfId="267" priority="12" operator="equal">
      <formula>MIN($E$21:$E$30)</formula>
    </cfRule>
  </conditionalFormatting>
  <conditionalFormatting sqref="U7:U16">
    <cfRule type="cellIs" dxfId="266" priority="7" operator="lessThanOrEqual">
      <formula>0</formula>
    </cfRule>
    <cfRule type="cellIs" dxfId="265" priority="8" operator="greaterThan">
      <formula>0</formula>
    </cfRule>
  </conditionalFormatting>
  <conditionalFormatting sqref="S7:T16">
    <cfRule type="cellIs" dxfId="264" priority="1" operator="lessThanOrEqual">
      <formula>0</formula>
    </cfRule>
    <cfRule type="cellIs" dxfId="263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DA1D-27D7-3943-9C9D-0867B9CE4F42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Analysis!B59</f>
        <v>0.23644706002209237</v>
      </c>
      <c r="D2" s="135" t="s">
        <v>126</v>
      </c>
      <c r="E2" s="141">
        <f>Analysis!L59</f>
        <v>0.76355293997790774</v>
      </c>
      <c r="F2" s="135" t="s">
        <v>47</v>
      </c>
      <c r="G2" s="141">
        <f>Analysis!S59</f>
        <v>1.7050112766240042</v>
      </c>
      <c r="H2" t="s">
        <v>155</v>
      </c>
      <c r="I2" s="155">
        <f>Analysis!T59</f>
        <v>-2.7925497575831706</v>
      </c>
      <c r="J2" t="s">
        <v>48</v>
      </c>
      <c r="K2" s="155">
        <f>C2*G2+E2*I2</f>
        <v>-1.729114673774963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0.23644706002209237</v>
      </c>
      <c r="C4" t="s">
        <v>124</v>
      </c>
      <c r="D4">
        <f>$E$2</f>
        <v>0.76355293997790774</v>
      </c>
      <c r="E4" t="s">
        <v>47</v>
      </c>
      <c r="F4">
        <f>G2</f>
        <v>1.7050112766240042</v>
      </c>
      <c r="G4" t="s">
        <v>155</v>
      </c>
      <c r="H4">
        <f>I2</f>
        <v>-2.7925497575831706</v>
      </c>
      <c r="I4" t="s">
        <v>48</v>
      </c>
      <c r="J4">
        <f>K2</f>
        <v>-1.729114673774963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0.23644706002209237</v>
      </c>
      <c r="C7" s="95">
        <v>1</v>
      </c>
      <c r="D7" s="22">
        <f>C7*D4</f>
        <v>0.76355293997790774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-0.52710587995581537</v>
      </c>
      <c r="S7" s="277">
        <f>IF(Rules!B20=Rules!E20,SUM(C7)*B4*F4,SUM(C7)*B4*F4*POWER(O2,A7-1))</f>
        <v>0.40314490366226025</v>
      </c>
      <c r="T7" s="260">
        <f>IF(Rules!B20=Rules!E20,SUM(C7)*D4*H4,SUM(C7)*D4*H4*POWER(O2,A7-1))</f>
        <v>-2.1322595774372233</v>
      </c>
      <c r="U7" s="274">
        <f>S7+T7</f>
        <v>-1.729114673774963</v>
      </c>
      <c r="V7" s="108">
        <f>(U7+W7*D7)/B7</f>
        <v>-4.0836275727295499</v>
      </c>
      <c r="W7" s="57">
        <f>COUNT(D7:M7)</f>
        <v>1</v>
      </c>
    </row>
    <row r="8" spans="1:23" x14ac:dyDescent="0.2">
      <c r="A8" s="98">
        <v>2</v>
      </c>
      <c r="B8" s="97">
        <f>C8*B4</f>
        <v>0.28854003382064686</v>
      </c>
      <c r="C8" s="97">
        <f>1/(1-B4*D4)</f>
        <v>1.2203155911250798</v>
      </c>
      <c r="D8" s="130">
        <f>C8*D4</f>
        <v>0.93177555730443307</v>
      </c>
      <c r="E8" s="1">
        <f>D8*D4</f>
        <v>0.71145996617935336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1.0000000000000002</v>
      </c>
      <c r="R8" s="278">
        <f>B8-E8</f>
        <v>-0.42291993235870651</v>
      </c>
      <c r="S8" s="279">
        <f>IF(Rules!B20=Rules!E20,SUM(C8:D8)*B4*F4,SUM(C8:D8)*B4*F4*POWER(O2,A8-1))</f>
        <v>0.86760457870601893</v>
      </c>
      <c r="T8" s="261">
        <f>IF(Rules!B20=Rules!E20,SUM(C8:D8)*D4*H4,SUM(C8:D8)*D4*H4*POWER(O2,A8-1))</f>
        <v>-4.5888169627567015</v>
      </c>
      <c r="U8" s="275">
        <f>S8+T8+U7</f>
        <v>-5.4503270578256453</v>
      </c>
      <c r="V8" s="93">
        <f>(U8+W8*E8)/B8</f>
        <v>-13.957879855141099</v>
      </c>
      <c r="W8" s="9">
        <f>COUNT(D8:M8)</f>
        <v>2</v>
      </c>
    </row>
    <row r="9" spans="1:23" x14ac:dyDescent="0.2">
      <c r="A9" s="98">
        <v>3</v>
      </c>
      <c r="B9" s="97">
        <f>C9*B4</f>
        <v>0.30325995663204813</v>
      </c>
      <c r="C9" s="97">
        <f>1/(1-D4*B4/(1-D4*B4))</f>
        <v>1.2825702150989449</v>
      </c>
      <c r="D9" s="130">
        <f>C9*D4*C8</f>
        <v>1.1950675769558861</v>
      </c>
      <c r="E9" s="1">
        <f>D9*(D4)</f>
        <v>0.9124973618569413</v>
      </c>
      <c r="F9" s="1">
        <f>E9*D4</f>
        <v>0.69674004336795226</v>
      </c>
      <c r="G9" s="1"/>
      <c r="H9" s="1"/>
      <c r="I9" s="1"/>
      <c r="J9" s="1"/>
      <c r="K9" s="1"/>
      <c r="L9" s="1"/>
      <c r="M9" s="242"/>
      <c r="N9" s="97">
        <f>B9+F9</f>
        <v>1.0000000000000004</v>
      </c>
      <c r="R9" s="278">
        <f>B9-F9</f>
        <v>-0.39348008673590412</v>
      </c>
      <c r="S9" s="279">
        <f>IF(Rules!B20=Rules!E20,SUM(C9:E9)*B4*F4,SUM(C9:E9)*B4*F4*POWER(O2,A9-1))</f>
        <v>1.3667157100258034</v>
      </c>
      <c r="T9" s="261">
        <f>IF(Rules!B20=Rules!E20,SUM(C9:E9)*D4*H4,SUM(C9:E9)*D4*H4*POWER(O2,A9-1))</f>
        <v>-7.2286481507349922</v>
      </c>
      <c r="U9" s="275">
        <f t="shared" ref="U9:U16" si="0">S9+T9+U8</f>
        <v>-11.312259498534834</v>
      </c>
      <c r="V9" s="93">
        <f>(U9+W9*F9)/B9</f>
        <v>-30.409683727615501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0.30769550156929298</v>
      </c>
      <c r="C10" s="97">
        <f>1/(1-D4*B4/(1-D4*B4/(1-D4*B4)))</f>
        <v>1.3013293611709258</v>
      </c>
      <c r="D10" s="130">
        <f>C10*D4*C9</f>
        <v>1.2744051930388611</v>
      </c>
      <c r="E10" s="1">
        <f>D10*D4*C8</f>
        <v>1.1874596089754483</v>
      </c>
      <c r="F10" s="1">
        <f>E10*D4</f>
        <v>0.90668827553822029</v>
      </c>
      <c r="G10" s="1">
        <f>F10*D4</f>
        <v>0.6923044984307074</v>
      </c>
      <c r="H10" s="1"/>
      <c r="I10" s="1"/>
      <c r="J10" s="1"/>
      <c r="K10" s="1"/>
      <c r="L10" s="1"/>
      <c r="M10" s="242"/>
      <c r="N10" s="97">
        <f>B10+G10</f>
        <v>1.0000000000000004</v>
      </c>
      <c r="R10" s="278">
        <f>B10-G10</f>
        <v>-0.38460899686141442</v>
      </c>
      <c r="S10" s="279">
        <f>IF(Rules!B20=Rules!E20,SUM(C10:F10)*B4*F4,SUM(C10:F10)*B4*F4*POWER(O2,A10-1))</f>
        <v>1.8826393058732489</v>
      </c>
      <c r="T10" s="261">
        <f>IF(Rules!B20=Rules!E20,SUM(C10:F10)*D4*H4,SUM(C10:F10)*D4*H4*POWER(O2,A10-1))</f>
        <v>-9.9574015554739876</v>
      </c>
      <c r="U10" s="275">
        <f t="shared" si="0"/>
        <v>-19.387021748135574</v>
      </c>
      <c r="V10" s="93">
        <f>(U10+W10*G10)/B10</f>
        <v>-54.007301600639153</v>
      </c>
      <c r="W10" s="9">
        <f t="shared" si="1"/>
        <v>4</v>
      </c>
    </row>
    <row r="11" spans="1:23" x14ac:dyDescent="0.2">
      <c r="A11" s="98">
        <v>5</v>
      </c>
      <c r="B11" s="97">
        <f>C11*B4</f>
        <v>0.30905761354927686</v>
      </c>
      <c r="C11" s="97">
        <f>1/(1-D4*B4/(1-D4*B4/(1-D4*B4/(1-D4*B4))))</f>
        <v>1.3070901093902378</v>
      </c>
      <c r="D11" s="130">
        <f>C11*D4*C10</f>
        <v>1.2987689902405426</v>
      </c>
      <c r="E11" s="1">
        <f>D11*D4*C9</f>
        <v>1.2718977955212565</v>
      </c>
      <c r="F11" s="1">
        <f>E11*D4*C8</f>
        <v>1.1851232772560987</v>
      </c>
      <c r="G11" s="1">
        <f>F11*D4</f>
        <v>0.90490436258514717</v>
      </c>
      <c r="H11" s="1">
        <f>G11*D4</f>
        <v>0.6909423864507237</v>
      </c>
      <c r="I11" s="1"/>
      <c r="J11" s="1"/>
      <c r="K11" s="1"/>
      <c r="L11" s="1"/>
      <c r="M11" s="242"/>
      <c r="N11" s="97">
        <f>B11+H11</f>
        <v>1.0000000000000004</v>
      </c>
      <c r="R11" s="278">
        <f>B11-H11</f>
        <v>-0.38188477290144685</v>
      </c>
      <c r="S11" s="279">
        <f>IF(Rules!B20=Rules!E20,SUM(C11:G11)*B4*F4,SUM(C11:G11)*B4*F4*POWER(O2,A11-1))</f>
        <v>2.4058819214369938</v>
      </c>
      <c r="T11" s="261">
        <f>IF(Rules!B20=Rules!E20,SUM(C11:G11)*D4*H4,SUM(C11:G11)*D4*H4*POWER(O2,A11-1))</f>
        <v>-12.724865730821174</v>
      </c>
      <c r="U11" s="275">
        <f t="shared" si="0"/>
        <v>-29.706005557519752</v>
      </c>
      <c r="V11" s="93">
        <f>(U11+W11*H11)/B11</f>
        <v>-84.939805636208888</v>
      </c>
      <c r="W11" s="9">
        <f t="shared" si="1"/>
        <v>5</v>
      </c>
    </row>
    <row r="12" spans="1:23" x14ac:dyDescent="0.2">
      <c r="A12" s="98">
        <v>6</v>
      </c>
      <c r="B12" s="97">
        <f>C12*B4</f>
        <v>0.30947832829795113</v>
      </c>
      <c r="C12" s="97">
        <f>1/(1-D4*B4/(1-D4*B4/(1-D4*B4/(1-D4*B4/(1-D4*B4)))))</f>
        <v>1.3088694283998925</v>
      </c>
      <c r="D12" s="130">
        <f>C12*D4*C11</f>
        <v>1.3062942223558769</v>
      </c>
      <c r="E12" s="1">
        <f>D12*D4*C10</f>
        <v>1.2979781699347837</v>
      </c>
      <c r="F12" s="1">
        <f>E12*D4*C9</f>
        <v>1.2711233370832229</v>
      </c>
      <c r="G12" s="1">
        <f>F12*D4*C8</f>
        <v>1.1844016558133907</v>
      </c>
      <c r="H12" s="1">
        <f>G12*D4</f>
        <v>0.90435336641101649</v>
      </c>
      <c r="I12" s="1">
        <f>H12*D4</f>
        <v>0.6905216717020497</v>
      </c>
      <c r="J12" s="1"/>
      <c r="K12" s="1"/>
      <c r="L12" s="1"/>
      <c r="M12" s="242"/>
      <c r="N12" s="97">
        <f>B12+I12</f>
        <v>1.0000000000000009</v>
      </c>
      <c r="R12" s="278">
        <f>B12-I12</f>
        <v>-0.38104334340409857</v>
      </c>
      <c r="S12" s="279">
        <f>IF(Rules!B20=Rules!E20,SUM(C12:H12)*B4*F4,SUM(C12:H12)*B4*F4*POWER(O2,A12-1))</f>
        <v>2.9320810197990426</v>
      </c>
      <c r="T12" s="261">
        <f>IF(Rules!B20=Rules!E20,SUM(C12:H12)*D4*H4,SUM(C12:H12)*D4*H4*POWER(O2,A12-1))</f>
        <v>-15.507966935695325</v>
      </c>
      <c r="U12" s="275">
        <f t="shared" si="0"/>
        <v>-42.281891473416039</v>
      </c>
      <c r="V12" s="93">
        <f>(U12+W12*I12)/B12</f>
        <v>-123.23564513533736</v>
      </c>
      <c r="W12" s="9">
        <f t="shared" si="1"/>
        <v>6</v>
      </c>
    </row>
    <row r="13" spans="1:23" x14ac:dyDescent="0.2">
      <c r="A13" s="98">
        <v>7</v>
      </c>
      <c r="B13" s="97">
        <f>C13*B4</f>
        <v>0.30960850584928529</v>
      </c>
      <c r="C13" s="97">
        <f>1/(1-D4*B4/(1-D4*B4/(1-D4*B4/(1-D4*B4/(1-D4*B4/(1-D4*B4))))))</f>
        <v>1.3094199852616357</v>
      </c>
      <c r="D13" s="130">
        <f>C13*D4*C12</f>
        <v>1.3086226795660942</v>
      </c>
      <c r="E13" s="1">
        <f>D13*D4*C11</f>
        <v>1.3060479590014353</v>
      </c>
      <c r="F13" s="1">
        <f>E13*D4*C10</f>
        <v>1.2977334743274316</v>
      </c>
      <c r="G13" s="1">
        <f>F13*D4*C9</f>
        <v>1.2708837041647409</v>
      </c>
      <c r="H13" s="1">
        <f>G13*D4*C8</f>
        <v>1.1841783717172238</v>
      </c>
      <c r="I13" s="1">
        <f>H13*D4</f>
        <v>0.90418287718293799</v>
      </c>
      <c r="J13" s="1">
        <f>I13*D4</f>
        <v>0.69039149415071577</v>
      </c>
      <c r="K13" s="1"/>
      <c r="L13" s="1"/>
      <c r="M13" s="242"/>
      <c r="N13" s="97">
        <f>B13+J13</f>
        <v>1.0000000000000011</v>
      </c>
      <c r="R13" s="278">
        <f>B13-J13</f>
        <v>-0.38078298830143048</v>
      </c>
      <c r="S13" s="279">
        <f>IF(Rules!B20=Rules!E20,SUM(C13:I13)*B4*F4,SUM(C13:I13)*B4*F4*POWER(O2,A13-1))</f>
        <v>3.4594142559738947</v>
      </c>
      <c r="T13" s="261">
        <f>IF(Rules!B20=Rules!E20,SUM(C13:I13)*D4*H4,SUM(C13:I13)*D4*H4*POWER(O2,A13-1))</f>
        <v>-18.297066669117189</v>
      </c>
      <c r="U13" s="275">
        <f t="shared" si="0"/>
        <v>-57.119543886559335</v>
      </c>
      <c r="V13" s="93">
        <f>(U13+W13*J13)/B13</f>
        <v>-168.88038422612681</v>
      </c>
      <c r="W13" s="9">
        <f t="shared" si="1"/>
        <v>7</v>
      </c>
    </row>
    <row r="14" spans="1:23" x14ac:dyDescent="0.2">
      <c r="A14" s="98">
        <v>8</v>
      </c>
      <c r="B14" s="97">
        <f>C14*B4</f>
        <v>0.30964880757369134</v>
      </c>
      <c r="C14" s="97">
        <f>1/(1-D4*B4/(1-D4*B4/(1-D4*B4/(1-D4*B4/(1-D4*B4/(1-D4*B4/(1-D4*B4)))))))</f>
        <v>1.3095904323985226</v>
      </c>
      <c r="D14" s="130">
        <f>C14*D4*C13</f>
        <v>1.3093435476406268</v>
      </c>
      <c r="E14" s="1">
        <f>D14*D4*C12</f>
        <v>1.3085462884879449</v>
      </c>
      <c r="F14" s="1">
        <f>E14*D4*C11</f>
        <v>1.3059717182230499</v>
      </c>
      <c r="G14" s="1">
        <f>F14*D4*C10</f>
        <v>1.2976577189085452</v>
      </c>
      <c r="H14" s="1">
        <f>G14*D4*C9</f>
        <v>1.2708095161058912</v>
      </c>
      <c r="I14" s="1">
        <f>H14*D4*C8</f>
        <v>1.1841092450973436</v>
      </c>
      <c r="J14" s="1">
        <f>I14*D4</f>
        <v>0.90413009534909761</v>
      </c>
      <c r="K14" s="1">
        <f>J14*D4</f>
        <v>0.69035119242630949</v>
      </c>
      <c r="L14" s="1"/>
      <c r="M14" s="242"/>
      <c r="N14" s="97">
        <f>B14+K14</f>
        <v>1.0000000000000009</v>
      </c>
      <c r="R14" s="278">
        <f>B14-K14</f>
        <v>-0.38070238485261815</v>
      </c>
      <c r="S14" s="279">
        <f>IF(Rules!B20=Rules!E20,SUM(C14:J14)*B4*F4,SUM(C14:J14)*B4*F4*POWER(O2,A14-1))</f>
        <v>3.9871670207670409</v>
      </c>
      <c r="T14" s="261">
        <f>IF(Rules!B20=Rules!E20,SUM(C14:J14)*D4*H4,SUM(C14:J14)*D4*H4*POWER(O2,A14-1))</f>
        <v>-21.088385316647212</v>
      </c>
      <c r="U14" s="275">
        <f t="shared" si="0"/>
        <v>-74.220762182439501</v>
      </c>
      <c r="V14" s="93">
        <f>(U14+W14*K14)/B14</f>
        <v>-221.85763666046103</v>
      </c>
      <c r="W14" s="9">
        <f t="shared" si="1"/>
        <v>8</v>
      </c>
    </row>
    <row r="15" spans="1:23" x14ac:dyDescent="0.2">
      <c r="A15" s="98">
        <v>9</v>
      </c>
      <c r="B15" s="97">
        <f>C15*B4</f>
        <v>0.30966128672901294</v>
      </c>
      <c r="C15" s="97">
        <f>1/(1-D4*B4/(1-D4*B4/(1-D4*B4/(1-D4*B4/(1-D4*B4/(1-D4*B4/(1-D4*B4/(1-D4*B4))))))))</f>
        <v>1.3096432101971571</v>
      </c>
      <c r="D15" s="130">
        <f>C15*D4*C14</f>
        <v>1.3095667595453533</v>
      </c>
      <c r="E15" s="1">
        <f>D15*D4*C13</f>
        <v>1.3093198792502776</v>
      </c>
      <c r="F15" s="1">
        <f>E15*D4*C12</f>
        <v>1.3085226345092762</v>
      </c>
      <c r="G15" s="1">
        <f>F15*D4*C11</f>
        <v>1.3059481107836828</v>
      </c>
      <c r="H15" s="1">
        <f>G15*D4*C10</f>
        <v>1.2976342617574517</v>
      </c>
      <c r="I15" s="1">
        <f>H15*D4*C9</f>
        <v>1.2707865442771908</v>
      </c>
      <c r="J15" s="1">
        <f>I15*D4*C8</f>
        <v>1.1840878405088542</v>
      </c>
      <c r="K15" s="1">
        <f>J15*D4</f>
        <v>0.90411375181262754</v>
      </c>
      <c r="L15" s="1">
        <f>K15*D4</f>
        <v>0.69033871327098817</v>
      </c>
      <c r="M15" s="242"/>
      <c r="N15" s="97">
        <f>B15+L15</f>
        <v>1.0000000000000011</v>
      </c>
      <c r="R15" s="278">
        <f>B15-L15</f>
        <v>-0.38067742654197523</v>
      </c>
      <c r="S15" s="279">
        <f>IF(Rules!B20=Rules!E20,SUM(C15:K15)*B4*F4,SUM(C15:K15)*B4*F4*POWER(O2,A15-1))</f>
        <v>4.5150709324222413</v>
      </c>
      <c r="T15" s="261">
        <f>IF(Rules!B20=Rules!E20,SUM(C15:K15)*D4*H4,SUM(C15:K15)*D4*H4*POWER(O2,A15-1))</f>
        <v>-23.880503389746767</v>
      </c>
      <c r="U15" s="275">
        <f t="shared" si="0"/>
        <v>-93.586194639764031</v>
      </c>
      <c r="V15" s="93">
        <f>(U15+W15*L15)/B15</f>
        <v>-282.15715029559402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0.30966515101867598</v>
      </c>
      <c r="C16" s="131">
        <f>1/(1-D4*B4/(1-D4*B4/(1-D4*B4/(1-D4*B4/(1-D4*B4/(1-D4*B4/(1-D4*B4/(1-D4*B4/(1-D4*B4)))))))))</f>
        <v>1.309659553346709</v>
      </c>
      <c r="D16" s="139">
        <f>C16*D4*C15</f>
        <v>1.3096358792440728</v>
      </c>
      <c r="E16" s="110">
        <f>D16*D4*C14</f>
        <v>1.3095594290202148</v>
      </c>
      <c r="F16" s="110">
        <f>E16*D4*C13</f>
        <v>1.3093125501070941</v>
      </c>
      <c r="G16" s="110">
        <f>F16*D4*C12</f>
        <v>1.3085153098288074</v>
      </c>
      <c r="H16" s="110">
        <f>G16*D4*C11</f>
        <v>1.3059408005145532</v>
      </c>
      <c r="I16" s="110">
        <f>H16*D4*C10</f>
        <v>1.2976269980265216</v>
      </c>
      <c r="J16" s="110">
        <f>I16*D4*C9</f>
        <v>1.2707794308309763</v>
      </c>
      <c r="K16" s="110">
        <f>J16*D4*C8</f>
        <v>1.1840812123735434</v>
      </c>
      <c r="L16" s="110">
        <f>K16*D4</f>
        <v>0.90410869088042434</v>
      </c>
      <c r="M16" s="244">
        <f>L16*D4</f>
        <v>0.69033484898132536</v>
      </c>
      <c r="N16" s="131">
        <f>B16+M16</f>
        <v>1.0000000000000013</v>
      </c>
      <c r="R16" s="280">
        <f>B16-M16</f>
        <v>-0.38066969796264938</v>
      </c>
      <c r="S16" s="281">
        <f>IF(Rules!B20=Rules!E20,SUM(C16:L16)*B4*F4,SUM(C16:L16)*B4*F4*POWER(O2,A16-1))</f>
        <v>5.043028233000574</v>
      </c>
      <c r="T16" s="262">
        <f>IF(Rules!B20=Rules!E20,SUM(C16:L16)*D4*H4,SUM(C16:L16)*D4*H4*POWER(O2,A16-1))</f>
        <v>-26.672903840328072</v>
      </c>
      <c r="U16" s="275">
        <f t="shared" si="0"/>
        <v>-115.21607024709152</v>
      </c>
      <c r="V16" s="94">
        <f>(U16+W16*M16)/B16</f>
        <v>-349.7736874846014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-18.971520486241303</v>
      </c>
      <c r="F21" s="8">
        <f t="shared" ref="F21:F30" si="4">U7/E21</f>
        <v>9.1142651166466443E-2</v>
      </c>
      <c r="G21" s="265">
        <f>E21*U7</f>
        <v>32.803934456582155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-104.34336267432717</v>
      </c>
      <c r="T21" s="8">
        <f>U7/S21</f>
        <v>1.6571391121175717E-2</v>
      </c>
      <c r="U21" s="265">
        <f>S21*U7</f>
        <v>180.42163951120187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-260.09651374554198</v>
      </c>
      <c r="F22" s="9">
        <f t="shared" si="4"/>
        <v>2.0955017732985907E-2</v>
      </c>
      <c r="G22" s="266">
        <f t="shared" ref="G22:G30" si="5">E22*U8</f>
        <v>1417.6110665134474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-1536.9339448600208</v>
      </c>
      <c r="T22" s="9">
        <f>U8/S22</f>
        <v>3.5462337701976151E-3</v>
      </c>
      <c r="U22" s="266">
        <f t="shared" ref="U22:U30" si="8">S22*U8</f>
        <v>8376.7926657612788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-2820.9813848724943</v>
      </c>
      <c r="F23" s="9">
        <f t="shared" si="4"/>
        <v>4.0100440078040915E-3</v>
      </c>
      <c r="G23" s="266">
        <f t="shared" si="5"/>
        <v>31911.673466213826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-16887.76693916912</v>
      </c>
      <c r="T23" s="9">
        <f t="shared" ref="T23:T30" si="11">U9/S23</f>
        <v>6.6984933764673319E-4</v>
      </c>
      <c r="U23" s="266">
        <f t="shared" si="8"/>
        <v>191038.80196665842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-28886.479751286861</v>
      </c>
      <c r="F24" s="9">
        <f t="shared" si="4"/>
        <v>6.7114518331960835E-4</v>
      </c>
      <c r="G24" s="266">
        <f t="shared" si="5"/>
        <v>560022.81116527622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-173266.8776440825</v>
      </c>
      <c r="T24" s="9">
        <f t="shared" si="11"/>
        <v>1.11891101240709E-4</v>
      </c>
      <c r="U24" s="266">
        <f t="shared" si="8"/>
        <v>3359128.7251173728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-290951.63746859896</v>
      </c>
      <c r="F25" s="9">
        <f t="shared" si="4"/>
        <v>1.0209946166989963E-4</v>
      </c>
      <c r="G25" s="266">
        <f t="shared" si="5"/>
        <v>8643010.9596116729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-1745644.3600385154</v>
      </c>
      <c r="T25" s="9">
        <f t="shared" si="11"/>
        <v>1.7017215096930928E-5</v>
      </c>
      <c r="U25" s="266">
        <f t="shared" si="8"/>
        <v>51856121.060757153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-2915967.4856769815</v>
      </c>
      <c r="F26" s="9">
        <f t="shared" si="4"/>
        <v>1.450012446335619E-5</v>
      </c>
      <c r="G26" s="266">
        <f t="shared" si="5"/>
        <v>123292620.76940396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-17495726.182861045</v>
      </c>
      <c r="T26" s="9">
        <f t="shared" si="11"/>
        <v>2.4166982857125259E-6</v>
      </c>
      <c r="U26" s="266">
        <f t="shared" si="8"/>
        <v>739752395.71233416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-29179638.642901681</v>
      </c>
      <c r="F27" s="9">
        <f t="shared" si="4"/>
        <v>1.9575137507898642E-6</v>
      </c>
      <c r="G27" s="266">
        <f t="shared" si="5"/>
        <v>1666727650.0571651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-175077739.94153917</v>
      </c>
      <c r="T27" s="9">
        <f t="shared" si="11"/>
        <v>3.2625246308087093E-7</v>
      </c>
      <c r="U27" s="266">
        <f t="shared" si="8"/>
        <v>10000360650.150368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-291858192.70087999</v>
      </c>
      <c r="F28" s="9">
        <f t="shared" si="4"/>
        <v>2.5430419305894551E-7</v>
      </c>
      <c r="G28" s="266">
        <f t="shared" si="5"/>
        <v>21661937511.448612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-1751149051.1363294</v>
      </c>
      <c r="T28" s="9">
        <f t="shared" si="11"/>
        <v>4.2384034719533023E-8</v>
      </c>
      <c r="U28" s="266">
        <f t="shared" si="8"/>
        <v>129971617270.39409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-2918773303.9313374</v>
      </c>
      <c r="F29" s="9">
        <f t="shared" si="4"/>
        <v>3.2063536593853125E-8</v>
      </c>
      <c r="G29" s="266">
        <f t="shared" si="5"/>
        <v>273156886531.06528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-17512639705.377705</v>
      </c>
      <c r="T29" s="9">
        <f t="shared" si="11"/>
        <v>5.3439228017136667E-9</v>
      </c>
      <c r="U29" s="266">
        <f t="shared" si="8"/>
        <v>1638941308123.5376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-29188325652.04652</v>
      </c>
      <c r="F30" s="10">
        <f t="shared" si="4"/>
        <v>3.9473339999210682E-9</v>
      </c>
      <c r="G30" s="267">
        <f t="shared" si="5"/>
        <v>3362964178721.1753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-175129953780.93167</v>
      </c>
      <c r="T30" s="10">
        <f t="shared" si="11"/>
        <v>6.5788900048026146E-10</v>
      </c>
      <c r="U30" s="267">
        <f t="shared" si="8"/>
        <v>20177785057193.715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-18.971520486241303</v>
      </c>
      <c r="F33" s="8">
        <f t="shared" ref="F33:F42" si="14">U7/E33</f>
        <v>9.1142651166466443E-2</v>
      </c>
      <c r="G33" s="268">
        <f>E33*U7</f>
        <v>32.803934456582155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-104.34336267432717</v>
      </c>
      <c r="T33" s="8">
        <f>U7/S33</f>
        <v>1.6571391121175717E-2</v>
      </c>
      <c r="U33" s="268">
        <f>S33*U7</f>
        <v>180.42163951120187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-283.74165135877308</v>
      </c>
      <c r="F34" s="9">
        <f t="shared" si="14"/>
        <v>1.9208766255237084E-2</v>
      </c>
      <c r="G34" s="266">
        <f t="shared" ref="G34:G42" si="16">E34*U8</f>
        <v>1546.4847998328516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-1560.5790824732519</v>
      </c>
      <c r="T34" s="9">
        <f t="shared" ref="T34:T42" si="18">U8/S34</f>
        <v>3.4925029554976512E-3</v>
      </c>
      <c r="U34" s="266">
        <f t="shared" ref="U34:U42" si="19">S34*U8</f>
        <v>8505.6663990806846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-3380.0948125048808</v>
      </c>
      <c r="F35" s="9">
        <f t="shared" si="14"/>
        <v>3.3467284576410086E-3</v>
      </c>
      <c r="G35" s="266">
        <f t="shared" si="16"/>
        <v>38236.509648706655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-17192.737899695876</v>
      </c>
      <c r="T35" s="9">
        <f t="shared" si="18"/>
        <v>6.5796730948448521E-4</v>
      </c>
      <c r="U35" s="266">
        <f t="shared" si="19"/>
        <v>194488.71261165451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-38064.632183513924</v>
      </c>
      <c r="F36" s="9">
        <f t="shared" si="14"/>
        <v>5.093185100191836E-4</v>
      </c>
      <c r="G36" s="266">
        <f t="shared" si="16"/>
        <v>737959.85197656578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-176464.93075786132</v>
      </c>
      <c r="T36" s="9">
        <f t="shared" si="18"/>
        <v>1.0986331201828271E-4</v>
      </c>
      <c r="U36" s="266">
        <f t="shared" si="19"/>
        <v>3421129.4503858956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-421724.06816954241</v>
      </c>
      <c r="F37" s="9">
        <f t="shared" si="14"/>
        <v>7.0439436113893501E-5</v>
      </c>
      <c r="G37" s="266">
        <f t="shared" si="16"/>
        <v>12527737.512784265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-1777957.7720298979</v>
      </c>
      <c r="T37" s="9">
        <f t="shared" si="18"/>
        <v>1.6707936501553885E-5</v>
      </c>
      <c r="U37" s="266">
        <f t="shared" si="19"/>
        <v>52816023.456955582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-4649234.8722681943</v>
      </c>
      <c r="F38" s="9">
        <f t="shared" si="14"/>
        <v>9.0943763081576097E-6</v>
      </c>
      <c r="G38" s="266">
        <f t="shared" si="16"/>
        <v>196578444.30366507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-17819705.074336078</v>
      </c>
      <c r="T38" s="9">
        <f t="shared" si="18"/>
        <v>2.3727604523775413E-6</v>
      </c>
      <c r="U38" s="266">
        <f t="shared" si="19"/>
        <v>753450836.04135919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-51176577.207209215</v>
      </c>
      <c r="F39" s="9">
        <f t="shared" si="14"/>
        <v>1.1161266931801164E-6</v>
      </c>
      <c r="G39" s="266">
        <f t="shared" si="16"/>
        <v>2923182747.7510791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-178319901.58722359</v>
      </c>
      <c r="T39" s="9">
        <f t="shared" si="18"/>
        <v>3.2032063374945181E-7</v>
      </c>
      <c r="U39" s="266">
        <f t="shared" si="19"/>
        <v>10185551444.558359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-563061563.38627887</v>
      </c>
      <c r="F40" s="9">
        <f t="shared" si="14"/>
        <v>1.3181642471930125E-7</v>
      </c>
      <c r="G40" s="266">
        <f t="shared" si="16"/>
        <v>41790858390.165588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-1783577715.8655493</v>
      </c>
      <c r="T40" s="9">
        <f t="shared" si="18"/>
        <v>4.1613416405811636E-8</v>
      </c>
      <c r="U40" s="266">
        <f t="shared" si="19"/>
        <v>132378497483.15559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-6194083298.8687916</v>
      </c>
      <c r="F41" s="9">
        <f t="shared" si="14"/>
        <v>1.5108966109134411E-8</v>
      </c>
      <c r="G41" s="266">
        <f t="shared" si="16"/>
        <v>579680685222.84644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-17836947823.990005</v>
      </c>
      <c r="T41" s="9">
        <f t="shared" si="18"/>
        <v>5.2467605760383631E-9</v>
      </c>
      <c r="U41" s="266">
        <f t="shared" si="19"/>
        <v>1669292070835.2441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-68136299628.831848</v>
      </c>
      <c r="F42" s="10">
        <f t="shared" si="14"/>
        <v>1.6909645941256529E-9</v>
      </c>
      <c r="G42" s="267">
        <f t="shared" si="16"/>
        <v>7850396684412.3662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-178373101046.41516</v>
      </c>
      <c r="T42" s="10">
        <f t="shared" si="18"/>
        <v>6.459273823866004E-10</v>
      </c>
      <c r="U42" s="267">
        <f t="shared" si="19"/>
        <v>20551447740355.324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-18.971520486241303</v>
      </c>
      <c r="F45" s="8">
        <f t="shared" ref="F45:F54" si="24">U7/E45</f>
        <v>9.1142651166466443E-2</v>
      </c>
      <c r="G45" s="265">
        <f>E45*U7</f>
        <v>32.803934456582155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-104.34336267432717</v>
      </c>
      <c r="T45" s="8">
        <f>U7/S45</f>
        <v>1.6571391121175717E-2</v>
      </c>
      <c r="U45" s="268">
        <f>S45*U7</f>
        <v>180.42163951120187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-496.54788987785292</v>
      </c>
      <c r="F46" s="9">
        <f t="shared" si="24"/>
        <v>1.0976437860135475E-2</v>
      </c>
      <c r="G46" s="266">
        <f t="shared" ref="G46:G54" si="26">E46*U8</f>
        <v>2706.3483997074904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-2837.4165135877311</v>
      </c>
      <c r="T46" s="9">
        <f t="shared" ref="T46:T54" si="29">U8/S46</f>
        <v>1.9208766255237081E-3</v>
      </c>
      <c r="U46" s="266">
        <f t="shared" ref="U46:U54" si="30">S46*U8</f>
        <v>15464.847998328518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-10699.397865147028</v>
      </c>
      <c r="F47" s="9">
        <f t="shared" si="24"/>
        <v>1.0572800115587985E-3</v>
      </c>
      <c r="G47" s="266">
        <f t="shared" si="26"/>
        <v>121034.36512861279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-61362.698682654394</v>
      </c>
      <c r="T47" s="9">
        <f t="shared" si="29"/>
        <v>1.8435074958221337E-4</v>
      </c>
      <c r="U47" s="266">
        <f t="shared" si="30"/>
        <v>694150.77102858806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-218949.63635066306</v>
      </c>
      <c r="F48" s="9">
        <f t="shared" si="24"/>
        <v>8.8545576376687426E-5</v>
      </c>
      <c r="G48" s="266">
        <f t="shared" si="26"/>
        <v>4244781.3616766799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-1256054.8607605014</v>
      </c>
      <c r="T48" s="9">
        <f t="shared" si="29"/>
        <v>1.5434852691384313E-5</v>
      </c>
      <c r="U48" s="266">
        <f t="shared" si="30"/>
        <v>24351162.902415238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-4410257.0186390877</v>
      </c>
      <c r="F49" s="9">
        <f t="shared" si="24"/>
        <v>6.7356631216668632E-6</v>
      </c>
      <c r="G49" s="266">
        <f t="shared" si="26"/>
        <v>131011119.50578323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-25300917.149931729</v>
      </c>
      <c r="T49" s="9">
        <f t="shared" si="29"/>
        <v>1.1741078547265197E-6</v>
      </c>
      <c r="U49" s="266">
        <f t="shared" si="30"/>
        <v>751589185.46621871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-88399943.426587328</v>
      </c>
      <c r="F50" s="9">
        <f t="shared" si="24"/>
        <v>4.7830224584396354E-7</v>
      </c>
      <c r="G50" s="266">
        <f t="shared" si="26"/>
        <v>3737716814.2190828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-507136480.25880057</v>
      </c>
      <c r="T50" s="9">
        <f t="shared" si="29"/>
        <v>8.3373792103930005E-8</v>
      </c>
      <c r="U50" s="266">
        <f t="shared" si="30"/>
        <v>21442689620.512802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-1769207739.5713563</v>
      </c>
      <c r="F51" s="9">
        <f t="shared" si="24"/>
        <v>3.2285379839225811E-8</v>
      </c>
      <c r="G51" s="266">
        <f t="shared" si="26"/>
        <v>101056339124.88652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-10149665409.791315</v>
      </c>
      <c r="T51" s="9">
        <f t="shared" si="29"/>
        <v>5.6277267851072696E-9</v>
      </c>
      <c r="U51" s="266">
        <f t="shared" si="30"/>
        <v>579744258808.46826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-35391646456.893318</v>
      </c>
      <c r="F52" s="9">
        <f t="shared" si="24"/>
        <v>2.0971265711766098E-9</v>
      </c>
      <c r="G52" s="266">
        <f t="shared" si="26"/>
        <v>2626794974922.0566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-203036287518.72375</v>
      </c>
      <c r="T52" s="9">
        <f t="shared" si="29"/>
        <v>3.655541730469976E-10</v>
      </c>
      <c r="U52" s="266">
        <f t="shared" si="30"/>
        <v>15069508010332.605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-707879336733.63367</v>
      </c>
      <c r="F53" s="9">
        <f t="shared" si="24"/>
        <v>1.3220642245555384E-10</v>
      </c>
      <c r="G53" s="266">
        <f t="shared" si="26"/>
        <v>66247733389020.906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-4060991984363.2729</v>
      </c>
      <c r="T53" s="9">
        <f t="shared" si="29"/>
        <v>2.3045156208166589E-11</v>
      </c>
      <c r="U53" s="266">
        <f t="shared" si="30"/>
        <v>380052786279142.81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-14157874170322.865</v>
      </c>
      <c r="F54" s="10">
        <f t="shared" si="24"/>
        <v>8.1379498688159384E-12</v>
      </c>
      <c r="G54" s="267">
        <f t="shared" si="26"/>
        <v>1631214624957401.8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-81221488661263.688</v>
      </c>
      <c r="T54" s="10">
        <f t="shared" si="29"/>
        <v>1.4185417202534063E-12</v>
      </c>
      <c r="U54" s="267">
        <f t="shared" si="30"/>
        <v>9358020743169504</v>
      </c>
    </row>
  </sheetData>
  <mergeCells count="2">
    <mergeCell ref="A18:F18"/>
    <mergeCell ref="O18:T18"/>
  </mergeCells>
  <conditionalFormatting sqref="F45:F54">
    <cfRule type="cellIs" dxfId="260" priority="33" operator="equal">
      <formula>MAX($F$45:$F$54)</formula>
    </cfRule>
  </conditionalFormatting>
  <conditionalFormatting sqref="F21:F30">
    <cfRule type="cellIs" dxfId="259" priority="32" operator="equal">
      <formula>MAX($F$21:$F$30)</formula>
    </cfRule>
  </conditionalFormatting>
  <conditionalFormatting sqref="E33:E42">
    <cfRule type="cellIs" dxfId="258" priority="30" stopIfTrue="1" operator="lessThan">
      <formula>0</formula>
    </cfRule>
    <cfRule type="cellIs" dxfId="257" priority="31" operator="equal">
      <formula>MIN($E$33:$E$42)</formula>
    </cfRule>
  </conditionalFormatting>
  <conditionalFormatting sqref="E21:E30">
    <cfRule type="cellIs" dxfId="256" priority="28" stopIfTrue="1" operator="lessThan">
      <formula>0</formula>
    </cfRule>
    <cfRule type="cellIs" dxfId="255" priority="29" operator="equal">
      <formula>MIN($E$21:$E$30)</formula>
    </cfRule>
  </conditionalFormatting>
  <conditionalFormatting sqref="E45:E54">
    <cfRule type="cellIs" dxfId="254" priority="26" stopIfTrue="1" operator="lessThan">
      <formula>0</formula>
    </cfRule>
    <cfRule type="cellIs" dxfId="253" priority="27" operator="equal">
      <formula>MIN($E$45:$E$54)</formula>
    </cfRule>
  </conditionalFormatting>
  <conditionalFormatting sqref="F33:F42">
    <cfRule type="cellIs" dxfId="252" priority="24" operator="lessThanOrEqual">
      <formula>0</formula>
    </cfRule>
    <cfRule type="cellIs" dxfId="251" priority="25" operator="equal">
      <formula>MAX($F$33:$F$42)</formula>
    </cfRule>
  </conditionalFormatting>
  <conditionalFormatting sqref="R7:R16">
    <cfRule type="cellIs" dxfId="250" priority="22" operator="lessThanOrEqual">
      <formula>0</formula>
    </cfRule>
    <cfRule type="cellIs" dxfId="249" priority="23" operator="greaterThan">
      <formula>0</formula>
    </cfRule>
  </conditionalFormatting>
  <conditionalFormatting sqref="T21:T30">
    <cfRule type="cellIs" dxfId="248" priority="19" operator="equal">
      <formula>MAX($T$21:$T$30)</formula>
    </cfRule>
  </conditionalFormatting>
  <conditionalFormatting sqref="S33:S42">
    <cfRule type="cellIs" dxfId="247" priority="17" stopIfTrue="1" operator="lessThan">
      <formula>0</formula>
    </cfRule>
    <cfRule type="cellIs" dxfId="246" priority="18" operator="equal">
      <formula>MIN($E$21:$E$30)</formula>
    </cfRule>
  </conditionalFormatting>
  <conditionalFormatting sqref="T33:T42">
    <cfRule type="cellIs" dxfId="245" priority="16" operator="equal">
      <formula>MAX($T$21:$T$30)</formula>
    </cfRule>
  </conditionalFormatting>
  <conditionalFormatting sqref="S45:S54">
    <cfRule type="cellIs" dxfId="244" priority="14" stopIfTrue="1" operator="lessThan">
      <formula>0</formula>
    </cfRule>
    <cfRule type="cellIs" dxfId="243" priority="15" operator="equal">
      <formula>MIN($E$21:$E$30)</formula>
    </cfRule>
  </conditionalFormatting>
  <conditionalFormatting sqref="T45:T54">
    <cfRule type="cellIs" dxfId="242" priority="13" operator="equal">
      <formula>MAX($T$21:$T$30)</formula>
    </cfRule>
  </conditionalFormatting>
  <conditionalFormatting sqref="S21:S30">
    <cfRule type="cellIs" dxfId="241" priority="11" stopIfTrue="1" operator="lessThan">
      <formula>0</formula>
    </cfRule>
    <cfRule type="cellIs" dxfId="240" priority="12" operator="equal">
      <formula>MIN($E$21:$E$30)</formula>
    </cfRule>
  </conditionalFormatting>
  <conditionalFormatting sqref="U7:U16">
    <cfRule type="cellIs" dxfId="239" priority="7" operator="lessThanOrEqual">
      <formula>0</formula>
    </cfRule>
    <cfRule type="cellIs" dxfId="238" priority="8" operator="greaterThan">
      <formula>0</formula>
    </cfRule>
  </conditionalFormatting>
  <conditionalFormatting sqref="S7:T16">
    <cfRule type="cellIs" dxfId="237" priority="1" operator="lessThanOrEqual">
      <formula>0</formula>
    </cfRule>
    <cfRule type="cellIs" dxfId="23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166F-4FCC-BD4D-8A94-40AC9759472F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35" t="s">
        <v>125</v>
      </c>
      <c r="C2" s="141">
        <f>Analysis!B60</f>
        <v>0.24437800040267971</v>
      </c>
      <c r="D2" s="135" t="s">
        <v>126</v>
      </c>
      <c r="E2" s="141">
        <f>Analysis!M60</f>
        <v>0.75562199959732068</v>
      </c>
      <c r="F2" s="135" t="s">
        <v>47</v>
      </c>
      <c r="G2" s="141">
        <f>Analysis!S60</f>
        <v>2.0221922083522257</v>
      </c>
      <c r="H2" t="s">
        <v>155</v>
      </c>
      <c r="I2" s="155">
        <f>Analysis!T60</f>
        <v>-3.3120439956280121</v>
      </c>
      <c r="J2" t="s">
        <v>48</v>
      </c>
      <c r="K2" s="155">
        <f>C2*G2+E2*I2</f>
        <v>-2.0084740184237422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0.24437800040267971</v>
      </c>
      <c r="C4" t="s">
        <v>124</v>
      </c>
      <c r="D4">
        <f>$E$2</f>
        <v>0.75562199959732068</v>
      </c>
      <c r="E4" t="s">
        <v>47</v>
      </c>
      <c r="F4">
        <f>G2</f>
        <v>2.0221922083522257</v>
      </c>
      <c r="G4" t="s">
        <v>155</v>
      </c>
      <c r="H4">
        <f>I2</f>
        <v>-3.3120439956280121</v>
      </c>
      <c r="I4" t="s">
        <v>48</v>
      </c>
      <c r="J4">
        <f>K2</f>
        <v>-2.0084740184237422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0.24437800040267971</v>
      </c>
      <c r="C7" s="95">
        <v>1</v>
      </c>
      <c r="D7" s="22">
        <f>C7*D4</f>
        <v>0.75562199959732068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1.0000000000000004</v>
      </c>
      <c r="R7" s="276">
        <f>B7-D7</f>
        <v>-0.51124399919464092</v>
      </c>
      <c r="S7" s="277">
        <f>IF(Rules!B20=Rules!E20,SUM(C7)*B4*F4,SUM(C7)*B4*F4*POWER(O2,A7-1))</f>
        <v>0.49417928830699598</v>
      </c>
      <c r="T7" s="260">
        <f>IF(Rules!B20=Rules!E20,SUM(C7)*D4*H4,SUM(C7)*D4*H4*POWER(O2,A7-1))</f>
        <v>-2.5026533067307382</v>
      </c>
      <c r="U7" s="274">
        <f>S7+T7</f>
        <v>-2.0084740184237422</v>
      </c>
      <c r="V7" s="108">
        <f>(U7+W7*D7)/B7</f>
        <v>-5.1266972344564756</v>
      </c>
      <c r="W7" s="57">
        <f>COUNT(D7:M7)</f>
        <v>1</v>
      </c>
    </row>
    <row r="8" spans="1:23" x14ac:dyDescent="0.2">
      <c r="A8" s="98">
        <v>2</v>
      </c>
      <c r="B8" s="97">
        <f>C8*B4</f>
        <v>0.29972431024833129</v>
      </c>
      <c r="C8" s="97">
        <f>1/(1-B4*D4)</f>
        <v>1.2264782826377718</v>
      </c>
      <c r="D8" s="130">
        <f>C8*D4</f>
        <v>0.92675397238944102</v>
      </c>
      <c r="E8" s="1">
        <f>D8*D4</f>
        <v>0.70027568975166954</v>
      </c>
      <c r="F8" s="1"/>
      <c r="G8" s="1"/>
      <c r="H8" s="1"/>
      <c r="I8" s="1"/>
      <c r="J8" s="1"/>
      <c r="K8" s="1"/>
      <c r="L8" s="1"/>
      <c r="M8" s="242"/>
      <c r="N8" s="97">
        <f>B8+E8</f>
        <v>1.0000000000000009</v>
      </c>
      <c r="R8" s="278">
        <f>B8-E8</f>
        <v>-0.40055137950333825</v>
      </c>
      <c r="S8" s="279">
        <f>IF(Rules!B20=Rules!E20,SUM(C8:D8)*B4*F4,SUM(C8:D8)*B4*F4*POWER(O2,A8-1))</f>
        <v>1.0640827833490161</v>
      </c>
      <c r="T8" s="261">
        <f>IF(Rules!B20=Rules!E20,SUM(C8:D8)*D4*H4,SUM(C8:D8)*D4*H4*POWER(O2,A8-1))</f>
        <v>-5.3887938232031383</v>
      </c>
      <c r="U8" s="275">
        <f>S8+T8+U7</f>
        <v>-6.3331850582778646</v>
      </c>
      <c r="V8" s="93">
        <f>(U8+W8*E8)/B8</f>
        <v>-16.457235900176663</v>
      </c>
      <c r="W8" s="9">
        <f>COUNT(D8:M8)</f>
        <v>2</v>
      </c>
    </row>
    <row r="9" spans="1:23" x14ac:dyDescent="0.2">
      <c r="A9" s="98">
        <v>3</v>
      </c>
      <c r="B9" s="97">
        <f>C9*B4</f>
        <v>0.31592907466907133</v>
      </c>
      <c r="C9" s="97">
        <f>1/(1-D4*B4/(1-D4*B4))</f>
        <v>1.2927885249428821</v>
      </c>
      <c r="D9" s="130">
        <f>C9*D4*C8</f>
        <v>1.198096900950302</v>
      </c>
      <c r="E9" s="1">
        <f>D9*(D4)</f>
        <v>0.9053083760074202</v>
      </c>
      <c r="F9" s="1">
        <f>E9*D4</f>
        <v>0.68407092533092995</v>
      </c>
      <c r="G9" s="1"/>
      <c r="H9" s="1"/>
      <c r="I9" s="1"/>
      <c r="J9" s="1"/>
      <c r="K9" s="1"/>
      <c r="L9" s="1"/>
      <c r="M9" s="242"/>
      <c r="N9" s="97">
        <f>B9+F9</f>
        <v>1.0000000000000013</v>
      </c>
      <c r="R9" s="278">
        <f>B9-F9</f>
        <v>-0.36814185066185862</v>
      </c>
      <c r="S9" s="279">
        <f>IF(Rules!B20=Rules!E20,SUM(C9:E9)*B4*F4,SUM(C9:E9)*B4*F4*POWER(O2,A9-1))</f>
        <v>1.6783286359758716</v>
      </c>
      <c r="T9" s="261">
        <f>IF(Rules!B20=Rules!E20,SUM(C9:E9)*D4*H4,SUM(C9:E9)*D4*H4*POWER(O2,A9-1))</f>
        <v>-8.4994956486249862</v>
      </c>
      <c r="U9" s="275">
        <f t="shared" ref="U9:U16" si="0">S9+T9+U8</f>
        <v>-13.154352070926979</v>
      </c>
      <c r="V9" s="93">
        <f>(U9+W9*F9)/B9</f>
        <v>-35.141239553730323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0.32101060098195378</v>
      </c>
      <c r="C10" s="97">
        <f>1/(1-D4*B4/(1-D4*B4/(1-D4*B4)))</f>
        <v>1.3135822392072971</v>
      </c>
      <c r="D10" s="130">
        <f>C10*D4*C9</f>
        <v>1.2831852240814823</v>
      </c>
      <c r="E10" s="1">
        <f>D10*D4*C8</f>
        <v>1.1891970037289485</v>
      </c>
      <c r="F10" s="1">
        <f>E10*D4</f>
        <v>0.89858341787281049</v>
      </c>
      <c r="G10" s="1">
        <f>F10*D4</f>
        <v>0.67898939901804789</v>
      </c>
      <c r="H10" s="1"/>
      <c r="I10" s="1"/>
      <c r="J10" s="1"/>
      <c r="K10" s="1"/>
      <c r="L10" s="1"/>
      <c r="M10" s="242"/>
      <c r="N10" s="97">
        <f>B10+G10</f>
        <v>1.0000000000000018</v>
      </c>
      <c r="R10" s="278">
        <f>B10-G10</f>
        <v>-0.35797879803609411</v>
      </c>
      <c r="S10" s="279">
        <f>IF(Rules!B20=Rules!E20,SUM(C10:F10)*B4*F4,SUM(C10:F10)*B4*F4*POWER(O2,A10-1))</f>
        <v>2.3150065397952497</v>
      </c>
      <c r="T10" s="261">
        <f>IF(Rules!B20=Rules!E20,SUM(C10:F10)*D4*H4,SUM(C10:F10)*D4*H4*POWER(O2,A10-1))</f>
        <v>-11.723799254659793</v>
      </c>
      <c r="U10" s="275">
        <f t="shared" si="0"/>
        <v>-22.563144785791522</v>
      </c>
      <c r="V10" s="93">
        <f>(U10+W10*G10)/B10</f>
        <v>-61.827201746633527</v>
      </c>
      <c r="W10" s="9">
        <f t="shared" si="1"/>
        <v>4</v>
      </c>
    </row>
    <row r="11" spans="1:23" x14ac:dyDescent="0.2">
      <c r="A11" s="98">
        <v>5</v>
      </c>
      <c r="B11" s="97">
        <f>C11*B4</f>
        <v>0.3226379152904883</v>
      </c>
      <c r="C11" s="97">
        <f>1/(1-D4*B4/(1-D4*B4/(1-D4*B4/(1-D4*B4))))</f>
        <v>1.3202412441334896</v>
      </c>
      <c r="D11" s="130">
        <f>C11*D4*C10</f>
        <v>1.310434014542244</v>
      </c>
      <c r="E11" s="1">
        <f>D11*D4*C9</f>
        <v>1.28010985106584</v>
      </c>
      <c r="F11" s="1">
        <f>E11*D4*C8</f>
        <v>1.1863468895701228</v>
      </c>
      <c r="G11" s="1">
        <f>F11*D4</f>
        <v>0.89642980891303792</v>
      </c>
      <c r="H11" s="1">
        <f>G11*D4</f>
        <v>0.67736208470951376</v>
      </c>
      <c r="I11" s="1"/>
      <c r="J11" s="1"/>
      <c r="K11" s="1"/>
      <c r="L11" s="1"/>
      <c r="M11" s="242"/>
      <c r="N11" s="97">
        <f>B11+H11</f>
        <v>1.000000000000002</v>
      </c>
      <c r="R11" s="278">
        <f>B11-H11</f>
        <v>-0.35472416941902546</v>
      </c>
      <c r="S11" s="279">
        <f>IF(Rules!B20=Rules!E20,SUM(C11:G11)*B4*F4,SUM(C11:G11)*B4*F4*POWER(O2,A11-1))</f>
        <v>2.961894108812491</v>
      </c>
      <c r="T11" s="261">
        <f>IF(Rules!B20=Rules!E20,SUM(C11:G11)*D4*H4,SUM(C11:G11)*D4*H4*POWER(O2,A11-1))</f>
        <v>-14.999807278448692</v>
      </c>
      <c r="U11" s="275">
        <f t="shared" si="0"/>
        <v>-34.60105795542772</v>
      </c>
      <c r="V11" s="93">
        <f>(U11+W11*H11)/B11</f>
        <v>-96.746991139514037</v>
      </c>
      <c r="W11" s="9">
        <f t="shared" si="1"/>
        <v>5</v>
      </c>
    </row>
    <row r="12" spans="1:23" x14ac:dyDescent="0.2">
      <c r="A12" s="98">
        <v>6</v>
      </c>
      <c r="B12" s="97">
        <f>C12*B4</f>
        <v>0.32316254194069777</v>
      </c>
      <c r="C12" s="97">
        <f>1/(1-D4*B4/(1-D4*B4/(1-D4*B4/(1-D4*B4/(1-D4*B4)))))</f>
        <v>1.3223880275974063</v>
      </c>
      <c r="D12" s="130">
        <f>C12*D4*C11</f>
        <v>1.3192186983533039</v>
      </c>
      <c r="E12" s="1">
        <f>D12*D4*C10</f>
        <v>1.3094190646020445</v>
      </c>
      <c r="F12" s="1">
        <f>E12*D4*C9</f>
        <v>1.2791183876252012</v>
      </c>
      <c r="G12" s="1">
        <f>F12*D4*C8</f>
        <v>1.185428046888032</v>
      </c>
      <c r="H12" s="1">
        <f>G12*D4</f>
        <v>0.89573551116828121</v>
      </c>
      <c r="I12" s="1">
        <f>H12*D4</f>
        <v>0.67683745805930484</v>
      </c>
      <c r="J12" s="1"/>
      <c r="K12" s="1"/>
      <c r="L12" s="1"/>
      <c r="M12" s="242"/>
      <c r="N12" s="97">
        <f>B12+I12</f>
        <v>1.0000000000000027</v>
      </c>
      <c r="R12" s="278">
        <f>B12-I12</f>
        <v>-0.35367491611860707</v>
      </c>
      <c r="S12" s="279">
        <f>IF(Rules!B20=Rules!E20,SUM(C12:H12)*B4*F4,SUM(C12:H12)*B4*F4*POWER(O2,A12-1))</f>
        <v>3.6130968536856849</v>
      </c>
      <c r="T12" s="261">
        <f>IF(Rules!B20=Rules!E20,SUM(C12:H12)*D4*H4,SUM(C12:H12)*D4*H4*POWER(O2,A12-1))</f>
        <v>-18.297668482612718</v>
      </c>
      <c r="U12" s="275">
        <f t="shared" si="0"/>
        <v>-49.285629584354751</v>
      </c>
      <c r="V12" s="93">
        <f>(U12+W12*I12)/B12</f>
        <v>-139.9438331076685</v>
      </c>
      <c r="W12" s="9">
        <f t="shared" si="1"/>
        <v>6</v>
      </c>
    </row>
    <row r="13" spans="1:23" x14ac:dyDescent="0.2">
      <c r="A13" s="98">
        <v>7</v>
      </c>
      <c r="B13" s="97">
        <f>C13*B4</f>
        <v>0.32333203916552328</v>
      </c>
      <c r="C13" s="97">
        <f>1/(1-D4*B4/(1-D4*B4/(1-D4*B4/(1-D4*B4/(1-D4*B4/(1-D4*B4))))))</f>
        <v>1.3230816138635439</v>
      </c>
      <c r="D13" s="130">
        <f>C13*D4*C12</f>
        <v>1.3220568681762619</v>
      </c>
      <c r="E13" s="1">
        <f>D13*D4*C11</f>
        <v>1.3188883326123926</v>
      </c>
      <c r="F13" s="1">
        <f>E13*D4*C10</f>
        <v>1.3090911529373748</v>
      </c>
      <c r="G13" s="1">
        <f>F13*D4*C9</f>
        <v>1.2787980640167136</v>
      </c>
      <c r="H13" s="1">
        <f>G13*D4*C8</f>
        <v>1.185131185711416</v>
      </c>
      <c r="I13" s="1">
        <f>H13*D4</f>
        <v>0.89551119633240372</v>
      </c>
      <c r="J13" s="1">
        <f>I13*D4</f>
        <v>0.67666796083447978</v>
      </c>
      <c r="K13" s="1"/>
      <c r="L13" s="1"/>
      <c r="M13" s="242"/>
      <c r="N13" s="97">
        <f>B13+J13</f>
        <v>1.0000000000000031</v>
      </c>
      <c r="R13" s="278">
        <f>B13-J13</f>
        <v>-0.3533359216689565</v>
      </c>
      <c r="S13" s="279">
        <f>IF(Rules!B20=Rules!E20,SUM(C13:I13)*B4*F4,SUM(C13:I13)*B4*F4*POWER(O2,A13-1))</f>
        <v>4.2660315731261802</v>
      </c>
      <c r="T13" s="261">
        <f>IF(Rules!B20=Rules!E20,SUM(C13:I13)*D4*H4,SUM(C13:I13)*D4*H4*POWER(O2,A13-1))</f>
        <v>-21.604300859467696</v>
      </c>
      <c r="U13" s="275">
        <f t="shared" si="0"/>
        <v>-66.623898870696266</v>
      </c>
      <c r="V13" s="93">
        <f>(U13+W13*J13)/B13</f>
        <v>-191.40454903441537</v>
      </c>
      <c r="W13" s="9">
        <f t="shared" si="1"/>
        <v>7</v>
      </c>
    </row>
    <row r="14" spans="1:23" x14ac:dyDescent="0.2">
      <c r="A14" s="98">
        <v>8</v>
      </c>
      <c r="B14" s="97">
        <f>C14*B4</f>
        <v>0.3233868386106078</v>
      </c>
      <c r="C14" s="97">
        <f>1/(1-D4*B4/(1-D4*B4/(1-D4*B4/(1-D4*B4/(1-D4*B4/(1-D4*B4/(1-D4*B4)))))))</f>
        <v>1.3233058543638927</v>
      </c>
      <c r="D14" s="130">
        <f>C14*D4*C13</f>
        <v>1.3229744650957034</v>
      </c>
      <c r="E14" s="1">
        <f>D14*D4*C12</f>
        <v>1.3219498023966789</v>
      </c>
      <c r="F14" s="1">
        <f>E14*D4*C11</f>
        <v>1.3187815234342755</v>
      </c>
      <c r="G14" s="1">
        <f>F14*D4*C10</f>
        <v>1.3089851371764734</v>
      </c>
      <c r="H14" s="1">
        <f>G14*D4*C9</f>
        <v>1.2786945015187992</v>
      </c>
      <c r="I14" s="1">
        <f>H14*D4*C8</f>
        <v>1.1850352087550833</v>
      </c>
      <c r="J14" s="1">
        <f>I14*D4</f>
        <v>0.89543867403274435</v>
      </c>
      <c r="K14" s="1">
        <f>J14*D4</f>
        <v>0.67661316138939576</v>
      </c>
      <c r="L14" s="1"/>
      <c r="M14" s="242"/>
      <c r="N14" s="97">
        <f>B14+K14</f>
        <v>1.0000000000000036</v>
      </c>
      <c r="R14" s="278">
        <f>B14-K14</f>
        <v>-0.35322632277878796</v>
      </c>
      <c r="S14" s="279">
        <f>IF(Rules!B20=Rules!E20,SUM(C14:J14)*B4*F4,SUM(C14:J14)*B4*F4*POWER(O2,A14-1))</f>
        <v>4.9196364370948</v>
      </c>
      <c r="T14" s="261">
        <f>IF(Rules!B20=Rules!E20,SUM(C14:J14)*D4*H4,SUM(C14:J14)*D4*H4*POWER(O2,A14-1))</f>
        <v>-24.914327023676741</v>
      </c>
      <c r="U14" s="275">
        <f t="shared" si="0"/>
        <v>-86.618589457278205</v>
      </c>
      <c r="V14" s="93">
        <f>(U14+W14*K14)/B14</f>
        <v>-251.11004676335432</v>
      </c>
      <c r="W14" s="9">
        <f t="shared" si="1"/>
        <v>8</v>
      </c>
    </row>
    <row r="15" spans="1:23" x14ac:dyDescent="0.2">
      <c r="A15" s="98">
        <v>9</v>
      </c>
      <c r="B15" s="97">
        <f>C15*B4</f>
        <v>0.32340455956577541</v>
      </c>
      <c r="C15" s="97">
        <f>1/(1-D4*B4/(1-D4*B4/(1-D4*B4/(1-D4*B4/(1-D4*B4/(1-D4*B4/(1-D4*B4/(1-D4*B4))))))))</f>
        <v>1.3233783688911349</v>
      </c>
      <c r="D15" s="130">
        <f>C15*D4*C14</f>
        <v>1.3232711960908119</v>
      </c>
      <c r="E15" s="1">
        <f>D15*D4*C13</f>
        <v>1.322939815501931</v>
      </c>
      <c r="F15" s="1">
        <f>E15*D4*C12</f>
        <v>1.3219151796395139</v>
      </c>
      <c r="G15" s="1">
        <f>F15*D4*C11</f>
        <v>1.318746983656474</v>
      </c>
      <c r="H15" s="1">
        <f>G15*D4*C10</f>
        <v>1.3089508539726371</v>
      </c>
      <c r="I15" s="1">
        <f>H15*D4*C9</f>
        <v>1.278661011647146</v>
      </c>
      <c r="J15" s="1">
        <f>I15*D4*C8</f>
        <v>1.1850041718834938</v>
      </c>
      <c r="K15" s="1">
        <f>J15*D4</f>
        <v>0.89541522188977274</v>
      </c>
      <c r="L15" s="1">
        <f>K15*D4</f>
        <v>0.6765954404342287</v>
      </c>
      <c r="M15" s="242"/>
      <c r="N15" s="97">
        <f>B15+L15</f>
        <v>1.000000000000004</v>
      </c>
      <c r="R15" s="278">
        <f>B15-L15</f>
        <v>-0.35319088086845329</v>
      </c>
      <c r="S15" s="279">
        <f>IF(Rules!B20=Rules!E20,SUM(C15:K15)*B4*F4,SUM(C15:K15)*B4*F4*POWER(O2,A15-1))</f>
        <v>5.5734937689970225</v>
      </c>
      <c r="T15" s="261">
        <f>IF(Rules!B20=Rules!E20,SUM(C15:K15)*D4*H4,SUM(C15:K15)*D4*H4*POWER(O2,A15-1))</f>
        <v>-28.225631751605111</v>
      </c>
      <c r="U15" s="275">
        <f t="shared" si="0"/>
        <v>-109.27072743988629</v>
      </c>
      <c r="V15" s="93">
        <f>(U15+W15*L15)/B15</f>
        <v>-319.04735237659122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0.32341029055493259</v>
      </c>
      <c r="C16" s="131">
        <f>1/(1-D4*B4/(1-D4*B4/(1-D4*B4/(1-D4*B4/(1-D4*B4/(1-D4*B4/(1-D4*B4/(1-D4*B4/(1-D4*B4)))))))))</f>
        <v>1.3234018202212374</v>
      </c>
      <c r="D16" s="139">
        <f>C16*D4*C15</f>
        <v>1.323367159434746</v>
      </c>
      <c r="E16" s="110">
        <f>D16*D4*C14</f>
        <v>1.3232599875422124</v>
      </c>
      <c r="F16" s="110">
        <f>E16*D4*C13</f>
        <v>1.3229286097602357</v>
      </c>
      <c r="G16" s="110">
        <f>F16*D4*C12</f>
        <v>1.3219039825768264</v>
      </c>
      <c r="H16" s="110">
        <f>G16*D4*C11</f>
        <v>1.3187358134294636</v>
      </c>
      <c r="I16" s="110">
        <f>H16*D4*C10</f>
        <v>1.3089397667221141</v>
      </c>
      <c r="J16" s="110">
        <f>I16*D4*C9</f>
        <v>1.2786501809616952</v>
      </c>
      <c r="K16" s="110">
        <f>J16*D4*C8</f>
        <v>1.1849941345027286</v>
      </c>
      <c r="L16" s="110">
        <f>K16*D4</f>
        <v>0.89540763742404816</v>
      </c>
      <c r="M16" s="244">
        <f>L16*D4</f>
        <v>0.67658970944507202</v>
      </c>
      <c r="N16" s="131">
        <f>B16+M16</f>
        <v>1.0000000000000047</v>
      </c>
      <c r="R16" s="280">
        <f>B16-M16</f>
        <v>-0.35317941889013943</v>
      </c>
      <c r="S16" s="281">
        <f>IF(Rules!B20=Rules!E20,SUM(C16:L16)*B4*F4,SUM(C16:L16)*B4*F4*POWER(O2,A16-1))</f>
        <v>6.2274443293060697</v>
      </c>
      <c r="T16" s="262">
        <f>IF(Rules!B20=Rules!E20,SUM(C16:L16)*D4*H4,SUM(C16:L16)*D4*H4*POWER(O2,A16-1))</f>
        <v>-31.537408612595598</v>
      </c>
      <c r="U16" s="275">
        <f t="shared" si="0"/>
        <v>-134.58069172317582</v>
      </c>
      <c r="V16" s="94">
        <f>(U16+W16*M16)/B16</f>
        <v>-395.20942394693287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-19.560131787860453</v>
      </c>
      <c r="F21" s="8">
        <f t="shared" ref="F21:F30" si="4">U7/E21</f>
        <v>0.10268202894574849</v>
      </c>
      <c r="G21" s="265">
        <f>E21*U7</f>
        <v>39.286016492862061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-107.58072483323249</v>
      </c>
      <c r="T21" s="8">
        <f>U7/S21</f>
        <v>1.8669459808317905E-2</v>
      </c>
      <c r="U21" s="265">
        <f>S21*U7</f>
        <v>216.07309071074133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-274.62144840543044</v>
      </c>
      <c r="F22" s="9">
        <f t="shared" si="4"/>
        <v>2.3061509197664806E-2</v>
      </c>
      <c r="G22" s="266">
        <f t="shared" ref="G22:G30" si="5">E22*U8</f>
        <v>1739.2284537238975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-1622.7631042139074</v>
      </c>
      <c r="T22" s="9">
        <f>U8/S22</f>
        <v>3.9027169411432741E-3</v>
      </c>
      <c r="U22" s="266">
        <f t="shared" ref="U22:U30" si="8">S22*U8</f>
        <v>10277.259044732124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-3015.1421198225689</v>
      </c>
      <c r="F23" s="9">
        <f t="shared" si="4"/>
        <v>4.3627635276114515E-3</v>
      </c>
      <c r="G23" s="266">
        <f t="shared" si="5"/>
        <v>39662.240988027173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-18050.107555154027</v>
      </c>
      <c r="T23" s="9">
        <f t="shared" ref="T23:T30" si="11">U9/S23</f>
        <v>7.2876862537979089E-4</v>
      </c>
      <c r="U23" s="266">
        <f t="shared" si="8"/>
        <v>237437.46969859509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-31035.357571315737</v>
      </c>
      <c r="F24" s="9">
        <f t="shared" si="4"/>
        <v>7.2701417194707583E-4</v>
      </c>
      <c r="G24" s="266">
        <f t="shared" si="5"/>
        <v>700255.26636040816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-186156.27619734299</v>
      </c>
      <c r="T24" s="9">
        <f t="shared" si="11"/>
        <v>1.2120539391254522E-4</v>
      </c>
      <c r="U24" s="266">
        <f t="shared" si="8"/>
        <v>4200271.0126244463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-313229.29075280728</v>
      </c>
      <c r="F25" s="9">
        <f t="shared" si="4"/>
        <v>1.104655885542135E-4</v>
      </c>
      <c r="G25" s="266">
        <f t="shared" si="5"/>
        <v>10838064.842675405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-1879305.2672216515</v>
      </c>
      <c r="T25" s="9">
        <f t="shared" si="11"/>
        <v>1.8411621868426742E-5</v>
      </c>
      <c r="U25" s="266">
        <f t="shared" si="8"/>
        <v>65025950.467076942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-3141613.8079393292</v>
      </c>
      <c r="F26" s="9">
        <f t="shared" si="4"/>
        <v>1.5687997506186972E-5</v>
      </c>
      <c r="G26" s="266">
        <f t="shared" si="5"/>
        <v>154836414.43519199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-18849598.023978338</v>
      </c>
      <c r="T26" s="9">
        <f t="shared" si="11"/>
        <v>2.6146780170940049E-6</v>
      </c>
      <c r="U26" s="266">
        <f t="shared" si="8"/>
        <v>929014306.02378166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-31446307.376610566</v>
      </c>
      <c r="F27" s="9">
        <f t="shared" si="4"/>
        <v>2.118655716004685E-6</v>
      </c>
      <c r="G27" s="266">
        <f t="shared" si="5"/>
        <v>2095075602.5161324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-188677745.20378527</v>
      </c>
      <c r="T27" s="9">
        <f t="shared" si="11"/>
        <v>3.5310947138327182E-7</v>
      </c>
      <c r="U27" s="266">
        <f t="shared" si="8"/>
        <v>12570447015.607986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-314560673.52484548</v>
      </c>
      <c r="F28" s="9">
        <f t="shared" si="4"/>
        <v>2.7536369529815576E-7</v>
      </c>
      <c r="G28" s="266">
        <f t="shared" si="5"/>
        <v>27246801839.45351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-1887363927.9072292</v>
      </c>
      <c r="T28" s="9">
        <f t="shared" si="11"/>
        <v>4.5893951969996444E-8</v>
      </c>
      <c r="U28" s="266">
        <f t="shared" si="8"/>
        <v>163480801227.87231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-3145922418.1210833</v>
      </c>
      <c r="F29" s="9">
        <f t="shared" si="4"/>
        <v>3.4734082064601176E-8</v>
      </c>
      <c r="G29" s="266">
        <f t="shared" si="5"/>
        <v>343757231097.53687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-18875534381.316643</v>
      </c>
      <c r="T29" s="9">
        <f t="shared" si="11"/>
        <v>5.7890137165093719E-9</v>
      </c>
      <c r="U29" s="266">
        <f t="shared" si="8"/>
        <v>2062543372663.0535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-31460245177.696045</v>
      </c>
      <c r="F30" s="10">
        <f t="shared" si="4"/>
        <v>4.2778017451239605E-9</v>
      </c>
      <c r="G30" s="267">
        <f t="shared" si="5"/>
        <v>4233941557795.04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-188761470924.60516</v>
      </c>
      <c r="T30" s="10">
        <f t="shared" si="11"/>
        <v>7.1296695805538541E-10</v>
      </c>
      <c r="U30" s="267">
        <f t="shared" si="8"/>
        <v>25403649327717.504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-19.560131787860453</v>
      </c>
      <c r="F33" s="8">
        <f t="shared" ref="F33:F42" si="14">U7/E33</f>
        <v>0.10268202894574849</v>
      </c>
      <c r="G33" s="268">
        <f>E33*U7</f>
        <v>39.286016492862061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-107.58072483323249</v>
      </c>
      <c r="T33" s="8">
        <f>U7/S33</f>
        <v>1.8669459808317905E-2</v>
      </c>
      <c r="U33" s="268">
        <f>S33*U7</f>
        <v>216.07309071074133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-299.58703462410597</v>
      </c>
      <c r="F34" s="9">
        <f t="shared" si="14"/>
        <v>2.1139716764526067E-2</v>
      </c>
      <c r="G34" s="266">
        <f t="shared" ref="G34:G42" si="16">E34*U8</f>
        <v>1897.3401313351612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-1647.7286904325827</v>
      </c>
      <c r="T34" s="9">
        <f t="shared" ref="T34:T42" si="18">U8/S34</f>
        <v>3.8435848662774674E-3</v>
      </c>
      <c r="U34" s="266">
        <f t="shared" ref="U34:U42" si="19">S34*U8</f>
        <v>10435.370722343385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-3612.7378552828977</v>
      </c>
      <c r="F35" s="9">
        <f t="shared" si="14"/>
        <v>3.6411033952245945E-3</v>
      </c>
      <c r="G35" s="266">
        <f t="shared" si="16"/>
        <v>47523.225688356877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-18376.068865405116</v>
      </c>
      <c r="T35" s="9">
        <f t="shared" si="18"/>
        <v>7.1584146572782126E-4</v>
      </c>
      <c r="U35" s="266">
        <f t="shared" si="19"/>
        <v>241725.27953513857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-40896.276763641974</v>
      </c>
      <c r="F36" s="9">
        <f t="shared" si="14"/>
        <v>5.5171635589699552E-4</v>
      </c>
      <c r="G36" s="266">
        <f t="shared" si="16"/>
        <v>922748.61381785537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-189592.23387625554</v>
      </c>
      <c r="T36" s="9">
        <f t="shared" si="18"/>
        <v>1.1900880286329766E-4</v>
      </c>
      <c r="U36" s="266">
        <f t="shared" si="19"/>
        <v>4277797.0232116021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-454014.73562901281</v>
      </c>
      <c r="F37" s="9">
        <f t="shared" si="14"/>
        <v>7.6211310426939843E-5</v>
      </c>
      <c r="G37" s="266">
        <f t="shared" si="16"/>
        <v>15709390.180117667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-1914092.8601285873</v>
      </c>
      <c r="T37" s="9">
        <f t="shared" si="18"/>
        <v>1.8077000691128039E-5</v>
      </c>
      <c r="U37" s="266">
        <f t="shared" si="19"/>
        <v>66229637.985379659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-5009006.6308403295</v>
      </c>
      <c r="F38" s="9">
        <f t="shared" si="14"/>
        <v>9.8394019446698985E-6</v>
      </c>
      <c r="G38" s="266">
        <f t="shared" si="16"/>
        <v>246872045.39317325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-19198647.375158787</v>
      </c>
      <c r="T38" s="9">
        <f t="shared" si="18"/>
        <v>2.5671407272225668E-6</v>
      </c>
      <c r="U38" s="266">
        <f t="shared" si="19"/>
        <v>946217423.05272055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-55151963.910020165</v>
      </c>
      <c r="F39" s="9">
        <f t="shared" si="14"/>
        <v>1.2080059194155341E-6</v>
      </c>
      <c r="G39" s="266">
        <f t="shared" si="16"/>
        <v>3674438866.0614738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-192171757.34432462</v>
      </c>
      <c r="T39" s="9">
        <f t="shared" si="18"/>
        <v>3.4668933557870626E-7</v>
      </c>
      <c r="U39" s="266">
        <f t="shared" si="19"/>
        <v>12803231727.112267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-606859869.08808243</v>
      </c>
      <c r="F40" s="9">
        <f t="shared" si="14"/>
        <v>1.4273243934788179E-7</v>
      </c>
      <c r="G40" s="266">
        <f t="shared" si="16"/>
        <v>52565345858.638206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-1922315088.68958</v>
      </c>
      <c r="T40" s="9">
        <f t="shared" si="18"/>
        <v>4.5059517020347117E-8</v>
      </c>
      <c r="U40" s="266">
        <f t="shared" si="19"/>
        <v>166508221474.73407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-6676128455.531168</v>
      </c>
      <c r="F41" s="9">
        <f t="shared" si="14"/>
        <v>1.636737941274266E-8</v>
      </c>
      <c r="G41" s="266">
        <f t="shared" si="16"/>
        <v>729505412818.01526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-19225081288.350124</v>
      </c>
      <c r="T41" s="9">
        <f t="shared" si="18"/>
        <v>5.6837589293368231E-9</v>
      </c>
      <c r="U41" s="266">
        <f t="shared" si="19"/>
        <v>2100738617468.9644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-73439796354.804413</v>
      </c>
      <c r="F42" s="10">
        <f t="shared" si="14"/>
        <v>1.8325308402679357E-9</v>
      </c>
      <c r="G42" s="267">
        <f t="shared" si="16"/>
        <v>9883578593438.7441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-192257053690.66669</v>
      </c>
      <c r="T42" s="10">
        <f t="shared" si="18"/>
        <v>7.0000392255937907E-10</v>
      </c>
      <c r="U42" s="267">
        <f t="shared" si="19"/>
        <v>25874087274349.676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-19.560131787860453</v>
      </c>
      <c r="F45" s="8">
        <f t="shared" ref="F45:F54" si="24">U7/E45</f>
        <v>0.10268202894574849</v>
      </c>
      <c r="G45" s="265">
        <f>E45*U7</f>
        <v>39.286016492862061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-107.58072483323249</v>
      </c>
      <c r="T45" s="8">
        <f>U7/S45</f>
        <v>1.8669459808317905E-2</v>
      </c>
      <c r="U45" s="268">
        <f>S45*U7</f>
        <v>216.07309071074133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-524.27731059218547</v>
      </c>
      <c r="F46" s="9">
        <f t="shared" si="24"/>
        <v>1.2079838151157752E-2</v>
      </c>
      <c r="G46" s="266">
        <f t="shared" ref="G46:G54" si="26">E46*U8</f>
        <v>3320.3452298365323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-2995.8703462410595</v>
      </c>
      <c r="T46" s="9">
        <f t="shared" ref="T46:T54" si="29">U8/S46</f>
        <v>2.1139716764526071E-3</v>
      </c>
      <c r="U46" s="266">
        <f t="shared" ref="U46:U54" si="30">S46*U8</f>
        <v>18973.401313351609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-11435.809301309022</v>
      </c>
      <c r="F47" s="9">
        <f t="shared" si="24"/>
        <v>1.1502773196315228E-3</v>
      </c>
      <c r="G47" s="266">
        <f t="shared" si="26"/>
        <v>150430.66176540035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-65586.131966771107</v>
      </c>
      <c r="T47" s="9">
        <f t="shared" si="29"/>
        <v>2.0056605987362643E-4</v>
      </c>
      <c r="U47" s="266">
        <f t="shared" si="30"/>
        <v>862743.07086118567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-235237.3952367685</v>
      </c>
      <c r="F48" s="9">
        <f t="shared" si="24"/>
        <v>9.5916487950742347E-5</v>
      </c>
      <c r="G48" s="266">
        <f t="shared" si="26"/>
        <v>5307695.407759673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-1349493.3293543581</v>
      </c>
      <c r="T48" s="9">
        <f t="shared" si="29"/>
        <v>1.6719715685135301E-5</v>
      </c>
      <c r="U48" s="266">
        <f t="shared" si="30"/>
        <v>30448813.377682228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-4747942.6134352041</v>
      </c>
      <c r="F49" s="9">
        <f t="shared" si="24"/>
        <v>7.2875897567753799E-6</v>
      </c>
      <c r="G49" s="266">
        <f t="shared" si="26"/>
        <v>164283837.53651646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-27238163.714146346</v>
      </c>
      <c r="T49" s="9">
        <f t="shared" si="29"/>
        <v>1.2703153677520999E-6</v>
      </c>
      <c r="U49" s="266">
        <f t="shared" si="30"/>
        <v>942469281.27260602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-95240596.561571792</v>
      </c>
      <c r="F50" s="9">
        <f t="shared" si="24"/>
        <v>5.174855194495998E-7</v>
      </c>
      <c r="G50" s="266">
        <f t="shared" si="26"/>
        <v>4693992763.526598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-546380224.30517924</v>
      </c>
      <c r="T50" s="9">
        <f t="shared" si="29"/>
        <v>9.0203904519110839E-8</v>
      </c>
      <c r="U50" s="266">
        <f t="shared" si="30"/>
        <v>26928693347.321728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-1906639457.4825613</v>
      </c>
      <c r="F51" s="9">
        <f t="shared" si="24"/>
        <v>3.4943102960149257E-8</v>
      </c>
      <c r="G51" s="266">
        <f t="shared" si="26"/>
        <v>127027754398.19736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-10938089472.320856</v>
      </c>
      <c r="T51" s="9">
        <f t="shared" si="29"/>
        <v>6.0909996246867352E-9</v>
      </c>
      <c r="U51" s="266">
        <f t="shared" si="30"/>
        <v>728738166842.53223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-38144621001.074287</v>
      </c>
      <c r="F52" s="9">
        <f t="shared" si="24"/>
        <v>2.2707943396485372E-9</v>
      </c>
      <c r="G52" s="266">
        <f t="shared" si="26"/>
        <v>3304033266495.5259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-218829667794.62741</v>
      </c>
      <c r="T52" s="9">
        <f t="shared" si="29"/>
        <v>3.9582653636603847E-10</v>
      </c>
      <c r="U52" s="266">
        <f t="shared" si="30"/>
        <v>18954717155775.406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-762968974587.89734</v>
      </c>
      <c r="F53" s="9">
        <f t="shared" si="24"/>
        <v>1.4321778614773518E-10</v>
      </c>
      <c r="G53" s="266">
        <f t="shared" si="26"/>
        <v>83370174867283.656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-4377032538364.9536</v>
      </c>
      <c r="T53" s="9">
        <f t="shared" si="29"/>
        <v>2.4964568227931089E-11</v>
      </c>
      <c r="U53" s="266">
        <f t="shared" si="30"/>
        <v>478281529495190.44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-15259874715084.852</v>
      </c>
      <c r="F54" s="10">
        <f t="shared" si="24"/>
        <v>8.8192527288666856E-12</v>
      </c>
      <c r="G54" s="267">
        <f t="shared" si="26"/>
        <v>2053684494765119.8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-87543491786472.359</v>
      </c>
      <c r="T54" s="10">
        <f t="shared" si="29"/>
        <v>1.5373009343907832E-12</v>
      </c>
      <c r="U54" s="267">
        <f t="shared" si="30"/>
        <v>1.178166368048561E+16</v>
      </c>
    </row>
  </sheetData>
  <mergeCells count="2">
    <mergeCell ref="A18:F18"/>
    <mergeCell ref="O18:T18"/>
  </mergeCells>
  <conditionalFormatting sqref="F45:F54">
    <cfRule type="cellIs" dxfId="233" priority="33" operator="equal">
      <formula>MAX($F$45:$F$54)</formula>
    </cfRule>
  </conditionalFormatting>
  <conditionalFormatting sqref="F21:F30">
    <cfRule type="cellIs" dxfId="232" priority="32" operator="equal">
      <formula>MAX($F$21:$F$30)</formula>
    </cfRule>
  </conditionalFormatting>
  <conditionalFormatting sqref="E33:E42">
    <cfRule type="cellIs" dxfId="231" priority="30" stopIfTrue="1" operator="lessThan">
      <formula>0</formula>
    </cfRule>
    <cfRule type="cellIs" dxfId="230" priority="31" operator="equal">
      <formula>MIN($E$33:$E$42)</formula>
    </cfRule>
  </conditionalFormatting>
  <conditionalFormatting sqref="E21:E30">
    <cfRule type="cellIs" dxfId="229" priority="28" stopIfTrue="1" operator="lessThan">
      <formula>0</formula>
    </cfRule>
    <cfRule type="cellIs" dxfId="228" priority="29" operator="equal">
      <formula>MIN($E$21:$E$30)</formula>
    </cfRule>
  </conditionalFormatting>
  <conditionalFormatting sqref="E45:E54">
    <cfRule type="cellIs" dxfId="227" priority="26" stopIfTrue="1" operator="lessThan">
      <formula>0</formula>
    </cfRule>
    <cfRule type="cellIs" dxfId="226" priority="27" operator="equal">
      <formula>MIN($E$45:$E$54)</formula>
    </cfRule>
  </conditionalFormatting>
  <conditionalFormatting sqref="F33:F42">
    <cfRule type="cellIs" dxfId="225" priority="24" operator="lessThanOrEqual">
      <formula>0</formula>
    </cfRule>
    <cfRule type="cellIs" dxfId="224" priority="25" operator="equal">
      <formula>MAX($F$33:$F$42)</formula>
    </cfRule>
  </conditionalFormatting>
  <conditionalFormatting sqref="R7:R16">
    <cfRule type="cellIs" dxfId="223" priority="22" operator="lessThanOrEqual">
      <formula>0</formula>
    </cfRule>
    <cfRule type="cellIs" dxfId="222" priority="23" operator="greaterThan">
      <formula>0</formula>
    </cfRule>
  </conditionalFormatting>
  <conditionalFormatting sqref="T21:T30">
    <cfRule type="cellIs" dxfId="221" priority="19" operator="equal">
      <formula>MAX($T$21:$T$30)</formula>
    </cfRule>
  </conditionalFormatting>
  <conditionalFormatting sqref="S33:S42">
    <cfRule type="cellIs" dxfId="220" priority="17" stopIfTrue="1" operator="lessThan">
      <formula>0</formula>
    </cfRule>
    <cfRule type="cellIs" dxfId="219" priority="18" operator="equal">
      <formula>MIN($E$21:$E$30)</formula>
    </cfRule>
  </conditionalFormatting>
  <conditionalFormatting sqref="T33:T42">
    <cfRule type="cellIs" dxfId="218" priority="16" operator="equal">
      <formula>MAX($T$21:$T$30)</formula>
    </cfRule>
  </conditionalFormatting>
  <conditionalFormatting sqref="S45:S54">
    <cfRule type="cellIs" dxfId="217" priority="14" stopIfTrue="1" operator="lessThan">
      <formula>0</formula>
    </cfRule>
    <cfRule type="cellIs" dxfId="216" priority="15" operator="equal">
      <formula>MIN($E$21:$E$30)</formula>
    </cfRule>
  </conditionalFormatting>
  <conditionalFormatting sqref="T45:T54">
    <cfRule type="cellIs" dxfId="215" priority="13" operator="equal">
      <formula>MAX($T$21:$T$30)</formula>
    </cfRule>
  </conditionalFormatting>
  <conditionalFormatting sqref="S21:S30">
    <cfRule type="cellIs" dxfId="214" priority="11" stopIfTrue="1" operator="lessThan">
      <formula>0</formula>
    </cfRule>
    <cfRule type="cellIs" dxfId="213" priority="12" operator="equal">
      <formula>MIN($E$21:$E$30)</formula>
    </cfRule>
  </conditionalFormatting>
  <conditionalFormatting sqref="U7:U16">
    <cfRule type="cellIs" dxfId="212" priority="7" operator="lessThanOrEqual">
      <formula>0</formula>
    </cfRule>
    <cfRule type="cellIs" dxfId="211" priority="8" operator="greaterThan">
      <formula>0</formula>
    </cfRule>
  </conditionalFormatting>
  <conditionalFormatting sqref="S7:T16">
    <cfRule type="cellIs" dxfId="210" priority="1" operator="lessThanOrEqual">
      <formula>0</formula>
    </cfRule>
    <cfRule type="cellIs" dxfId="209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E7A5-26C0-9E46-979E-A9A5CAEAC09C}">
  <sheetPr>
    <pageSetUpPr fitToPage="1"/>
  </sheetPr>
  <dimension ref="A1:W54"/>
  <sheetViews>
    <sheetView workbookViewId="0">
      <selection activeCell="T12" sqref="T1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0.99999999999999989</v>
      </c>
    </row>
    <row r="2" spans="1:23" x14ac:dyDescent="0.2">
      <c r="A2" t="s">
        <v>40</v>
      </c>
      <c r="B2" s="135" t="s">
        <v>125</v>
      </c>
      <c r="C2" s="141">
        <f>Analysis!B61</f>
        <v>0.2499608254764194</v>
      </c>
      <c r="D2" s="135" t="s">
        <v>126</v>
      </c>
      <c r="E2" s="141">
        <f>Analysis!N61</f>
        <v>0.75003917452358049</v>
      </c>
      <c r="F2" s="135" t="s">
        <v>47</v>
      </c>
      <c r="G2" s="141">
        <f>Analysis!S61</f>
        <v>2.3451489347580723</v>
      </c>
      <c r="H2" t="s">
        <v>155</v>
      </c>
      <c r="I2" s="155">
        <f>Analysis!T61</f>
        <v>-3.8409981089522636</v>
      </c>
      <c r="J2" t="s">
        <v>48</v>
      </c>
      <c r="K2" s="155">
        <f>C2*G2+E2*I2</f>
        <v>-2.2947036873879156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0.2499608254764194</v>
      </c>
      <c r="C4" t="s">
        <v>124</v>
      </c>
      <c r="D4">
        <f>$E$2</f>
        <v>0.75003917452358049</v>
      </c>
      <c r="E4" t="s">
        <v>47</v>
      </c>
      <c r="F4">
        <f>G2</f>
        <v>2.3451489347580723</v>
      </c>
      <c r="G4" t="s">
        <v>155</v>
      </c>
      <c r="H4">
        <f>I2</f>
        <v>-3.8409981089522636</v>
      </c>
      <c r="I4" t="s">
        <v>48</v>
      </c>
      <c r="J4">
        <f>K2</f>
        <v>-2.2947036873879156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0.2499608254764194</v>
      </c>
      <c r="C7" s="95">
        <v>1</v>
      </c>
      <c r="D7" s="22">
        <f>C7*D4</f>
        <v>0.75003917452358049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0.99999999999999989</v>
      </c>
      <c r="R7" s="276">
        <f>B7-D7</f>
        <v>-0.50007834904716109</v>
      </c>
      <c r="S7" s="277">
        <f>IF(Rules!B20=Rules!E20,SUM(C7)*B4*F4,SUM(C7)*B4*F4*POWER(O2,A7-1))</f>
        <v>0.58619536359727342</v>
      </c>
      <c r="T7" s="260">
        <f>IF(Rules!B20=Rules!E20,SUM(C7)*D4*H4,SUM(C7)*D4*H4*POWER(O2,A7-1))</f>
        <v>-2.8808990509851893</v>
      </c>
      <c r="U7" s="274">
        <f>S7+T7</f>
        <v>-2.2947036873879156</v>
      </c>
      <c r="V7" s="108">
        <f>(U7+W7*D7)/B7</f>
        <v>-6.179626387135829</v>
      </c>
      <c r="W7" s="57">
        <f>COUNT(D7:M7)</f>
        <v>1</v>
      </c>
    </row>
    <row r="8" spans="1:23" x14ac:dyDescent="0.2">
      <c r="A8" s="98">
        <v>2</v>
      </c>
      <c r="B8" s="97">
        <f>C8*B4</f>
        <v>0.30763667599285893</v>
      </c>
      <c r="C8" s="97">
        <f>1/(1-B4*D4)</f>
        <v>1.2307395585148622</v>
      </c>
      <c r="D8" s="130">
        <f>C8*D4</f>
        <v>0.92310288252200312</v>
      </c>
      <c r="E8" s="1">
        <f>D8*D4</f>
        <v>0.69236332400714096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0.99999999999999989</v>
      </c>
      <c r="R8" s="278">
        <f>B8-E8</f>
        <v>-0.38472664801428202</v>
      </c>
      <c r="S8" s="279">
        <f>IF(Rules!B20=Rules!E20,SUM(C8:D8)*B4*F4,SUM(C8:D8)*B4*F4*POWER(O2,A8-1))</f>
        <v>1.2625724528548441</v>
      </c>
      <c r="T8" s="261">
        <f>IF(Rules!B20=Rules!E20,SUM(C8:D8)*D4*H4,SUM(C8:D8)*D4*H4*POWER(O2,A8-1))</f>
        <v>-6.205002644354729</v>
      </c>
      <c r="U8" s="275">
        <f>S8+T8+U7</f>
        <v>-7.2371338788878008</v>
      </c>
      <c r="V8" s="93">
        <f>(U8+W8*E8)/B8</f>
        <v>-19.02376305421194</v>
      </c>
      <c r="W8" s="9">
        <f>COUNT(D8:M8)</f>
        <v>2</v>
      </c>
    </row>
    <row r="9" spans="1:23" x14ac:dyDescent="0.2">
      <c r="A9" s="98">
        <v>3</v>
      </c>
      <c r="B9" s="97">
        <f>C9*B4</f>
        <v>0.32493653903981307</v>
      </c>
      <c r="C9" s="97">
        <f>1/(1-D4*B4/(1-D4*B4))</f>
        <v>1.2999498558243747</v>
      </c>
      <c r="D9" s="130">
        <f>C9*D4*C8</f>
        <v>1.1999874590455426</v>
      </c>
      <c r="E9" s="1">
        <f>D9*(D4)</f>
        <v>0.90003760322116766</v>
      </c>
      <c r="F9" s="1">
        <f>E9*D4</f>
        <v>0.67506346096018643</v>
      </c>
      <c r="G9" s="1"/>
      <c r="H9" s="1"/>
      <c r="I9" s="1"/>
      <c r="J9" s="1"/>
      <c r="K9" s="1"/>
      <c r="L9" s="1"/>
      <c r="M9" s="242"/>
      <c r="N9" s="97">
        <f>B9+F9</f>
        <v>0.99999999999999956</v>
      </c>
      <c r="R9" s="278">
        <f>B9-F9</f>
        <v>-0.35012692192037337</v>
      </c>
      <c r="S9" s="279">
        <f>IF(Rules!B20=Rules!E20,SUM(C9:E9)*B4*F4,SUM(C9:E9)*B4*F4*POWER(O2,A9-1))</f>
        <v>1.9930495333320133</v>
      </c>
      <c r="T9" s="261">
        <f>IF(Rules!B20=Rules!E20,SUM(C9:E9)*D4*H4,SUM(C9:E9)*D4*H4*POWER(O2,A9-1))</f>
        <v>-9.7949845149020547</v>
      </c>
      <c r="U9" s="275">
        <f t="shared" ref="U9:U16" si="0">S9+T9+U8</f>
        <v>-15.039068860457842</v>
      </c>
      <c r="V9" s="93">
        <f>(U9+W9*F9)/B9</f>
        <v>-40.050523453081858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0.33051147332595326</v>
      </c>
      <c r="C10" s="97">
        <f>1/(1-D4*B4/(1-D4*B4/(1-D4*B4)))</f>
        <v>1.32225308784289</v>
      </c>
      <c r="D10" s="130">
        <f>C10*D4*C9</f>
        <v>1.2892143688063242</v>
      </c>
      <c r="E10" s="1">
        <f>D10*D4*C8</f>
        <v>1.1900775000339026</v>
      </c>
      <c r="F10" s="1">
        <f>E10*D4</f>
        <v>0.89260474574451465</v>
      </c>
      <c r="G10" s="1">
        <f>F10*D4</f>
        <v>0.66948852667404624</v>
      </c>
      <c r="H10" s="1"/>
      <c r="I10" s="1"/>
      <c r="J10" s="1"/>
      <c r="K10" s="1"/>
      <c r="L10" s="1"/>
      <c r="M10" s="242"/>
      <c r="N10" s="97">
        <f>B10+G10</f>
        <v>0.99999999999999956</v>
      </c>
      <c r="R10" s="278">
        <f>B10-G10</f>
        <v>-0.33897705334809297</v>
      </c>
      <c r="S10" s="279">
        <f>IF(Rules!B20=Rules!E20,SUM(C10:F10)*B4*F4,SUM(C10:F10)*B4*F4*POWER(O2,A10-1))</f>
        <v>2.751688791594598</v>
      </c>
      <c r="T10" s="261">
        <f>IF(Rules!B20=Rules!E20,SUM(C10:F10)*D4*H4,SUM(C10:F10)*D4*H4*POWER(O2,A10-1))</f>
        <v>-13.523371422906171</v>
      </c>
      <c r="U10" s="275">
        <f t="shared" si="0"/>
        <v>-25.810751491769416</v>
      </c>
      <c r="V10" s="93">
        <f>(U10+W10*G10)/B10</f>
        <v>-69.990905768827787</v>
      </c>
      <c r="W10" s="9">
        <f t="shared" si="1"/>
        <v>4</v>
      </c>
    </row>
    <row r="11" spans="1:23" x14ac:dyDescent="0.2">
      <c r="A11" s="98">
        <v>5</v>
      </c>
      <c r="B11" s="97">
        <f>C11*B4</f>
        <v>0.33234899580435817</v>
      </c>
      <c r="C11" s="97">
        <f>1/(1-D4*B4/(1-D4*B4/(1-D4*B4/(1-D4*B4))))</f>
        <v>1.3296043296820967</v>
      </c>
      <c r="D11" s="130">
        <f>C11*D4*C10</f>
        <v>1.318623944587632</v>
      </c>
      <c r="E11" s="1">
        <f>D11*D4*C9</f>
        <v>1.2856759058039289</v>
      </c>
      <c r="F11" s="1">
        <f>E11*D4*C8</f>
        <v>1.1868111346366941</v>
      </c>
      <c r="G11" s="1">
        <f>F11*D4</f>
        <v>0.89015484373830001</v>
      </c>
      <c r="H11" s="1">
        <f>G11*D4</f>
        <v>0.66765100419564127</v>
      </c>
      <c r="I11" s="1"/>
      <c r="J11" s="1"/>
      <c r="K11" s="1"/>
      <c r="L11" s="1"/>
      <c r="M11" s="242"/>
      <c r="N11" s="97">
        <f>B11+H11</f>
        <v>0.99999999999999944</v>
      </c>
      <c r="R11" s="278">
        <f>B11-H11</f>
        <v>-0.3353020083912831</v>
      </c>
      <c r="S11" s="279">
        <f>IF(Rules!B20=Rules!E20,SUM(C11:G11)*B4*F4,SUM(C11:G11)*B4*F4*POWER(O2,A11-1))</f>
        <v>3.523544218067808</v>
      </c>
      <c r="T11" s="261">
        <f>IF(Rules!B20=Rules!E20,SUM(C11:G11)*D4*H4,SUM(C11:G11)*D4*H4*POWER(O2,A11-1))</f>
        <v>-17.316710135069915</v>
      </c>
      <c r="U11" s="275">
        <f t="shared" si="0"/>
        <v>-39.603917408771522</v>
      </c>
      <c r="V11" s="93">
        <f>(U11+W11*H11)/B11</f>
        <v>-109.119217586388</v>
      </c>
      <c r="W11" s="9">
        <f t="shared" si="1"/>
        <v>5</v>
      </c>
    </row>
    <row r="12" spans="1:23" x14ac:dyDescent="0.2">
      <c r="A12" s="98">
        <v>6</v>
      </c>
      <c r="B12" s="97">
        <f>C12*B4</f>
        <v>0.33295913646064895</v>
      </c>
      <c r="C12" s="97">
        <f>1/(1-D4*B4/(1-D4*B4/(1-D4*B4/(1-D4*B4/(1-D4*B4)))))</f>
        <v>1.3320452747987079</v>
      </c>
      <c r="D12" s="130">
        <f>C12*D4*C11</f>
        <v>1.3283892552596492</v>
      </c>
      <c r="E12" s="1">
        <f>D12*D4*C10</f>
        <v>1.3174189047181555</v>
      </c>
      <c r="F12" s="1">
        <f>E12*D4*C9</f>
        <v>1.284500975883933</v>
      </c>
      <c r="G12" s="1">
        <f>F12*D4*C8</f>
        <v>1.1857265534407846</v>
      </c>
      <c r="H12" s="1">
        <f>G12*D4</f>
        <v>0.88934136535341624</v>
      </c>
      <c r="I12" s="1">
        <f>H12*D4</f>
        <v>0.66704086353935033</v>
      </c>
      <c r="J12" s="1"/>
      <c r="K12" s="1"/>
      <c r="L12" s="1"/>
      <c r="M12" s="242"/>
      <c r="N12" s="97">
        <f>B12+I12</f>
        <v>0.99999999999999933</v>
      </c>
      <c r="R12" s="278">
        <f>B12-I12</f>
        <v>-0.33408172707870137</v>
      </c>
      <c r="S12" s="279">
        <f>IF(Rules!B20=Rules!E20,SUM(C12:H12)*B4*F4,SUM(C12:H12)*B4*F4*POWER(O2,A12-1))</f>
        <v>4.3011629502814186</v>
      </c>
      <c r="T12" s="261">
        <f>IF(Rules!B20=Rules!E20,SUM(C12:H12)*D4*H4,SUM(C12:H12)*D4*H4*POWER(O2,A12-1))</f>
        <v>-21.138373025603428</v>
      </c>
      <c r="U12" s="275">
        <f t="shared" si="0"/>
        <v>-56.441127484093528</v>
      </c>
      <c r="V12" s="93">
        <f>(U12+W12*I12)/B12</f>
        <v>-157.49344757522505</v>
      </c>
      <c r="W12" s="9">
        <f t="shared" si="1"/>
        <v>6</v>
      </c>
    </row>
    <row r="13" spans="1:23" x14ac:dyDescent="0.2">
      <c r="A13" s="98">
        <v>7</v>
      </c>
      <c r="B13" s="97">
        <f>C13*B4</f>
        <v>0.3331622265142074</v>
      </c>
      <c r="C13" s="97">
        <f>1/(1-D4*B4/(1-D4*B4/(1-D4*B4/(1-D4*B4/(1-D4*B4/(1-D4*B4))))))</f>
        <v>1.3328577623281892</v>
      </c>
      <c r="D13" s="130">
        <f>C13*D4*C12</f>
        <v>1.3316397147183767</v>
      </c>
      <c r="E13" s="1">
        <f>D13*D4*C11</f>
        <v>1.327984808306331</v>
      </c>
      <c r="F13" s="1">
        <f>E13*D4*C10</f>
        <v>1.3170177978436852</v>
      </c>
      <c r="G13" s="1">
        <f>F13*D4*C9</f>
        <v>1.2841098913398707</v>
      </c>
      <c r="H13" s="1">
        <f>G13*D4*C8</f>
        <v>1.1853655421708509</v>
      </c>
      <c r="I13" s="1">
        <f>H13*D4</f>
        <v>0.88907059275852141</v>
      </c>
      <c r="J13" s="1">
        <f>I13*D4</f>
        <v>0.66683777348579176</v>
      </c>
      <c r="K13" s="1"/>
      <c r="L13" s="1"/>
      <c r="M13" s="242"/>
      <c r="N13" s="97">
        <f>B13+J13</f>
        <v>0.99999999999999911</v>
      </c>
      <c r="R13" s="278">
        <f>B13-J13</f>
        <v>-0.33367554697158436</v>
      </c>
      <c r="S13" s="279">
        <f>IF(Rules!B20=Rules!E20,SUM(C13:I13)*B4*F4,SUM(C13:I13)*B4*F4*POWER(O2,A13-1))</f>
        <v>5.0811684408162501</v>
      </c>
      <c r="T13" s="261">
        <f>IF(Rules!B20=Rules!E20,SUM(C13:I13)*D4*H4,SUM(C13:I13)*D4*H4*POWER(O2,A13-1))</f>
        <v>-24.971765810655956</v>
      </c>
      <c r="U13" s="275">
        <f t="shared" si="0"/>
        <v>-76.331724853933238</v>
      </c>
      <c r="V13" s="93">
        <f>(U13+W13*J13)/B13</f>
        <v>-215.10199757437584</v>
      </c>
      <c r="W13" s="9">
        <f t="shared" si="1"/>
        <v>7</v>
      </c>
    </row>
    <row r="14" spans="1:23" x14ac:dyDescent="0.2">
      <c r="A14" s="98">
        <v>8</v>
      </c>
      <c r="B14" s="97">
        <f>C14*B4</f>
        <v>0.33322988158388633</v>
      </c>
      <c r="C14" s="97">
        <f>1/(1-D4*B4/(1-D4*B4/(1-D4*B4/(1-D4*B4/(1-D4*B4/(1-D4*B4/(1-D4*B4)))))))</f>
        <v>1.3331284250192328</v>
      </c>
      <c r="D14" s="130">
        <f>C14*D4*C13</f>
        <v>1.3327225351584515</v>
      </c>
      <c r="E14" s="1">
        <f>D14*D4*C12</f>
        <v>1.331504611127565</v>
      </c>
      <c r="F14" s="1">
        <f>E14*D4*C11</f>
        <v>1.3278500755297682</v>
      </c>
      <c r="G14" s="1">
        <f>F14*D4*C10</f>
        <v>1.3168841777423286</v>
      </c>
      <c r="H14" s="1">
        <f>G14*D4*C9</f>
        <v>1.2839796099616576</v>
      </c>
      <c r="I14" s="1">
        <f>H14*D4*C8</f>
        <v>1.1852452790550834</v>
      </c>
      <c r="J14" s="1">
        <f>I14*D4</f>
        <v>0.88898039071044554</v>
      </c>
      <c r="K14" s="1">
        <f>J14*D4</f>
        <v>0.66677011841611267</v>
      </c>
      <c r="L14" s="1"/>
      <c r="M14" s="242"/>
      <c r="N14" s="97">
        <f>B14+K14</f>
        <v>0.999999999999999</v>
      </c>
      <c r="R14" s="278">
        <f>B14-K14</f>
        <v>-0.33354023683222633</v>
      </c>
      <c r="S14" s="279">
        <f>IF(Rules!B20=Rules!E20,SUM(C14:J14)*B4*F4,SUM(C14:J14)*B4*F4*POWER(O2,A14-1))</f>
        <v>5.8621266247478276</v>
      </c>
      <c r="T14" s="261">
        <f>IF(Rules!B20=Rules!E20,SUM(C14:J14)*D4*H4,SUM(C14:J14)*D4*H4*POWER(O2,A14-1))</f>
        <v>-28.809840675562764</v>
      </c>
      <c r="U14" s="275">
        <f t="shared" si="0"/>
        <v>-99.279438904748176</v>
      </c>
      <c r="V14" s="93">
        <f>(U14+W14*K14)/B14</f>
        <v>-281.92333025743301</v>
      </c>
      <c r="W14" s="9">
        <f t="shared" si="1"/>
        <v>8</v>
      </c>
    </row>
    <row r="15" spans="1:23" x14ac:dyDescent="0.2">
      <c r="A15" s="98">
        <v>9</v>
      </c>
      <c r="B15" s="97">
        <f>C15*B4</f>
        <v>0.3332524255124934</v>
      </c>
      <c r="C15" s="97">
        <f>1/(1-D4*B4/(1-D4*B4/(1-D4*B4/(1-D4*B4/(1-D4*B4/(1-D4*B4/(1-D4*B4/(1-D4*B4))))))))</f>
        <v>1.3332186148662384</v>
      </c>
      <c r="D15" s="130">
        <f>C15*D4*C14</f>
        <v>1.3330833510856417</v>
      </c>
      <c r="E15" s="1">
        <f>D15*D4*C13</f>
        <v>1.3326774749482588</v>
      </c>
      <c r="F15" s="1">
        <f>E15*D4*C12</f>
        <v>1.3314595920961709</v>
      </c>
      <c r="G15" s="1">
        <f>F15*D4*C11</f>
        <v>1.3278051800605843</v>
      </c>
      <c r="H15" s="1">
        <f>G15*D4*C10</f>
        <v>1.3168396530372355</v>
      </c>
      <c r="I15" s="1">
        <f>H15*D4*C9</f>
        <v>1.283936197781266</v>
      </c>
      <c r="J15" s="1">
        <f>I15*D4*C8</f>
        <v>1.1852052051462274</v>
      </c>
      <c r="K15" s="1">
        <f>J15*D4</f>
        <v>0.88895033370892729</v>
      </c>
      <c r="L15" s="1">
        <f>K15*D4</f>
        <v>0.66674757448750521</v>
      </c>
      <c r="M15" s="242"/>
      <c r="N15" s="97">
        <f>B15+L15</f>
        <v>0.99999999999999867</v>
      </c>
      <c r="R15" s="278">
        <f>B15-L15</f>
        <v>-0.33349514897501181</v>
      </c>
      <c r="S15" s="279">
        <f>IF(Rules!B20=Rules!E20,SUM(C15:K15)*B4*F4,SUM(C15:K15)*B4*F4*POWER(O2,A15-1))</f>
        <v>6.6434549931543829</v>
      </c>
      <c r="T15" s="261">
        <f>IF(Rules!B20=Rules!E20,SUM(C15:K15)*D4*H4,SUM(C15:K15)*D4*H4*POWER(O2,A15-1))</f>
        <v>-32.649734838554949</v>
      </c>
      <c r="U15" s="275">
        <f t="shared" si="0"/>
        <v>-125.28571875014875</v>
      </c>
      <c r="V15" s="93">
        <f>(U15+W15*L15)/B15</f>
        <v>-357.94185262513355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0.33325993824672989</v>
      </c>
      <c r="C16" s="131">
        <f>1/(1-D4*B4/(1-D4*B4/(1-D4*B4/(1-D4*B4/(1-D4*B4/(1-D4*B4/(1-D4*B4/(1-D4*B4/(1-D4*B4)))))))))</f>
        <v>1.3332486705128468</v>
      </c>
      <c r="D16" s="139">
        <f>C16*D4*C15</f>
        <v>1.3332035925136778</v>
      </c>
      <c r="E16" s="110">
        <f>D16*D4*C14</f>
        <v>1.3330683302571975</v>
      </c>
      <c r="F16" s="110">
        <f>E16*D4*C13</f>
        <v>1.3326624586931188</v>
      </c>
      <c r="G16" s="110">
        <f>F16*D4*C12</f>
        <v>1.331444589563811</v>
      </c>
      <c r="H16" s="110">
        <f>G16*D4*C11</f>
        <v>1.3277902187051667</v>
      </c>
      <c r="I16" s="110">
        <f>H16*D4*C10</f>
        <v>1.3168248152384583</v>
      </c>
      <c r="J16" s="110">
        <f>I16*D4*C9</f>
        <v>1.2839217307298665</v>
      </c>
      <c r="K16" s="110">
        <f>J16*D4*C8</f>
        <v>1.1851918505693788</v>
      </c>
      <c r="L16" s="110">
        <f>K16*D4</f>
        <v>0.88894031725313161</v>
      </c>
      <c r="M16" s="244">
        <f>L16*D4</f>
        <v>0.66674006175326861</v>
      </c>
      <c r="N16" s="131">
        <f>B16+M16</f>
        <v>0.99999999999999845</v>
      </c>
      <c r="R16" s="280">
        <f>B16-M16</f>
        <v>-0.33348012350653872</v>
      </c>
      <c r="S16" s="281">
        <f>IF(Rules!B20=Rules!E20,SUM(C16:L16)*B4*F4,SUM(C16:L16)*B4*F4*POWER(O2,A16-1))</f>
        <v>7.4249243256483144</v>
      </c>
      <c r="T16" s="262">
        <f>IF(Rules!B20=Rules!E20,SUM(C16:L16)*D4*H4,SUM(C16:L16)*D4*H4*POWER(O2,A16-1))</f>
        <v>-36.490321779639153</v>
      </c>
      <c r="U16" s="275">
        <f t="shared" si="0"/>
        <v>-154.3511162041396</v>
      </c>
      <c r="V16" s="94">
        <f>(U16+W16*M16)/B16</f>
        <v>-443.14872157621562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-19.996866529122471</v>
      </c>
      <c r="F21" s="8">
        <f t="shared" ref="F21:F30" si="4">U7/E21</f>
        <v>0.11475316315413818</v>
      </c>
      <c r="G21" s="265">
        <f>E21*U7</f>
        <v>45.886883360581322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-109.9827659101736</v>
      </c>
      <c r="T21" s="8">
        <f>U7/S21</f>
        <v>2.0864211482570574E-2</v>
      </c>
      <c r="U21" s="265">
        <f>S21*U7</f>
        <v>252.37785848319729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-285.91728846377316</v>
      </c>
      <c r="F22" s="9">
        <f t="shared" si="4"/>
        <v>2.5311984167773659E-2</v>
      </c>
      <c r="G22" s="266">
        <f t="shared" ref="G22:G30" si="5">E22*U8</f>
        <v>2069.2216949009089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-1689.5112500132052</v>
      </c>
      <c r="T22" s="9">
        <f>U8/S22</f>
        <v>4.2835665514693883E-3</v>
      </c>
      <c r="U22" s="266">
        <f t="shared" ref="U22:U30" si="8">S22*U8</f>
        <v>12227.219106232646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-3170.27892031804</v>
      </c>
      <c r="F23" s="9">
        <f t="shared" si="4"/>
        <v>4.7437683681627396E-3</v>
      </c>
      <c r="G23" s="266">
        <f t="shared" si="5"/>
        <v>47678.042989520945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-18978.831914876915</v>
      </c>
      <c r="T23" s="9">
        <f t="shared" ref="T23:T30" si="11">U9/S23</f>
        <v>7.9241277481725228E-4</v>
      </c>
      <c r="U23" s="266">
        <f t="shared" si="8"/>
        <v>285423.96005888889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-32775.079877136181</v>
      </c>
      <c r="F24" s="9">
        <f t="shared" si="4"/>
        <v>7.875114748316734E-4</v>
      </c>
      <c r="G24" s="266">
        <f t="shared" si="5"/>
        <v>845949.4418316544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-196591.47821893386</v>
      </c>
      <c r="T24" s="9">
        <f t="shared" si="11"/>
        <v>1.3129130380221926E-4</v>
      </c>
      <c r="U24" s="266">
        <f t="shared" si="8"/>
        <v>5074173.7897085017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-331372.90329123044</v>
      </c>
      <c r="F25" s="9">
        <f t="shared" si="4"/>
        <v>1.1951465257243806E-4</v>
      </c>
      <c r="G25" s="266">
        <f t="shared" si="5"/>
        <v>13123665.093450723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-1988162.8600985457</v>
      </c>
      <c r="T25" s="9">
        <f t="shared" si="11"/>
        <v>1.9919855764134184E-5</v>
      </c>
      <c r="U25" s="266">
        <f t="shared" si="8"/>
        <v>78739037.706529781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-3325862.8351686234</v>
      </c>
      <c r="F26" s="9">
        <f t="shared" si="4"/>
        <v>1.6970371383710997E-5</v>
      </c>
      <c r="G26" s="266">
        <f t="shared" si="5"/>
        <v>187715448.27436101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-19955087.212625392</v>
      </c>
      <c r="T26" s="9">
        <f t="shared" si="11"/>
        <v>2.8284079584670406E-6</v>
      </c>
      <c r="U26" s="266">
        <f t="shared" si="8"/>
        <v>1126287621.3239944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-33299143.73661375</v>
      </c>
      <c r="F27" s="9">
        <f t="shared" si="4"/>
        <v>2.2923029330031518E-6</v>
      </c>
      <c r="G27" s="266">
        <f t="shared" si="5"/>
        <v>2541781077.5747752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-199794757.52736923</v>
      </c>
      <c r="T27" s="9">
        <f t="shared" si="11"/>
        <v>3.8205068941049066E-7</v>
      </c>
      <c r="U27" s="266">
        <f t="shared" si="8"/>
        <v>15250678458.837456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-333126554.85068166</v>
      </c>
      <c r="F28" s="9">
        <f t="shared" si="4"/>
        <v>2.9802319106397417E-7</v>
      </c>
      <c r="G28" s="266">
        <f t="shared" si="5"/>
        <v>33072617449.847492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-1998759209.178529</v>
      </c>
      <c r="T28" s="9">
        <f t="shared" si="11"/>
        <v>4.9670534824227815E-8</v>
      </c>
      <c r="U28" s="266">
        <f t="shared" si="8"/>
        <v>198435692792.94257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-3331715958.7327418</v>
      </c>
      <c r="F29" s="9">
        <f t="shared" si="4"/>
        <v>3.7603961532724016E-8</v>
      </c>
      <c r="G29" s="266">
        <f t="shared" si="5"/>
        <v>417416428561.17249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-19990295617.461952</v>
      </c>
      <c r="T29" s="9">
        <f t="shared" si="11"/>
        <v>6.2673269644251274E-9</v>
      </c>
      <c r="U29" s="266">
        <f t="shared" si="8"/>
        <v>2504498554461.6694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-33318660774.042023</v>
      </c>
      <c r="F30" s="10">
        <f t="shared" si="4"/>
        <v>4.6325726370248295E-9</v>
      </c>
      <c r="G30" s="267">
        <f t="shared" si="5"/>
        <v>5142772480900.4678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-199911964494.31815</v>
      </c>
      <c r="T30" s="10">
        <f t="shared" si="11"/>
        <v>7.7209544008320993E-10</v>
      </c>
      <c r="U30" s="267">
        <f t="shared" si="8"/>
        <v>30856634862260.328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-19.996866529122471</v>
      </c>
      <c r="F33" s="8">
        <f t="shared" ref="F33:F42" si="14">U7/E33</f>
        <v>0.11475316315413818</v>
      </c>
      <c r="G33" s="268">
        <f>E33*U7</f>
        <v>45.886883360581322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-109.9827659101736</v>
      </c>
      <c r="T33" s="8">
        <f>U7/S33</f>
        <v>2.0864211482570574E-2</v>
      </c>
      <c r="U33" s="268">
        <f>S33*U7</f>
        <v>252.37785848319729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-311.9097692332071</v>
      </c>
      <c r="F34" s="9">
        <f t="shared" si="14"/>
        <v>2.3202652153792521E-2</v>
      </c>
      <c r="G34" s="266">
        <f t="shared" ref="G34:G42" si="16">E34*U8</f>
        <v>2257.3327580737191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-1715.503730782639</v>
      </c>
      <c r="T34" s="9">
        <f t="shared" ref="T34:T42" si="18">U8/S34</f>
        <v>4.218664027962277E-3</v>
      </c>
      <c r="U34" s="266">
        <f t="shared" ref="U34:U42" si="19">S34*U8</f>
        <v>12415.330169405453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-3798.6224901108048</v>
      </c>
      <c r="F35" s="9">
        <f t="shared" si="14"/>
        <v>3.9590848786922117E-3</v>
      </c>
      <c r="G35" s="266">
        <f t="shared" si="16"/>
        <v>57127.745203660234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-19321.564771127516</v>
      </c>
      <c r="T35" s="9">
        <f t="shared" si="18"/>
        <v>7.7835667238146953E-4</v>
      </c>
      <c r="U35" s="266">
        <f t="shared" si="19"/>
        <v>290578.34308478306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-43188.764122526889</v>
      </c>
      <c r="F36" s="9">
        <f t="shared" si="14"/>
        <v>5.976265358866046E-4</v>
      </c>
      <c r="G36" s="266">
        <f t="shared" si="16"/>
        <v>1114734.4580031883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-200220.0424177527</v>
      </c>
      <c r="T36" s="9">
        <f t="shared" si="18"/>
        <v>1.2891192699837766E-4</v>
      </c>
      <c r="U36" s="266">
        <f t="shared" si="19"/>
        <v>5167829.7585161459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-480313.25780805206</v>
      </c>
      <c r="F37" s="9">
        <f t="shared" si="14"/>
        <v>8.2454349874719603E-5</v>
      </c>
      <c r="G37" s="266">
        <f t="shared" si="16"/>
        <v>19022286.592568077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-2024965.5027644965</v>
      </c>
      <c r="T37" s="9">
        <f t="shared" si="18"/>
        <v>1.9557823259064902E-5</v>
      </c>
      <c r="U37" s="266">
        <f t="shared" si="19"/>
        <v>80196566.527096614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-5302774.310618504</v>
      </c>
      <c r="F38" s="9">
        <f t="shared" si="14"/>
        <v>1.0643697841538037E-5</v>
      </c>
      <c r="G38" s="266">
        <f t="shared" si="16"/>
        <v>299294560.88499516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-20324607.572447162</v>
      </c>
      <c r="T38" s="9">
        <f t="shared" si="18"/>
        <v>2.776984858522304E-6</v>
      </c>
      <c r="U38" s="266">
        <f t="shared" si="19"/>
        <v>1147143767.060663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-58401552.576639719</v>
      </c>
      <c r="F39" s="9">
        <f t="shared" si="14"/>
        <v>1.3070153358297103E-6</v>
      </c>
      <c r="G39" s="266">
        <f t="shared" si="16"/>
        <v>4457891242.3225784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-203494639.07759005</v>
      </c>
      <c r="T39" s="9">
        <f t="shared" si="18"/>
        <v>3.7510435262537245E-7</v>
      </c>
      <c r="U39" s="266">
        <f t="shared" si="19"/>
        <v>15533096799.321054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-642677723.1912334</v>
      </c>
      <c r="F40" s="9">
        <f t="shared" si="14"/>
        <v>1.5447779707031617E-7</v>
      </c>
      <c r="G40" s="266">
        <f t="shared" si="16"/>
        <v>63804683755.006714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-2035773244.1784801</v>
      </c>
      <c r="T40" s="9">
        <f t="shared" si="18"/>
        <v>4.8767434776269295E-8</v>
      </c>
      <c r="U40" s="266">
        <f t="shared" si="19"/>
        <v>202110425419.33841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-7070410760.8374138</v>
      </c>
      <c r="F41" s="9">
        <f t="shared" si="14"/>
        <v>1.7719722798016054E-8</v>
      </c>
      <c r="G41" s="266">
        <f t="shared" si="16"/>
        <v>885821494030.30139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-20360486249.557926</v>
      </c>
      <c r="T41" s="9">
        <f t="shared" si="18"/>
        <v>6.1533755733789997E-9</v>
      </c>
      <c r="U41" s="266">
        <f t="shared" si="19"/>
        <v>2550878153878.3853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-77778022651.750137</v>
      </c>
      <c r="F42" s="10">
        <f t="shared" si="14"/>
        <v>1.984508103211164E-9</v>
      </c>
      <c r="G42" s="267">
        <f t="shared" si="16"/>
        <v>12005124612448.488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-203614037880.33749</v>
      </c>
      <c r="T42" s="10">
        <f t="shared" si="18"/>
        <v>7.5805734128631466E-10</v>
      </c>
      <c r="U42" s="267">
        <f t="shared" si="19"/>
        <v>31428054021662.055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-19.996866529122471</v>
      </c>
      <c r="F45" s="8">
        <f t="shared" ref="F45:F54" si="24">U7/E45</f>
        <v>0.11475316315413818</v>
      </c>
      <c r="G45" s="265">
        <f>E45*U7</f>
        <v>45.886883360581322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-109.9827659101736</v>
      </c>
      <c r="T45" s="8">
        <f>U7/S45</f>
        <v>2.0864211482570574E-2</v>
      </c>
      <c r="U45" s="268">
        <f>S45*U7</f>
        <v>252.37785848319729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-545.84209615811244</v>
      </c>
      <c r="F46" s="9">
        <f t="shared" si="24"/>
        <v>1.3258658373595725E-2</v>
      </c>
      <c r="G46" s="266">
        <f t="shared" ref="G46:G54" si="26">E46*U8</f>
        <v>3950.3323266290081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-3119.0976923320709</v>
      </c>
      <c r="T46" s="9">
        <f t="shared" ref="T46:T54" si="29">U8/S46</f>
        <v>2.3202652153792519E-3</v>
      </c>
      <c r="U46" s="266">
        <f t="shared" ref="U46:U54" si="30">S46*U8</f>
        <v>22573.32758073719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-12024.211040125179</v>
      </c>
      <c r="F47" s="9">
        <f t="shared" si="24"/>
        <v>1.2507322775916012E-3</v>
      </c>
      <c r="G47" s="266">
        <f t="shared" si="26"/>
        <v>180832.93782512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-68960.706784755923</v>
      </c>
      <c r="T47" s="9">
        <f t="shared" si="29"/>
        <v>2.1808171002943224E-4</v>
      </c>
      <c r="U47" s="266">
        <f t="shared" si="30"/>
        <v>1037104.8180017866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-248423.89527035443</v>
      </c>
      <c r="F48" s="9">
        <f t="shared" si="24"/>
        <v>1.0389802262652763E-4</v>
      </c>
      <c r="G48" s="266">
        <f t="shared" si="26"/>
        <v>6412007.4254404698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-1425140.7144775623</v>
      </c>
      <c r="T48" s="9">
        <f t="shared" si="29"/>
        <v>1.8111019655509103E-5</v>
      </c>
      <c r="U48" s="266">
        <f t="shared" si="30"/>
        <v>36783952.822183073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-5022964.2467115764</v>
      </c>
      <c r="F49" s="9">
        <f t="shared" si="24"/>
        <v>7.8845708357767691E-6</v>
      </c>
      <c r="G49" s="266">
        <f t="shared" si="26"/>
        <v>198929061.17397752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-28815917.466038015</v>
      </c>
      <c r="T49" s="9">
        <f t="shared" si="29"/>
        <v>1.3743764173203257E-6</v>
      </c>
      <c r="U49" s="266">
        <f t="shared" si="30"/>
        <v>1141223215.3829463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-100826256.78017054</v>
      </c>
      <c r="F50" s="9">
        <f t="shared" si="24"/>
        <v>5.5978600502001166E-7</v>
      </c>
      <c r="G50" s="266">
        <f t="shared" si="26"/>
        <v>5690747612.6735554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-578424272.67647958</v>
      </c>
      <c r="T50" s="9">
        <f t="shared" si="29"/>
        <v>9.7577384197467458E-8</v>
      </c>
      <c r="U50" s="266">
        <f t="shared" si="30"/>
        <v>32646918114.02726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-2018979862.6669235</v>
      </c>
      <c r="F51" s="9">
        <f t="shared" si="24"/>
        <v>3.7807075873012748E-8</v>
      </c>
      <c r="G51" s="266">
        <f t="shared" si="26"/>
        <v>154112215362.72351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-11582568636.140203</v>
      </c>
      <c r="T51" s="9">
        <f t="shared" si="29"/>
        <v>6.5902242630154761E-9</v>
      </c>
      <c r="U51" s="266">
        <f t="shared" si="30"/>
        <v>884117442235.65076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-40395978422.169739</v>
      </c>
      <c r="F52" s="9">
        <f t="shared" si="24"/>
        <v>2.4576564990504741E-9</v>
      </c>
      <c r="G52" s="266">
        <f t="shared" si="26"/>
        <v>4010490071761.3262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-231745349838.79852</v>
      </c>
      <c r="T52" s="9">
        <f t="shared" si="29"/>
        <v>4.2839883938903932E-10</v>
      </c>
      <c r="U52" s="266">
        <f t="shared" si="30"/>
        <v>23007548300780.492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-808028797534.89661</v>
      </c>
      <c r="F53" s="9">
        <f t="shared" si="24"/>
        <v>1.5505105651229959E-10</v>
      </c>
      <c r="G53" s="266">
        <f t="shared" si="26"/>
        <v>101234468669977.94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-4635533627899.4375</v>
      </c>
      <c r="T53" s="9">
        <f t="shared" si="29"/>
        <v>2.7027248383250576E-11</v>
      </c>
      <c r="U53" s="266">
        <f t="shared" si="30"/>
        <v>580766162361865.62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-16161304090749.883</v>
      </c>
      <c r="F54" s="10">
        <f t="shared" si="24"/>
        <v>9.5506597324954929E-12</v>
      </c>
      <c r="G54" s="267">
        <f t="shared" si="26"/>
        <v>2494515325721772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-92714849783704.609</v>
      </c>
      <c r="T54" s="10">
        <f t="shared" si="29"/>
        <v>1.6647938983261781E-12</v>
      </c>
      <c r="U54" s="267">
        <f t="shared" si="30"/>
        <v>1.4310640552813938E+16</v>
      </c>
    </row>
  </sheetData>
  <mergeCells count="2">
    <mergeCell ref="A18:F18"/>
    <mergeCell ref="O18:T18"/>
  </mergeCells>
  <conditionalFormatting sqref="F45:F54">
    <cfRule type="cellIs" dxfId="206" priority="33" operator="equal">
      <formula>MAX($F$45:$F$54)</formula>
    </cfRule>
  </conditionalFormatting>
  <conditionalFormatting sqref="F21:F30">
    <cfRule type="cellIs" dxfId="205" priority="32" operator="equal">
      <formula>MAX($F$21:$F$30)</formula>
    </cfRule>
  </conditionalFormatting>
  <conditionalFormatting sqref="E33:E42">
    <cfRule type="cellIs" dxfId="204" priority="30" stopIfTrue="1" operator="lessThan">
      <formula>0</formula>
    </cfRule>
    <cfRule type="cellIs" dxfId="203" priority="31" operator="equal">
      <formula>MIN($E$33:$E$42)</formula>
    </cfRule>
  </conditionalFormatting>
  <conditionalFormatting sqref="E21:E30">
    <cfRule type="cellIs" dxfId="202" priority="28" stopIfTrue="1" operator="lessThan">
      <formula>0</formula>
    </cfRule>
    <cfRule type="cellIs" dxfId="201" priority="29" operator="equal">
      <formula>MIN($E$21:$E$30)</formula>
    </cfRule>
  </conditionalFormatting>
  <conditionalFormatting sqref="E45:E54">
    <cfRule type="cellIs" dxfId="200" priority="26" stopIfTrue="1" operator="lessThan">
      <formula>0</formula>
    </cfRule>
    <cfRule type="cellIs" dxfId="199" priority="27" operator="equal">
      <formula>MIN($E$45:$E$54)</formula>
    </cfRule>
  </conditionalFormatting>
  <conditionalFormatting sqref="F33:F42">
    <cfRule type="cellIs" dxfId="198" priority="24" operator="lessThanOrEqual">
      <formula>0</formula>
    </cfRule>
    <cfRule type="cellIs" dxfId="197" priority="25" operator="equal">
      <formula>MAX($F$33:$F$42)</formula>
    </cfRule>
  </conditionalFormatting>
  <conditionalFormatting sqref="R7:R16">
    <cfRule type="cellIs" dxfId="196" priority="22" operator="lessThanOrEqual">
      <formula>0</formula>
    </cfRule>
    <cfRule type="cellIs" dxfId="195" priority="23" operator="greaterThan">
      <formula>0</formula>
    </cfRule>
  </conditionalFormatting>
  <conditionalFormatting sqref="T21:T30">
    <cfRule type="cellIs" dxfId="194" priority="19" operator="equal">
      <formula>MAX($T$21:$T$30)</formula>
    </cfRule>
  </conditionalFormatting>
  <conditionalFormatting sqref="S33:S42">
    <cfRule type="cellIs" dxfId="193" priority="17" stopIfTrue="1" operator="lessThan">
      <formula>0</formula>
    </cfRule>
    <cfRule type="cellIs" dxfId="192" priority="18" operator="equal">
      <formula>MIN($E$21:$E$30)</formula>
    </cfRule>
  </conditionalFormatting>
  <conditionalFormatting sqref="T33:T42">
    <cfRule type="cellIs" dxfId="191" priority="16" operator="equal">
      <formula>MAX($T$21:$T$30)</formula>
    </cfRule>
  </conditionalFormatting>
  <conditionalFormatting sqref="S45:S54">
    <cfRule type="cellIs" dxfId="190" priority="14" stopIfTrue="1" operator="lessThan">
      <formula>0</formula>
    </cfRule>
    <cfRule type="cellIs" dxfId="189" priority="15" operator="equal">
      <formula>MIN($E$21:$E$30)</formula>
    </cfRule>
  </conditionalFormatting>
  <conditionalFormatting sqref="T45:T54">
    <cfRule type="cellIs" dxfId="188" priority="13" operator="equal">
      <formula>MAX($T$21:$T$30)</formula>
    </cfRule>
  </conditionalFormatting>
  <conditionalFormatting sqref="S21:S30">
    <cfRule type="cellIs" dxfId="187" priority="11" stopIfTrue="1" operator="lessThan">
      <formula>0</formula>
    </cfRule>
    <cfRule type="cellIs" dxfId="186" priority="12" operator="equal">
      <formula>MIN($E$21:$E$30)</formula>
    </cfRule>
  </conditionalFormatting>
  <conditionalFormatting sqref="U7:U16">
    <cfRule type="cellIs" dxfId="185" priority="7" operator="lessThanOrEqual">
      <formula>0</formula>
    </cfRule>
    <cfRule type="cellIs" dxfId="184" priority="8" operator="greaterThan">
      <formula>0</formula>
    </cfRule>
  </conditionalFormatting>
  <conditionalFormatting sqref="S7:T16">
    <cfRule type="cellIs" dxfId="183" priority="1" operator="lessThanOrEqual">
      <formula>0</formula>
    </cfRule>
    <cfRule type="cellIs" dxfId="18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A89A-3C8D-D649-B3D3-617CB65D7BD5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0.99999999999999978</v>
      </c>
    </row>
    <row r="2" spans="1:23" x14ac:dyDescent="0.2">
      <c r="A2" t="s">
        <v>40</v>
      </c>
      <c r="B2" s="135" t="s">
        <v>125</v>
      </c>
      <c r="C2" s="141">
        <f>Analysis!B62</f>
        <v>0.25391107529222384</v>
      </c>
      <c r="D2" s="135" t="s">
        <v>126</v>
      </c>
      <c r="E2" s="141">
        <f>Analysis!O62</f>
        <v>0.74608892470777599</v>
      </c>
      <c r="F2" s="135" t="s">
        <v>47</v>
      </c>
      <c r="G2" s="141">
        <f>Analysis!S62</f>
        <v>2.6728226386995906</v>
      </c>
      <c r="H2" t="s">
        <v>155</v>
      </c>
      <c r="I2" s="155">
        <f>Analysis!T62</f>
        <v>-4.3776779157392864</v>
      </c>
      <c r="J2" t="s">
        <v>48</v>
      </c>
      <c r="K2" s="155">
        <f>C2*G2+E2*I2</f>
        <v>-2.5874777386132903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0.25391107529222384</v>
      </c>
      <c r="C4" t="s">
        <v>124</v>
      </c>
      <c r="D4">
        <f>$E$2</f>
        <v>0.74608892470777599</v>
      </c>
      <c r="E4" t="s">
        <v>47</v>
      </c>
      <c r="F4">
        <f>G2</f>
        <v>2.6728226386995906</v>
      </c>
      <c r="G4" t="s">
        <v>155</v>
      </c>
      <c r="H4">
        <f>I2</f>
        <v>-4.3776779157392864</v>
      </c>
      <c r="I4" t="s">
        <v>48</v>
      </c>
      <c r="J4">
        <f>K2</f>
        <v>-2.5874777386132903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0.25391107529222384</v>
      </c>
      <c r="C7" s="95">
        <v>1</v>
      </c>
      <c r="D7" s="22">
        <f>C7*D4</f>
        <v>0.74608892470777599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0.99999999999999978</v>
      </c>
      <c r="R7" s="276">
        <f>B7-D7</f>
        <v>-0.49217784941555215</v>
      </c>
      <c r="S7" s="277">
        <f>IF(Rules!B20=Rules!E20,SUM(C7)*B4*F4,SUM(C7)*B4*F4*POWER(O2,A7-1))</f>
        <v>0.67865927025761219</v>
      </c>
      <c r="T7" s="260">
        <f>IF(Rules!B20=Rules!E20,SUM(C7)*D4*H4,SUM(C7)*D4*H4*POWER(O2,A7-1))</f>
        <v>-3.2661370088709023</v>
      </c>
      <c r="U7" s="274">
        <f>S7+T7</f>
        <v>-2.5874777386132903</v>
      </c>
      <c r="V7" s="108">
        <f>(U7+W7*D7)/B7</f>
        <v>-7.2521012003366829</v>
      </c>
      <c r="W7" s="57">
        <f>COUNT(D7:M7)</f>
        <v>1</v>
      </c>
    </row>
    <row r="8" spans="1:23" x14ac:dyDescent="0.2">
      <c r="A8" s="98">
        <v>2</v>
      </c>
      <c r="B8" s="97">
        <f>C8*B4</f>
        <v>0.31325398592219006</v>
      </c>
      <c r="C8" s="97">
        <f>1/(1-B4*D4)</f>
        <v>1.2337153295171115</v>
      </c>
      <c r="D8" s="130">
        <f>C8*D4</f>
        <v>0.92046134359492127</v>
      </c>
      <c r="E8" s="1">
        <f>D8*D4</f>
        <v>0.68674601407780955</v>
      </c>
      <c r="F8" s="1"/>
      <c r="G8" s="1"/>
      <c r="H8" s="1"/>
      <c r="I8" s="1"/>
      <c r="J8" s="1"/>
      <c r="K8" s="1"/>
      <c r="L8" s="1"/>
      <c r="M8" s="242"/>
      <c r="N8" s="97">
        <f>B8+E8</f>
        <v>0.99999999999999956</v>
      </c>
      <c r="R8" s="278">
        <f>B8-E8</f>
        <v>-0.37349202815561949</v>
      </c>
      <c r="S8" s="279">
        <f>IF(Rules!B20=Rules!E20,SUM(C8:D8)*B4*F4,SUM(C8:D8)*B4*F4*POWER(O2,A8-1))</f>
        <v>1.4619519689801828</v>
      </c>
      <c r="T8" s="261">
        <f>IF(Rules!B20=Rules!E20,SUM(C8:D8)*D4*H4,SUM(C8:D8)*D4*H4*POWER(O2,A8-1))</f>
        <v>-7.0358361556976057</v>
      </c>
      <c r="U8" s="275">
        <f>S8+T8+U7</f>
        <v>-8.1613619253307128</v>
      </c>
      <c r="V8" s="93">
        <f>(U8+W8*E8)/B8</f>
        <v>-21.668901920568537</v>
      </c>
      <c r="W8" s="9">
        <f>COUNT(D8:M8)</f>
        <v>2</v>
      </c>
    </row>
    <row r="9" spans="1:23" x14ac:dyDescent="0.2">
      <c r="A9" s="98">
        <v>3</v>
      </c>
      <c r="B9" s="97">
        <f>C9*B4</f>
        <v>0.33135345788950349</v>
      </c>
      <c r="C9" s="97">
        <f>1/(1-D4*B4/(1-D4*B4))</f>
        <v>1.3049980490537956</v>
      </c>
      <c r="D9" s="130">
        <f>C9*D4*C8</f>
        <v>1.2012002576208076</v>
      </c>
      <c r="E9" s="1">
        <f>D9*(D4)</f>
        <v>0.89620220856701183</v>
      </c>
      <c r="F9" s="1">
        <f>E9*D4</f>
        <v>0.66864654211049579</v>
      </c>
      <c r="G9" s="1"/>
      <c r="H9" s="1"/>
      <c r="I9" s="1"/>
      <c r="J9" s="1"/>
      <c r="K9" s="1"/>
      <c r="L9" s="1"/>
      <c r="M9" s="242"/>
      <c r="N9" s="97">
        <f>B9+F9</f>
        <v>0.99999999999999933</v>
      </c>
      <c r="R9" s="278">
        <f>B9-F9</f>
        <v>-0.3372930842209923</v>
      </c>
      <c r="S9" s="279">
        <f>IF(Rules!B20=Rules!E20,SUM(C9:E9)*B4*F4,SUM(C9:E9)*B4*F4*POWER(O2,A9-1))</f>
        <v>2.3090706507979979</v>
      </c>
      <c r="T9" s="261">
        <f>IF(Rules!B20=Rules!E20,SUM(C9:E9)*D4*H4,SUM(C9:E9)*D4*H4*POWER(O2,A9-1))</f>
        <v>-11.112706241832065</v>
      </c>
      <c r="U9" s="275">
        <f t="shared" ref="U9:U16" si="0">S9+T9+U8</f>
        <v>-16.964997516364779</v>
      </c>
      <c r="V9" s="93">
        <f>(U9+W9*F9)/B9</f>
        <v>-45.145320001524446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0.33729746663690241</v>
      </c>
      <c r="C10" s="97">
        <f>1/(1-D4*B4/(1-D4*B4/(1-D4*B4)))</f>
        <v>1.3284078540044382</v>
      </c>
      <c r="D10" s="130">
        <f>C10*D4*C9</f>
        <v>1.2933971219115854</v>
      </c>
      <c r="E10" s="1">
        <f>D10*D4*C8</f>
        <v>1.1905220526365421</v>
      </c>
      <c r="F10" s="1">
        <f>E10*D4</f>
        <v>0.88823531809249201</v>
      </c>
      <c r="G10" s="1">
        <f>F10*D4</f>
        <v>0.6627025333630967</v>
      </c>
      <c r="H10" s="1"/>
      <c r="I10" s="1"/>
      <c r="J10" s="1"/>
      <c r="K10" s="1"/>
      <c r="L10" s="1"/>
      <c r="M10" s="242"/>
      <c r="N10" s="97">
        <f>B10+G10</f>
        <v>0.99999999999999911</v>
      </c>
      <c r="R10" s="278">
        <f>B10-G10</f>
        <v>-0.32540506672619429</v>
      </c>
      <c r="S10" s="279">
        <f>IF(Rules!B20=Rules!E20,SUM(C10:F10)*B4*F4,SUM(C10:F10)*B4*F4*POWER(O2,A10-1))</f>
        <v>3.1900802119745433</v>
      </c>
      <c r="T10" s="261">
        <f>IF(Rules!B20=Rules!E20,SUM(C10:F10)*D4*H4,SUM(C10:F10)*D4*H4*POWER(O2,A10-1))</f>
        <v>-15.352680642882477</v>
      </c>
      <c r="U10" s="275">
        <f t="shared" si="0"/>
        <v>-29.127597947272712</v>
      </c>
      <c r="V10" s="93">
        <f>(U10+W10*G10)/B10</f>
        <v>-78.496847538799742</v>
      </c>
      <c r="W10" s="9">
        <f t="shared" si="1"/>
        <v>4</v>
      </c>
    </row>
    <row r="11" spans="1:23" x14ac:dyDescent="0.2">
      <c r="A11" s="98">
        <v>5</v>
      </c>
      <c r="B11" s="97">
        <f>C11*B4</f>
        <v>0.33929631852668429</v>
      </c>
      <c r="C11" s="97">
        <f>1/(1-D4*B4/(1-D4*B4/(1-D4*B4/(1-D4*B4))))</f>
        <v>1.3362801056873608</v>
      </c>
      <c r="D11" s="130">
        <f>C11*D4*C10</f>
        <v>1.3244010931793315</v>
      </c>
      <c r="E11" s="1">
        <f>D11*D4*C9</f>
        <v>1.2894959609061314</v>
      </c>
      <c r="F11" s="1">
        <f>E11*D4*C8</f>
        <v>1.1869311847358817</v>
      </c>
      <c r="G11" s="1">
        <f>F11*D4</f>
        <v>0.88555621132172058</v>
      </c>
      <c r="H11" s="1">
        <f>G11*D4</f>
        <v>0.6607036814733146</v>
      </c>
      <c r="I11" s="1"/>
      <c r="J11" s="1"/>
      <c r="K11" s="1"/>
      <c r="L11" s="1"/>
      <c r="M11" s="242"/>
      <c r="N11" s="97">
        <f>B11+H11</f>
        <v>0.99999999999999889</v>
      </c>
      <c r="R11" s="278">
        <f>B11-H11</f>
        <v>-0.3214073629466303</v>
      </c>
      <c r="S11" s="279">
        <f>IF(Rules!B20=Rules!E20,SUM(C11:G11)*B4*F4,SUM(C11:G11)*B4*F4*POWER(O2,A11-1))</f>
        <v>4.0873371324662626</v>
      </c>
      <c r="T11" s="261">
        <f>IF(Rules!B20=Rules!E20,SUM(C11:G11)*D4*H4,SUM(C11:G11)*D4*H4*POWER(O2,A11-1))</f>
        <v>-19.670847597812788</v>
      </c>
      <c r="U11" s="275">
        <f t="shared" si="0"/>
        <v>-44.71110841261924</v>
      </c>
      <c r="V11" s="93">
        <f>(U11+W11*H11)/B11</f>
        <v>-122.03960887361094</v>
      </c>
      <c r="W11" s="9">
        <f t="shared" si="1"/>
        <v>5</v>
      </c>
    </row>
    <row r="12" spans="1:23" x14ac:dyDescent="0.2">
      <c r="A12" s="98">
        <v>6</v>
      </c>
      <c r="B12" s="97">
        <f>C12*B4</f>
        <v>0.33997382616205629</v>
      </c>
      <c r="C12" s="97">
        <f>1/(1-D4*B4/(1-D4*B4/(1-D4*B4/(1-D4*B4/(1-D4*B4)))))</f>
        <v>1.3389483927425523</v>
      </c>
      <c r="D12" s="130">
        <f>C12*D4*C11</f>
        <v>1.3349098394091703</v>
      </c>
      <c r="E12" s="1">
        <f>D12*D4*C10</f>
        <v>1.3230430080375575</v>
      </c>
      <c r="F12" s="1">
        <f>E12*D4*C9</f>
        <v>1.2881736686535026</v>
      </c>
      <c r="G12" s="1">
        <f>F12*D4*C8</f>
        <v>1.1857140658324019</v>
      </c>
      <c r="H12" s="1">
        <f>G12*D4</f>
        <v>0.88464813238778184</v>
      </c>
      <c r="I12" s="1">
        <f>H12*D4</f>
        <v>0.66002617383794238</v>
      </c>
      <c r="J12" s="1"/>
      <c r="K12" s="1"/>
      <c r="L12" s="1"/>
      <c r="M12" s="242"/>
      <c r="N12" s="97">
        <f>B12+I12</f>
        <v>0.99999999999999867</v>
      </c>
      <c r="R12" s="278">
        <f>B12-I12</f>
        <v>-0.32005234767588608</v>
      </c>
      <c r="S12" s="279">
        <f>IF(Rules!B20=Rules!E20,SUM(C12:H12)*B4*F4,SUM(C12:H12)*B4*F4*POWER(O2,A12-1))</f>
        <v>4.991835579505115</v>
      </c>
      <c r="T12" s="261">
        <f>IF(Rules!B20=Rules!E20,SUM(C12:H12)*D4*H4,SUM(C12:H12)*D4*H4*POWER(O2,A12-1))</f>
        <v>-24.02386535180068</v>
      </c>
      <c r="U12" s="275">
        <f t="shared" si="0"/>
        <v>-63.743138184914805</v>
      </c>
      <c r="V12" s="93">
        <f>(U12+W12*I12)/B12</f>
        <v>-175.84583441841264</v>
      </c>
      <c r="W12" s="9">
        <f t="shared" si="1"/>
        <v>6</v>
      </c>
    </row>
    <row r="13" spans="1:23" x14ac:dyDescent="0.2">
      <c r="A13" s="98">
        <v>7</v>
      </c>
      <c r="B13" s="97">
        <f>C13*B4</f>
        <v>0.34020408067126279</v>
      </c>
      <c r="C13" s="97">
        <f>1/(1-D4*B4/(1-D4*B4/(1-D4*B4/(1-D4*B4/(1-D4*B4/(1-D4*B4))))))</f>
        <v>1.3398552240374908</v>
      </c>
      <c r="D13" s="130">
        <f>C13*D4*C12</f>
        <v>1.3384812917134654</v>
      </c>
      <c r="E13" s="1">
        <f>D13*D4*C11</f>
        <v>1.3344441472562047</v>
      </c>
      <c r="F13" s="1">
        <f>E13*D4*C10</f>
        <v>1.3225814557074378</v>
      </c>
      <c r="G13" s="1">
        <f>F13*D4*C9</f>
        <v>1.2877242807237423</v>
      </c>
      <c r="H13" s="1">
        <f>G13*D4*C8</f>
        <v>1.1853004216147793</v>
      </c>
      <c r="I13" s="1">
        <f>H13*D4</f>
        <v>0.8843395170182442</v>
      </c>
      <c r="J13" s="1">
        <f>I13*D4</f>
        <v>0.65979591932873582</v>
      </c>
      <c r="K13" s="1"/>
      <c r="L13" s="1"/>
      <c r="M13" s="242"/>
      <c r="N13" s="97">
        <f>B13+J13</f>
        <v>0.99999999999999867</v>
      </c>
      <c r="R13" s="278">
        <f>B13-J13</f>
        <v>-0.31959183865747304</v>
      </c>
      <c r="S13" s="279">
        <f>IF(Rules!B20=Rules!E20,SUM(C13:I13)*B4*F4,SUM(C13:I13)*B4*F4*POWER(O2,A13-1))</f>
        <v>5.8993993131446381</v>
      </c>
      <c r="T13" s="261">
        <f>IF(Rules!B20=Rules!E20,SUM(C13:I13)*D4*H4,SUM(C13:I13)*D4*H4*POWER(O2,A13-1))</f>
        <v>-28.391635200761719</v>
      </c>
      <c r="U13" s="275">
        <f t="shared" si="0"/>
        <v>-86.235374072531883</v>
      </c>
      <c r="V13" s="93">
        <f>(U13+W13*J13)/B13</f>
        <v>-239.90541934767847</v>
      </c>
      <c r="W13" s="9">
        <f t="shared" si="1"/>
        <v>7</v>
      </c>
    </row>
    <row r="14" spans="1:23" x14ac:dyDescent="0.2">
      <c r="A14" s="98">
        <v>8</v>
      </c>
      <c r="B14" s="97">
        <f>C14*B4</f>
        <v>0.34028240489593292</v>
      </c>
      <c r="C14" s="97">
        <f>1/(1-D4*B4/(1-D4*B4/(1-D4*B4/(1-D4*B4/(1-D4*B4/(1-D4*B4/(1-D4*B4)))))))</f>
        <v>1.3401636951216291</v>
      </c>
      <c r="D14" s="130">
        <f>C14*D4*C13</f>
        <v>1.3396961701262453</v>
      </c>
      <c r="E14" s="1">
        <f>D14*D4*C12</f>
        <v>1.3383224009014161</v>
      </c>
      <c r="F14" s="1">
        <f>E14*D4*C11</f>
        <v>1.3342857356926625</v>
      </c>
      <c r="G14" s="1">
        <f>F14*D4*C10</f>
        <v>1.322424452361332</v>
      </c>
      <c r="H14" s="1">
        <f>G14*D4*C9</f>
        <v>1.2875714152650117</v>
      </c>
      <c r="I14" s="1">
        <f>H14*D4*C8</f>
        <v>1.185159714869247</v>
      </c>
      <c r="J14" s="1">
        <f>I14*D4</f>
        <v>0.88423453727377088</v>
      </c>
      <c r="K14" s="1">
        <f>J14*D4</f>
        <v>0.65971759510406558</v>
      </c>
      <c r="L14" s="1"/>
      <c r="M14" s="242"/>
      <c r="N14" s="97">
        <f>B14+K14</f>
        <v>0.99999999999999845</v>
      </c>
      <c r="R14" s="278">
        <f>B14-K14</f>
        <v>-0.31943519020813266</v>
      </c>
      <c r="S14" s="279">
        <f>IF(Rules!B20=Rules!E20,SUM(C14:J14)*B4*F4,SUM(C14:J14)*B4*F4*POWER(O2,A14-1))</f>
        <v>6.808213512140636</v>
      </c>
      <c r="T14" s="261">
        <f>IF(Rules!B20=Rules!E20,SUM(C14:J14)*D4*H4,SUM(C14:J14)*D4*H4*POWER(O2,A14-1))</f>
        <v>-32.765423078736852</v>
      </c>
      <c r="U14" s="275">
        <f t="shared" si="0"/>
        <v>-112.1925836391281</v>
      </c>
      <c r="V14" s="93">
        <f>(U14+W14*K14)/B14</f>
        <v>-314.19444949259974</v>
      </c>
      <c r="W14" s="9">
        <f t="shared" si="1"/>
        <v>8</v>
      </c>
    </row>
    <row r="15" spans="1:23" x14ac:dyDescent="0.2">
      <c r="A15" s="98">
        <v>9</v>
      </c>
      <c r="B15" s="97">
        <f>C15*B4</f>
        <v>0.34030905617476304</v>
      </c>
      <c r="C15" s="97">
        <f>1/(1-D4*B4/(1-D4*B4/(1-D4*B4/(1-D4*B4/(1-D4*B4/(1-D4*B4/(1-D4*B4/(1-D4*B4))))))))</f>
        <v>1.3402686581635108</v>
      </c>
      <c r="D15" s="130">
        <f>C15*D4*C14</f>
        <v>1.3401095551735935</v>
      </c>
      <c r="E15" s="1">
        <f>D15*D4*C13</f>
        <v>1.3396420490652896</v>
      </c>
      <c r="F15" s="1">
        <f>E15*D4*C12</f>
        <v>1.3382683353380049</v>
      </c>
      <c r="G15" s="1">
        <f>F15*D4*C11</f>
        <v>1.3342318332024981</v>
      </c>
      <c r="H15" s="1">
        <f>G15*D4*C10</f>
        <v>1.322371029043425</v>
      </c>
      <c r="I15" s="1">
        <f>H15*D4*C9</f>
        <v>1.2875193999404895</v>
      </c>
      <c r="J15" s="1">
        <f>I15*D4*C8</f>
        <v>1.1851118367737496</v>
      </c>
      <c r="K15" s="1">
        <f>J15*D4</f>
        <v>0.88419881595698424</v>
      </c>
      <c r="L15" s="1">
        <f>K15*D4</f>
        <v>0.65969094382523508</v>
      </c>
      <c r="M15" s="242"/>
      <c r="N15" s="97">
        <f>B15+L15</f>
        <v>0.99999999999999811</v>
      </c>
      <c r="R15" s="278">
        <f>B15-L15</f>
        <v>-0.31938188765047204</v>
      </c>
      <c r="S15" s="279">
        <f>IF(Rules!B20=Rules!E20,SUM(C15:K15)*B4*F4,SUM(C15:K15)*B4*F4*POWER(O2,A15-1))</f>
        <v>7.7175242233529575</v>
      </c>
      <c r="T15" s="261">
        <f>IF(Rules!B20=Rules!E20,SUM(C15:K15)*D4*H4,SUM(C15:K15)*D4*H4*POWER(O2,A15-1))</f>
        <v>-37.141600487064203</v>
      </c>
      <c r="U15" s="275">
        <f t="shared" si="0"/>
        <v>-141.61665990283936</v>
      </c>
      <c r="V15" s="93">
        <f>(U15+W15*L15)/B15</f>
        <v>-398.69477155123116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0.34031812572161613</v>
      </c>
      <c r="C16" s="131">
        <f>1/(1-D4*B4/(1-D4*B4/(1-D4*B4/(1-D4*B4/(1-D4*B4/(1-D4*B4/(1-D4*B4/(1-D4*B4/(1-D4*B4)))))))))</f>
        <v>1.3403043775461438</v>
      </c>
      <c r="D16" s="139">
        <f>C16*D4*C15</f>
        <v>1.3402502319148182</v>
      </c>
      <c r="E16" s="110">
        <f>D16*D4*C14</f>
        <v>1.3400911311122767</v>
      </c>
      <c r="F16" s="110">
        <f>E16*D4*C13</f>
        <v>1.339623631431329</v>
      </c>
      <c r="G16" s="110">
        <f>F16*D4*C12</f>
        <v>1.3382499365901017</v>
      </c>
      <c r="H16" s="110">
        <f>G16*D4*C11</f>
        <v>1.3342134899491345</v>
      </c>
      <c r="I16" s="110">
        <f>H16*D4*C10</f>
        <v>1.3223528488544782</v>
      </c>
      <c r="J16" s="110">
        <f>I16*D4*C9</f>
        <v>1.2875016988978549</v>
      </c>
      <c r="K16" s="110">
        <f>J16*D4*C8</f>
        <v>1.1850955436482633</v>
      </c>
      <c r="L16" s="110">
        <f>K16*D4</f>
        <v>0.88418665983651001</v>
      </c>
      <c r="M16" s="244">
        <f>L16*D4</f>
        <v>0.65968187427838187</v>
      </c>
      <c r="N16" s="131">
        <f>B16+M16</f>
        <v>0.999999999999998</v>
      </c>
      <c r="R16" s="280">
        <f>B16-M16</f>
        <v>-0.31936374855676575</v>
      </c>
      <c r="S16" s="281">
        <f>IF(Rules!B20=Rules!E20,SUM(C16:L16)*B4*F4,SUM(C16:L16)*B4*F4*POWER(O2,A16-1))</f>
        <v>8.6270281122642718</v>
      </c>
      <c r="T16" s="262">
        <f>IF(Rules!B20=Rules!E20,SUM(C16:L16)*D4*H4,SUM(C16:L16)*D4*H4*POWER(O2,A16-1))</f>
        <v>-41.51870758847852</v>
      </c>
      <c r="U16" s="275">
        <f t="shared" si="0"/>
        <v>-174.50833937905361</v>
      </c>
      <c r="V16" s="94">
        <f>(U16+W16*M16)/B16</f>
        <v>-493.39576104043078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-20.31785870061956</v>
      </c>
      <c r="F21" s="8">
        <f t="shared" ref="F21:F30" si="4">U7/E21</f>
        <v>0.12734992288013056</v>
      </c>
      <c r="G21" s="265">
        <f>E21*U7</f>
        <v>52.572007084143465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-111.74822285340758</v>
      </c>
      <c r="T21" s="8">
        <f>U7/S21</f>
        <v>2.3154531432751008E-2</v>
      </c>
      <c r="U21" s="265">
        <f>S21*U7</f>
        <v>289.14603896278908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-294.51766492367358</v>
      </c>
      <c r="F22" s="9">
        <f t="shared" si="4"/>
        <v>2.7710941981852904E-2</v>
      </c>
      <c r="G22" s="266">
        <f t="shared" ref="G22:G30" si="5">E22*U8</f>
        <v>2403.6652568453783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-1740.3316563671622</v>
      </c>
      <c r="T22" s="9">
        <f>U8/S22</f>
        <v>4.6895440276981835E-3</v>
      </c>
      <c r="U22" s="266">
        <f t="shared" ref="U22:U30" si="8">S22*U8</f>
        <v>14203.476517722691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-3290.9064903113608</v>
      </c>
      <c r="F23" s="9">
        <f t="shared" si="4"/>
        <v>5.1551138163028381E-3</v>
      </c>
      <c r="G23" s="266">
        <f t="shared" si="5"/>
        <v>55830.22043472097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-19700.967232539631</v>
      </c>
      <c r="T23" s="9">
        <f t="shared" ref="T23:T30" si="11">U9/S23</f>
        <v>8.6112510701221237E-4</v>
      </c>
      <c r="U23" s="266">
        <f t="shared" si="8"/>
        <v>334226.86017001874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-34142.062112844396</v>
      </c>
      <c r="F24" s="9">
        <f t="shared" si="4"/>
        <v>8.5312942876742E-4</v>
      </c>
      <c r="G24" s="266">
        <f t="shared" si="5"/>
        <v>994476.25831374386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-204790.91081907746</v>
      </c>
      <c r="T24" s="9">
        <f t="shared" si="11"/>
        <v>1.4223091166875804E-4</v>
      </c>
      <c r="U24" s="266">
        <f t="shared" si="8"/>
        <v>5965067.3135938691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-345698.36540567933</v>
      </c>
      <c r="F25" s="9">
        <f t="shared" si="4"/>
        <v>1.2933560839997163E-4</v>
      </c>
      <c r="G25" s="266">
        <f t="shared" si="5"/>
        <v>15456557.093718588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-2074112.4095240305</v>
      </c>
      <c r="T25" s="9">
        <f t="shared" si="11"/>
        <v>2.1556743119279438E-5</v>
      </c>
      <c r="U25" s="266">
        <f t="shared" si="8"/>
        <v>92735864.802187845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-3471650.8348353389</v>
      </c>
      <c r="F26" s="9">
        <f t="shared" si="4"/>
        <v>1.8361045282924646E-5</v>
      </c>
      <c r="G26" s="266">
        <f t="shared" si="5"/>
        <v>221293918.89468384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-20829811.274345756</v>
      </c>
      <c r="T26" s="9">
        <f t="shared" si="11"/>
        <v>3.0601879846804766E-6</v>
      </c>
      <c r="U26" s="266">
        <f t="shared" si="8"/>
        <v>1327757538.4263179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-34766563.647792287</v>
      </c>
      <c r="F27" s="9">
        <f t="shared" si="4"/>
        <v>2.4804112061851104E-6</v>
      </c>
      <c r="G27" s="266">
        <f t="shared" si="5"/>
        <v>2998107621.3838563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-208599272.37206727</v>
      </c>
      <c r="T27" s="9">
        <f t="shared" si="11"/>
        <v>4.1340208473363464E-7</v>
      </c>
      <c r="U27" s="266">
        <f t="shared" si="8"/>
        <v>17988636284.263187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-347836160.21642429</v>
      </c>
      <c r="F28" s="9">
        <f t="shared" si="4"/>
        <v>3.2254433687780384E-7</v>
      </c>
      <c r="G28" s="266">
        <f t="shared" si="5"/>
        <v>39024637497.794342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-2087016836.0775268</v>
      </c>
      <c r="T28" s="9">
        <f t="shared" si="11"/>
        <v>5.3757392705077566E-8</v>
      </c>
      <c r="U28" s="266">
        <f t="shared" si="8"/>
        <v>234147810937.89642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-3478942147.2014956</v>
      </c>
      <c r="F29" s="9">
        <f t="shared" si="4"/>
        <v>4.0706816586978192E-8</v>
      </c>
      <c r="G29" s="266">
        <f t="shared" si="5"/>
        <v>492676166881.88794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-20873652742.311817</v>
      </c>
      <c r="T29" s="9">
        <f t="shared" si="11"/>
        <v>6.7844694769582005E-9</v>
      </c>
      <c r="U29" s="266">
        <f t="shared" si="8"/>
        <v>2956056981337.9429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-34791397458.891739</v>
      </c>
      <c r="F30" s="10">
        <f t="shared" si="4"/>
        <v>5.0158473681675582E-9</v>
      </c>
      <c r="G30" s="267">
        <f t="shared" si="5"/>
        <v>6071388995227.8232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-208748384596.78915</v>
      </c>
      <c r="T30" s="10">
        <f t="shared" si="11"/>
        <v>8.3597456198824059E-10</v>
      </c>
      <c r="U30" s="267">
        <f t="shared" si="8"/>
        <v>36428333944045.688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-20.31785870061956</v>
      </c>
      <c r="F33" s="8">
        <f t="shared" ref="F33:F42" si="14">U7/E33</f>
        <v>0.12734992288013056</v>
      </c>
      <c r="G33" s="268">
        <f>E33*U7</f>
        <v>52.572007084143465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-111.74822285340758</v>
      </c>
      <c r="T33" s="8">
        <f>U7/S33</f>
        <v>2.3154531432751008E-2</v>
      </c>
      <c r="U33" s="268">
        <f>S33*U7</f>
        <v>289.14603896278908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-321.29199809855299</v>
      </c>
      <c r="F34" s="9">
        <f t="shared" si="14"/>
        <v>2.5401696816698495E-2</v>
      </c>
      <c r="G34" s="266">
        <f t="shared" ref="G34:G42" si="16">E34*U8</f>
        <v>2622.1802801949584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-1767.1059895420415</v>
      </c>
      <c r="T34" s="9">
        <f t="shared" ref="T34:T42" si="18">U8/S34</f>
        <v>4.618490330308817E-3</v>
      </c>
      <c r="U34" s="266">
        <f t="shared" ref="U34:U42" si="19">S34*U8</f>
        <v>14421.99154107227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-3943.1582271298289</v>
      </c>
      <c r="F35" s="9">
        <f t="shared" si="14"/>
        <v>4.3023882226286845E-3</v>
      </c>
      <c r="G35" s="266">
        <f t="shared" si="16"/>
        <v>66895.669529890889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-20056.740907167889</v>
      </c>
      <c r="T35" s="9">
        <f t="shared" si="18"/>
        <v>8.4585016054636373E-4</v>
      </c>
      <c r="U35" s="266">
        <f t="shared" si="19"/>
        <v>340262.55967647507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-44990.080047888565</v>
      </c>
      <c r="F36" s="9">
        <f t="shared" si="14"/>
        <v>6.4742267442664185E-4</v>
      </c>
      <c r="G36" s="266">
        <f t="shared" si="16"/>
        <v>1310452.9632505139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-208570.81508539594</v>
      </c>
      <c r="T36" s="9">
        <f t="shared" si="18"/>
        <v>1.3965327764264089E-4</v>
      </c>
      <c r="U36" s="266">
        <f t="shared" si="19"/>
        <v>6075166.8453423753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-501077.506512327</v>
      </c>
      <c r="F37" s="9">
        <f t="shared" si="14"/>
        <v>8.9229925174298956E-5</v>
      </c>
      <c r="G37" s="266">
        <f t="shared" si="16"/>
        <v>22403730.716797575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-2112506.0539224292</v>
      </c>
      <c r="T37" s="9">
        <f t="shared" si="18"/>
        <v>2.1164961080041013E-5</v>
      </c>
      <c r="U37" s="266">
        <f t="shared" si="19"/>
        <v>94452487.199240193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-5535219.512884316</v>
      </c>
      <c r="F38" s="9">
        <f t="shared" si="14"/>
        <v>1.1515918752009757E-5</v>
      </c>
      <c r="G38" s="266">
        <f t="shared" si="16"/>
        <v>352832262.29362178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-21215529.426068287</v>
      </c>
      <c r="T38" s="9">
        <f t="shared" si="18"/>
        <v>3.0045509072515208E-6</v>
      </c>
      <c r="U38" s="266">
        <f t="shared" si="19"/>
        <v>1352344423.8719971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-60975180.348349392</v>
      </c>
      <c r="F39" s="9">
        <f t="shared" si="14"/>
        <v>1.4142700944855228E-6</v>
      </c>
      <c r="G39" s="266">
        <f t="shared" si="16"/>
        <v>5258217486.4800043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-212462199.55189165</v>
      </c>
      <c r="T39" s="9">
        <f t="shared" si="18"/>
        <v>4.0588572581105093E-7</v>
      </c>
      <c r="U39" s="266">
        <f t="shared" si="19"/>
        <v>18321757254.630291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-671055934.25799882</v>
      </c>
      <c r="F40" s="9">
        <f t="shared" si="14"/>
        <v>1.6718812532845251E-7</v>
      </c>
      <c r="G40" s="266">
        <f t="shared" si="16"/>
        <v>75287499030.773788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-2125665270.4969032</v>
      </c>
      <c r="T40" s="9">
        <f t="shared" si="18"/>
        <v>5.2779986198345122E-8</v>
      </c>
      <c r="U40" s="266">
        <f t="shared" si="19"/>
        <v>238483878649.01367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-7382847247.0565128</v>
      </c>
      <c r="F41" s="9">
        <f t="shared" si="14"/>
        <v>1.9181848840134255E-8</v>
      </c>
      <c r="G41" s="266">
        <f t="shared" si="16"/>
        <v>1045534167701.016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-21260201838.46817</v>
      </c>
      <c r="T41" s="9">
        <f t="shared" si="18"/>
        <v>6.6611154954605574E-9</v>
      </c>
      <c r="U41" s="266">
        <f t="shared" si="19"/>
        <v>3010798773224.0669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-81215932356.798843</v>
      </c>
      <c r="F42" s="10">
        <f t="shared" si="14"/>
        <v>2.1486958816455051E-9</v>
      </c>
      <c r="G42" s="267">
        <f t="shared" si="16"/>
        <v>14172857486706.514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-212614095390.76349</v>
      </c>
      <c r="T42" s="10">
        <f t="shared" si="18"/>
        <v>8.2077502462066169E-10</v>
      </c>
      <c r="U42" s="267">
        <f t="shared" si="19"/>
        <v>37102932715221.836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-20.31785870061956</v>
      </c>
      <c r="F45" s="8">
        <f t="shared" ref="F45:F54" si="24">U7/E45</f>
        <v>0.12734992288013056</v>
      </c>
      <c r="G45" s="265">
        <f>E45*U7</f>
        <v>52.572007084143465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-111.74822285340758</v>
      </c>
      <c r="T45" s="8">
        <f>U7/S45</f>
        <v>2.3154531432751008E-2</v>
      </c>
      <c r="U45" s="268">
        <f>S45*U7</f>
        <v>289.14603896278908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-562.26099667246774</v>
      </c>
      <c r="F46" s="9">
        <f t="shared" si="24"/>
        <v>1.4515255323827712E-2</v>
      </c>
      <c r="G46" s="266">
        <f t="shared" ref="G46:G54" si="26">E46*U8</f>
        <v>4588.8154903411769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-3212.9199809855299</v>
      </c>
      <c r="T46" s="9">
        <f t="shared" ref="T46:T54" si="29">U8/S46</f>
        <v>2.5401696816698496E-3</v>
      </c>
      <c r="U46" s="266">
        <f t="shared" ref="U46:U54" si="30">S46*U8</f>
        <v>26221.802801949583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-12481.726418207954</v>
      </c>
      <c r="F47" s="9">
        <f t="shared" si="24"/>
        <v>1.359186778170107E-3</v>
      </c>
      <c r="G47" s="266">
        <f t="shared" si="26"/>
        <v>211752.45768484258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-71584.628115826854</v>
      </c>
      <c r="T47" s="9">
        <f t="shared" si="29"/>
        <v>2.3699218621230691E-4</v>
      </c>
      <c r="U47" s="266">
        <f t="shared" si="30"/>
        <v>1214433.038194899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-258785.15306234261</v>
      </c>
      <c r="F48" s="9">
        <f t="shared" si="24"/>
        <v>1.1255513541866806E-4</v>
      </c>
      <c r="G48" s="266">
        <f t="shared" si="26"/>
        <v>7537789.8931233454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-1484580.4487933391</v>
      </c>
      <c r="T48" s="9">
        <f t="shared" si="29"/>
        <v>1.9620087258287352E-5</v>
      </c>
      <c r="U48" s="266">
        <f t="shared" si="30"/>
        <v>43242262.432834066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-5240110.197101064</v>
      </c>
      <c r="F49" s="9">
        <f t="shared" si="24"/>
        <v>8.5324748394326398E-6</v>
      </c>
      <c r="G49" s="266">
        <f t="shared" si="26"/>
        <v>234291135.11665726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-30061647.970411871</v>
      </c>
      <c r="T49" s="9">
        <f t="shared" si="29"/>
        <v>1.4873139508727558E-6</v>
      </c>
      <c r="U49" s="266">
        <f t="shared" si="30"/>
        <v>1344089601.4670804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-105245939.43648142</v>
      </c>
      <c r="F50" s="9">
        <f t="shared" si="24"/>
        <v>6.0565888362263519E-7</v>
      </c>
      <c r="G50" s="266">
        <f t="shared" si="26"/>
        <v>6708706460.9008093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-603779292.3665514</v>
      </c>
      <c r="T50" s="9">
        <f t="shared" si="29"/>
        <v>1.0557357463365383E-7</v>
      </c>
      <c r="U50" s="266">
        <f t="shared" si="30"/>
        <v>38486786866.511162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-2107951857.6881757</v>
      </c>
      <c r="F51" s="9">
        <f t="shared" si="24"/>
        <v>4.0909555765238199E-8</v>
      </c>
      <c r="G51" s="266">
        <f t="shared" si="26"/>
        <v>181780016974.62833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-12092986921.177841</v>
      </c>
      <c r="T51" s="9">
        <f t="shared" si="29"/>
        <v>7.1310235126040036E-9</v>
      </c>
      <c r="U51" s="266">
        <f t="shared" si="30"/>
        <v>1042843250802.0067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-42179711637.97271</v>
      </c>
      <c r="F52" s="9">
        <f t="shared" si="24"/>
        <v>2.6598708071329154E-9</v>
      </c>
      <c r="G52" s="266">
        <f t="shared" si="26"/>
        <v>4732250825817.5586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-241978345653.26508</v>
      </c>
      <c r="T52" s="9">
        <f t="shared" si="29"/>
        <v>4.6364720502672905E-10</v>
      </c>
      <c r="U52" s="266">
        <f t="shared" si="30"/>
        <v>27148175783561.793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-843735022647.58667</v>
      </c>
      <c r="F53" s="9">
        <f t="shared" si="24"/>
        <v>1.678449466971933E-10</v>
      </c>
      <c r="G53" s="266">
        <f t="shared" si="26"/>
        <v>119486935750397.75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-4840374603543.0986</v>
      </c>
      <c r="T53" s="9">
        <f t="shared" si="29"/>
        <v>2.9257376030189399E-11</v>
      </c>
      <c r="U53" s="266">
        <f t="shared" si="30"/>
        <v>685477684032303.88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-16875658895430.459</v>
      </c>
      <c r="F54" s="10">
        <f t="shared" si="24"/>
        <v>1.0340831161638759E-11</v>
      </c>
      <c r="G54" s="267">
        <f t="shared" si="26"/>
        <v>2944943209768923.5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-96812990505290.047</v>
      </c>
      <c r="T54" s="10">
        <f t="shared" si="29"/>
        <v>1.8025302024888709E-12</v>
      </c>
      <c r="U54" s="267">
        <f t="shared" si="30"/>
        <v>1.689467420339825E+16</v>
      </c>
    </row>
  </sheetData>
  <mergeCells count="2">
    <mergeCell ref="A18:F18"/>
    <mergeCell ref="O18:T18"/>
  </mergeCells>
  <conditionalFormatting sqref="F45:F54">
    <cfRule type="cellIs" dxfId="179" priority="33" operator="equal">
      <formula>MAX($F$45:$F$54)</formula>
    </cfRule>
  </conditionalFormatting>
  <conditionalFormatting sqref="F21:F30">
    <cfRule type="cellIs" dxfId="178" priority="32" operator="equal">
      <formula>MAX($F$21:$F$30)</formula>
    </cfRule>
  </conditionalFormatting>
  <conditionalFormatting sqref="E33:E42">
    <cfRule type="cellIs" dxfId="177" priority="30" stopIfTrue="1" operator="lessThan">
      <formula>0</formula>
    </cfRule>
    <cfRule type="cellIs" dxfId="176" priority="31" operator="equal">
      <formula>MIN($E$33:$E$42)</formula>
    </cfRule>
  </conditionalFormatting>
  <conditionalFormatting sqref="E21:E30">
    <cfRule type="cellIs" dxfId="175" priority="28" stopIfTrue="1" operator="lessThan">
      <formula>0</formula>
    </cfRule>
    <cfRule type="cellIs" dxfId="174" priority="29" operator="equal">
      <formula>MIN($E$21:$E$30)</formula>
    </cfRule>
  </conditionalFormatting>
  <conditionalFormatting sqref="E45:E54">
    <cfRule type="cellIs" dxfId="173" priority="26" stopIfTrue="1" operator="lessThan">
      <formula>0</formula>
    </cfRule>
    <cfRule type="cellIs" dxfId="172" priority="27" operator="equal">
      <formula>MIN($E$45:$E$54)</formula>
    </cfRule>
  </conditionalFormatting>
  <conditionalFormatting sqref="F33:F42">
    <cfRule type="cellIs" dxfId="171" priority="24" operator="lessThanOrEqual">
      <formula>0</formula>
    </cfRule>
    <cfRule type="cellIs" dxfId="170" priority="25" operator="equal">
      <formula>MAX($F$33:$F$42)</formula>
    </cfRule>
  </conditionalFormatting>
  <conditionalFormatting sqref="R7:R16">
    <cfRule type="cellIs" dxfId="169" priority="22" operator="lessThanOrEqual">
      <formula>0</formula>
    </cfRule>
    <cfRule type="cellIs" dxfId="168" priority="23" operator="greaterThan">
      <formula>0</formula>
    </cfRule>
  </conditionalFormatting>
  <conditionalFormatting sqref="T21:T30">
    <cfRule type="cellIs" dxfId="167" priority="19" operator="equal">
      <formula>MAX($T$21:$T$30)</formula>
    </cfRule>
  </conditionalFormatting>
  <conditionalFormatting sqref="S33:S42">
    <cfRule type="cellIs" dxfId="166" priority="17" stopIfTrue="1" operator="lessThan">
      <formula>0</formula>
    </cfRule>
    <cfRule type="cellIs" dxfId="165" priority="18" operator="equal">
      <formula>MIN($E$21:$E$30)</formula>
    </cfRule>
  </conditionalFormatting>
  <conditionalFormatting sqref="T33:T42">
    <cfRule type="cellIs" dxfId="164" priority="16" operator="equal">
      <formula>MAX($T$21:$T$30)</formula>
    </cfRule>
  </conditionalFormatting>
  <conditionalFormatting sqref="S45:S54">
    <cfRule type="cellIs" dxfId="163" priority="14" stopIfTrue="1" operator="lessThan">
      <formula>0</formula>
    </cfRule>
    <cfRule type="cellIs" dxfId="162" priority="15" operator="equal">
      <formula>MIN($E$21:$E$30)</formula>
    </cfRule>
  </conditionalFormatting>
  <conditionalFormatting sqref="T45:T54">
    <cfRule type="cellIs" dxfId="161" priority="13" operator="equal">
      <formula>MAX($T$21:$T$30)</formula>
    </cfRule>
  </conditionalFormatting>
  <conditionalFormatting sqref="S21:S30">
    <cfRule type="cellIs" dxfId="160" priority="11" stopIfTrue="1" operator="lessThan">
      <formula>0</formula>
    </cfRule>
    <cfRule type="cellIs" dxfId="159" priority="12" operator="equal">
      <formula>MIN($E$21:$E$30)</formula>
    </cfRule>
  </conditionalFormatting>
  <conditionalFormatting sqref="U7:U16">
    <cfRule type="cellIs" dxfId="158" priority="7" operator="lessThanOrEqual">
      <formula>0</formula>
    </cfRule>
    <cfRule type="cellIs" dxfId="157" priority="8" operator="greaterThan">
      <formula>0</formula>
    </cfRule>
  </conditionalFormatting>
  <conditionalFormatting sqref="S7:T16">
    <cfRule type="cellIs" dxfId="156" priority="1" operator="lessThanOrEqual">
      <formula>0</formula>
    </cfRule>
    <cfRule type="cellIs" dxfId="155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-0.34456837192534162</v>
      </c>
      <c r="C2">
        <f>MAX(Hit!C2,Stand!C2)</f>
        <v>-7.5884358318949102E-2</v>
      </c>
      <c r="D2">
        <f>MAX(Hit!D2,Stand!D2)</f>
        <v>-4.9750706146412041E-2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-0.10316172777512723</v>
      </c>
      <c r="J2">
        <f>MAX(Hit!J2,Stand!J2)</f>
        <v>-0.19004714305350842</v>
      </c>
      <c r="K2">
        <f>MAX(Hit!K2,Stand!K2)</f>
        <v>-0.29096372773977425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-0.36474464099475529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-0.13094188065020099</v>
      </c>
      <c r="J3">
        <f>MAX(Hit!J3,Stand!J3)</f>
        <v>-0.21507662281362433</v>
      </c>
      <c r="K3">
        <f>MAX(Hit!K3,Stand!K3)</f>
        <v>-0.31277980128259808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-0.38538530661686615</v>
      </c>
      <c r="C4">
        <f>MAX(Hit!C4,Stand!C4)</f>
        <v>-0.11491332761892134</v>
      </c>
      <c r="D4">
        <f>MAX(Hit!D4,Stand!D4)</f>
        <v>-8.2613314299744348E-2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-0.33509986436351097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-0.40632230211141912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-0.18809330390318518</v>
      </c>
      <c r="J5">
        <f>MAX(Hit!J5,Stand!J5)</f>
        <v>-0.26661505335795899</v>
      </c>
      <c r="K5">
        <f>MAX(Hit!K5,Stand!K5)</f>
        <v>-0.3577434525808979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-0.41968690347101079</v>
      </c>
      <c r="C6">
        <f>MAX(Hit!C6,Stand!C6)</f>
        <v>-0.14075911746001987</v>
      </c>
      <c r="D6">
        <f>MAX(Hit!D6,Stand!D6)</f>
        <v>-0.10729107800860835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-0.38050766229289529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-0.39971038372569095</v>
      </c>
      <c r="C7">
        <f>MAX(Hit!C7,Stand!C7)</f>
        <v>-0.10918342786661633</v>
      </c>
      <c r="D7">
        <f>MAX(Hit!D7,Stand!D7)</f>
        <v>-7.6582981904463582E-2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-0.21060476872434966</v>
      </c>
      <c r="J7">
        <f>MAX(Hit!J7,Stand!J7)</f>
        <v>-0.28536544048687662</v>
      </c>
      <c r="K7">
        <f>MAX(Hit!K7,Stand!K7)</f>
        <v>-0.36507789921394679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-0.33034033459070061</v>
      </c>
      <c r="C8">
        <f>MAX(Hit!C8,Stand!C8)</f>
        <v>-2.1798188008805671E-2</v>
      </c>
      <c r="D8">
        <f>MAX(Hit!D8,Stand!D8)</f>
        <v>8.0052625306546912E-3</v>
      </c>
      <c r="E8">
        <f>MAX(Hit!E8,Stand!E8)</f>
        <v>3.8784473277208804E-2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-5.989827565865629E-2</v>
      </c>
      <c r="J8">
        <f>MAX(Hit!J8,Stand!J8)</f>
        <v>-0.2101863319982176</v>
      </c>
      <c r="K8">
        <f>MAX(Hit!K8,Stand!K8)</f>
        <v>-0.30177738614031369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-0.25192476177072076</v>
      </c>
      <c r="C9">
        <f>MAX(Hit!C9,Stand!C9)</f>
        <v>7.444603757634051E-2</v>
      </c>
      <c r="D9">
        <f>MAX(Hit!D9,Stand!D9)</f>
        <v>0.10126470173887678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0.19601883925727875</v>
      </c>
      <c r="H9">
        <f>MAX(Hit!H9,Stand!H9)</f>
        <v>0.17186785993695267</v>
      </c>
      <c r="I9">
        <f>MAX(Hit!I9,Stand!I9)</f>
        <v>9.8376217435392585E-2</v>
      </c>
      <c r="J9">
        <f>MAX(Hit!J9,Stand!J9)</f>
        <v>-5.217805346265169E-2</v>
      </c>
      <c r="K9">
        <f>MAX(Hit!K9,Stand!K9)</f>
        <v>-0.21343169035706566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-0.14666789263035868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-4.4990260383613007E-2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-4.1986836980868178E-2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0.22998214532399175</v>
      </c>
      <c r="J11">
        <f>MAX(Hit!J11,Stand!J11)</f>
        <v>0.15825711845512572</v>
      </c>
      <c r="K11">
        <f>MAX(Hit!K11,Stand!K11)</f>
        <v>5.9690795265877464E-2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-0.46566058377683939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-0.42069618899826788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-0.50382768493563657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-0.46207503264124877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-0.53926856458309114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-0.50049824459544523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-0.572177952827156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-0.53617694141005634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-0.57578184676460165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-0.56930715988076652</v>
      </c>
      <c r="N16" s="31">
        <v>16</v>
      </c>
      <c r="O16" s="31" t="str">
        <f>IF(B16=Stand!B16,"S","H")</f>
        <v>S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-0.46435750824198752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-0.46435750824198763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-0.24150883119675959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-0.24150883119675959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-1.8660154151531549E-2</v>
      </c>
      <c r="C19">
        <f>MAX(Hit!C19,Stand!C19)</f>
        <v>0.38630468602058987</v>
      </c>
      <c r="D19">
        <f>MAX(Hit!D19,Stand!D19)</f>
        <v>0.40436293659776001</v>
      </c>
      <c r="E19">
        <f>MAX(Hit!E19,Stand!E19)</f>
        <v>0.42317892482749647</v>
      </c>
      <c r="F19">
        <f>MAX(Hit!F19,Stand!F19)</f>
        <v>0.43951210416088371</v>
      </c>
      <c r="G19">
        <f>MAX(Hit!G19,Stand!G19)</f>
        <v>0.49597707378731909</v>
      </c>
      <c r="H19">
        <f>MAX(Hit!H19,Stand!H19)</f>
        <v>0.6159764957534315</v>
      </c>
      <c r="I19">
        <f>MAX(Hit!I19,Stand!I19)</f>
        <v>0.5938536682866945</v>
      </c>
      <c r="J19">
        <f>MAX(Hit!J19,Stand!J19)</f>
        <v>0.28759675706758142</v>
      </c>
      <c r="K19">
        <f>MAX(Hit!K19,Stand!K19)</f>
        <v>-1.8660154151531536E-2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0.20418852289369649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0.43495775366292722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0.65780643070815525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0.88857566147738598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7.4082476325384949E-2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0.40074805174057659</v>
      </c>
      <c r="J34">
        <f>MAX(Hit!J34,Stand!J34)</f>
        <v>0.32142328174266549</v>
      </c>
      <c r="K34">
        <f>MAX(Hit!K34,Stand!K34)</f>
        <v>0.19656557835630536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-0.20521353107155851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9.5115020927032307E-2</v>
      </c>
      <c r="J35">
        <f>MAX(Hit!J35,Stand!J35)</f>
        <v>6.5790841226897296E-5</v>
      </c>
      <c r="K35">
        <f>MAX(Hit!K35,Stand!K35)</f>
        <v>-0.12808280155666141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-0.23472177802444921</v>
      </c>
      <c r="C36">
        <f>MAX(Hit!C36,Stand!C36)</f>
        <v>4.6636132695309543E-2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5.4057070196311334E-2</v>
      </c>
      <c r="J36">
        <f>MAX(Hit!J36,Stand!J36)</f>
        <v>-3.7694688127479885E-2</v>
      </c>
      <c r="K36">
        <f>MAX(Hit!K36,Stand!K36)</f>
        <v>-0.16080628455762785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-0.26406959413166387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1.3277219463208478E-2</v>
      </c>
      <c r="J37">
        <f>MAX(Hit!J37,Stand!J37)</f>
        <v>-7.516318944168382E-2</v>
      </c>
      <c r="K37">
        <f>MAX(Hit!K37,Stand!K37)</f>
        <v>-0.1933035414076569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-0.29312934580507005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-0.22543993358238781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-0.31409107314591783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-0.25710121084742421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-0.30094774596936263</v>
      </c>
      <c r="C40">
        <f>MAX(Hit!C40,Stand!C40)</f>
        <v>-4.9104358288916297E-4</v>
      </c>
      <c r="D40">
        <f>MAX(Hit!D40,Stand!D40)</f>
        <v>2.8975282965620523E-2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-0.14978689218213323</v>
      </c>
      <c r="K40">
        <f>MAX(Hit!K40,Stand!K40)</f>
        <v>-0.24941602102444038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-0.24150883119675959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-0.20109793381277147</v>
      </c>
      <c r="N41" s="31">
        <v>18</v>
      </c>
      <c r="O41" s="31" t="str">
        <f>IF(B41=Stand!B41,"S","H")</f>
        <v>S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-1.8660154151531549E-2</v>
      </c>
      <c r="C42">
        <f>MAX(Hit!C42,Stand!C42)</f>
        <v>0.38630468602058987</v>
      </c>
      <c r="D42">
        <f>MAX(Hit!D42,Stand!D42)</f>
        <v>0.40436293659776001</v>
      </c>
      <c r="E42">
        <f>MAX(Hit!E42,Stand!E42)</f>
        <v>0.42317892482749647</v>
      </c>
      <c r="F42">
        <f>MAX(Hit!F42,Stand!F42)</f>
        <v>0.43951210416088371</v>
      </c>
      <c r="G42">
        <f>MAX(Hit!G42,Stand!G42)</f>
        <v>0.49597707378731909</v>
      </c>
      <c r="H42">
        <f>MAX(Hit!H42,Stand!H42)</f>
        <v>0.6159764957534315</v>
      </c>
      <c r="I42">
        <f>MAX(Hit!I42,Stand!I42)</f>
        <v>0.5938536682866945</v>
      </c>
      <c r="J42">
        <f>MAX(Hit!J42,Stand!J42)</f>
        <v>0.28759675706758142</v>
      </c>
      <c r="K42">
        <f>MAX(Hit!K42,Stand!K42)</f>
        <v>-1.8660154151531536E-2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0.20418852289369649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0.43495775366292722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0.65780643070815525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0.88857566147738598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-0.46566058377683939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-0.42069618899826788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-0.50382768493563657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-0.46207503264124877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-0.53926856458309114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-0.50049824459544523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-0.572177952827156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-0.53617694141005634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-0.57578184676460165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-0.56930715988076652</v>
      </c>
      <c r="N49" s="31">
        <v>26</v>
      </c>
      <c r="O49" s="31" t="str">
        <f>IF(B49=Stand!B49,"S","H")</f>
        <v>S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-0.46435750824198752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-0.46435750824198763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-0.24150883119675959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-0.24150883119675959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-1.8660154151531549E-2</v>
      </c>
      <c r="C52">
        <f>MAX(Hit!C52,Stand!C52)</f>
        <v>0.38630468602058987</v>
      </c>
      <c r="D52">
        <f>MAX(Hit!D52,Stand!D52)</f>
        <v>0.40436293659776001</v>
      </c>
      <c r="E52">
        <f>MAX(Hit!E52,Stand!E52)</f>
        <v>0.42317892482749647</v>
      </c>
      <c r="F52">
        <f>MAX(Hit!F52,Stand!F52)</f>
        <v>0.43951210416088371</v>
      </c>
      <c r="G52">
        <f>MAX(Hit!G52,Stand!G52)</f>
        <v>0.49597707378731909</v>
      </c>
      <c r="H52">
        <f>MAX(Hit!H52,Stand!H52)</f>
        <v>0.6159764957534315</v>
      </c>
      <c r="I52">
        <f>MAX(Hit!I52,Stand!I52)</f>
        <v>0.5938536682866945</v>
      </c>
      <c r="J52">
        <f>MAX(Hit!J52,Stand!J52)</f>
        <v>0.28759675706758142</v>
      </c>
      <c r="K52">
        <f>MAX(Hit!K52,Stand!K52)</f>
        <v>-1.8660154151531536E-2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0.20418852289369649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0.43495775366292722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0.65780643070815525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0.88857566147738598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1109" priority="5" operator="containsText" text="S">
      <formula>NOT(ISERROR(SEARCH("S",O2)))</formula>
    </cfRule>
    <cfRule type="containsText" dxfId="1108" priority="6" operator="containsText" text="H">
      <formula>NOT(ISERROR(SEARCH("H",O2)))</formula>
    </cfRule>
  </conditionalFormatting>
  <conditionalFormatting sqref="O35:X54">
    <cfRule type="containsText" dxfId="1107" priority="3" operator="containsText" text="S">
      <formula>NOT(ISERROR(SEARCH("S",O35)))</formula>
    </cfRule>
    <cfRule type="containsText" dxfId="1106" priority="4" operator="containsText" text="H">
      <formula>NOT(ISERROR(SEARCH("H",O35)))</formula>
    </cfRule>
  </conditionalFormatting>
  <conditionalFormatting sqref="O34:X34">
    <cfRule type="containsText" dxfId="1105" priority="1" operator="containsText" text="S">
      <formula>NOT(ISERROR(SEARCH("S",O34)))</formula>
    </cfRule>
    <cfRule type="containsText" dxfId="1104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717-D1C9-6346-84AE-5198E2AB8EAE}">
  <sheetPr>
    <pageSetUpPr fitToPage="1"/>
  </sheetPr>
  <dimension ref="A1:W54"/>
  <sheetViews>
    <sheetView workbookViewId="0">
      <selection activeCell="S7" sqref="S7:T16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</v>
      </c>
    </row>
    <row r="2" spans="1:23" x14ac:dyDescent="0.2">
      <c r="A2" t="s">
        <v>40</v>
      </c>
      <c r="B2" s="135" t="s">
        <v>125</v>
      </c>
      <c r="C2" s="141">
        <f>Analysis!B63</f>
        <v>0.25671637792600716</v>
      </c>
      <c r="D2" s="135" t="s">
        <v>126</v>
      </c>
      <c r="E2" s="141">
        <f>Analysis!P63</f>
        <v>0.7432836220739929</v>
      </c>
      <c r="F2" s="135" t="s">
        <v>47</v>
      </c>
      <c r="G2" s="141">
        <f>Analysis!S63</f>
        <v>3.004308615216535</v>
      </c>
      <c r="H2" t="s">
        <v>155</v>
      </c>
      <c r="I2" s="155">
        <f>Analysis!T63</f>
        <v>-4.9206016465415381</v>
      </c>
      <c r="J2" t="s">
        <v>48</v>
      </c>
      <c r="K2" s="155">
        <f>C2*G2+E2*I2</f>
        <v>-2.8861473887543605</v>
      </c>
      <c r="L2" t="s">
        <v>47</v>
      </c>
      <c r="M2" s="162">
        <v>3</v>
      </c>
      <c r="N2" t="s">
        <v>155</v>
      </c>
      <c r="O2" s="162">
        <v>10</v>
      </c>
    </row>
    <row r="4" spans="1:23" x14ac:dyDescent="0.2">
      <c r="A4" t="s">
        <v>123</v>
      </c>
      <c r="B4">
        <f>$C$2</f>
        <v>0.25671637792600716</v>
      </c>
      <c r="C4" t="s">
        <v>124</v>
      </c>
      <c r="D4">
        <f>$E$2</f>
        <v>0.7432836220739929</v>
      </c>
      <c r="E4" t="s">
        <v>47</v>
      </c>
      <c r="F4">
        <f>G2</f>
        <v>3.004308615216535</v>
      </c>
      <c r="G4" t="s">
        <v>155</v>
      </c>
      <c r="H4">
        <f>I2</f>
        <v>-4.9206016465415381</v>
      </c>
      <c r="I4" t="s">
        <v>48</v>
      </c>
      <c r="J4">
        <f>K2</f>
        <v>-2.8861473887543605</v>
      </c>
    </row>
    <row r="5" spans="1:23" ht="17" thickBot="1" x14ac:dyDescent="0.25"/>
    <row r="6" spans="1:23" ht="17" thickBot="1" x14ac:dyDescent="0.25">
      <c r="A6" s="102"/>
      <c r="B6" s="102">
        <v>1</v>
      </c>
      <c r="C6" s="140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40">
        <v>-10</v>
      </c>
      <c r="N6" s="103" t="s">
        <v>135</v>
      </c>
      <c r="R6" s="169" t="s">
        <v>49</v>
      </c>
      <c r="S6" s="150" t="s">
        <v>130</v>
      </c>
      <c r="T6" s="151" t="s">
        <v>136</v>
      </c>
      <c r="U6" s="248" t="s">
        <v>48</v>
      </c>
      <c r="V6" s="161" t="s">
        <v>47</v>
      </c>
      <c r="W6" s="154" t="s">
        <v>155</v>
      </c>
    </row>
    <row r="7" spans="1:23" x14ac:dyDescent="0.2">
      <c r="A7" s="100">
        <v>1</v>
      </c>
      <c r="B7" s="95">
        <f>C7*B4</f>
        <v>0.25671637792600716</v>
      </c>
      <c r="C7" s="95">
        <v>1</v>
      </c>
      <c r="D7" s="22">
        <f>C7*D4</f>
        <v>0.7432836220739929</v>
      </c>
      <c r="E7" s="2"/>
      <c r="F7" s="2"/>
      <c r="G7" s="2"/>
      <c r="H7" s="2"/>
      <c r="I7" s="2"/>
      <c r="J7" s="2"/>
      <c r="K7" s="2"/>
      <c r="L7" s="2"/>
      <c r="M7" s="241"/>
      <c r="N7" s="96">
        <f>B7+D7</f>
        <v>1</v>
      </c>
      <c r="R7" s="276">
        <f>B7-D7</f>
        <v>-0.48656724414798574</v>
      </c>
      <c r="S7" s="277">
        <f>IF(Rules!B20=Rules!E20,SUM(C7)*B4*F4,SUM(C7)*B4*F4*POWER(O2,A7-1))</f>
        <v>0.77125522587028716</v>
      </c>
      <c r="T7" s="260">
        <f>IF(Rules!B20=Rules!E20,SUM(C7)*D4*H4,SUM(C7)*D4*H4*POWER(O2,A7-1))</f>
        <v>-3.6574026146246479</v>
      </c>
      <c r="U7" s="274">
        <f>S7+T7</f>
        <v>-2.8861473887543605</v>
      </c>
      <c r="V7" s="108">
        <f>(U7+W7*D7)/B7</f>
        <v>-8.3472031819411256</v>
      </c>
      <c r="W7" s="57">
        <f>COUNT(D7:M7)</f>
        <v>1</v>
      </c>
    </row>
    <row r="8" spans="1:23" x14ac:dyDescent="0.2">
      <c r="A8" s="98">
        <v>2</v>
      </c>
      <c r="B8" s="97">
        <f>C8*B4</f>
        <v>0.31725225820741165</v>
      </c>
      <c r="C8" s="97">
        <f>1/(1-B4*D4)</f>
        <v>1.2358084075915585</v>
      </c>
      <c r="D8" s="130">
        <f>C8*D4</f>
        <v>0.91855614938414698</v>
      </c>
      <c r="E8" s="1">
        <f>D8*D4</f>
        <v>0.68274774179258846</v>
      </c>
      <c r="F8" s="1"/>
      <c r="G8" s="1"/>
      <c r="H8" s="1"/>
      <c r="I8" s="1"/>
      <c r="J8" s="1"/>
      <c r="K8" s="1"/>
      <c r="L8" s="1"/>
      <c r="M8" s="242"/>
      <c r="N8" s="97">
        <f>B8+E8</f>
        <v>1</v>
      </c>
      <c r="R8" s="278">
        <f>B8-E8</f>
        <v>-0.36549548358517681</v>
      </c>
      <c r="S8" s="279">
        <f>IF(Rules!B20=Rules!E20,SUM(C8:D8)*B4*F4,SUM(C8:D8)*B4*F4*POWER(O2,A8-1))</f>
        <v>1.6615649229972393</v>
      </c>
      <c r="T8" s="261">
        <f>IF(Rules!B20=Rules!E20,SUM(C8:D8)*D4*H4,SUM(C8:D8)*D4*H4*POWER(O2,A8-1))</f>
        <v>-7.8793785635376175</v>
      </c>
      <c r="U8" s="275">
        <f>S8+T8+U7</f>
        <v>-9.1039610292947373</v>
      </c>
      <c r="V8" s="93">
        <f>(U8+W8*E8)/B8</f>
        <v>-24.392152760187269</v>
      </c>
      <c r="W8" s="9">
        <f>COUNT(D8:M8)</f>
        <v>2</v>
      </c>
    </row>
    <row r="9" spans="1:23" x14ac:dyDescent="0.2">
      <c r="A9" s="98">
        <v>3</v>
      </c>
      <c r="B9" s="97">
        <f>C9*B4</f>
        <v>0.33593195800144132</v>
      </c>
      <c r="C9" s="97">
        <f>1/(1-D4*B4/(1-D4*B4))</f>
        <v>1.3085723657968809</v>
      </c>
      <c r="D9" s="130">
        <f>C9*D4*C8</f>
        <v>1.2019971935168863</v>
      </c>
      <c r="E9" s="1">
        <f>D9*(D4)</f>
        <v>0.89342482772000542</v>
      </c>
      <c r="F9" s="1">
        <f>E9*D4</f>
        <v>0.66406804199855873</v>
      </c>
      <c r="G9" s="1"/>
      <c r="H9" s="1"/>
      <c r="I9" s="1"/>
      <c r="J9" s="1"/>
      <c r="K9" s="1"/>
      <c r="L9" s="1"/>
      <c r="M9" s="242"/>
      <c r="N9" s="97">
        <f>B9+F9</f>
        <v>1</v>
      </c>
      <c r="R9" s="278">
        <f>B9-F9</f>
        <v>-0.32813608399711741</v>
      </c>
      <c r="S9" s="279">
        <f>IF(Rules!B20=Rules!E20,SUM(C9:E9)*B4*F4,SUM(C9:E9)*B4*F4*POWER(O2,A9-1))</f>
        <v>2.6253484598329222</v>
      </c>
      <c r="T9" s="261">
        <f>IF(Rules!B20=Rules!E20,SUM(C9:E9)*D4*H4,SUM(C9:E9)*D4*H4*POWER(O2,A9-1))</f>
        <v>-12.449777971304943</v>
      </c>
      <c r="U9" s="275">
        <f t="shared" ref="U9:U16" si="0">S9+T9+U8</f>
        <v>-18.928390540766756</v>
      </c>
      <c r="V9" s="93">
        <f>(U9+W9*F9)/B9</f>
        <v>-50.415526154550662</v>
      </c>
      <c r="W9" s="9">
        <f t="shared" ref="W9:W16" si="1">COUNT(D9:M9)</f>
        <v>3</v>
      </c>
    </row>
    <row r="10" spans="1:23" x14ac:dyDescent="0.2">
      <c r="A10" s="98">
        <v>4</v>
      </c>
      <c r="B10" s="97">
        <f>C10*B4</f>
        <v>0.3421483245985194</v>
      </c>
      <c r="C10" s="97">
        <f>1/(1-D4*B4/(1-D4*B4/(1-D4*B4)))</f>
        <v>1.3327872859640304</v>
      </c>
      <c r="D10" s="130">
        <f>C10*D4*C9</f>
        <v>1.2963227693246318</v>
      </c>
      <c r="E10" s="1">
        <f>D10*D4*C8</f>
        <v>1.1907452513498276</v>
      </c>
      <c r="F10" s="1">
        <f>E10*D4</f>
        <v>0.88506144339070691</v>
      </c>
      <c r="G10" s="1">
        <f>F10*D4</f>
        <v>0.65785167540148082</v>
      </c>
      <c r="H10" s="1"/>
      <c r="I10" s="1"/>
      <c r="J10" s="1"/>
      <c r="K10" s="1"/>
      <c r="L10" s="1"/>
      <c r="M10" s="242"/>
      <c r="N10" s="97">
        <f>B10+G10</f>
        <v>1.0000000000000002</v>
      </c>
      <c r="R10" s="278">
        <f>B10-G10</f>
        <v>-0.31570335080296141</v>
      </c>
      <c r="S10" s="279">
        <f>IF(Rules!B20=Rules!E20,SUM(C10:F10)*B4*F4,SUM(C10:F10)*B4*F4*POWER(O2,A10-1))</f>
        <v>3.6286916307446657</v>
      </c>
      <c r="T10" s="261">
        <f>IF(Rules!B20=Rules!E20,SUM(C10:F10)*D4*H4,SUM(C10:F10)*D4*H4*POWER(O2,A10-1))</f>
        <v>-17.207774823148085</v>
      </c>
      <c r="U10" s="275">
        <f t="shared" si="0"/>
        <v>-32.507473733170173</v>
      </c>
      <c r="V10" s="93">
        <f>(U10+W10*G10)/B10</f>
        <v>-87.319051077105684</v>
      </c>
      <c r="W10" s="9">
        <f t="shared" si="1"/>
        <v>4</v>
      </c>
    </row>
    <row r="11" spans="1:23" x14ac:dyDescent="0.2">
      <c r="A11" s="98">
        <v>5</v>
      </c>
      <c r="B11" s="97">
        <f>C11*B4</f>
        <v>0.34426838957097566</v>
      </c>
      <c r="C11" s="97">
        <f>1/(1-D4*B4/(1-D4*B4/(1-D4*B4/(1-D4*B4))))</f>
        <v>1.3410456798755686</v>
      </c>
      <c r="D11" s="130">
        <f>C11*D4*C10</f>
        <v>1.3284920994556388</v>
      </c>
      <c r="E11" s="1">
        <f>D11*D4*C9</f>
        <v>1.2921450973675521</v>
      </c>
      <c r="F11" s="1">
        <f>E11*D4*C8</f>
        <v>1.1869078250835423</v>
      </c>
      <c r="G11" s="1">
        <f>F11*D4</f>
        <v>0.88220914729606048</v>
      </c>
      <c r="H11" s="1">
        <f>G11*D4</f>
        <v>0.6557316104290245</v>
      </c>
      <c r="I11" s="1"/>
      <c r="J11" s="1"/>
      <c r="K11" s="1"/>
      <c r="L11" s="1"/>
      <c r="M11" s="242"/>
      <c r="N11" s="97">
        <f>B11+H11</f>
        <v>1.0000000000000002</v>
      </c>
      <c r="R11" s="278">
        <f>B11-H11</f>
        <v>-0.31146322085804884</v>
      </c>
      <c r="S11" s="279">
        <f>IF(Rules!B20=Rules!E20,SUM(C11:G11)*B4*F4,SUM(C11:G11)*B4*F4*POWER(O2,A11-1))</f>
        <v>4.6512858997794266</v>
      </c>
      <c r="T11" s="261">
        <f>IF(Rules!B20=Rules!E20,SUM(C11:G11)*D4*H4,SUM(C11:G11)*D4*H4*POWER(O2,A11-1))</f>
        <v>-22.057063136297131</v>
      </c>
      <c r="U11" s="275">
        <f t="shared" si="0"/>
        <v>-49.91325096968788</v>
      </c>
      <c r="V11" s="93">
        <f>(U11+W11*H11)/B11</f>
        <v>-135.45999089738791</v>
      </c>
      <c r="W11" s="9">
        <f t="shared" si="1"/>
        <v>5</v>
      </c>
    </row>
    <row r="12" spans="1:23" x14ac:dyDescent="0.2">
      <c r="A12" s="98">
        <v>6</v>
      </c>
      <c r="B12" s="97">
        <f>C12*B4</f>
        <v>0.34499744943442479</v>
      </c>
      <c r="C12" s="97">
        <f>1/(1-D4*B4/(1-D4*B4/(1-D4*B4/(1-D4*B4/(1-D4*B4)))))</f>
        <v>1.3438856228092417</v>
      </c>
      <c r="D12" s="130">
        <f>C12*D4*C11</f>
        <v>1.3395546695830964</v>
      </c>
      <c r="E12" s="1">
        <f>D12*D4*C10</f>
        <v>1.327015046568119</v>
      </c>
      <c r="F12" s="1">
        <f>E12*D4*C9</f>
        <v>1.2907084560446995</v>
      </c>
      <c r="G12" s="1">
        <f>F12*D4*C8</f>
        <v>1.1855881893619769</v>
      </c>
      <c r="H12" s="1">
        <f>G12*D4</f>
        <v>0.88122828367711714</v>
      </c>
      <c r="I12" s="1">
        <f>H12*D4</f>
        <v>0.65500255056557577</v>
      </c>
      <c r="J12" s="1"/>
      <c r="K12" s="1"/>
      <c r="L12" s="1"/>
      <c r="M12" s="242"/>
      <c r="N12" s="97">
        <f>B12+I12</f>
        <v>1.0000000000000004</v>
      </c>
      <c r="R12" s="278">
        <f>B12-I12</f>
        <v>-0.31000510113115098</v>
      </c>
      <c r="S12" s="279">
        <f>IF(Rules!B20=Rules!E20,SUM(C12:H12)*B4*F4,SUM(C12:H12)*B4*F4*POWER(O2,A12-1))</f>
        <v>5.6825932858382879</v>
      </c>
      <c r="T12" s="261">
        <f>IF(Rules!B20=Rules!E20,SUM(C12:H12)*D4*H4,SUM(C12:H12)*D4*H4*POWER(O2,A12-1))</f>
        <v>-26.94767029684785</v>
      </c>
      <c r="U12" s="275">
        <f t="shared" si="0"/>
        <v>-71.178327980697446</v>
      </c>
      <c r="V12" s="93">
        <f>(U12+W12*I12)/B12</f>
        <v>-194.92408650425739</v>
      </c>
      <c r="W12" s="9">
        <f t="shared" si="1"/>
        <v>6</v>
      </c>
    </row>
    <row r="13" spans="1:23" x14ac:dyDescent="0.2">
      <c r="A13" s="98">
        <v>7</v>
      </c>
      <c r="B13" s="97">
        <f>C13*B4</f>
        <v>0.34524887667865789</v>
      </c>
      <c r="C13" s="97">
        <f>1/(1-D4*B4/(1-D4*B4/(1-D4*B4/(1-D4*B4/(1-D4*B4/(1-D4*B4))))))</f>
        <v>1.3448650197852521</v>
      </c>
      <c r="D13" s="130">
        <f>C13*D4*C12</f>
        <v>1.3433697630489776</v>
      </c>
      <c r="E13" s="1">
        <f>D13*D4*C11</f>
        <v>1.339040472289083</v>
      </c>
      <c r="F13" s="1">
        <f>E13*D4*C10</f>
        <v>1.3265056626948406</v>
      </c>
      <c r="G13" s="1">
        <f>F13*D4*C9</f>
        <v>1.2902130087064696</v>
      </c>
      <c r="H13" s="1">
        <f>G13*D4*C8</f>
        <v>1.1851330931627497</v>
      </c>
      <c r="I13" s="1">
        <f>H13*D4</f>
        <v>0.88089001812576351</v>
      </c>
      <c r="J13" s="1">
        <f>I13*D4</f>
        <v>0.65475112332134278</v>
      </c>
      <c r="K13" s="1"/>
      <c r="L13" s="1"/>
      <c r="M13" s="242"/>
      <c r="N13" s="97">
        <f>B13+J13</f>
        <v>1.0000000000000007</v>
      </c>
      <c r="R13" s="278">
        <f>B13-J13</f>
        <v>-0.30950224664268489</v>
      </c>
      <c r="S13" s="279">
        <f>IF(Rules!B20=Rules!E20,SUM(C13:I13)*B4*F4,SUM(C13:I13)*B4*F4*POWER(O2,A13-1))</f>
        <v>6.7176461578326201</v>
      </c>
      <c r="T13" s="261">
        <f>IF(Rules!B20=Rules!E20,SUM(C13:I13)*D4*H4,SUM(C13:I13)*D4*H4*POWER(O2,A13-1))</f>
        <v>-31.856039087522994</v>
      </c>
      <c r="U13" s="275">
        <f t="shared" si="0"/>
        <v>-96.316720910387829</v>
      </c>
      <c r="V13" s="93">
        <f>(U13+W13*J13)/B13</f>
        <v>-265.70242292929981</v>
      </c>
      <c r="W13" s="9">
        <f t="shared" si="1"/>
        <v>7</v>
      </c>
    </row>
    <row r="14" spans="1:23" x14ac:dyDescent="0.2">
      <c r="A14" s="98">
        <v>8</v>
      </c>
      <c r="B14" s="97">
        <f>C14*B4</f>
        <v>0.34533567014547373</v>
      </c>
      <c r="C14" s="97">
        <f>1/(1-D4*B4/(1-D4*B4/(1-D4*B4/(1-D4*B4/(1-D4*B4/(1-D4*B4/(1-D4*B4)))))))</f>
        <v>1.3452031106679494</v>
      </c>
      <c r="D14" s="130">
        <f>C14*D4*C13</f>
        <v>1.3446867451808888</v>
      </c>
      <c r="E14" s="1">
        <f>D14*D4*C12</f>
        <v>1.3431916866550659</v>
      </c>
      <c r="F14" s="1">
        <f>E14*D4*C11</f>
        <v>1.3388629697836925</v>
      </c>
      <c r="G14" s="1">
        <f>F14*D4*C10</f>
        <v>1.3263298217972608</v>
      </c>
      <c r="H14" s="1">
        <f>G14*D4*C9</f>
        <v>1.2900419787441404</v>
      </c>
      <c r="I14" s="1">
        <f>H14*D4*C8</f>
        <v>1.1849759925391232</v>
      </c>
      <c r="J14" s="1">
        <f>I14*D4</f>
        <v>0.88077324780520427</v>
      </c>
      <c r="K14" s="1">
        <f>J14*D4</f>
        <v>0.65466432985452672</v>
      </c>
      <c r="L14" s="1"/>
      <c r="M14" s="242"/>
      <c r="N14" s="97">
        <f>B14+K14</f>
        <v>1.0000000000000004</v>
      </c>
      <c r="R14" s="278">
        <f>B14-K14</f>
        <v>-0.30932865970905299</v>
      </c>
      <c r="S14" s="279">
        <f>IF(Rules!B20=Rules!E20,SUM(C14:J14)*B4*F4,SUM(C14:J14)*B4*F4*POWER(O2,A14-1))</f>
        <v>7.7542505991273663</v>
      </c>
      <c r="T14" s="261">
        <f>IF(Rules!B20=Rules!E20,SUM(C14:J14)*D4*H4,SUM(C14:J14)*D4*H4*POWER(O2,A14-1))</f>
        <v>-36.771765641783716</v>
      </c>
      <c r="U14" s="275">
        <f t="shared" si="0"/>
        <v>-125.33423595304419</v>
      </c>
      <c r="V14" s="93">
        <f>(U14+W14*K14)/B14</f>
        <v>-347.76865437508025</v>
      </c>
      <c r="W14" s="9">
        <f t="shared" si="1"/>
        <v>8</v>
      </c>
    </row>
    <row r="15" spans="1:23" x14ac:dyDescent="0.2">
      <c r="A15" s="98">
        <v>9</v>
      </c>
      <c r="B15" s="97">
        <f>C15*B4</f>
        <v>0.34536564165329781</v>
      </c>
      <c r="C15" s="97">
        <f>1/(1-D4*B4/(1-D4*B4/(1-D4*B4/(1-D4*B4/(1-D4*B4/(1-D4*B4/(1-D4*B4/(1-D4*B4))))))))</f>
        <v>1.3453198601642855</v>
      </c>
      <c r="D15" s="130">
        <f>C15*D4*C14</f>
        <v>1.3451415252665191</v>
      </c>
      <c r="E15" s="1">
        <f>D15*D4*C13</f>
        <v>1.3446251834194392</v>
      </c>
      <c r="F15" s="1">
        <f>E15*D4*C12</f>
        <v>1.3431301933396218</v>
      </c>
      <c r="G15" s="1">
        <f>F15*D4*C11</f>
        <v>1.3388016746433522</v>
      </c>
      <c r="H15" s="1">
        <f>G15*D4*C10</f>
        <v>1.3262691004430973</v>
      </c>
      <c r="I15" s="1">
        <f>H15*D4*C9</f>
        <v>1.2899829187014651</v>
      </c>
      <c r="J15" s="1">
        <f>I15*D4*C8</f>
        <v>1.1849217425737408</v>
      </c>
      <c r="K15" s="1">
        <f>J15*D4</f>
        <v>0.88073292469443754</v>
      </c>
      <c r="L15" s="1">
        <f>K15*D4</f>
        <v>0.6546343583467028</v>
      </c>
      <c r="M15" s="242"/>
      <c r="N15" s="97">
        <f>B15+L15</f>
        <v>1.0000000000000007</v>
      </c>
      <c r="R15" s="278">
        <f>B15-L15</f>
        <v>-0.309268716693405</v>
      </c>
      <c r="S15" s="279">
        <f>IF(Rules!B20=Rules!E20,SUM(C15:K15)*B4*F4,SUM(C15:K15)*B4*F4*POWER(O2,A15-1))</f>
        <v>8.7914805706075541</v>
      </c>
      <c r="T15" s="261">
        <f>IF(Rules!B20=Rules!E20,SUM(C15:K15)*D4*H4,SUM(C15:K15)*D4*H4*POWER(O2,A15-1))</f>
        <v>-41.690458549670353</v>
      </c>
      <c r="U15" s="275">
        <f t="shared" si="0"/>
        <v>-158.23321393210699</v>
      </c>
      <c r="V15" s="93">
        <f>(U15+W15*L15)/B15</f>
        <v>-441.10208525003685</v>
      </c>
      <c r="W15" s="9">
        <f t="shared" si="1"/>
        <v>9</v>
      </c>
    </row>
    <row r="16" spans="1:23" ht="17" thickBot="1" x14ac:dyDescent="0.25">
      <c r="A16" s="99">
        <v>10</v>
      </c>
      <c r="B16" s="131">
        <f>C16*B4</f>
        <v>0.34537599261865848</v>
      </c>
      <c r="C16" s="131">
        <f>1/(1-D4*B4/(1-D4*B4/(1-D4*B4/(1-D4*B4/(1-D4*B4/(1-D4*B4/(1-D4*B4/(1-D4*B4/(1-D4*B4)))))))))</f>
        <v>1.3453601807914473</v>
      </c>
      <c r="D16" s="139">
        <f>C16*D4*C15</f>
        <v>1.3452985881991129</v>
      </c>
      <c r="E16" s="110">
        <f>D16*D4*C14</f>
        <v>1.3451202561211471</v>
      </c>
      <c r="F16" s="110">
        <f>E16*D4*C13</f>
        <v>1.3446039224383752</v>
      </c>
      <c r="G16" s="110">
        <f>F16*D4*C12</f>
        <v>1.3431089559970828</v>
      </c>
      <c r="H16" s="110">
        <f>G16*D4*C11</f>
        <v>1.338780505742603</v>
      </c>
      <c r="I16" s="110">
        <f>H16*D4*C10</f>
        <v>1.3262481297052457</v>
      </c>
      <c r="J16" s="110">
        <f>I16*D4*C9</f>
        <v>1.2899625217144493</v>
      </c>
      <c r="K16" s="110">
        <f>J16*D4*C8</f>
        <v>1.1849030067958886</v>
      </c>
      <c r="L16" s="110">
        <f>K16*D4</f>
        <v>0.88071899869761305</v>
      </c>
      <c r="M16" s="244">
        <f>L16*D4</f>
        <v>0.65462400738134208</v>
      </c>
      <c r="N16" s="131">
        <f>B16+M16</f>
        <v>1.0000000000000004</v>
      </c>
      <c r="R16" s="280">
        <f>B16-M16</f>
        <v>-0.3092480147626836</v>
      </c>
      <c r="S16" s="281">
        <f>IF(Rules!B20=Rules!E20,SUM(C16:L16)*B4*F4,SUM(C16:L16)*B4*F4*POWER(O2,A16-1))</f>
        <v>9.8289576313490397</v>
      </c>
      <c r="T16" s="262">
        <f>IF(Rules!B20=Rules!E20,SUM(C16:L16)*D4*H4,SUM(C16:L16)*D4*H4*POWER(O2,A16-1))</f>
        <v>-46.610323190181944</v>
      </c>
      <c r="U16" s="275">
        <f t="shared" si="0"/>
        <v>-195.01457949093989</v>
      </c>
      <c r="V16" s="94">
        <f>(U16+W16*M16)/B16</f>
        <v>-545.69033008967961</v>
      </c>
      <c r="W16" s="10">
        <f t="shared" si="1"/>
        <v>10</v>
      </c>
    </row>
    <row r="18" spans="1:21" x14ac:dyDescent="0.2">
      <c r="A18" s="341" t="s">
        <v>189</v>
      </c>
      <c r="B18" s="341"/>
      <c r="C18" s="341"/>
      <c r="D18" s="341"/>
      <c r="E18" s="341"/>
      <c r="F18" s="341"/>
      <c r="O18" s="341" t="s">
        <v>190</v>
      </c>
      <c r="P18" s="341"/>
      <c r="Q18" s="341"/>
      <c r="R18" s="341"/>
      <c r="S18" s="341"/>
      <c r="T18" s="341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53" t="s">
        <v>150</v>
      </c>
      <c r="F20" s="154" t="s">
        <v>151</v>
      </c>
      <c r="G20" s="152" t="s">
        <v>47</v>
      </c>
      <c r="O20" s="29" t="s">
        <v>134</v>
      </c>
      <c r="P20" s="117" t="s">
        <v>139</v>
      </c>
      <c r="Q20" s="117" t="s">
        <v>138</v>
      </c>
      <c r="R20" s="117" t="s">
        <v>137</v>
      </c>
      <c r="S20" s="152" t="s">
        <v>150</v>
      </c>
      <c r="T20" s="154" t="s">
        <v>151</v>
      </c>
      <c r="U20" s="272" t="s">
        <v>47</v>
      </c>
    </row>
    <row r="21" spans="1:21" x14ac:dyDescent="0.2">
      <c r="A21" s="95">
        <v>1</v>
      </c>
      <c r="B21" s="108">
        <v>1</v>
      </c>
      <c r="C21" s="109">
        <f t="shared" ref="C21:C30" si="2">B21*$O$2</f>
        <v>10</v>
      </c>
      <c r="D21" s="57">
        <f>SUM($C$21:C21)</f>
        <v>10</v>
      </c>
      <c r="E21" s="57">
        <f t="shared" ref="E21:E30" si="3">D21/R7</f>
        <v>-20.552143861452738</v>
      </c>
      <c r="F21" s="8">
        <f t="shared" ref="F21:F30" si="4">U7/E21</f>
        <v>0.14043047811511145</v>
      </c>
      <c r="G21" s="265">
        <f>E21*U7</f>
        <v>59.316516339035779</v>
      </c>
      <c r="O21" s="100">
        <v>1</v>
      </c>
      <c r="P21" s="108">
        <v>1</v>
      </c>
      <c r="Q21" s="109">
        <f>P21*10+45</f>
        <v>55</v>
      </c>
      <c r="R21" s="57">
        <f>SUM($Q$21)</f>
        <v>55</v>
      </c>
      <c r="S21" s="260">
        <f>R21/R7</f>
        <v>-113.03679123799004</v>
      </c>
      <c r="T21" s="8">
        <f>U7/S21</f>
        <v>2.5532814202747535E-2</v>
      </c>
      <c r="U21" s="265">
        <f>S21*U7</f>
        <v>326.24083986469674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-300.96131126163442</v>
      </c>
      <c r="F22" s="9">
        <f t="shared" si="4"/>
        <v>3.0249605808569856E-2</v>
      </c>
      <c r="G22" s="266">
        <f t="shared" ref="G22:G30" si="5">E22*U8</f>
        <v>2739.9400490513631</v>
      </c>
      <c r="O22" s="98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61">
        <f t="shared" ref="S22:S30" si="7">R22/R8</f>
        <v>-1778.4077483642036</v>
      </c>
      <c r="T22" s="9">
        <f>U8/S22</f>
        <v>5.119164059911821E-3</v>
      </c>
      <c r="U22" s="266">
        <f t="shared" ref="U22:U30" si="8">S22*U8</f>
        <v>16190.554835303512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-3382.7428744768927</v>
      </c>
      <c r="F23" s="9">
        <f t="shared" si="4"/>
        <v>5.5955747283020565E-3</v>
      </c>
      <c r="G23" s="266">
        <f t="shared" si="5"/>
        <v>64029.878227094559</v>
      </c>
      <c r="O23" s="98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61">
        <f t="shared" si="7"/>
        <v>-20250.744505314371</v>
      </c>
      <c r="T23" s="9">
        <f t="shared" ref="T23:T30" si="11">U9/S23</f>
        <v>9.3470097041614491E-4</v>
      </c>
      <c r="U23" s="266">
        <f t="shared" si="8"/>
        <v>383314.00073787692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-35191.264114691126</v>
      </c>
      <c r="F24" s="9">
        <f t="shared" si="4"/>
        <v>9.2373702823592054E-4</v>
      </c>
      <c r="G24" s="266">
        <f t="shared" si="5"/>
        <v>1143979.0938453758</v>
      </c>
      <c r="O24" s="98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61">
        <f t="shared" si="7"/>
        <v>-211084.23407767926</v>
      </c>
      <c r="T24" s="9">
        <f t="shared" si="11"/>
        <v>1.5400237670619863E-4</v>
      </c>
      <c r="U24" s="266">
        <f t="shared" si="8"/>
        <v>6861815.1947665028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-356735.53909159318</v>
      </c>
      <c r="F25" s="9">
        <f t="shared" si="4"/>
        <v>1.3991667636139966E-4</v>
      </c>
      <c r="G25" s="266">
        <f t="shared" si="5"/>
        <v>17805830.49248559</v>
      </c>
      <c r="O25" s="98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61">
        <f t="shared" si="7"/>
        <v>-2140332.9682506006</v>
      </c>
      <c r="T25" s="9">
        <f t="shared" si="11"/>
        <v>2.332032058100027E-5</v>
      </c>
      <c r="U25" s="266">
        <f t="shared" si="8"/>
        <v>106830976.60298923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-3584166.8280482036</v>
      </c>
      <c r="F26" s="9">
        <f t="shared" si="4"/>
        <v>1.9859100146702259E-5</v>
      </c>
      <c r="G26" s="266">
        <f t="shared" si="5"/>
        <v>255115002.02435106</v>
      </c>
      <c r="O26" s="98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61">
        <f t="shared" si="7"/>
        <v>-21504904.195688091</v>
      </c>
      <c r="T26" s="9">
        <f t="shared" si="11"/>
        <v>3.3098649188574056E-6</v>
      </c>
      <c r="U26" s="266">
        <f t="shared" si="8"/>
        <v>1530683124.0341635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-35899933.265517093</v>
      </c>
      <c r="F27" s="9">
        <f t="shared" si="4"/>
        <v>2.6829220042841355E-6</v>
      </c>
      <c r="G27" s="266">
        <f t="shared" si="5"/>
        <v>3457763853.0363579</v>
      </c>
      <c r="O27" s="98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61">
        <f t="shared" si="7"/>
        <v>-215399486.50830147</v>
      </c>
      <c r="T27" s="9">
        <f t="shared" si="11"/>
        <v>4.4715390213651132E-7</v>
      </c>
      <c r="U27" s="266">
        <f t="shared" si="8"/>
        <v>20746572226.260921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-359200825.76411903</v>
      </c>
      <c r="F28" s="9">
        <f t="shared" si="4"/>
        <v>3.4892524449637263E-7</v>
      </c>
      <c r="G28" s="266">
        <f t="shared" si="5"/>
        <v>45020161050.848404</v>
      </c>
      <c r="O28" s="98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61">
        <f t="shared" si="7"/>
        <v>-2155204825.2724156</v>
      </c>
      <c r="T28" s="9">
        <f t="shared" si="11"/>
        <v>5.8154210905314796E-8</v>
      </c>
      <c r="U28" s="266">
        <f t="shared" si="8"/>
        <v>270120950097.83231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-3592704499.4386072</v>
      </c>
      <c r="F29" s="9">
        <f t="shared" si="4"/>
        <v>4.404292475399309E-8</v>
      </c>
      <c r="G29" s="266">
        <f t="shared" si="5"/>
        <v>568485179654.51245</v>
      </c>
      <c r="O29" s="98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61">
        <f t="shared" si="7"/>
        <v>-21556226851.12711</v>
      </c>
      <c r="T29" s="9">
        <f t="shared" si="11"/>
        <v>7.3404875085471396E-9</v>
      </c>
      <c r="U29" s="266">
        <f t="shared" si="8"/>
        <v>3410911054903.4248</v>
      </c>
    </row>
    <row r="30" spans="1:21" ht="17" thickBot="1" x14ac:dyDescent="0.25">
      <c r="A30" s="131">
        <v>10</v>
      </c>
      <c r="B30" s="94">
        <f t="shared" si="9"/>
        <v>1000000000</v>
      </c>
      <c r="C30" s="110">
        <f t="shared" si="2"/>
        <v>10000000000</v>
      </c>
      <c r="D30" s="10">
        <f>SUM($C$21:C30)</f>
        <v>11111111110</v>
      </c>
      <c r="E30" s="10">
        <f t="shared" si="3"/>
        <v>-35929450084.026077</v>
      </c>
      <c r="F30" s="10">
        <f t="shared" si="4"/>
        <v>5.4277084407045153E-9</v>
      </c>
      <c r="G30" s="267">
        <f t="shared" si="5"/>
        <v>7006766599477.0605</v>
      </c>
      <c r="O30" s="99">
        <v>10</v>
      </c>
      <c r="P30" s="94">
        <f t="shared" si="10"/>
        <v>5999999995</v>
      </c>
      <c r="Q30" s="110">
        <f t="shared" si="6"/>
        <v>59999999995</v>
      </c>
      <c r="R30" s="10">
        <f>SUM($Q$21:Q30)</f>
        <v>66666666610</v>
      </c>
      <c r="S30" s="262">
        <f t="shared" si="7"/>
        <v>-215576700342.47394</v>
      </c>
      <c r="T30" s="10">
        <f t="shared" si="11"/>
        <v>9.0461807412921614E-10</v>
      </c>
      <c r="U30" s="267">
        <f t="shared" si="8"/>
        <v>42040599565331.914</v>
      </c>
    </row>
    <row r="31" spans="1:21" ht="17" thickBot="1" x14ac:dyDescent="0.25"/>
    <row r="32" spans="1:21" ht="17" thickBot="1" x14ac:dyDescent="0.25">
      <c r="A32" s="116" t="s">
        <v>134</v>
      </c>
      <c r="B32" s="117" t="s">
        <v>139</v>
      </c>
      <c r="C32" s="117" t="s">
        <v>138</v>
      </c>
      <c r="D32" s="156" t="s">
        <v>137</v>
      </c>
      <c r="E32" s="153" t="s">
        <v>150</v>
      </c>
      <c r="F32" s="154" t="s">
        <v>151</v>
      </c>
      <c r="G32" s="269" t="s">
        <v>47</v>
      </c>
      <c r="O32" s="29" t="s">
        <v>134</v>
      </c>
      <c r="P32" s="117" t="s">
        <v>139</v>
      </c>
      <c r="Q32" s="117" t="s">
        <v>138</v>
      </c>
      <c r="R32" s="117" t="s">
        <v>137</v>
      </c>
      <c r="S32" s="152" t="s">
        <v>150</v>
      </c>
      <c r="T32" s="154" t="s">
        <v>151</v>
      </c>
      <c r="U32" s="273" t="s">
        <v>47</v>
      </c>
    </row>
    <row r="33" spans="1:21" x14ac:dyDescent="0.2">
      <c r="A33" s="95">
        <v>1</v>
      </c>
      <c r="B33" s="108">
        <v>1</v>
      </c>
      <c r="C33" s="109">
        <f t="shared" ref="C33:C42" si="12">B33*$O$2</f>
        <v>10</v>
      </c>
      <c r="D33" s="57">
        <f>SUM($C$33:C33)</f>
        <v>10</v>
      </c>
      <c r="E33" s="9">
        <f t="shared" ref="E33:E42" si="13">D33/R7</f>
        <v>-20.552143861452738</v>
      </c>
      <c r="F33" s="8">
        <f t="shared" ref="F33:F42" si="14">U7/E33</f>
        <v>0.14043047811511145</v>
      </c>
      <c r="G33" s="268">
        <f>E33*U7</f>
        <v>59.316516339035779</v>
      </c>
      <c r="O33" s="100">
        <v>1</v>
      </c>
      <c r="P33" s="108">
        <v>1</v>
      </c>
      <c r="Q33" s="109">
        <f>P33*10+45</f>
        <v>55</v>
      </c>
      <c r="R33" s="57">
        <f>SUM($Q$21)</f>
        <v>55</v>
      </c>
      <c r="S33" s="260">
        <f>R33/R7</f>
        <v>-113.03679123799004</v>
      </c>
      <c r="T33" s="8">
        <f>U7/S33</f>
        <v>2.5532814202747535E-2</v>
      </c>
      <c r="U33" s="268">
        <f>S33*U7</f>
        <v>326.24083986469674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-328.32143046723758</v>
      </c>
      <c r="F34" s="9">
        <f t="shared" si="14"/>
        <v>2.7728805324522366E-2</v>
      </c>
      <c r="G34" s="266">
        <f t="shared" ref="G34:G42" si="16">E34*U8</f>
        <v>2989.0255080560328</v>
      </c>
      <c r="O34" s="98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61">
        <f>R34/R8</f>
        <v>-1805.7678675698066</v>
      </c>
      <c r="T34" s="9">
        <f t="shared" ref="T34:T42" si="18">U8/S34</f>
        <v>5.041600968094976E-3</v>
      </c>
      <c r="U34" s="266">
        <f t="shared" ref="U34:U42" si="19">S34*U8</f>
        <v>16439.640294308181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-4053.1964171660065</v>
      </c>
      <c r="F35" s="9">
        <f t="shared" si="14"/>
        <v>4.6699909386581076E-3</v>
      </c>
      <c r="G35" s="266">
        <f t="shared" si="16"/>
        <v>76720.484722554742</v>
      </c>
      <c r="O35" s="98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61">
        <f t="shared" ref="S35:S42" si="21">R35/R9</f>
        <v>-20616.446437690251</v>
      </c>
      <c r="T35" s="9">
        <f t="shared" si="18"/>
        <v>9.1812090885665673E-4</v>
      </c>
      <c r="U35" s="266">
        <f t="shared" si="19"/>
        <v>390236.14973540063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-46372.646862203248</v>
      </c>
      <c r="F36" s="9">
        <f t="shared" si="14"/>
        <v>7.0100535407794241E-4</v>
      </c>
      <c r="G36" s="266">
        <f t="shared" si="16"/>
        <v>1507457.5998106482</v>
      </c>
      <c r="O36" s="98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61">
        <f t="shared" si="21"/>
        <v>-214980.29662142994</v>
      </c>
      <c r="T36" s="9">
        <f t="shared" si="18"/>
        <v>1.5121140980847321E-4</v>
      </c>
      <c r="U36" s="266">
        <f t="shared" si="19"/>
        <v>6988466.3455702662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-517075.49789128866</v>
      </c>
      <c r="F37" s="9">
        <f t="shared" si="14"/>
        <v>9.6529909410214936E-5</v>
      </c>
      <c r="G37" s="266">
        <f t="shared" si="16"/>
        <v>25808919.096524205</v>
      </c>
      <c r="O37" s="98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61">
        <f t="shared" si="21"/>
        <v>-2179952.4134165645</v>
      </c>
      <c r="T37" s="9">
        <f t="shared" si="18"/>
        <v>2.2896486484060703E-5</v>
      </c>
      <c r="U37" s="266">
        <f t="shared" si="19"/>
        <v>108808511.91283777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-5714615.6419230103</v>
      </c>
      <c r="F38" s="9">
        <f t="shared" si="14"/>
        <v>1.2455488249905362E-5</v>
      </c>
      <c r="G38" s="266">
        <f t="shared" si="16"/>
        <v>406756786.44441992</v>
      </c>
      <c r="O38" s="98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61">
        <f t="shared" si="21"/>
        <v>-21903123.449337643</v>
      </c>
      <c r="T38" s="9">
        <f t="shared" si="18"/>
        <v>3.2496884814320809E-6</v>
      </c>
      <c r="U38" s="266">
        <f t="shared" si="19"/>
        <v>1559027704.6786599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-62962935.524334364</v>
      </c>
      <c r="F39" s="9">
        <f t="shared" si="14"/>
        <v>1.5297368222795561E-6</v>
      </c>
      <c r="G39" s="266">
        <f t="shared" si="16"/>
        <v>6064383488.596056</v>
      </c>
      <c r="O39" s="98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61">
        <f t="shared" si="21"/>
        <v>-219388342.85229203</v>
      </c>
      <c r="T39" s="9">
        <f t="shared" si="18"/>
        <v>4.3902387728611063E-7</v>
      </c>
      <c r="U39" s="266">
        <f t="shared" si="19"/>
        <v>21130765789.496689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-692980987.28265512</v>
      </c>
      <c r="F40" s="9">
        <f t="shared" si="14"/>
        <v>1.8086244536738277E-7</v>
      </c>
      <c r="G40" s="266">
        <f t="shared" si="16"/>
        <v>86854242571.057816</v>
      </c>
      <c r="O40" s="98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61">
        <f t="shared" si="21"/>
        <v>-2195115999.3990288</v>
      </c>
      <c r="T40" s="9">
        <f t="shared" si="18"/>
        <v>5.709686230128966E-8</v>
      </c>
      <c r="U40" s="266">
        <f t="shared" si="19"/>
        <v>275123186612.98029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-7624268355.3977509</v>
      </c>
      <c r="F41" s="9">
        <f t="shared" si="14"/>
        <v>2.0753888315077823E-8</v>
      </c>
      <c r="G41" s="266">
        <f t="shared" si="16"/>
        <v>1206412485755.4458</v>
      </c>
      <c r="O41" s="98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61">
        <f t="shared" si="21"/>
        <v>-21955416207.619282</v>
      </c>
      <c r="T41" s="9">
        <f t="shared" si="18"/>
        <v>7.2070241090303108E-9</v>
      </c>
      <c r="U41" s="266">
        <f t="shared" si="19"/>
        <v>3474076069748.6709</v>
      </c>
    </row>
    <row r="42" spans="1:21" ht="17" thickBot="1" x14ac:dyDescent="0.25">
      <c r="A42" s="131">
        <v>10</v>
      </c>
      <c r="B42" s="94">
        <f t="shared" si="15"/>
        <v>2357947691</v>
      </c>
      <c r="C42" s="110">
        <f t="shared" si="12"/>
        <v>23579476910</v>
      </c>
      <c r="D42" s="10">
        <f>SUM($C$33:C42)</f>
        <v>25937424600</v>
      </c>
      <c r="E42" s="9">
        <f t="shared" si="13"/>
        <v>-83872566231.037369</v>
      </c>
      <c r="F42" s="10">
        <f t="shared" si="14"/>
        <v>2.3251295179611898E-9</v>
      </c>
      <c r="G42" s="267">
        <f t="shared" si="16"/>
        <v>16356373234371.758</v>
      </c>
      <c r="O42" s="99">
        <v>10</v>
      </c>
      <c r="P42" s="94">
        <f t="shared" si="20"/>
        <v>6111111106</v>
      </c>
      <c r="Q42" s="110">
        <f t="shared" si="17"/>
        <v>61111111105</v>
      </c>
      <c r="R42" s="10">
        <f>SUM($Q$33:Q42)</f>
        <v>67901234500</v>
      </c>
      <c r="S42" s="262">
        <f t="shared" si="21"/>
        <v>-219568861426.99182</v>
      </c>
      <c r="T42" s="10">
        <f t="shared" si="18"/>
        <v>8.8817047291463776E-10</v>
      </c>
      <c r="U42" s="267">
        <f t="shared" si="19"/>
        <v>42819129180489.266</v>
      </c>
    </row>
    <row r="43" spans="1:21" ht="17" thickBot="1" x14ac:dyDescent="0.25">
      <c r="U43" s="264"/>
    </row>
    <row r="44" spans="1:21" ht="17" thickBot="1" x14ac:dyDescent="0.25">
      <c r="A44" s="116" t="s">
        <v>134</v>
      </c>
      <c r="B44" s="117" t="s">
        <v>139</v>
      </c>
      <c r="C44" s="117" t="s">
        <v>138</v>
      </c>
      <c r="D44" s="156" t="s">
        <v>137</v>
      </c>
      <c r="E44" s="153" t="s">
        <v>150</v>
      </c>
      <c r="F44" s="154" t="s">
        <v>151</v>
      </c>
      <c r="G44" s="269" t="s">
        <v>47</v>
      </c>
      <c r="O44" s="29" t="s">
        <v>134</v>
      </c>
      <c r="P44" s="117" t="s">
        <v>139</v>
      </c>
      <c r="Q44" s="117" t="s">
        <v>138</v>
      </c>
      <c r="R44" s="117" t="s">
        <v>137</v>
      </c>
      <c r="S44" s="152" t="s">
        <v>150</v>
      </c>
      <c r="T44" s="154" t="s">
        <v>151</v>
      </c>
      <c r="U44" s="273" t="s">
        <v>47</v>
      </c>
    </row>
    <row r="45" spans="1:21" x14ac:dyDescent="0.2">
      <c r="A45" s="95">
        <v>1</v>
      </c>
      <c r="B45" s="108">
        <v>1</v>
      </c>
      <c r="C45" s="109">
        <f t="shared" ref="C45:C54" si="22">B45*$O$2</f>
        <v>10</v>
      </c>
      <c r="D45" s="57">
        <f>SUM(C45:C45)</f>
        <v>10</v>
      </c>
      <c r="E45" s="57">
        <f t="shared" ref="E45:E54" si="23">D45/R7</f>
        <v>-20.552143861452738</v>
      </c>
      <c r="F45" s="8">
        <f t="shared" ref="F45:F54" si="24">U7/E45</f>
        <v>0.14043047811511145</v>
      </c>
      <c r="G45" s="265">
        <f>E45*U7</f>
        <v>59.316516339035779</v>
      </c>
      <c r="O45" s="100">
        <v>1</v>
      </c>
      <c r="P45" s="108">
        <v>1</v>
      </c>
      <c r="Q45" s="109">
        <f>P45*10+45</f>
        <v>55</v>
      </c>
      <c r="R45" s="57">
        <f>SUM($Q$21)</f>
        <v>55</v>
      </c>
      <c r="S45" s="260">
        <f>R45/R7</f>
        <v>-113.03679123799004</v>
      </c>
      <c r="T45" s="8">
        <f>U7/S45</f>
        <v>2.5532814202747535E-2</v>
      </c>
      <c r="U45" s="268">
        <f>S45*U7</f>
        <v>326.24083986469674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-574.5625033176658</v>
      </c>
      <c r="F46" s="9">
        <f t="shared" si="24"/>
        <v>1.5845031614012781E-2</v>
      </c>
      <c r="G46" s="266">
        <f t="shared" ref="G46:G54" si="26">E46*U8</f>
        <v>5230.7946390980578</v>
      </c>
      <c r="O46" s="98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61">
        <f t="shared" ref="S46:S54" si="28">R46/R8</f>
        <v>-3283.2143046723759</v>
      </c>
      <c r="T46" s="9">
        <f t="shared" ref="T46:T54" si="29">U8/S46</f>
        <v>2.7728805324522365E-3</v>
      </c>
      <c r="U46" s="266">
        <f t="shared" ref="U46:U54" si="30">S46*U8</f>
        <v>29890.255080560328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-12830.042794187133</v>
      </c>
      <c r="F47" s="9">
        <f t="shared" si="24"/>
        <v>1.4753178024739389E-3</v>
      </c>
      <c r="G47" s="266">
        <f t="shared" si="26"/>
        <v>242852.0606631244</v>
      </c>
      <c r="O47" s="98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61">
        <f t="shared" si="28"/>
        <v>-73582.276310130241</v>
      </c>
      <c r="T47" s="9">
        <f t="shared" si="29"/>
        <v>2.5724116580721817E-4</v>
      </c>
      <c r="U47" s="266">
        <f t="shared" si="30"/>
        <v>1392794.0628767549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-266737.74537336989</v>
      </c>
      <c r="F48" s="9">
        <f t="shared" si="24"/>
        <v>1.2187054249734091E-4</v>
      </c>
      <c r="G48" s="266">
        <f t="shared" si="26"/>
        <v>8670970.2513698563</v>
      </c>
      <c r="O48" s="98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61">
        <f t="shared" si="28"/>
        <v>-1530202.320537006</v>
      </c>
      <c r="T48" s="9">
        <f t="shared" si="29"/>
        <v>2.1243905656712158E-5</v>
      </c>
      <c r="U48" s="266">
        <f t="shared" si="30"/>
        <v>49743011.741292767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-5407412.1347624166</v>
      </c>
      <c r="F49" s="9">
        <f t="shared" si="24"/>
        <v>9.2305246439073024E-6</v>
      </c>
      <c r="G49" s="266">
        <f t="shared" si="26"/>
        <v>269901518.9789322</v>
      </c>
      <c r="O49" s="98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61">
        <f t="shared" si="28"/>
        <v>-31021431.594337516</v>
      </c>
      <c r="T49" s="9">
        <f t="shared" si="29"/>
        <v>1.6089925062903537E-6</v>
      </c>
      <c r="U49" s="266">
        <f t="shared" si="30"/>
        <v>1548380500.6071732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-108656953.95686258</v>
      </c>
      <c r="F50" s="9">
        <f t="shared" si="24"/>
        <v>6.550738391668484E-7</v>
      </c>
      <c r="G50" s="266">
        <f t="shared" si="26"/>
        <v>7734020306.1251059</v>
      </c>
      <c r="O50" s="98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61">
        <f t="shared" si="28"/>
        <v>-623347742.64971638</v>
      </c>
      <c r="T50" s="9">
        <f t="shared" si="29"/>
        <v>1.1418719137111779E-7</v>
      </c>
      <c r="U50" s="266">
        <f t="shared" si="30"/>
        <v>44368850072.3489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-2176669853.9599199</v>
      </c>
      <c r="F51" s="9">
        <f t="shared" si="24"/>
        <v>4.4249577277492517E-8</v>
      </c>
      <c r="G51" s="266">
        <f t="shared" si="26"/>
        <v>209649702837.91223</v>
      </c>
      <c r="O51" s="98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61">
        <f t="shared" si="28"/>
        <v>-12487211213.887793</v>
      </c>
      <c r="T51" s="9">
        <f t="shared" si="29"/>
        <v>7.7132290998063764E-9</v>
      </c>
      <c r="U51" s="266">
        <f t="shared" si="30"/>
        <v>1202727237437.0957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-43557826884.431007</v>
      </c>
      <c r="F52" s="9">
        <f t="shared" si="24"/>
        <v>2.8774216924454222E-9</v>
      </c>
      <c r="G52" s="266">
        <f t="shared" si="26"/>
        <v>5459286952335.127</v>
      </c>
      <c r="O52" s="98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61">
        <f t="shared" si="28"/>
        <v>-249884375223.1142</v>
      </c>
      <c r="T52" s="9">
        <f t="shared" si="29"/>
        <v>5.0156891898958079E-10</v>
      </c>
      <c r="U52" s="266">
        <f t="shared" si="30"/>
        <v>31319067245192.824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-871325386838.73413</v>
      </c>
      <c r="F53" s="9">
        <f t="shared" si="24"/>
        <v>1.8160060101794437E-10</v>
      </c>
      <c r="G53" s="266">
        <f t="shared" si="26"/>
        <v>137872616340129.3</v>
      </c>
      <c r="O53" s="98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61">
        <f t="shared" si="28"/>
        <v>-4998656166532.2363</v>
      </c>
      <c r="T53" s="9">
        <f t="shared" si="29"/>
        <v>3.1655150636591907E-11</v>
      </c>
      <c r="U53" s="266">
        <f t="shared" si="30"/>
        <v>790953430571941.12</v>
      </c>
    </row>
    <row r="54" spans="1:21" ht="17" thickBot="1" x14ac:dyDescent="0.25">
      <c r="A54" s="131">
        <v>10</v>
      </c>
      <c r="B54" s="94">
        <f t="shared" si="25"/>
        <v>512000000000</v>
      </c>
      <c r="C54" s="110">
        <f t="shared" si="22"/>
        <v>5120000000000</v>
      </c>
      <c r="D54" s="10">
        <f>SUM($C$45:C54)</f>
        <v>5389473684210</v>
      </c>
      <c r="E54" s="10">
        <f t="shared" si="23"/>
        <v>-17427674316182.346</v>
      </c>
      <c r="F54" s="10">
        <f t="shared" si="24"/>
        <v>1.1189937105369273E-11</v>
      </c>
      <c r="G54" s="267">
        <f t="shared" si="26"/>
        <v>3398650578275353.5</v>
      </c>
      <c r="O54" s="99">
        <v>10</v>
      </c>
      <c r="P54" s="94">
        <f t="shared" si="31"/>
        <v>2937263157890</v>
      </c>
      <c r="Q54" s="110">
        <f t="shared" si="27"/>
        <v>29372631578945</v>
      </c>
      <c r="R54" s="10">
        <f>SUM($Q$45:Q54)</f>
        <v>30918559556760</v>
      </c>
      <c r="S54" s="262">
        <f t="shared" si="28"/>
        <v>-99979815813811.609</v>
      </c>
      <c r="T54" s="10">
        <f t="shared" si="29"/>
        <v>1.9505394954328353E-12</v>
      </c>
      <c r="U54" s="267">
        <f t="shared" si="30"/>
        <v>1.9497521738512092E+16</v>
      </c>
    </row>
  </sheetData>
  <mergeCells count="2">
    <mergeCell ref="A18:F18"/>
    <mergeCell ref="O18:T18"/>
  </mergeCells>
  <conditionalFormatting sqref="F45:F54">
    <cfRule type="cellIs" dxfId="152" priority="33" operator="equal">
      <formula>MAX($F$45:$F$54)</formula>
    </cfRule>
  </conditionalFormatting>
  <conditionalFormatting sqref="F21:F30">
    <cfRule type="cellIs" dxfId="151" priority="32" operator="equal">
      <formula>MAX($F$21:$F$30)</formula>
    </cfRule>
  </conditionalFormatting>
  <conditionalFormatting sqref="E33:E42">
    <cfRule type="cellIs" dxfId="150" priority="30" stopIfTrue="1" operator="lessThan">
      <formula>0</formula>
    </cfRule>
    <cfRule type="cellIs" dxfId="149" priority="31" operator="equal">
      <formula>MIN($E$33:$E$42)</formula>
    </cfRule>
  </conditionalFormatting>
  <conditionalFormatting sqref="E21:E30">
    <cfRule type="cellIs" dxfId="148" priority="28" stopIfTrue="1" operator="lessThan">
      <formula>0</formula>
    </cfRule>
    <cfRule type="cellIs" dxfId="147" priority="29" operator="equal">
      <formula>MIN($E$21:$E$30)</formula>
    </cfRule>
  </conditionalFormatting>
  <conditionalFormatting sqref="E45:E54">
    <cfRule type="cellIs" dxfId="146" priority="26" stopIfTrue="1" operator="lessThan">
      <formula>0</formula>
    </cfRule>
    <cfRule type="cellIs" dxfId="145" priority="27" operator="equal">
      <formula>MIN($E$45:$E$54)</formula>
    </cfRule>
  </conditionalFormatting>
  <conditionalFormatting sqref="F33:F42">
    <cfRule type="cellIs" dxfId="144" priority="24" operator="lessThanOrEqual">
      <formula>0</formula>
    </cfRule>
    <cfRule type="cellIs" dxfId="143" priority="25" operator="equal">
      <formula>MAX($F$33:$F$42)</formula>
    </cfRule>
  </conditionalFormatting>
  <conditionalFormatting sqref="R7:R16">
    <cfRule type="cellIs" dxfId="142" priority="22" operator="lessThanOrEqual">
      <formula>0</formula>
    </cfRule>
    <cfRule type="cellIs" dxfId="141" priority="23" operator="greaterThan">
      <formula>0</formula>
    </cfRule>
  </conditionalFormatting>
  <conditionalFormatting sqref="T21:T30">
    <cfRule type="cellIs" dxfId="140" priority="19" operator="equal">
      <formula>MAX($T$21:$T$30)</formula>
    </cfRule>
  </conditionalFormatting>
  <conditionalFormatting sqref="S33:S42">
    <cfRule type="cellIs" dxfId="139" priority="17" stopIfTrue="1" operator="lessThan">
      <formula>0</formula>
    </cfRule>
    <cfRule type="cellIs" dxfId="138" priority="18" operator="equal">
      <formula>MIN($E$21:$E$30)</formula>
    </cfRule>
  </conditionalFormatting>
  <conditionalFormatting sqref="T33:T42">
    <cfRule type="cellIs" dxfId="137" priority="16" operator="equal">
      <formula>MAX($T$21:$T$30)</formula>
    </cfRule>
  </conditionalFormatting>
  <conditionalFormatting sqref="S45:S54">
    <cfRule type="cellIs" dxfId="136" priority="14" stopIfTrue="1" operator="lessThan">
      <formula>0</formula>
    </cfRule>
    <cfRule type="cellIs" dxfId="135" priority="15" operator="equal">
      <formula>MIN($E$21:$E$30)</formula>
    </cfRule>
  </conditionalFormatting>
  <conditionalFormatting sqref="T45:T54">
    <cfRule type="cellIs" dxfId="134" priority="13" operator="equal">
      <formula>MAX($T$21:$T$30)</formula>
    </cfRule>
  </conditionalFormatting>
  <conditionalFormatting sqref="S21:S30">
    <cfRule type="cellIs" dxfId="133" priority="11" stopIfTrue="1" operator="lessThan">
      <formula>0</formula>
    </cfRule>
    <cfRule type="cellIs" dxfId="132" priority="12" operator="equal">
      <formula>MIN($E$21:$E$30)</formula>
    </cfRule>
  </conditionalFormatting>
  <conditionalFormatting sqref="U7:U16">
    <cfRule type="cellIs" dxfId="131" priority="7" operator="lessThanOrEqual">
      <formula>0</formula>
    </cfRule>
    <cfRule type="cellIs" dxfId="130" priority="8" operator="greaterThan">
      <formula>0</formula>
    </cfRule>
  </conditionalFormatting>
  <conditionalFormatting sqref="S7:T16">
    <cfRule type="cellIs" dxfId="129" priority="1" operator="lessThanOrEqual">
      <formula>0</formula>
    </cfRule>
    <cfRule type="cellIs" dxfId="12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1"/>
  <sheetViews>
    <sheetView topLeftCell="A25" workbookViewId="0">
      <selection activeCell="H7" sqref="H7"/>
    </sheetView>
  </sheetViews>
  <sheetFormatPr baseColWidth="10" defaultColWidth="8.83203125" defaultRowHeight="16" x14ac:dyDescent="0.2"/>
  <cols>
    <col min="1" max="1" width="6.6640625" style="283" customWidth="1"/>
    <col min="2" max="10" width="6.6640625" customWidth="1"/>
    <col min="11" max="11" width="6.6640625" style="283" customWidth="1"/>
    <col min="12" max="19" width="6.6640625" customWidth="1"/>
    <col min="20" max="20" width="6.6640625" style="283" customWidth="1"/>
    <col min="21" max="27" width="6.6640625" customWidth="1"/>
  </cols>
  <sheetData>
    <row r="1" spans="1:27" x14ac:dyDescent="0.2">
      <c r="B1" s="342" t="s">
        <v>48</v>
      </c>
      <c r="C1" s="342"/>
      <c r="D1" s="342"/>
      <c r="E1" s="342"/>
      <c r="F1" s="342"/>
      <c r="G1" s="342"/>
      <c r="H1" s="342"/>
      <c r="I1" s="342"/>
      <c r="J1" s="342"/>
      <c r="L1" s="342" t="s">
        <v>48</v>
      </c>
      <c r="M1" s="342"/>
      <c r="N1" s="342"/>
      <c r="O1" s="342"/>
      <c r="P1" s="342"/>
      <c r="Q1" s="342"/>
      <c r="R1" s="342"/>
      <c r="S1" s="342"/>
      <c r="U1" s="342" t="s">
        <v>48</v>
      </c>
      <c r="V1" s="342"/>
      <c r="W1" s="342"/>
      <c r="X1" s="342"/>
      <c r="Y1" s="342"/>
      <c r="Z1" s="342"/>
      <c r="AA1" s="342"/>
    </row>
    <row r="2" spans="1:27" x14ac:dyDescent="0.2">
      <c r="A2" s="283" t="s">
        <v>57</v>
      </c>
      <c r="B2" s="49" t="s">
        <v>141</v>
      </c>
      <c r="C2" s="49" t="s">
        <v>142</v>
      </c>
      <c r="D2" s="49" t="s">
        <v>143</v>
      </c>
      <c r="E2" s="49" t="s">
        <v>144</v>
      </c>
      <c r="F2" s="49" t="s">
        <v>145</v>
      </c>
      <c r="G2" s="49" t="s">
        <v>146</v>
      </c>
      <c r="H2" s="49" t="s">
        <v>147</v>
      </c>
      <c r="I2" s="49" t="s">
        <v>148</v>
      </c>
      <c r="J2" s="49" t="s">
        <v>149</v>
      </c>
      <c r="K2" s="283" t="s">
        <v>57</v>
      </c>
      <c r="L2" s="49" t="s">
        <v>158</v>
      </c>
      <c r="M2" s="49" t="s">
        <v>159</v>
      </c>
      <c r="N2" s="49" t="s">
        <v>160</v>
      </c>
      <c r="O2" s="49" t="s">
        <v>161</v>
      </c>
      <c r="P2" s="49" t="s">
        <v>162</v>
      </c>
      <c r="Q2" s="49" t="s">
        <v>163</v>
      </c>
      <c r="R2" s="49" t="s">
        <v>164</v>
      </c>
      <c r="S2" s="49" t="s">
        <v>165</v>
      </c>
      <c r="T2" s="283" t="s">
        <v>57</v>
      </c>
      <c r="U2" s="49" t="s">
        <v>169</v>
      </c>
      <c r="V2" s="49" t="s">
        <v>170</v>
      </c>
      <c r="W2" s="49" t="s">
        <v>171</v>
      </c>
      <c r="X2" s="49" t="s">
        <v>172</v>
      </c>
      <c r="Y2" s="49" t="s">
        <v>173</v>
      </c>
      <c r="Z2" s="49" t="s">
        <v>174</v>
      </c>
      <c r="AA2" s="49" t="s">
        <v>175</v>
      </c>
    </row>
    <row r="3" spans="1:27" x14ac:dyDescent="0.2">
      <c r="A3" s="283">
        <v>1</v>
      </c>
      <c r="B3" s="1">
        <f>'1x2'!U7</f>
        <v>-2.9596695884589019E-2</v>
      </c>
      <c r="C3" s="1">
        <f>'1x3'!U7</f>
        <v>-3.8662174848585751E-3</v>
      </c>
      <c r="D3" s="1">
        <f>'1x4'!U7</f>
        <v>2.7427234041654674E-2</v>
      </c>
      <c r="E3" s="1">
        <f>'1x5'!U7</f>
        <v>6.1371620377175917E-2</v>
      </c>
      <c r="F3" s="1">
        <f>'1x6'!U7</f>
        <v>9.6619051618230756E-2</v>
      </c>
      <c r="G3" s="1">
        <f>'1x7'!U7</f>
        <v>0.13244923426163047</v>
      </c>
      <c r="H3" s="1">
        <f>'1x8'!U7</f>
        <v>0.16845137301710694</v>
      </c>
      <c r="I3" s="1">
        <f>'1x9'!U7</f>
        <v>0.20438968803748819</v>
      </c>
      <c r="J3" s="1">
        <f>'1x10'!U7</f>
        <v>0.24013547371678878</v>
      </c>
      <c r="K3" s="283">
        <v>1</v>
      </c>
      <c r="L3" s="1">
        <f>'2x3'!U7</f>
        <v>-0.2728198764624834</v>
      </c>
      <c r="M3" s="1">
        <f>'2x4'!U7</f>
        <v>-0.31248522639831922</v>
      </c>
      <c r="N3" s="1">
        <f>'2x5'!U7</f>
        <v>-0.34984324498541275</v>
      </c>
      <c r="O3" s="1">
        <f>'2x6'!U7</f>
        <v>-0.38809197802836592</v>
      </c>
      <c r="P3" s="1">
        <f>'2x7'!U7</f>
        <v>-0.42871433777214352</v>
      </c>
      <c r="Q3" s="1">
        <f>'2x8'!U7</f>
        <v>-0.4723073314238091</v>
      </c>
      <c r="R3" s="1">
        <f>'2x9'!U7</f>
        <v>-0.51898578997343592</v>
      </c>
      <c r="S3" s="1">
        <f>'2x10'!U7</f>
        <v>-0.5686023306887712</v>
      </c>
      <c r="T3" s="283">
        <v>1</v>
      </c>
      <c r="U3" s="1">
        <f>'3x4'!U7</f>
        <v>-0.75388712237740174</v>
      </c>
      <c r="V3" s="1">
        <f>'3x5'!U7</f>
        <v>-0.90370245173501096</v>
      </c>
      <c r="W3" s="1">
        <f>'3x6'!U7</f>
        <v>-1.0567724707852977</v>
      </c>
      <c r="X3" s="1">
        <f>'3x7'!U7</f>
        <v>-1.2148415100314476</v>
      </c>
      <c r="Y3" s="1">
        <f>'3x8'!U7</f>
        <v>-1.3784551197768893</v>
      </c>
      <c r="Z3" s="1">
        <f>'3x9'!U7</f>
        <v>-1.5475091763263382</v>
      </c>
      <c r="AA3" s="1">
        <f>'3x10'!U7</f>
        <v>-1.721562927481584</v>
      </c>
    </row>
    <row r="4" spans="1:27" x14ac:dyDescent="0.2">
      <c r="A4" s="283">
        <v>2</v>
      </c>
      <c r="B4" s="1">
        <f>'1x2'!U8</f>
        <v>-8.6551687971514329E-2</v>
      </c>
      <c r="C4" s="1">
        <f>'1x3'!U8</f>
        <v>-1.0881321796344684E-2</v>
      </c>
      <c r="D4" s="1">
        <f>'1x4'!U8</f>
        <v>7.5327031488404056E-2</v>
      </c>
      <c r="E4" s="1">
        <f>'1x5'!U8</f>
        <v>0.16588869090898117</v>
      </c>
      <c r="F4" s="1">
        <f>'1x6'!U8</f>
        <v>0.25840070038185703</v>
      </c>
      <c r="G4" s="1">
        <f>'1x7'!U8</f>
        <v>0.35167105259605869</v>
      </c>
      <c r="H4" s="1">
        <f>'1x8'!U8</f>
        <v>0.44503107196523023</v>
      </c>
      <c r="I4" s="1">
        <f>'1x9'!U8</f>
        <v>0.53809525008226577</v>
      </c>
      <c r="J4" s="1">
        <f>'1x10'!U8</f>
        <v>0.63065327399123661</v>
      </c>
      <c r="K4" s="283">
        <v>2</v>
      </c>
      <c r="L4" s="1">
        <f>'2x3'!U8</f>
        <v>-0.84714056772997104</v>
      </c>
      <c r="M4" s="1">
        <f>'2x4'!U8</f>
        <v>-0.96017418994718817</v>
      </c>
      <c r="N4" s="1">
        <f>'2x5'!U8</f>
        <v>-1.066171419147119</v>
      </c>
      <c r="O4" s="1">
        <f>'2x6'!U8</f>
        <v>-1.175540820237817</v>
      </c>
      <c r="P4" s="1">
        <f>'2x7'!U8</f>
        <v>-1.2928269220616722</v>
      </c>
      <c r="Q4" s="1">
        <f>'2x8'!U8</f>
        <v>-1.4197200878518419</v>
      </c>
      <c r="R4" s="1">
        <f>'2x9'!U8</f>
        <v>-1.5564331214162972</v>
      </c>
      <c r="S4" s="1">
        <f>'2x10'!U8</f>
        <v>-1.7024071571415802</v>
      </c>
      <c r="T4" s="283">
        <v>2</v>
      </c>
      <c r="U4" s="1">
        <f>'3x4'!U8</f>
        <v>-2.3761654782992587</v>
      </c>
      <c r="V4" s="1">
        <f>'3x5'!U8</f>
        <v>-2.8439653464174537</v>
      </c>
      <c r="W4" s="1">
        <f>'3x6'!U8</f>
        <v>-3.3206868956640596</v>
      </c>
      <c r="X4" s="1">
        <f>'3x7'!U8</f>
        <v>-3.8125962546543519</v>
      </c>
      <c r="Y4" s="1">
        <f>'3x8'!U8</f>
        <v>-4.3218195051754611</v>
      </c>
      <c r="Z4" s="1">
        <f>'3x9'!U8</f>
        <v>-4.8482337700358649</v>
      </c>
      <c r="AA4" s="1">
        <f>'3x10'!U8</f>
        <v>-5.3905451004640899</v>
      </c>
    </row>
    <row r="5" spans="1:27" x14ac:dyDescent="0.2">
      <c r="A5" s="283">
        <v>3</v>
      </c>
      <c r="B5" s="1">
        <f>'1x2'!U9</f>
        <v>-0.16867375129726578</v>
      </c>
      <c r="C5" s="1">
        <f>'1x3'!U9</f>
        <v>-2.0400194984254244E-2</v>
      </c>
      <c r="D5" s="1">
        <f>'1x4'!U9</f>
        <v>0.13790132922084994</v>
      </c>
      <c r="E5" s="1">
        <f>'1x5'!U9</f>
        <v>0.2991911554204737</v>
      </c>
      <c r="F5" s="1">
        <f>'1x6'!U9</f>
        <v>0.4615474469477876</v>
      </c>
      <c r="G5" s="1">
        <f>'1x7'!U9</f>
        <v>0.62409554833567327</v>
      </c>
      <c r="H5" s="1">
        <f>'1x8'!U9</f>
        <v>0.78630821005810847</v>
      </c>
      <c r="I5" s="1">
        <f>'1x9'!U9</f>
        <v>0.94785224375241506</v>
      </c>
      <c r="J5" s="1">
        <f>'1x10'!U9</f>
        <v>1.1085361873026871</v>
      </c>
      <c r="K5" s="283">
        <v>3</v>
      </c>
      <c r="L5" s="1">
        <f>'2x3'!U9</f>
        <v>-1.7494443171519707</v>
      </c>
      <c r="M5" s="1">
        <f>'2x4'!U9</f>
        <v>-1.9650826927902676</v>
      </c>
      <c r="N5" s="1">
        <f>'2x5'!U9</f>
        <v>-2.1654274764245196</v>
      </c>
      <c r="O5" s="1">
        <f>'2x6'!U9</f>
        <v>-2.3735645518490673</v>
      </c>
      <c r="P5" s="1">
        <f>'2x7'!U9</f>
        <v>-2.5990139888140025</v>
      </c>
      <c r="Q5" s="1">
        <f>'2x8'!U9</f>
        <v>-2.8450359129167806</v>
      </c>
      <c r="R5" s="1">
        <f>'2x9'!U9</f>
        <v>-3.1118177482245089</v>
      </c>
      <c r="S5" s="1">
        <f>'2x10'!U9</f>
        <v>-3.3980151817989093</v>
      </c>
      <c r="T5" s="283">
        <v>3</v>
      </c>
      <c r="U5" s="1">
        <f>'3x4'!U9</f>
        <v>-4.9497730988091266</v>
      </c>
      <c r="V5" s="1">
        <f>'3x5'!U9</f>
        <v>-5.9233904285703201</v>
      </c>
      <c r="W5" s="1">
        <f>'3x6'!U9</f>
        <v>-6.9125318724158564</v>
      </c>
      <c r="X5" s="1">
        <f>'3x7'!U9</f>
        <v>-7.9317249980944897</v>
      </c>
      <c r="Y5" s="1">
        <f>'3x8'!U9</f>
        <v>-8.9862842627052011</v>
      </c>
      <c r="Z5" s="1">
        <f>'3x9'!U9</f>
        <v>-10.076449080409208</v>
      </c>
      <c r="AA5" s="1">
        <f>'3x10'!U9</f>
        <v>-11.199783729202268</v>
      </c>
    </row>
    <row r="6" spans="1:27" x14ac:dyDescent="0.2">
      <c r="A6" s="283">
        <v>4</v>
      </c>
      <c r="B6" s="1">
        <f>'1x2'!U10</f>
        <v>-0.27383573533530148</v>
      </c>
      <c r="C6" s="1">
        <f>'1x3'!U10</f>
        <v>-3.1864893556236146E-2</v>
      </c>
      <c r="D6" s="1">
        <f>'1x4'!U10</f>
        <v>0.21061277908064843</v>
      </c>
      <c r="E6" s="1">
        <f>'1x5'!U10</f>
        <v>0.45083094173320881</v>
      </c>
      <c r="F6" s="1">
        <f>'1x6'!U10</f>
        <v>0.68961434976223523</v>
      </c>
      <c r="G6" s="1">
        <f>'1x7'!U10</f>
        <v>0.92735207221246507</v>
      </c>
      <c r="H6" s="1">
        <f>'1x8'!U10</f>
        <v>1.1640738554326027</v>
      </c>
      <c r="I6" s="1">
        <f>'1x9'!U10</f>
        <v>1.3996878125411412</v>
      </c>
      <c r="J6" s="1">
        <f>'1x10'!U10</f>
        <v>1.6341065890551658</v>
      </c>
      <c r="K6" s="283">
        <v>4</v>
      </c>
      <c r="L6" s="1">
        <f>'2x3'!U10</f>
        <v>-3.0034613137018278</v>
      </c>
      <c r="M6" s="1">
        <f>'2x4'!U10</f>
        <v>-3.3482856327030319</v>
      </c>
      <c r="N6" s="1">
        <f>'2x5'!U10</f>
        <v>-3.6637808699606396</v>
      </c>
      <c r="O6" s="1">
        <f>'2x6'!U10</f>
        <v>-3.9933159819404382</v>
      </c>
      <c r="P6" s="1">
        <f>'2x7'!U10</f>
        <v>-4.3539410496618984</v>
      </c>
      <c r="Q6" s="1">
        <f>'2x8'!U10</f>
        <v>-4.7510518204691792</v>
      </c>
      <c r="R6" s="1">
        <f>'2x9'!U10</f>
        <v>-5.1846154276538865</v>
      </c>
      <c r="S6" s="1">
        <f>'2x10'!U10</f>
        <v>-5.6520278592426836</v>
      </c>
      <c r="T6" s="283">
        <v>4</v>
      </c>
      <c r="U6" s="1">
        <f>'3x4'!U10</f>
        <v>-8.5289845127424009</v>
      </c>
      <c r="V6" s="1">
        <f>'3x5'!U10</f>
        <v>-10.214750530667342</v>
      </c>
      <c r="W6" s="1">
        <f>'3x6'!U10</f>
        <v>-11.922396677879684</v>
      </c>
      <c r="X6" s="1">
        <f>'3x7'!U10</f>
        <v>-13.678918213577745</v>
      </c>
      <c r="Y6" s="1">
        <f>'3x8'!U10</f>
        <v>-15.494842863191009</v>
      </c>
      <c r="Z6" s="1">
        <f>'3x9'!U10</f>
        <v>-17.371428373256212</v>
      </c>
      <c r="AA6" s="1">
        <f>'3x10'!U10</f>
        <v>-19.304961490542446</v>
      </c>
    </row>
    <row r="7" spans="1:27" x14ac:dyDescent="0.2">
      <c r="A7" s="283">
        <v>5</v>
      </c>
      <c r="B7" s="1">
        <f>'1x2'!U11</f>
        <v>-0.39998963021158845</v>
      </c>
      <c r="C7" s="1">
        <f>'1x3'!U11</f>
        <v>-4.4809970826944961E-2</v>
      </c>
      <c r="D7" s="1">
        <f>'1x4'!U11</f>
        <v>0.29010245029165871</v>
      </c>
      <c r="E7" s="1">
        <f>'1x5'!U11</f>
        <v>0.61370194543352519</v>
      </c>
      <c r="F7" s="1">
        <f>'1x6'!U11</f>
        <v>0.93205667263017367</v>
      </c>
      <c r="G7" s="1">
        <f>'1x7'!U11</f>
        <v>1.2476734883499523</v>
      </c>
      <c r="H7" s="1">
        <f>'1x8'!U11</f>
        <v>1.5614607512707832</v>
      </c>
      <c r="I7" s="1">
        <f>'1x9'!U11</f>
        <v>1.8736964865435068</v>
      </c>
      <c r="J7" s="1">
        <f>'1x10'!U11</f>
        <v>2.1844482750292649</v>
      </c>
      <c r="K7" s="283">
        <v>5</v>
      </c>
      <c r="L7" s="1">
        <f>'2x3'!U11</f>
        <v>-4.6298643601480052</v>
      </c>
      <c r="M7" s="1">
        <f>'2x4'!U11</f>
        <v>-5.1297173699458263</v>
      </c>
      <c r="N7" s="1">
        <f>'2x5'!U11</f>
        <v>-5.5770573158744146</v>
      </c>
      <c r="O7" s="1">
        <f>'2x6'!U11</f>
        <v>-6.0458647319827232</v>
      </c>
      <c r="P7" s="1">
        <f>'2x7'!U11</f>
        <v>-6.5642598579519111</v>
      </c>
      <c r="Q7" s="1">
        <f>'2x8'!U11</f>
        <v>-7.140564014887687</v>
      </c>
      <c r="R7" s="1">
        <f>'2x9'!U11</f>
        <v>-7.7743019212800624</v>
      </c>
      <c r="S7" s="1">
        <f>'2x10'!U11</f>
        <v>-8.461047610802737</v>
      </c>
      <c r="T7" s="283">
        <v>5</v>
      </c>
      <c r="U7" s="1">
        <f>'3x4'!U11</f>
        <v>-13.146526242324658</v>
      </c>
      <c r="V7" s="1">
        <f>'3x5'!U11</f>
        <v>-15.766114931151154</v>
      </c>
      <c r="W7" s="1">
        <f>'3x6'!U11</f>
        <v>-18.413334580260454</v>
      </c>
      <c r="X7" s="1">
        <f>'3x7'!U11</f>
        <v>-21.131736721862399</v>
      </c>
      <c r="Y7" s="1">
        <f>'3x8'!U11</f>
        <v>-23.939215710144225</v>
      </c>
      <c r="Z7" s="1">
        <f>'3x9'!U11</f>
        <v>-26.838856888328941</v>
      </c>
      <c r="AA7" s="1">
        <f>'3x10'!U11</f>
        <v>-29.825648368275939</v>
      </c>
    </row>
    <row r="8" spans="1:27" x14ac:dyDescent="0.2">
      <c r="A8" s="283">
        <v>6</v>
      </c>
      <c r="B8" s="1">
        <f>'1x2'!U12</f>
        <v>-0.54517945659413636</v>
      </c>
      <c r="C8" s="1">
        <f>'1x3'!U12</f>
        <v>-5.885963732539648E-2</v>
      </c>
      <c r="D8" s="1">
        <f>'1x4'!U12</f>
        <v>0.37399900186347579</v>
      </c>
      <c r="E8" s="1">
        <f>'1x5'!U12</f>
        <v>0.7832314141805492</v>
      </c>
      <c r="F8" s="1">
        <f>'1x6'!U12</f>
        <v>1.182505840243905</v>
      </c>
      <c r="G8" s="1">
        <f>'1x7'!U12</f>
        <v>1.5771010572220714</v>
      </c>
      <c r="H8" s="1">
        <f>'1x8'!U12</f>
        <v>1.96901079399598</v>
      </c>
      <c r="I8" s="1">
        <f>'1x9'!U12</f>
        <v>2.3589528883440387</v>
      </c>
      <c r="J8" s="1">
        <f>'1x10'!U12</f>
        <v>2.747172038668702</v>
      </c>
      <c r="K8" s="283">
        <v>6</v>
      </c>
      <c r="L8" s="1">
        <f>'2x3'!U12</f>
        <v>-6.6461980040998814</v>
      </c>
      <c r="M8" s="1">
        <f>'2x4'!U12</f>
        <v>-7.3280161454835602</v>
      </c>
      <c r="N8" s="1">
        <f>'2x5'!U12</f>
        <v>-7.9206741305740884</v>
      </c>
      <c r="O8" s="1">
        <f>'2x6'!U12</f>
        <v>-8.542179750136194</v>
      </c>
      <c r="P8" s="1">
        <f>'2x7'!U12</f>
        <v>-9.2366053972247997</v>
      </c>
      <c r="Q8" s="1">
        <f>'2x8'!U12</f>
        <v>-10.0163677115751</v>
      </c>
      <c r="R8" s="1">
        <f>'2x9'!U12</f>
        <v>-10.880352995958393</v>
      </c>
      <c r="S8" s="1">
        <f>'2x10'!U12</f>
        <v>-11.821678038945135</v>
      </c>
      <c r="T8" s="283">
        <v>6</v>
      </c>
      <c r="U8" s="1">
        <f>'3x4'!U12</f>
        <v>-18.820912809087488</v>
      </c>
      <c r="V8" s="1">
        <f>'3x5'!U12</f>
        <v>-22.607455108835396</v>
      </c>
      <c r="W8" s="1">
        <f>'3x6'!U12</f>
        <v>-26.427202425387282</v>
      </c>
      <c r="X8" s="1">
        <f>'3x7'!U12</f>
        <v>-30.34385232004076</v>
      </c>
      <c r="Y8" s="1">
        <f>'3x8'!U12</f>
        <v>-34.384682993162862</v>
      </c>
      <c r="Z8" s="1">
        <f>'3x9'!U12</f>
        <v>-38.555421522344716</v>
      </c>
      <c r="AA8" s="1">
        <f>'3x10'!U12</f>
        <v>-42.849779198124097</v>
      </c>
    </row>
    <row r="9" spans="1:27" x14ac:dyDescent="0.2">
      <c r="A9" s="283">
        <v>7</v>
      </c>
      <c r="B9" s="1">
        <f>'1x2'!U13</f>
        <v>-0.70755174941571219</v>
      </c>
      <c r="C9" s="1">
        <f>'1x3'!U13</f>
        <v>-7.3719214174738507E-2</v>
      </c>
      <c r="D9" s="1">
        <f>'1x4'!U13</f>
        <v>0.46069349173096108</v>
      </c>
      <c r="E9" s="1">
        <f>'1x5'!U13</f>
        <v>0.95660493282937775</v>
      </c>
      <c r="F9" s="1">
        <f>'1x6'!U13</f>
        <v>1.4372917576724968</v>
      </c>
      <c r="G9" s="1">
        <f>'1x7'!U13</f>
        <v>1.911250340670557</v>
      </c>
      <c r="H9" s="1">
        <f>'1x8'!U13</f>
        <v>2.3816737826484804</v>
      </c>
      <c r="I9" s="1">
        <f>'1x9'!U13</f>
        <v>2.8497494987474328</v>
      </c>
      <c r="J9" s="1">
        <f>'1x10'!U13</f>
        <v>3.3159045704277919</v>
      </c>
      <c r="K9" s="283">
        <v>7</v>
      </c>
      <c r="L9" s="1">
        <f>'2x3'!U13</f>
        <v>-9.0670000054829156</v>
      </c>
      <c r="M9" s="1">
        <f>'2x4'!U13</f>
        <v>-9.9604148937853338</v>
      </c>
      <c r="N9" s="1">
        <f>'2x5'!U13</f>
        <v>-10.709582007253536</v>
      </c>
      <c r="O9" s="1">
        <f>'2x6'!U13</f>
        <v>-11.493112407804595</v>
      </c>
      <c r="P9" s="1">
        <f>'2x7'!U13</f>
        <v>-12.377592896992939</v>
      </c>
      <c r="Q9" s="1">
        <f>'2x8'!U13</f>
        <v>-13.381256957681366</v>
      </c>
      <c r="R9" s="1">
        <f>'2x9'!U13</f>
        <v>-14.502244424783823</v>
      </c>
      <c r="S9" s="1">
        <f>'2x10'!U13</f>
        <v>-15.730524141394076</v>
      </c>
      <c r="T9" s="283">
        <v>7</v>
      </c>
      <c r="U9" s="1">
        <f>'3x4'!U13</f>
        <v>-25.562120275620394</v>
      </c>
      <c r="V9" s="1">
        <f>'3x5'!U13</f>
        <v>-30.756622036071551</v>
      </c>
      <c r="W9" s="1">
        <f>'3x6'!U13</f>
        <v>-35.990614120569475</v>
      </c>
      <c r="X9" s="1">
        <f>'3x7'!U13</f>
        <v>-41.350917294444471</v>
      </c>
      <c r="Y9" s="1">
        <f>'3x8'!U13</f>
        <v>-46.875920325656182</v>
      </c>
      <c r="Z9" s="1">
        <f>'3x9'!U13</f>
        <v>-52.57469614673596</v>
      </c>
      <c r="AA9" s="1">
        <f>'3x10'!U13</f>
        <v>-58.439674480607401</v>
      </c>
    </row>
    <row r="10" spans="1:27" x14ac:dyDescent="0.2">
      <c r="A10" s="283">
        <v>8</v>
      </c>
      <c r="B10" s="1">
        <f>'1x2'!U14</f>
        <v>-0.88536352207997759</v>
      </c>
      <c r="C10" s="1">
        <f>'1x3'!U14</f>
        <v>-8.9163484203687943E-2</v>
      </c>
      <c r="D10" s="1">
        <f>'1x4'!U14</f>
        <v>0.54912945376520184</v>
      </c>
      <c r="E10" s="1">
        <f>'1x5'!U14</f>
        <v>1.1321504846794019</v>
      </c>
      <c r="F10" s="1">
        <f>'1x6'!U14</f>
        <v>1.6943750253372913</v>
      </c>
      <c r="G10" s="1">
        <f>'1x7'!U14</f>
        <v>2.2477933768111704</v>
      </c>
      <c r="H10" s="1">
        <f>'1x8'!U14</f>
        <v>2.7968512768537725</v>
      </c>
      <c r="I10" s="1">
        <f>'1x9'!U14</f>
        <v>3.343213475381428</v>
      </c>
      <c r="J10" s="1">
        <f>'1x10'!U14</f>
        <v>3.8874871143404444</v>
      </c>
      <c r="K10" s="283">
        <v>8</v>
      </c>
      <c r="L10" s="1">
        <f>'2x3'!U14</f>
        <v>-11.904058921412505</v>
      </c>
      <c r="M10" s="1">
        <f>'2x4'!U14</f>
        <v>-13.042677827862599</v>
      </c>
      <c r="N10" s="1">
        <f>'2x5'!U14</f>
        <v>-13.95821390399302</v>
      </c>
      <c r="O10" s="1">
        <f>'2x6'!U14</f>
        <v>-14.909380268403446</v>
      </c>
      <c r="P10" s="1">
        <f>'2x7'!U14</f>
        <v>-15.993814880570861</v>
      </c>
      <c r="Q10" s="1">
        <f>'2x8'!U14</f>
        <v>-17.23802445309456</v>
      </c>
      <c r="R10" s="1">
        <f>'2x9'!U14</f>
        <v>-18.639451988050716</v>
      </c>
      <c r="S10" s="1">
        <f>'2x10'!U14</f>
        <v>-20.184192524939206</v>
      </c>
      <c r="T10" s="283">
        <v>8</v>
      </c>
      <c r="U10" s="1">
        <f>'3x4'!U14</f>
        <v>-33.37532863140769</v>
      </c>
      <c r="V10" s="1">
        <f>'3x5'!U14</f>
        <v>-40.223872361465105</v>
      </c>
      <c r="W10" s="1">
        <f>'3x6'!U14</f>
        <v>-47.11991528237246</v>
      </c>
      <c r="X10" s="1">
        <f>'3x7'!U14</f>
        <v>-54.175834951353309</v>
      </c>
      <c r="Y10" s="1">
        <f>'3x8'!U14</f>
        <v>-61.442525526201401</v>
      </c>
      <c r="Z10" s="1">
        <f>'3x9'!U14</f>
        <v>-68.93294030967931</v>
      </c>
      <c r="AA10" s="1">
        <f>'3x10'!U14</f>
        <v>-76.638149070215121</v>
      </c>
    </row>
    <row r="11" spans="1:27" x14ac:dyDescent="0.2">
      <c r="A11" s="283">
        <v>9</v>
      </c>
      <c r="B11" s="1">
        <f>'1x2'!U15</f>
        <v>-1.076987709283068</v>
      </c>
      <c r="C11" s="1">
        <f>'1x3'!U15</f>
        <v>-0.10502412548247844</v>
      </c>
      <c r="D11" s="1">
        <f>'1x4'!U15</f>
        <v>0.63863154376320896</v>
      </c>
      <c r="E11" s="1">
        <f>'1x5'!U15</f>
        <v>1.3089021386819035</v>
      </c>
      <c r="F11" s="1">
        <f>'1x6'!U15</f>
        <v>1.952653941284157</v>
      </c>
      <c r="G11" s="1">
        <f>'1x7'!U15</f>
        <v>2.5855285477831584</v>
      </c>
      <c r="H11" s="1">
        <f>'1x8'!U15</f>
        <v>3.2132435088909985</v>
      </c>
      <c r="I11" s="1">
        <f>'1x9'!U15</f>
        <v>3.8379389336608822</v>
      </c>
      <c r="J11" s="1">
        <f>'1x10'!U15</f>
        <v>4.4603975033700003</v>
      </c>
      <c r="K11" s="283">
        <v>9</v>
      </c>
      <c r="L11" s="1">
        <f>'2x3'!U15</f>
        <v>-15.16675068415212</v>
      </c>
      <c r="M11" s="1">
        <f>'2x4'!U15</f>
        <v>-16.589079657904652</v>
      </c>
      <c r="N11" s="1">
        <f>'2x5'!U15</f>
        <v>-17.680441512121277</v>
      </c>
      <c r="O11" s="1">
        <f>'2x6'!U15</f>
        <v>-18.801551610864742</v>
      </c>
      <c r="P11" s="1">
        <f>'2x7'!U15</f>
        <v>-20.091838249613517</v>
      </c>
      <c r="Q11" s="1">
        <f>'2x8'!U15</f>
        <v>-21.589461371740747</v>
      </c>
      <c r="R11" s="1">
        <f>'2x9'!U15</f>
        <v>-23.291451474212625</v>
      </c>
      <c r="S11" s="1">
        <f>'2x10'!U15</f>
        <v>-25.179291618880338</v>
      </c>
      <c r="T11" s="283">
        <v>9</v>
      </c>
      <c r="U11" s="1">
        <f>'3x4'!U15</f>
        <v>-42.26315268367658</v>
      </c>
      <c r="V11" s="1">
        <f>'3x5'!U15</f>
        <v>-51.014935712316912</v>
      </c>
      <c r="W11" s="1">
        <f>'3x6'!U15</f>
        <v>-59.824870712895219</v>
      </c>
      <c r="X11" s="1">
        <f>'3x7'!U15</f>
        <v>-68.832924287684193</v>
      </c>
      <c r="Y11" s="1">
        <f>'3x8'!U15</f>
        <v>-78.103591518117014</v>
      </c>
      <c r="Z11" s="1">
        <f>'3x9'!U15</f>
        <v>-87.654059638499945</v>
      </c>
      <c r="AA11" s="1">
        <f>'3x10'!U15</f>
        <v>-97.473865390749154</v>
      </c>
    </row>
    <row r="12" spans="1:27" x14ac:dyDescent="0.2">
      <c r="A12" s="283">
        <v>10</v>
      </c>
      <c r="B12" s="1">
        <f>'1x2'!U16</f>
        <v>-1.28091618595639</v>
      </c>
      <c r="C12" s="1">
        <f>'1x3'!U16</f>
        <v>-0.121177746693543</v>
      </c>
      <c r="D12" s="1">
        <f>'1x4'!U16</f>
        <v>0.72877738933760228</v>
      </c>
      <c r="E12" s="1">
        <f>'1x5'!U16</f>
        <v>1.4863141067882495</v>
      </c>
      <c r="F12" s="1">
        <f>'1x6'!U16</f>
        <v>2.2115463310056529</v>
      </c>
      <c r="G12" s="1">
        <f>'1x7'!U16</f>
        <v>2.9238490324171011</v>
      </c>
      <c r="H12" s="1">
        <f>'1x8'!U16</f>
        <v>3.6302142869752685</v>
      </c>
      <c r="I12" s="1">
        <f>'1x9'!U16</f>
        <v>4.3332525759653144</v>
      </c>
      <c r="J12" s="1">
        <f>'1x10'!U16</f>
        <v>5.0339178355022378</v>
      </c>
      <c r="K12" s="283">
        <v>10</v>
      </c>
      <c r="L12" s="1">
        <f>'2x3'!U16</f>
        <v>-18.862405201612223</v>
      </c>
      <c r="M12" s="1">
        <f>'2x4'!U16</f>
        <v>-20.612422409036611</v>
      </c>
      <c r="N12" s="1">
        <f>'2x5'!U16</f>
        <v>-21.889539568194756</v>
      </c>
      <c r="O12" s="1">
        <f>'2x6'!U16</f>
        <v>-23.180030782198966</v>
      </c>
      <c r="P12" s="1">
        <f>'2x7'!U16</f>
        <v>-24.678201409901014</v>
      </c>
      <c r="Q12" s="1">
        <f>'2x8'!U16</f>
        <v>-26.438357183233457</v>
      </c>
      <c r="R12" s="1">
        <f>'2x9'!U16</f>
        <v>-28.457718680842035</v>
      </c>
      <c r="S12" s="1">
        <f>'2x10'!U16</f>
        <v>-30.712431888061698</v>
      </c>
      <c r="T12" s="283">
        <v>10</v>
      </c>
      <c r="U12" s="1">
        <f>'3x4'!U16</f>
        <v>-52.226883948817147</v>
      </c>
      <c r="V12" s="1">
        <f>'3x5'!U16</f>
        <v>-63.132942754988591</v>
      </c>
      <c r="W12" s="1">
        <f>'3x6'!U16</f>
        <v>-74.111186080613351</v>
      </c>
      <c r="X12" s="1">
        <f>'3x7'!U16</f>
        <v>-85.330942618737765</v>
      </c>
      <c r="Y12" s="1">
        <f>'3x8'!U16</f>
        <v>-96.871169068082196</v>
      </c>
      <c r="Z12" s="1">
        <f>'3x9'!U16</f>
        <v>-108.75347791933578</v>
      </c>
      <c r="AA12" s="1">
        <f>'3x10'!U16</f>
        <v>-120.96560433502543</v>
      </c>
    </row>
    <row r="13" spans="1:27" x14ac:dyDescent="0.2">
      <c r="B13" s="342" t="s">
        <v>49</v>
      </c>
      <c r="C13" s="342"/>
      <c r="D13" s="342"/>
      <c r="E13" s="342"/>
      <c r="F13" s="342"/>
      <c r="G13" s="342"/>
      <c r="H13" s="342"/>
      <c r="I13" s="342"/>
      <c r="J13" s="342"/>
      <c r="L13" s="342" t="s">
        <v>49</v>
      </c>
      <c r="M13" s="342"/>
      <c r="N13" s="342"/>
      <c r="O13" s="342"/>
      <c r="P13" s="342"/>
      <c r="Q13" s="342"/>
      <c r="R13" s="342"/>
      <c r="S13" s="342"/>
      <c r="U13" s="342" t="s">
        <v>49</v>
      </c>
      <c r="V13" s="342"/>
      <c r="W13" s="342"/>
      <c r="X13" s="342"/>
      <c r="Y13" s="342"/>
      <c r="Z13" s="342"/>
      <c r="AA13" s="342"/>
    </row>
    <row r="14" spans="1:27" x14ac:dyDescent="0.2">
      <c r="A14" s="283" t="s">
        <v>57</v>
      </c>
      <c r="B14" s="49" t="s">
        <v>141</v>
      </c>
      <c r="C14" s="49" t="s">
        <v>142</v>
      </c>
      <c r="D14" s="49" t="s">
        <v>143</v>
      </c>
      <c r="E14" s="49" t="s">
        <v>144</v>
      </c>
      <c r="F14" s="49" t="s">
        <v>145</v>
      </c>
      <c r="G14" s="49" t="s">
        <v>146</v>
      </c>
      <c r="H14" s="49" t="s">
        <v>147</v>
      </c>
      <c r="I14" s="49" t="s">
        <v>148</v>
      </c>
      <c r="J14" s="49" t="s">
        <v>149</v>
      </c>
      <c r="K14" s="283" t="s">
        <v>57</v>
      </c>
      <c r="L14" s="49" t="s">
        <v>158</v>
      </c>
      <c r="M14" s="49" t="s">
        <v>159</v>
      </c>
      <c r="N14" s="49" t="s">
        <v>160</v>
      </c>
      <c r="O14" s="49" t="s">
        <v>161</v>
      </c>
      <c r="P14" s="49" t="s">
        <v>162</v>
      </c>
      <c r="Q14" s="49" t="s">
        <v>163</v>
      </c>
      <c r="R14" s="49" t="s">
        <v>164</v>
      </c>
      <c r="S14" s="49" t="s">
        <v>165</v>
      </c>
      <c r="T14" s="283" t="s">
        <v>57</v>
      </c>
      <c r="U14" s="49" t="s">
        <v>169</v>
      </c>
      <c r="V14" s="49" t="s">
        <v>170</v>
      </c>
      <c r="W14" s="49" t="s">
        <v>171</v>
      </c>
      <c r="X14" s="49" t="s">
        <v>172</v>
      </c>
      <c r="Y14" s="49" t="s">
        <v>173</v>
      </c>
      <c r="Z14" s="49" t="s">
        <v>174</v>
      </c>
      <c r="AA14" s="49" t="s">
        <v>175</v>
      </c>
    </row>
    <row r="15" spans="1:27" x14ac:dyDescent="0.2">
      <c r="A15" s="283">
        <v>1</v>
      </c>
      <c r="B15" s="1">
        <f>'1x2'!R7</f>
        <v>0.10319797996906244</v>
      </c>
      <c r="C15" s="1">
        <f>'1x3'!R7</f>
        <v>0.23022196212840235</v>
      </c>
      <c r="D15" s="1">
        <f>'1x4'!R7</f>
        <v>0.30115588817456668</v>
      </c>
      <c r="E15" s="1">
        <f>'1x5'!R7</f>
        <v>0.34444532557734919</v>
      </c>
      <c r="F15" s="1">
        <f>'1x6'!R7</f>
        <v>0.37230861223628287</v>
      </c>
      <c r="G15" s="1">
        <f>'1x7'!R7</f>
        <v>0.39086201815543437</v>
      </c>
      <c r="H15" s="1">
        <f>'1x8'!R7</f>
        <v>0.40349700080092782</v>
      </c>
      <c r="I15" s="1">
        <f>'1x9'!R7</f>
        <v>0.41223371605271664</v>
      </c>
      <c r="J15" s="1">
        <f>'1x10'!R7</f>
        <v>0.41833877977736161</v>
      </c>
      <c r="K15" s="283">
        <v>1</v>
      </c>
      <c r="L15" s="1">
        <f>'2x3'!R7</f>
        <v>-0.19964472510748005</v>
      </c>
      <c r="M15" s="1">
        <f>'2x4'!R7</f>
        <v>-0.12533352414812982</v>
      </c>
      <c r="N15" s="1">
        <f>'2x5'!R7</f>
        <v>-7.7503050514695249E-2</v>
      </c>
      <c r="O15" s="1">
        <f>'2x6'!R7</f>
        <v>-4.5654037026480077E-2</v>
      </c>
      <c r="P15" s="1">
        <f>'2x7'!R7</f>
        <v>-2.3964664495461085E-2</v>
      </c>
      <c r="Q15" s="1">
        <f>'2x8'!R7</f>
        <v>-8.9671075450314941E-3</v>
      </c>
      <c r="R15" s="1">
        <f>'2x9'!R7</f>
        <v>1.5129227933297074E-3</v>
      </c>
      <c r="S15" s="1">
        <f>'2x10'!R7</f>
        <v>8.8901281862445725E-3</v>
      </c>
      <c r="T15" s="283">
        <v>1</v>
      </c>
      <c r="U15" s="1">
        <f>'3x4'!R7</f>
        <v>-0.39984383117705985</v>
      </c>
      <c r="V15" s="1">
        <f>'3x5'!R7</f>
        <v>-0.35846701554831867</v>
      </c>
      <c r="W15" s="1">
        <f>'3x6'!R7</f>
        <v>-0.3302891516200957</v>
      </c>
      <c r="X15" s="1">
        <f>'3x7'!R7</f>
        <v>-0.31080499557083258</v>
      </c>
      <c r="Y15" s="1">
        <f>'3x8'!R7</f>
        <v>-0.29718980829809533</v>
      </c>
      <c r="Z15" s="1">
        <f>'3x9'!R7</f>
        <v>-0.28760567259131908</v>
      </c>
      <c r="AA15" s="1">
        <f>'3x10'!R7</f>
        <v>-0.28082420804419922</v>
      </c>
    </row>
    <row r="16" spans="1:27" x14ac:dyDescent="0.2">
      <c r="A16" s="283">
        <v>2</v>
      </c>
      <c r="B16" s="1">
        <f>'1x2'!R8</f>
        <v>0.46572739415337044</v>
      </c>
      <c r="C16" s="1">
        <f>'1x3'!R8</f>
        <v>0.61181931874426798</v>
      </c>
      <c r="D16" s="1">
        <f>'1x4'!R8</f>
        <v>0.68396550721688909</v>
      </c>
      <c r="E16" s="1">
        <f>'1x5'!R8</f>
        <v>0.72439808678634787</v>
      </c>
      <c r="F16" s="1">
        <f>'1x6'!R8</f>
        <v>0.74893598538226158</v>
      </c>
      <c r="G16" s="1">
        <f>'1x7'!R8</f>
        <v>0.76462049939647958</v>
      </c>
      <c r="H16" s="1">
        <f>'1x8'!R8</f>
        <v>0.7750001756556687</v>
      </c>
      <c r="I16" s="1">
        <f>'1x9'!R8</f>
        <v>0.78203399995387746</v>
      </c>
      <c r="J16" s="1">
        <f>'1x10'!R8</f>
        <v>0.78687937415645604</v>
      </c>
      <c r="K16" s="283">
        <v>2</v>
      </c>
      <c r="L16" s="1">
        <f>'2x3'!R8</f>
        <v>5.3148233385400256E-2</v>
      </c>
      <c r="M16" s="1">
        <f>'2x4'!R8</f>
        <v>0.16014724644943829</v>
      </c>
      <c r="N16" s="1">
        <f>'2x5'!R8</f>
        <v>0.22753810558884441</v>
      </c>
      <c r="O16" s="1">
        <f>'2x6'!R8</f>
        <v>0.2715778378425856</v>
      </c>
      <c r="P16" s="1">
        <f>'2x7'!R8</f>
        <v>0.30113136519387018</v>
      </c>
      <c r="Q16" s="1">
        <f>'2x8'!R8</f>
        <v>0.32134177400858271</v>
      </c>
      <c r="R16" s="1">
        <f>'2x9'!R8</f>
        <v>0.33534954488150076</v>
      </c>
      <c r="S16" s="1">
        <f>'2x10'!R8</f>
        <v>0.34515139984640142</v>
      </c>
      <c r="T16" s="283">
        <v>2</v>
      </c>
      <c r="U16" s="1">
        <f>'3x4'!R8</f>
        <v>-0.24027861626628133</v>
      </c>
      <c r="V16" s="1">
        <f>'3x5'!R8</f>
        <v>-0.17975608594077486</v>
      </c>
      <c r="W16" s="1">
        <f>'3x6'!R8</f>
        <v>-0.13838370788119014</v>
      </c>
      <c r="X16" s="1">
        <f>'3x7'!R8</f>
        <v>-0.10973963557091548</v>
      </c>
      <c r="Y16" s="1">
        <f>'3x8'!R8</f>
        <v>-8.9718958998884712E-2</v>
      </c>
      <c r="Z16" s="1">
        <f>'3x9'!R8</f>
        <v>-7.5627996841614975E-2</v>
      </c>
      <c r="AA16" s="1">
        <f>'3x10'!R8</f>
        <v>-6.5660316219496973E-2</v>
      </c>
    </row>
    <row r="17" spans="1:27" x14ac:dyDescent="0.2">
      <c r="A17" s="283">
        <v>3</v>
      </c>
      <c r="B17" s="1">
        <f>'1x2'!R9</f>
        <v>0.64317191147208108</v>
      </c>
      <c r="C17" s="1">
        <f>'1x3'!R9</f>
        <v>0.78341055193537878</v>
      </c>
      <c r="D17" s="1">
        <f>'1x4'!R9</f>
        <v>0.84353843668476636</v>
      </c>
      <c r="E17" s="1">
        <f>'1x5'!R9</f>
        <v>0.87407689830200419</v>
      </c>
      <c r="F17" s="1">
        <f>'1x6'!R9</f>
        <v>0.8913994291370505</v>
      </c>
      <c r="G17" s="1">
        <f>'1x7'!R9</f>
        <v>0.90196679427164039</v>
      </c>
      <c r="H17" s="1">
        <f>'1x8'!R9</f>
        <v>0.90873606191507839</v>
      </c>
      <c r="I17" s="1">
        <f>'1x9'!R9</f>
        <v>0.91321959488546556</v>
      </c>
      <c r="J17" s="1">
        <f>'1x10'!R9</f>
        <v>0.91625868876611938</v>
      </c>
      <c r="K17" s="283">
        <v>3</v>
      </c>
      <c r="L17" s="1">
        <f>'2x3'!R9</f>
        <v>0.1698550956906259</v>
      </c>
      <c r="M17" s="1">
        <f>'2x4'!R9</f>
        <v>0.29847251410983566</v>
      </c>
      <c r="N17" s="1">
        <f>'2x5'!R9</f>
        <v>0.37823732634982349</v>
      </c>
      <c r="O17" s="1">
        <f>'2x6'!R9</f>
        <v>0.42953394697895014</v>
      </c>
      <c r="P17" s="1">
        <f>'2x7'!R9</f>
        <v>0.46349278287997575</v>
      </c>
      <c r="Q17" s="1">
        <f>'2x8'!R9</f>
        <v>0.48646965710815515</v>
      </c>
      <c r="R17" s="1">
        <f>'2x9'!R9</f>
        <v>0.50226709179688034</v>
      </c>
      <c r="S17" s="1">
        <f>'2x10'!R9</f>
        <v>0.5132554615759034</v>
      </c>
      <c r="T17" s="283">
        <v>3</v>
      </c>
      <c r="U17" s="1">
        <f>'3x4'!R9</f>
        <v>-0.18249019010036643</v>
      </c>
      <c r="V17" s="1">
        <f>'3x5'!R9</f>
        <v>-0.11074987496418687</v>
      </c>
      <c r="W17" s="1">
        <f>'3x6'!R9</f>
        <v>-6.130693357325423E-2</v>
      </c>
      <c r="X17" s="1">
        <f>'3x7'!R9</f>
        <v>-2.691885331917121E-2</v>
      </c>
      <c r="Y17" s="1">
        <f>'3x8'!R9</f>
        <v>-2.8206458139363177E-3</v>
      </c>
      <c r="Z17" s="1">
        <f>'3x9'!R9</f>
        <v>1.416624734926103E-2</v>
      </c>
      <c r="AA17" s="1">
        <f>'3x10'!R9</f>
        <v>2.6193666460495868E-2</v>
      </c>
    </row>
    <row r="18" spans="1:27" x14ac:dyDescent="0.2">
      <c r="A18" s="283">
        <v>4</v>
      </c>
      <c r="B18" s="1">
        <f>'1x2'!R10</f>
        <v>0.74667183613445132</v>
      </c>
      <c r="C18" s="1">
        <f>'1x3'!R10</f>
        <v>0.87307572952522516</v>
      </c>
      <c r="D18" s="1">
        <f>'1x4'!R10</f>
        <v>0.91935383975987739</v>
      </c>
      <c r="E18" s="1">
        <f>'1x5'!R10</f>
        <v>0.94042846022944293</v>
      </c>
      <c r="F18" s="1">
        <f>'1x6'!R10</f>
        <v>0.95153014094728505</v>
      </c>
      <c r="G18" s="1">
        <f>'1x7'!R10</f>
        <v>0.95796796441162091</v>
      </c>
      <c r="H18" s="1">
        <f>'1x8'!R10</f>
        <v>0.96194968835013461</v>
      </c>
      <c r="I18" s="1">
        <f>'1x9'!R10</f>
        <v>0.96452299987346923</v>
      </c>
      <c r="J18" s="1">
        <f>'1x10'!R10</f>
        <v>0.96623740283459492</v>
      </c>
      <c r="K18" s="283">
        <v>4</v>
      </c>
      <c r="L18" s="1">
        <f>'2x3'!R10</f>
        <v>0.23293308126582651</v>
      </c>
      <c r="M18" s="1">
        <f>'2x4'!R10</f>
        <v>0.37808653411302123</v>
      </c>
      <c r="N18" s="1">
        <f>'2x5'!R10</f>
        <v>0.46722400913822176</v>
      </c>
      <c r="O18" s="1">
        <f>'2x6'!R10</f>
        <v>0.52378281855887199</v>
      </c>
      <c r="P18" s="1">
        <f>'2x7'!R10</f>
        <v>0.56076059555574931</v>
      </c>
      <c r="Q18" s="1">
        <f>'2x8'!R10</f>
        <v>0.58552514560886471</v>
      </c>
      <c r="R18" s="1">
        <f>'2x9'!R10</f>
        <v>0.60241700864706127</v>
      </c>
      <c r="S18" s="1">
        <f>'2x10'!R10</f>
        <v>0.61409664403705244</v>
      </c>
      <c r="T18" s="283">
        <v>4</v>
      </c>
      <c r="U18" s="1">
        <f>'3x4'!R10</f>
        <v>-0.15933150301156573</v>
      </c>
      <c r="V18" s="1">
        <f>'3x5'!R10</f>
        <v>-8.0892718831715837E-2</v>
      </c>
      <c r="W18" s="1">
        <f>'3x6'!R10</f>
        <v>-2.6323657011389334E-2</v>
      </c>
      <c r="X18" s="1">
        <f>'3x7'!R10</f>
        <v>1.1855341743548797E-2</v>
      </c>
      <c r="Y18" s="1">
        <f>'3x8'!R10</f>
        <v>3.871156774741541E-2</v>
      </c>
      <c r="Z18" s="1">
        <f>'3x9'!R10</f>
        <v>5.7689179966047277E-2</v>
      </c>
      <c r="AA18" s="1">
        <f>'3x10'!R10</f>
        <v>7.1147969196691419E-2</v>
      </c>
    </row>
    <row r="19" spans="1:27" x14ac:dyDescent="0.2">
      <c r="A19" s="283">
        <v>5</v>
      </c>
      <c r="B19" s="1">
        <f>'1x2'!R11</f>
        <v>0.81329144720780766</v>
      </c>
      <c r="C19" s="1">
        <f>'1x3'!R11</f>
        <v>0.92361385090535297</v>
      </c>
      <c r="D19" s="1">
        <f>'1x4'!R11</f>
        <v>0.95760355683818343</v>
      </c>
      <c r="E19" s="1">
        <f>'1x5'!R11</f>
        <v>0.97136860952932558</v>
      </c>
      <c r="F19" s="1">
        <f>'1x6'!R11</f>
        <v>0.97807303791719757</v>
      </c>
      <c r="G19" s="1">
        <f>'1x7'!R11</f>
        <v>0.98175965523160669</v>
      </c>
      <c r="H19" s="1">
        <f>'1x8'!R11</f>
        <v>0.98395787808353219</v>
      </c>
      <c r="I19" s="1">
        <f>'1x9'!R11</f>
        <v>0.98534281744092678</v>
      </c>
      <c r="J19" s="1">
        <f>'1x10'!R11</f>
        <v>0.98624914485083315</v>
      </c>
      <c r="K19" s="283">
        <v>5</v>
      </c>
      <c r="L19" s="1">
        <f>'2x3'!R11</f>
        <v>0.26994240872772768</v>
      </c>
      <c r="M19" s="1">
        <f>'2x4'!R11</f>
        <v>0.42849741492166565</v>
      </c>
      <c r="N19" s="1">
        <f>'2x5'!R11</f>
        <v>0.52537980637355175</v>
      </c>
      <c r="O19" s="1">
        <f>'2x6'!R11</f>
        <v>0.5861813333451269</v>
      </c>
      <c r="P19" s="1">
        <f>'2x7'!R11</f>
        <v>0.6254818620840944</v>
      </c>
      <c r="Q19" s="1">
        <f>'2x8'!R11</f>
        <v>0.65154444193295258</v>
      </c>
      <c r="R19" s="1">
        <f>'2x9'!R11</f>
        <v>0.66918311046884016</v>
      </c>
      <c r="S19" s="1">
        <f>'2x10'!R11</f>
        <v>0.68130639190241016</v>
      </c>
      <c r="T19" s="283">
        <v>5</v>
      </c>
      <c r="U19" s="1">
        <f>'3x4'!R11</f>
        <v>-0.14967816842119031</v>
      </c>
      <c r="V19" s="1">
        <f>'3x5'!R11</f>
        <v>-6.7343746105097801E-2</v>
      </c>
      <c r="W19" s="1">
        <f>'3x6'!R11</f>
        <v>-9.5704711797064412E-3</v>
      </c>
      <c r="X19" s="1">
        <f>'3x7'!R11</f>
        <v>3.1090419523758905E-2</v>
      </c>
      <c r="Y19" s="1">
        <f>'3x8'!R11</f>
        <v>5.9808183915856516E-2</v>
      </c>
      <c r="Z19" s="1">
        <f>'3x9'!R11</f>
        <v>8.0157242911769844E-2</v>
      </c>
      <c r="AA19" s="1">
        <f>'3x10'!R11</f>
        <v>9.461601947897974E-2</v>
      </c>
    </row>
    <row r="20" spans="1:27" x14ac:dyDescent="0.2">
      <c r="A20" s="283">
        <v>6</v>
      </c>
      <c r="B20" s="1">
        <f>'1x2'!R12</f>
        <v>0.85892827702471075</v>
      </c>
      <c r="C20" s="1">
        <f>'1x3'!R12</f>
        <v>0.95331903311483202</v>
      </c>
      <c r="D20" s="1">
        <f>'1x4'!R12</f>
        <v>0.97748542785739079</v>
      </c>
      <c r="E20" s="1">
        <f>'1x5'!R12</f>
        <v>0.98613604277235201</v>
      </c>
      <c r="F20" s="1">
        <f>'1x6'!R12</f>
        <v>0.9900206916257811</v>
      </c>
      <c r="G20" s="1">
        <f>'1x7'!R12</f>
        <v>0.99204329141803282</v>
      </c>
      <c r="H20" s="1">
        <f>'1x8'!R12</f>
        <v>0.99320507069031005</v>
      </c>
      <c r="I20" s="1">
        <f>'1x9'!R12</f>
        <v>0.99391828657354186</v>
      </c>
      <c r="J20" s="1">
        <f>'1x10'!R12</f>
        <v>0.99437662533808335</v>
      </c>
      <c r="K20" s="283">
        <v>6</v>
      </c>
      <c r="L20" s="1">
        <f>'2x3'!R12</f>
        <v>0.29270941766581132</v>
      </c>
      <c r="M20" s="1">
        <f>'2x4'!R12</f>
        <v>0.46236931779436985</v>
      </c>
      <c r="N20" s="1">
        <f>'2x5'!R12</f>
        <v>0.56594380484866935</v>
      </c>
      <c r="O20" s="1">
        <f>'2x6'!R12</f>
        <v>0.63038302794130252</v>
      </c>
      <c r="P20" s="1">
        <f>'2x7'!R12</f>
        <v>0.67160537007501686</v>
      </c>
      <c r="Q20" s="1">
        <f>'2x8'!R12</f>
        <v>0.69868591952081205</v>
      </c>
      <c r="R20" s="1">
        <f>'2x9'!R12</f>
        <v>0.7168727465645014</v>
      </c>
      <c r="S20" s="1">
        <f>'2x10'!R12</f>
        <v>0.72929818241792388</v>
      </c>
      <c r="T20" s="283">
        <v>6</v>
      </c>
      <c r="U20" s="1">
        <f>'3x4'!R12</f>
        <v>-0.14558854732945747</v>
      </c>
      <c r="V20" s="1">
        <f>'3x5'!R12</f>
        <v>-6.106266065686361E-2</v>
      </c>
      <c r="W20" s="1">
        <f>'3x6'!R12</f>
        <v>-1.3416686687729995E-3</v>
      </c>
      <c r="X20" s="1">
        <f>'3x7'!R12</f>
        <v>4.0906506487252137E-2</v>
      </c>
      <c r="Y20" s="1">
        <f>'3x8'!R12</f>
        <v>7.0856005002224443E-2</v>
      </c>
      <c r="Z20" s="1">
        <f>'3x9'!R12</f>
        <v>9.2133769622284145E-2</v>
      </c>
      <c r="AA20" s="1">
        <f>'3x10'!R12</f>
        <v>0.10728060492158725</v>
      </c>
    </row>
    <row r="21" spans="1:27" x14ac:dyDescent="0.2">
      <c r="A21" s="283">
        <v>7</v>
      </c>
      <c r="B21" s="1">
        <f>'1x2'!R13</f>
        <v>0.89154023043208019</v>
      </c>
      <c r="C21" s="1">
        <f>'1x3'!R13</f>
        <v>0.9712111031034274</v>
      </c>
      <c r="D21" s="1">
        <f>'1x4'!R13</f>
        <v>0.98798021390191526</v>
      </c>
      <c r="E21" s="1">
        <f>'1x5'!R13</f>
        <v>0.99326267463069684</v>
      </c>
      <c r="F21" s="1">
        <f>'1x6'!R13</f>
        <v>0.99544587673557872</v>
      </c>
      <c r="G21" s="1">
        <f>'1x7'!R13</f>
        <v>0.99652136349062881</v>
      </c>
      <c r="H21" s="1">
        <f>'1x8'!R13</f>
        <v>0.99711623787999848</v>
      </c>
      <c r="I21" s="1">
        <f>'1x9'!R13</f>
        <v>0.99747201347990611</v>
      </c>
      <c r="J21" s="1">
        <f>'1x10'!R13</f>
        <v>0.99769650821809508</v>
      </c>
      <c r="K21" s="283">
        <v>7</v>
      </c>
      <c r="L21" s="1">
        <f>'2x3'!R13</f>
        <v>0.30712505594124656</v>
      </c>
      <c r="M21" s="1">
        <f>'2x4'!R13</f>
        <v>0.4860452717313154</v>
      </c>
      <c r="N21" s="1">
        <f>'2x5'!R13</f>
        <v>0.59553877261791111</v>
      </c>
      <c r="O21" s="1">
        <f>'2x6'!R13</f>
        <v>0.66321516776752598</v>
      </c>
      <c r="P21" s="1">
        <f>'2x7'!R13</f>
        <v>0.70610555503721706</v>
      </c>
      <c r="Q21" s="1">
        <f>'2x8'!R13</f>
        <v>0.73402876594356747</v>
      </c>
      <c r="R21" s="1">
        <f>'2x9'!R13</f>
        <v>0.75263959158588634</v>
      </c>
      <c r="S21" s="1">
        <f>'2x10'!R13</f>
        <v>0.76527875504351939</v>
      </c>
      <c r="T21" s="283">
        <v>7</v>
      </c>
      <c r="U21" s="1">
        <f>'3x4'!R13</f>
        <v>-0.14384409819795463</v>
      </c>
      <c r="V21" s="1">
        <f>'3x5'!R13</f>
        <v>-5.812205997754144E-2</v>
      </c>
      <c r="W21" s="1">
        <f>'3x6'!R13</f>
        <v>2.7504210418695108E-3</v>
      </c>
      <c r="X21" s="1">
        <f>'3x7'!R13</f>
        <v>4.5988251889570286E-2</v>
      </c>
      <c r="Y21" s="1">
        <f>'3x8'!R13</f>
        <v>7.6733896702680437E-2</v>
      </c>
      <c r="Z21" s="1">
        <f>'3x9'!R13</f>
        <v>9.8626979201158038E-2</v>
      </c>
      <c r="AA21" s="1">
        <f>'3x10'!R13</f>
        <v>0.11423758807936368</v>
      </c>
    </row>
    <row r="22" spans="1:27" x14ac:dyDescent="0.2">
      <c r="A22" s="283">
        <v>8</v>
      </c>
      <c r="B22" s="1">
        <f>'1x2'!R14</f>
        <v>0.91555453671228548</v>
      </c>
      <c r="C22" s="1">
        <f>'1x3'!R14</f>
        <v>0.98214692977657303</v>
      </c>
      <c r="D22" s="1">
        <f>'1x4'!R14</f>
        <v>0.99356500632867029</v>
      </c>
      <c r="E22" s="1">
        <f>'1x5'!R14</f>
        <v>0.99672025165532652</v>
      </c>
      <c r="F22" s="1">
        <f>'1x6'!R14</f>
        <v>0.99791911983856119</v>
      </c>
      <c r="G22" s="1">
        <f>'1x7'!R14</f>
        <v>0.99847766586091768</v>
      </c>
      <c r="H22" s="1">
        <f>'1x8'!R14</f>
        <v>0.99877511726236601</v>
      </c>
      <c r="I22" s="1">
        <f>'1x9'!R14</f>
        <v>0.99894841486292152</v>
      </c>
      <c r="J22" s="1">
        <f>'1x10'!R14</f>
        <v>0.99905578321312893</v>
      </c>
      <c r="K22" s="283">
        <v>8</v>
      </c>
      <c r="L22" s="1">
        <f>'2x3'!R14</f>
        <v>0.31642018436098718</v>
      </c>
      <c r="M22" s="1">
        <f>'2x4'!R14</f>
        <v>0.5030548339256099</v>
      </c>
      <c r="N22" s="1">
        <f>'2x5'!R14</f>
        <v>0.61784654152293639</v>
      </c>
      <c r="O22" s="1">
        <f>'2x6'!R14</f>
        <v>0.68847110236741393</v>
      </c>
      <c r="P22" s="1">
        <f>'2x7'!R14</f>
        <v>0.7328571400362085</v>
      </c>
      <c r="Q22" s="1">
        <f>'2x8'!R14</f>
        <v>0.76150586394042519</v>
      </c>
      <c r="R22" s="1">
        <f>'2x9'!R14</f>
        <v>0.78045790922908442</v>
      </c>
      <c r="S22" s="1">
        <f>'2x10'!R14</f>
        <v>0.79325185466646375</v>
      </c>
      <c r="T22" s="283">
        <v>8</v>
      </c>
      <c r="U22" s="1">
        <f>'3x4'!R14</f>
        <v>-0.14309782519365788</v>
      </c>
      <c r="V22" s="1">
        <f>'3x5'!R14</f>
        <v>-5.6739026601595022E-2</v>
      </c>
      <c r="W22" s="1">
        <f>'3x6'!R14</f>
        <v>4.79788107928103E-3</v>
      </c>
      <c r="X22" s="1">
        <f>'3x7'!R14</f>
        <v>4.8638591465562986E-2</v>
      </c>
      <c r="Y22" s="1">
        <f>'3x8'!R14</f>
        <v>7.9887550281691366E-2</v>
      </c>
      <c r="Z22" s="1">
        <f>'3x9'!R14</f>
        <v>0.10217972829157329</v>
      </c>
      <c r="AA22" s="1">
        <f>'3x10'!R14</f>
        <v>0.11809656825225617</v>
      </c>
    </row>
    <row r="23" spans="1:27" x14ac:dyDescent="0.2">
      <c r="A23" s="283">
        <v>9</v>
      </c>
      <c r="B23" s="1">
        <f>'1x2'!R15</f>
        <v>0.93363132904892476</v>
      </c>
      <c r="C23" s="1">
        <f>'1x3'!R15</f>
        <v>0.98889097522931713</v>
      </c>
      <c r="D23" s="1">
        <f>'1x4'!R15</f>
        <v>0.99654976047452548</v>
      </c>
      <c r="E23" s="1">
        <f>'1x5'!R15</f>
        <v>0.99840206478194393</v>
      </c>
      <c r="F23" s="1">
        <f>'1x6'!R15</f>
        <v>0.99904866205067366</v>
      </c>
      <c r="G23" s="1">
        <f>'1x7'!R15</f>
        <v>0.99933350504303153</v>
      </c>
      <c r="H23" s="1">
        <f>'1x8'!R15</f>
        <v>0.99947954566895936</v>
      </c>
      <c r="I23" s="1">
        <f>'1x9'!R15</f>
        <v>0.99956243003317879</v>
      </c>
      <c r="J23" s="1">
        <f>'1x10'!R15</f>
        <v>0.99961285132829714</v>
      </c>
      <c r="K23" s="283">
        <v>9</v>
      </c>
      <c r="L23" s="1">
        <f>'2x3'!R15</f>
        <v>0.32248405905853061</v>
      </c>
      <c r="M23" s="1">
        <f>'2x4'!R15</f>
        <v>0.51551740571698379</v>
      </c>
      <c r="N23" s="1">
        <f>'2x5'!R15</f>
        <v>0.63507813943814373</v>
      </c>
      <c r="O23" s="1">
        <f>'2x6'!R15</f>
        <v>0.7084272055893176</v>
      </c>
      <c r="P23" s="1">
        <f>'2x7'!R15</f>
        <v>0.7541849915055262</v>
      </c>
      <c r="Q23" s="1">
        <f>'2x8'!R15</f>
        <v>0.78347694383346023</v>
      </c>
      <c r="R23" s="1">
        <f>'2x9'!R15</f>
        <v>0.80271225771230836</v>
      </c>
      <c r="S23" s="1">
        <f>'2x10'!R15</f>
        <v>0.81561972888656153</v>
      </c>
      <c r="T23" s="283">
        <v>9</v>
      </c>
      <c r="U23" s="1">
        <f>'3x4'!R15</f>
        <v>-0.14277817312491009</v>
      </c>
      <c r="V23" s="1">
        <f>'3x5'!R15</f>
        <v>-5.6087148274541754E-2</v>
      </c>
      <c r="W23" s="1">
        <f>'3x6'!R15</f>
        <v>5.8254607256805202E-3</v>
      </c>
      <c r="X23" s="1">
        <f>'3x7'!R15</f>
        <v>5.0026188824961126E-2</v>
      </c>
      <c r="Y23" s="1">
        <f>'3x8'!R15</f>
        <v>8.1587200462392095E-2</v>
      </c>
      <c r="Z23" s="1">
        <f>'3x9'!R15</f>
        <v>0.10413335202189899</v>
      </c>
      <c r="AA23" s="1">
        <f>'3x10'!R15</f>
        <v>0.12024865994215517</v>
      </c>
    </row>
    <row r="24" spans="1:27" x14ac:dyDescent="0.2">
      <c r="A24" s="283">
        <v>10</v>
      </c>
      <c r="B24" s="1">
        <f>'1x2'!R16</f>
        <v>0.94746533337197159</v>
      </c>
      <c r="C24" s="1">
        <f>'1x3'!R16</f>
        <v>0.99307290466033071</v>
      </c>
      <c r="D24" s="1">
        <f>'1x4'!R16</f>
        <v>0.998148609569951</v>
      </c>
      <c r="E24" s="1">
        <f>'1x5'!R16</f>
        <v>0.99922114648772176</v>
      </c>
      <c r="F24" s="1">
        <f>'1x6'!R16</f>
        <v>0.99956495445752502</v>
      </c>
      <c r="G24" s="1">
        <f>'1x7'!R16</f>
        <v>0.99970814635582217</v>
      </c>
      <c r="H24" s="1">
        <f>'1x8'!R16</f>
        <v>0.99977882515097305</v>
      </c>
      <c r="I24" s="1">
        <f>'1x9'!R16</f>
        <v>0.99981790163086648</v>
      </c>
      <c r="J24" s="1">
        <f>'1x10'!R16</f>
        <v>0.99984124279982733</v>
      </c>
      <c r="K24" s="283">
        <v>10</v>
      </c>
      <c r="L24" s="1">
        <f>'2x3'!R16</f>
        <v>0.32647015726176731</v>
      </c>
      <c r="M24" s="1">
        <f>'2x4'!R16</f>
        <v>0.52478047061775746</v>
      </c>
      <c r="N24" s="1">
        <f>'2x5'!R16</f>
        <v>0.64864202159259776</v>
      </c>
      <c r="O24" s="1">
        <f>'2x6'!R16</f>
        <v>0.72453239226090949</v>
      </c>
      <c r="P24" s="1">
        <f>'2x7'!R16</f>
        <v>0.7715685991147837</v>
      </c>
      <c r="Q24" s="1">
        <f>'2x8'!R16</f>
        <v>0.80144365280692342</v>
      </c>
      <c r="R24" s="1">
        <f>'2x9'!R16</f>
        <v>0.82092008317493026</v>
      </c>
      <c r="S24" s="1">
        <f>'2x10'!R16</f>
        <v>0.83391108132747005</v>
      </c>
      <c r="T24" s="283">
        <v>10</v>
      </c>
      <c r="U24" s="1">
        <f>'3x4'!R16</f>
        <v>-0.14264118318330898</v>
      </c>
      <c r="V24" s="1">
        <f>'3x5'!R16</f>
        <v>-5.5779579709749783E-2</v>
      </c>
      <c r="W24" s="1">
        <f>'3x6'!R16</f>
        <v>6.3419751214394693E-3</v>
      </c>
      <c r="X24" s="1">
        <f>'3x7'!R16</f>
        <v>5.0754137366238461E-2</v>
      </c>
      <c r="Y24" s="1">
        <f>'3x8'!R16</f>
        <v>8.2505441414793546E-2</v>
      </c>
      <c r="Z24" s="1">
        <f>'3x9'!R16</f>
        <v>0.10521058570321357</v>
      </c>
      <c r="AA24" s="1">
        <f>'3x10'!R16</f>
        <v>0.12145244942068623</v>
      </c>
    </row>
    <row r="25" spans="1:27" x14ac:dyDescent="0.2">
      <c r="B25" s="342" t="s">
        <v>153</v>
      </c>
      <c r="C25" s="342"/>
      <c r="D25" s="342"/>
      <c r="E25" s="342"/>
      <c r="F25" s="342"/>
      <c r="G25" s="342"/>
      <c r="H25" s="342"/>
      <c r="I25" s="342"/>
      <c r="J25" s="342"/>
      <c r="L25" s="342" t="s">
        <v>153</v>
      </c>
      <c r="M25" s="342"/>
      <c r="N25" s="342"/>
      <c r="O25" s="342"/>
      <c r="P25" s="342"/>
      <c r="Q25" s="342"/>
      <c r="R25" s="342"/>
      <c r="S25" s="342"/>
      <c r="U25" s="342" t="s">
        <v>168</v>
      </c>
      <c r="V25" s="342"/>
      <c r="W25" s="342"/>
      <c r="X25" s="342"/>
      <c r="Y25" s="342"/>
      <c r="Z25" s="342"/>
      <c r="AA25" s="342"/>
    </row>
    <row r="26" spans="1:27" x14ac:dyDescent="0.2">
      <c r="A26" s="283" t="s">
        <v>57</v>
      </c>
      <c r="B26" s="49" t="s">
        <v>141</v>
      </c>
      <c r="C26" s="49" t="s">
        <v>142</v>
      </c>
      <c r="D26" s="49" t="s">
        <v>143</v>
      </c>
      <c r="E26" s="49" t="s">
        <v>144</v>
      </c>
      <c r="F26" s="49" t="s">
        <v>145</v>
      </c>
      <c r="G26" s="49" t="s">
        <v>146</v>
      </c>
      <c r="H26" s="49" t="s">
        <v>147</v>
      </c>
      <c r="I26" s="49" t="s">
        <v>148</v>
      </c>
      <c r="J26" s="49" t="s">
        <v>149</v>
      </c>
      <c r="K26" s="283" t="s">
        <v>57</v>
      </c>
      <c r="L26" s="49" t="s">
        <v>158</v>
      </c>
      <c r="M26" s="49" t="s">
        <v>159</v>
      </c>
      <c r="N26" s="49" t="s">
        <v>160</v>
      </c>
      <c r="O26" s="49" t="s">
        <v>161</v>
      </c>
      <c r="P26" s="49" t="s">
        <v>162</v>
      </c>
      <c r="Q26" s="49" t="s">
        <v>163</v>
      </c>
      <c r="R26" s="49" t="s">
        <v>164</v>
      </c>
      <c r="S26" s="49" t="s">
        <v>165</v>
      </c>
      <c r="T26" s="283" t="s">
        <v>57</v>
      </c>
      <c r="U26" s="49" t="s">
        <v>169</v>
      </c>
      <c r="V26" s="49" t="s">
        <v>170</v>
      </c>
      <c r="W26" s="49" t="s">
        <v>171</v>
      </c>
      <c r="X26" s="49" t="s">
        <v>172</v>
      </c>
      <c r="Y26" s="49" t="s">
        <v>173</v>
      </c>
      <c r="Z26" s="49" t="s">
        <v>174</v>
      </c>
      <c r="AA26" s="49" t="s">
        <v>175</v>
      </c>
    </row>
    <row r="27" spans="1:27" x14ac:dyDescent="0.2">
      <c r="A27" s="283">
        <v>1</v>
      </c>
      <c r="B27" s="1">
        <f>'1x2'!E21</f>
        <v>19.380224308650003</v>
      </c>
      <c r="C27" s="1">
        <f>'1x3'!E21</f>
        <v>13.030902752565376</v>
      </c>
      <c r="D27" s="1">
        <f>'1x4'!E21</f>
        <v>13.282157703260239</v>
      </c>
      <c r="E27" s="1">
        <f>'1x5'!E21</f>
        <v>14.516091898240006</v>
      </c>
      <c r="F27" s="1">
        <f>'1x6'!E21</f>
        <v>16.115662659428747</v>
      </c>
      <c r="G27" s="1">
        <f>'1x7'!E21</f>
        <v>17.909133338241897</v>
      </c>
      <c r="H27" s="1">
        <f>'1x8'!E21</f>
        <v>19.826665338578159</v>
      </c>
      <c r="I27" s="1">
        <f>'1x9'!E21</f>
        <v>21.832275356266774</v>
      </c>
      <c r="J27" s="1">
        <f>'1x10'!E21</f>
        <v>23.90407125373833</v>
      </c>
      <c r="K27" s="283">
        <v>1</v>
      </c>
      <c r="L27" s="1">
        <f>'2x4'!D33</f>
        <v>4</v>
      </c>
      <c r="M27" s="1">
        <f>'2x4'!E21</f>
        <v>-31.914845027994744</v>
      </c>
      <c r="N27" s="1">
        <f>'2x5'!E21</f>
        <v>-64.513589681892029</v>
      </c>
      <c r="O27" s="1">
        <f>'2x6'!E21</f>
        <v>-131.42320790864352</v>
      </c>
      <c r="P27" s="1">
        <f>'2x7'!E21</f>
        <v>-292.09672438042276</v>
      </c>
      <c r="Q27" s="1">
        <f>'2x8'!E21</f>
        <v>-892.14944281923442</v>
      </c>
      <c r="R27" s="1">
        <f>'2x9'!E21</f>
        <v>5948.7503524171261</v>
      </c>
      <c r="S27" s="1">
        <f>'2x10'!E21</f>
        <v>1124.8431732933502</v>
      </c>
      <c r="T27" s="283">
        <v>1</v>
      </c>
      <c r="U27" s="1">
        <f>'3x4'!E21</f>
        <v>-10.003905745462683</v>
      </c>
      <c r="V27" s="1">
        <f>'3x5'!E21</f>
        <v>-13.948284732283932</v>
      </c>
      <c r="W27" s="1">
        <f>'3x6'!E21</f>
        <v>-18.165900910064718</v>
      </c>
      <c r="X27" s="1">
        <f>'3x7'!E21</f>
        <v>-22.522160517863032</v>
      </c>
      <c r="Y27" s="1">
        <f>'3x8'!E21</f>
        <v>-26.918823514888587</v>
      </c>
      <c r="Z27" s="1">
        <f>'3x9'!E21</f>
        <v>-31.292845926543283</v>
      </c>
      <c r="AA27" s="1">
        <f>'3x10'!E21</f>
        <v>-35.609465685472848</v>
      </c>
    </row>
    <row r="28" spans="1:27" x14ac:dyDescent="0.2">
      <c r="A28" s="283">
        <v>2</v>
      </c>
      <c r="B28" s="1">
        <f>'1x2'!E22</f>
        <v>12.883072963545962</v>
      </c>
      <c r="C28" s="1">
        <f>'1x3'!E22</f>
        <v>19.613633686215511</v>
      </c>
      <c r="D28" s="1">
        <f>'1x4'!E22</f>
        <v>29.241240660485374</v>
      </c>
      <c r="E28" s="1">
        <f>'1x5'!E22</f>
        <v>41.413693033190086</v>
      </c>
      <c r="F28" s="1">
        <f>'1x6'!E22</f>
        <v>56.079559294460843</v>
      </c>
      <c r="G28" s="1">
        <f>'1x7'!E22</f>
        <v>73.238946698657955</v>
      </c>
      <c r="H28" s="1">
        <f>'1x8'!E22</f>
        <v>92.903204749710255</v>
      </c>
      <c r="I28" s="1">
        <f>'1x9'!E22</f>
        <v>115.08451039891871</v>
      </c>
      <c r="J28" s="1">
        <f>'1x10'!E22</f>
        <v>139.79270980119577</v>
      </c>
      <c r="K28" s="283">
        <v>2</v>
      </c>
      <c r="L28" s="1">
        <f>'2x4'!D34</f>
        <v>24</v>
      </c>
      <c r="M28" s="1">
        <f>'2x4'!E22</f>
        <v>124.88506948081935</v>
      </c>
      <c r="N28" s="1">
        <f>'2x5'!E22</f>
        <v>131.8460480382536</v>
      </c>
      <c r="O28" s="1">
        <f>'2x6'!E22</f>
        <v>154.65179461493622</v>
      </c>
      <c r="P28" s="1">
        <f>'2x7'!E22</f>
        <v>185.96535091569376</v>
      </c>
      <c r="Q28" s="1">
        <f>'2x8'!E22</f>
        <v>224.06050449599172</v>
      </c>
      <c r="R28" s="1">
        <f>'2x9'!E22</f>
        <v>268.37668747038981</v>
      </c>
      <c r="S28" s="1">
        <f>'2x10'!E22</f>
        <v>318.70072104285822</v>
      </c>
      <c r="T28" s="283">
        <v>2</v>
      </c>
      <c r="U28" s="1">
        <f>'3x4'!E22</f>
        <v>-83.236703751596522</v>
      </c>
      <c r="V28" s="1">
        <f>'3x5'!E22</f>
        <v>-166.89281947251706</v>
      </c>
      <c r="W28" s="1">
        <f>'3x6'!E22</f>
        <v>-303.50393585391754</v>
      </c>
      <c r="X28" s="1">
        <f>'3x7'!E22</f>
        <v>-510.29876041288577</v>
      </c>
      <c r="Y28" s="1">
        <f>'3x8'!E22</f>
        <v>-802.5059675613827</v>
      </c>
      <c r="Z28" s="1">
        <f>'3x9'!E22</f>
        <v>-1190.0354863091745</v>
      </c>
      <c r="AA28" s="1">
        <f>'3x10'!E22</f>
        <v>-1675.2889162501008</v>
      </c>
    </row>
    <row r="29" spans="1:27" x14ac:dyDescent="0.2">
      <c r="A29" s="283">
        <v>3</v>
      </c>
      <c r="B29" s="1">
        <f>'1x2'!E23</f>
        <v>21.767119723802981</v>
      </c>
      <c r="C29" s="1">
        <f>'1x3'!E23</f>
        <v>49.782326653186303</v>
      </c>
      <c r="D29" s="1">
        <f>'1x4'!E23</f>
        <v>99.580524546258616</v>
      </c>
      <c r="E29" s="1">
        <f>'1x5'!E23</f>
        <v>177.3299355023631</v>
      </c>
      <c r="F29" s="1">
        <f>'1x6'!E23</f>
        <v>289.43253895704834</v>
      </c>
      <c r="G29" s="1">
        <f>'1x7'!E23</f>
        <v>442.36661763385865</v>
      </c>
      <c r="H29" s="1">
        <f>'1x8'!E23</f>
        <v>642.65084712196108</v>
      </c>
      <c r="I29" s="1">
        <f>'1x9'!E23</f>
        <v>896.82701136380854</v>
      </c>
      <c r="J29" s="1">
        <f>'1x10'!E23</f>
        <v>1211.4482663130677</v>
      </c>
      <c r="K29" s="283">
        <v>3</v>
      </c>
      <c r="L29" s="1">
        <f>'2x4'!D35</f>
        <v>124</v>
      </c>
      <c r="M29" s="1">
        <f>'2x4'!E23</f>
        <v>281.43294953145545</v>
      </c>
      <c r="N29" s="1">
        <f>'2x5'!E23</f>
        <v>409.79562090242746</v>
      </c>
      <c r="O29" s="1">
        <f>'2x6'!E23</f>
        <v>600.65101213675109</v>
      </c>
      <c r="P29" s="1">
        <f>'2x7'!E23</f>
        <v>860.85482824729002</v>
      </c>
      <c r="Q29" s="1">
        <f>'2x8'!E23</f>
        <v>1200.485973722635</v>
      </c>
      <c r="R29" s="1">
        <f>'2x9'!E23</f>
        <v>1630.6065306209794</v>
      </c>
      <c r="S29" s="1">
        <f>'2x10'!E23</f>
        <v>2162.6657348990457</v>
      </c>
      <c r="T29" s="283">
        <v>3</v>
      </c>
      <c r="U29" s="1">
        <f>'3x4'!E23</f>
        <v>-460.29871498189277</v>
      </c>
      <c r="V29" s="1">
        <f>'3x5'!E23</f>
        <v>-1399.5501128116152</v>
      </c>
      <c r="W29" s="1">
        <f>'3x6'!E23</f>
        <v>-4208.33313562685</v>
      </c>
      <c r="X29" s="1">
        <f>'3x7'!E23</f>
        <v>-14822.325277720432</v>
      </c>
      <c r="Y29" s="1">
        <f>'3x8'!E23</f>
        <v>-207044.78283468209</v>
      </c>
      <c r="Z29" s="1">
        <f>'3x9'!E23</f>
        <v>57813.475919769429</v>
      </c>
      <c r="AA29" s="1">
        <f>'3x10'!E23</f>
        <v>42376.656268188075</v>
      </c>
    </row>
    <row r="30" spans="1:27" x14ac:dyDescent="0.2">
      <c r="A30" s="283">
        <v>4</v>
      </c>
      <c r="B30" s="1">
        <f>'1x2'!E24</f>
        <v>40.178293258402711</v>
      </c>
      <c r="C30" s="1">
        <f>'1x3'!E24</f>
        <v>137.44512181693045</v>
      </c>
      <c r="D30" s="1">
        <f>'1x4'!E24</f>
        <v>369.8249632467988</v>
      </c>
      <c r="E30" s="1">
        <f>'1x5'!E24</f>
        <v>829.4091820761123</v>
      </c>
      <c r="F30" s="1">
        <f>'1x6'!E24</f>
        <v>1633.1589858550701</v>
      </c>
      <c r="G30" s="1">
        <f>'1x7'!E24</f>
        <v>2922.8534815563962</v>
      </c>
      <c r="H30" s="1">
        <f>'1x8'!E24</f>
        <v>4865.119305799446</v>
      </c>
      <c r="I30" s="1">
        <f>'1x9'!E24</f>
        <v>7651.4505107375808</v>
      </c>
      <c r="J30" s="1">
        <f>'1x10'!E24</f>
        <v>11498.209412518325</v>
      </c>
      <c r="K30" s="283">
        <v>4</v>
      </c>
      <c r="L30" s="1">
        <f>'2x4'!D36</f>
        <v>624</v>
      </c>
      <c r="M30" s="1">
        <f>'2x4'!E24</f>
        <v>899.265034121432</v>
      </c>
      <c r="N30" s="1">
        <f>'2x5'!E24</f>
        <v>1669.4347566570532</v>
      </c>
      <c r="O30" s="1">
        <f>'2x6'!E24</f>
        <v>2966.8785323574602</v>
      </c>
      <c r="P30" s="1">
        <f>'2x7'!E24</f>
        <v>4993.2181793640875</v>
      </c>
      <c r="Q30" s="1">
        <f>'2x8'!E24</f>
        <v>7992.8249625102799</v>
      </c>
      <c r="R30" s="1">
        <f>'2x9'!E24</f>
        <v>12250.650121208197</v>
      </c>
      <c r="S30" s="1">
        <f>'2x10'!E24</f>
        <v>18091.614907652322</v>
      </c>
      <c r="T30" s="283">
        <v>4</v>
      </c>
      <c r="U30" s="1">
        <f>'3x4'!E24</f>
        <v>-2133.9157264795253</v>
      </c>
      <c r="V30" s="1">
        <f>'3x5'!E24</f>
        <v>-9642.4005926004702</v>
      </c>
      <c r="W30" s="1">
        <f>'3x6'!E24</f>
        <v>-59034.350710755651</v>
      </c>
      <c r="X30" s="1">
        <f>'3x7'!E24</f>
        <v>236180.45439505344</v>
      </c>
      <c r="Y30" s="1">
        <f>'3x8'!E24</f>
        <v>120894.09632118198</v>
      </c>
      <c r="Z30" s="1">
        <f>'3x9'!E24</f>
        <v>127926.93542087906</v>
      </c>
      <c r="AA30" s="1">
        <f>'3x10'!E24</f>
        <v>156153.43804523721</v>
      </c>
    </row>
    <row r="31" spans="1:27" x14ac:dyDescent="0.2">
      <c r="A31" s="283">
        <v>5</v>
      </c>
      <c r="B31" s="1">
        <f>'1x2'!E25</f>
        <v>76.233434167860011</v>
      </c>
      <c r="C31" s="1">
        <f>'1x3'!E25</f>
        <v>393.02139053477481</v>
      </c>
      <c r="D31" s="1">
        <f>'1x4'!E25</f>
        <v>1424.3890284865449</v>
      </c>
      <c r="E31" s="1">
        <f>'1x5'!E25</f>
        <v>4020.1010838636826</v>
      </c>
      <c r="F31" s="1">
        <f>'1x6'!E25</f>
        <v>9539.1649072222626</v>
      </c>
      <c r="G31" s="1">
        <f>'1x7'!E25</f>
        <v>19971.28308901074</v>
      </c>
      <c r="H31" s="1">
        <f>'1x8'!E25</f>
        <v>38058.539734381688</v>
      </c>
      <c r="I31" s="1">
        <f>'1x9'!E25</f>
        <v>67417.145407854507</v>
      </c>
      <c r="J31" s="1">
        <f>'1x10'!E25</f>
        <v>112659.15978746426</v>
      </c>
      <c r="K31" s="283">
        <v>5</v>
      </c>
      <c r="L31" s="1">
        <f>'2x4'!D37</f>
        <v>3124</v>
      </c>
      <c r="M31" s="1">
        <f>'2x4'!E25</f>
        <v>3183.2164034160046</v>
      </c>
      <c r="N31" s="1">
        <f>'2x5'!E25</f>
        <v>7432.7181072191706</v>
      </c>
      <c r="O31" s="1">
        <f>'2x6'!E25</f>
        <v>15916.576440189645</v>
      </c>
      <c r="P31" s="1">
        <f>'2x7'!E25</f>
        <v>31347.03208606214</v>
      </c>
      <c r="Q31" s="1">
        <f>'2x8'!E25</f>
        <v>57475.741622324516</v>
      </c>
      <c r="R31" s="1">
        <f>'2x9'!E25</f>
        <v>99268.793489809992</v>
      </c>
      <c r="S31" s="1">
        <f>'2x10'!E25</f>
        <v>163083.74810597009</v>
      </c>
      <c r="T31" s="283">
        <v>5</v>
      </c>
      <c r="U31" s="1">
        <f>'3x4'!E25</f>
        <v>-9112.8854287002032</v>
      </c>
      <c r="V31" s="1">
        <f>'3x5'!E25</f>
        <v>-57986.082240001771</v>
      </c>
      <c r="W31" s="1">
        <f>'3x6'!E25</f>
        <v>-974873.63211370981</v>
      </c>
      <c r="X31" s="1">
        <f>'3x7'!E25</f>
        <v>630644.43324788776</v>
      </c>
      <c r="Y31" s="1">
        <f>'3x8'!E25</f>
        <v>626135.04621182254</v>
      </c>
      <c r="Z31" s="1">
        <f>'3x9'!E25</f>
        <v>828733.59395755781</v>
      </c>
      <c r="AA31" s="1">
        <f>'3x10'!E25</f>
        <v>1174325.4536794864</v>
      </c>
    </row>
    <row r="32" spans="1:27" x14ac:dyDescent="0.2">
      <c r="A32" s="283">
        <v>6</v>
      </c>
      <c r="B32" s="1">
        <f>'1x2'!E26</f>
        <v>146.69443697494555</v>
      </c>
      <c r="C32" s="1">
        <f>'1x3'!E26</f>
        <v>1145.4717277930013</v>
      </c>
      <c r="D32" s="1">
        <f>'1x4'!E26</f>
        <v>5585.7610194436384</v>
      </c>
      <c r="E32" s="1">
        <f>'1x5'!E26</f>
        <v>19804.569707334456</v>
      </c>
      <c r="F32" s="1">
        <f>'1x6'!E26</f>
        <v>56550.333213805396</v>
      </c>
      <c r="G32" s="1">
        <f>'1x7'!E26</f>
        <v>138356.86525716577</v>
      </c>
      <c r="H32" s="1">
        <f>'1x8'!E26</f>
        <v>301641.63357701519</v>
      </c>
      <c r="I32" s="1">
        <f>'1x9'!E26</f>
        <v>601528.32287763979</v>
      </c>
      <c r="J32" s="1">
        <f>'1x10'!E26</f>
        <v>1117393.5224213742</v>
      </c>
      <c r="K32" s="283">
        <v>6</v>
      </c>
      <c r="L32" s="1">
        <f>'2x4'!D38</f>
        <v>15624</v>
      </c>
      <c r="M32" s="1">
        <f>'2x4'!E26</f>
        <v>11808.742037740993</v>
      </c>
      <c r="N32" s="1">
        <f>'2x5'!E26</f>
        <v>34508.726542597688</v>
      </c>
      <c r="O32" s="1">
        <f>'2x6'!E26</f>
        <v>88812.67026309135</v>
      </c>
      <c r="P32" s="1">
        <f>'2x7'!E26</f>
        <v>204370.01566063834</v>
      </c>
      <c r="Q32" s="1">
        <f>'2x8'!E26</f>
        <v>428793.52743429079</v>
      </c>
      <c r="R32" s="1">
        <f>'2x9'!E26</f>
        <v>833997.39056226762</v>
      </c>
      <c r="S32" s="1">
        <f>'2x10'!E26</f>
        <v>1523533.2087572366</v>
      </c>
      <c r="T32" s="283">
        <v>6</v>
      </c>
      <c r="U32" s="1">
        <f>'3x4'!E26</f>
        <v>-37502.949923968765</v>
      </c>
      <c r="V32" s="1">
        <f>'3x5'!E26</f>
        <v>-319835.39187306562</v>
      </c>
      <c r="W32" s="1">
        <f>'3x6'!E26</f>
        <v>-41728633.382488579</v>
      </c>
      <c r="X32" s="1">
        <f>'3x7'!E26</f>
        <v>3355358.6406302787</v>
      </c>
      <c r="Y32" s="1">
        <f>'3x8'!E26</f>
        <v>4228180.8011980727</v>
      </c>
      <c r="Z32" s="1">
        <f>'3x9'!E26</f>
        <v>6489151.6156459833</v>
      </c>
      <c r="AA32" s="1">
        <f>'3x10'!E26</f>
        <v>10357044.507831814</v>
      </c>
    </row>
    <row r="33" spans="1:27" x14ac:dyDescent="0.2">
      <c r="A33" s="283">
        <v>7</v>
      </c>
      <c r="B33" s="1">
        <f>'1x2'!E27</f>
        <v>284.90021126348978</v>
      </c>
      <c r="C33" s="1">
        <f>'1x3'!E27</f>
        <v>3376.1969869601139</v>
      </c>
      <c r="D33" s="1">
        <f>'1x4'!E27</f>
        <v>22109.754520011702</v>
      </c>
      <c r="E33" s="1">
        <f>'1x5'!E27</f>
        <v>98317.396288256699</v>
      </c>
      <c r="F33" s="1">
        <f>'1x6'!E27</f>
        <v>337458.82910440874</v>
      </c>
      <c r="G33" s="1">
        <f>'1x7'!E27</f>
        <v>964152.93760938547</v>
      </c>
      <c r="H33" s="1">
        <f>'1x8'!E27</f>
        <v>2403675.6287268936</v>
      </c>
      <c r="I33" s="1">
        <f>'1x9'!E27</f>
        <v>5394476.16302309</v>
      </c>
      <c r="J33" s="1">
        <f>'1x10'!E27</f>
        <v>11136763.443068126</v>
      </c>
      <c r="K33" s="283">
        <v>7</v>
      </c>
      <c r="L33" s="1">
        <f>'2x4'!D39</f>
        <v>78124</v>
      </c>
      <c r="M33" s="1">
        <f>'2x4'!E27</f>
        <v>44942.315604039672</v>
      </c>
      <c r="N33" s="1">
        <f>'2x5'!E27</f>
        <v>163977.56869921551</v>
      </c>
      <c r="O33" s="1">
        <f>'2x6'!E27</f>
        <v>506505.30374743982</v>
      </c>
      <c r="P33" s="1">
        <f>'2x7'!E27</f>
        <v>1360701.6587617111</v>
      </c>
      <c r="Q33" s="1">
        <f>'2x8'!E27</f>
        <v>3265190.8361099064</v>
      </c>
      <c r="R33" s="1">
        <f>'2x9'!E27</f>
        <v>7149290.3909851965</v>
      </c>
      <c r="S33" s="1">
        <f>'2x10'!E27</f>
        <v>14519036.268513869</v>
      </c>
      <c r="T33" s="283">
        <v>7</v>
      </c>
      <c r="U33" s="1">
        <f>'3x4'!E27</f>
        <v>-151858.85464649956</v>
      </c>
      <c r="V33" s="1">
        <f>'3x5'!E27</f>
        <v>-1680171.0062880465</v>
      </c>
      <c r="W33" s="1">
        <f>'3x6'!E27</f>
        <v>122134754.96524988</v>
      </c>
      <c r="X33" s="1">
        <f>'3x7'!E27</f>
        <v>20892270.536986869</v>
      </c>
      <c r="Y33" s="1">
        <f>'3x8'!E27</f>
        <v>31234488.315986667</v>
      </c>
      <c r="Z33" s="1">
        <f>'3x9'!E27</f>
        <v>54557475.485742345</v>
      </c>
      <c r="AA33" s="1">
        <f>'3x10'!E27</f>
        <v>97263170.439845398</v>
      </c>
    </row>
    <row r="34" spans="1:27" x14ac:dyDescent="0.2">
      <c r="A34" s="283">
        <v>8</v>
      </c>
      <c r="B34" s="1">
        <f>'1x2'!E28</f>
        <v>557.03945483290022</v>
      </c>
      <c r="C34" s="1">
        <f>'1x3'!E28</f>
        <v>10018.86754585537</v>
      </c>
      <c r="D34" s="1">
        <f>'1x4'!E28</f>
        <v>87945.93151270345</v>
      </c>
      <c r="E34" s="1">
        <f>'1x5'!E28</f>
        <v>489886.70511016261</v>
      </c>
      <c r="F34" s="1">
        <f>'1x6'!E28</f>
        <v>2019740.8386423788</v>
      </c>
      <c r="G34" s="1">
        <f>'1x7'!E28</f>
        <v>6735854.2208362604</v>
      </c>
      <c r="H34" s="1">
        <f>'1x8'!E28</f>
        <v>19197474.655311458</v>
      </c>
      <c r="I34" s="1">
        <f>'1x9'!E28</f>
        <v>48478539.311407149</v>
      </c>
      <c r="J34" s="1">
        <f>'1x10'!E28</f>
        <v>111216122.12948537</v>
      </c>
      <c r="K34" s="283">
        <v>8</v>
      </c>
      <c r="L34" s="1">
        <f>'2x4'!D40</f>
        <v>390624</v>
      </c>
      <c r="M34" s="1">
        <f>'2x4'!E28</f>
        <v>173698.7582807354</v>
      </c>
      <c r="N34" s="1">
        <f>'2x5'!E28</f>
        <v>790293.32881986117</v>
      </c>
      <c r="O34" s="1">
        <f>'2x6'!E28</f>
        <v>2927556.426216383</v>
      </c>
      <c r="P34" s="1">
        <f>'2x7'!E28</f>
        <v>9177232.0041361768</v>
      </c>
      <c r="Q34" s="1">
        <f>'2x8'!E28</f>
        <v>25179005.058193531</v>
      </c>
      <c r="R34" s="1">
        <f>'2x9'!E28</f>
        <v>62050188.008006036</v>
      </c>
      <c r="S34" s="1">
        <f>'2x10'!E28</f>
        <v>140070406.82775152</v>
      </c>
      <c r="T34" s="283">
        <v>8</v>
      </c>
      <c r="U34" s="1">
        <f>'3x4'!E28</f>
        <v>-610631.22295357357</v>
      </c>
      <c r="V34" s="1">
        <f>'3x5'!E28</f>
        <v>-8605716.8979750127</v>
      </c>
      <c r="W34" s="1">
        <f>'3x6'!E28</f>
        <v>420089194.93728501</v>
      </c>
      <c r="X34" s="1">
        <f>'3x7'!E28</f>
        <v>138277030.59127131</v>
      </c>
      <c r="Y34" s="1">
        <f>'3x8'!E28</f>
        <v>240011865.83379674</v>
      </c>
      <c r="Z34" s="1">
        <f>'3x9'!E28</f>
        <v>473944889.16441751</v>
      </c>
      <c r="AA34" s="1">
        <f>'3x10'!E28</f>
        <v>940849608.45487797</v>
      </c>
    </row>
    <row r="35" spans="1:27" x14ac:dyDescent="0.2">
      <c r="A35" s="283">
        <v>9</v>
      </c>
      <c r="B35" s="1">
        <f>'1x2'!E29</f>
        <v>1094.6504987585356</v>
      </c>
      <c r="C35" s="1">
        <f>'1x3'!E29</f>
        <v>29854.65611429391</v>
      </c>
      <c r="D35" s="1">
        <f>'1x4'!E29</f>
        <v>350734.11671241355</v>
      </c>
      <c r="E35" s="1">
        <f>'1x5'!E29</f>
        <v>2445312.450884419</v>
      </c>
      <c r="F35" s="1">
        <f>'1x6'!E29</f>
        <v>12104749.707764093</v>
      </c>
      <c r="G35" s="1">
        <f>'1x7'!E29</f>
        <v>47110605.98130627</v>
      </c>
      <c r="H35" s="1">
        <f>'1x8'!E29</f>
        <v>153471562.9396235</v>
      </c>
      <c r="I35" s="1">
        <f>'1x9'!E29</f>
        <v>436038846.50359732</v>
      </c>
      <c r="J35" s="1">
        <f>'1x10'!E29</f>
        <v>1111541441.7927327</v>
      </c>
      <c r="K35" s="283">
        <v>9</v>
      </c>
      <c r="L35" s="1">
        <f>'2x4'!D41</f>
        <v>1953124</v>
      </c>
      <c r="M35" s="1">
        <f>'2x4'!E29</f>
        <v>678006.20526843425</v>
      </c>
      <c r="N35" s="1">
        <f>'2x5'!E29</f>
        <v>3844259.2310922891</v>
      </c>
      <c r="O35" s="1">
        <f>'2x6'!E29</f>
        <v>17070538.658859141</v>
      </c>
      <c r="P35" s="1">
        <f>'2x7'!E29</f>
        <v>62423951.060096152</v>
      </c>
      <c r="Q35" s="1">
        <f>'2x8'!E29</f>
        <v>195783282.72108757</v>
      </c>
      <c r="R35" s="1">
        <f>'2x9'!E29</f>
        <v>542969220.67958212</v>
      </c>
      <c r="S35" s="1">
        <f>'2x10'!E29</f>
        <v>1362290624.7214334</v>
      </c>
      <c r="T35" s="283">
        <v>9</v>
      </c>
      <c r="U35" s="1">
        <f>'3x4'!E29</f>
        <v>-2448021.2370711416</v>
      </c>
      <c r="V35" s="1">
        <f>'3x5'!E29</f>
        <v>-43528777.538296886</v>
      </c>
      <c r="W35" s="1">
        <f>'3x6'!E29</f>
        <v>2075927479.2960327</v>
      </c>
      <c r="X35" s="1">
        <f>'3x7'!E29</f>
        <v>941091218.53610611</v>
      </c>
      <c r="Y35" s="1">
        <f>'3x8'!E29</f>
        <v>1880095004.2489376</v>
      </c>
      <c r="Z35" s="1">
        <f>'3x9'!E29</f>
        <v>4185479873.0414653</v>
      </c>
      <c r="AA35" s="1">
        <f>'3x10'!E29</f>
        <v>9240112201.9529591</v>
      </c>
    </row>
    <row r="36" spans="1:27" x14ac:dyDescent="0.2">
      <c r="A36" s="283">
        <v>10</v>
      </c>
      <c r="B36" s="1">
        <f>'1x2'!E30</f>
        <v>2159.4457632749582</v>
      </c>
      <c r="C36" s="1">
        <f>'1x3'!E30</f>
        <v>89189.826431016205</v>
      </c>
      <c r="D36" s="1">
        <f>'1x4'!E30</f>
        <v>1400693.2300415332</v>
      </c>
      <c r="E36" s="1">
        <f>'1x5'!E30</f>
        <v>12216544.898902414</v>
      </c>
      <c r="F36" s="1">
        <f>'1x6'!E30</f>
        <v>72590990.386791617</v>
      </c>
      <c r="G36" s="1">
        <f>'1x7'!E30</f>
        <v>329650665.74810421</v>
      </c>
      <c r="H36" s="1">
        <f>'1x8'!E30</f>
        <v>1227404983.1118348</v>
      </c>
      <c r="I36" s="1">
        <f>'1x9'!E30</f>
        <v>3923346885.0693164</v>
      </c>
      <c r="J36" s="1">
        <f>'1x10'!E30</f>
        <v>11112875358.977859</v>
      </c>
      <c r="K36" s="283">
        <v>10</v>
      </c>
      <c r="L36" s="1">
        <f>'2x4'!D42</f>
        <v>9765624</v>
      </c>
      <c r="M36" s="1">
        <f>'2x4'!E30</f>
        <v>2664161.6414463636</v>
      </c>
      <c r="N36" s="1">
        <f>'2x5'!E30</f>
        <v>18819363.522006057</v>
      </c>
      <c r="O36" s="1">
        <f>'2x6'!E30</f>
        <v>100146536.95962128</v>
      </c>
      <c r="P36" s="1">
        <f>'2x7'!E30</f>
        <v>427122690.55285037</v>
      </c>
      <c r="Q36" s="1">
        <f>'2x8'!E30</f>
        <v>1531153821.8590522</v>
      </c>
      <c r="R36" s="1">
        <f>'2x9'!E30</f>
        <v>4778336564.5400152</v>
      </c>
      <c r="S36" s="1">
        <f>'2x10'!E30</f>
        <v>13324095768.475294</v>
      </c>
      <c r="T36" s="283">
        <v>10</v>
      </c>
      <c r="U36" s="1">
        <f>'3x4'!E30</f>
        <v>-9801517.1270929091</v>
      </c>
      <c r="V36" s="1">
        <f>'3x5'!E30</f>
        <v>-218844065.57954609</v>
      </c>
      <c r="W36" s="1">
        <f>'3x6'!E30</f>
        <v>11441137596.820284</v>
      </c>
      <c r="X36" s="1">
        <f>'3x7'!E30</f>
        <v>6493154511.1673775</v>
      </c>
      <c r="Y36" s="1">
        <f>'3x8'!E30</f>
        <v>14873364604.288635</v>
      </c>
      <c r="Z36" s="1">
        <f>'3x9'!E30</f>
        <v>37283629054.829857</v>
      </c>
      <c r="AA36" s="1">
        <f>'3x10'!E30</f>
        <v>91485278090.303497</v>
      </c>
    </row>
    <row r="37" spans="1:27" x14ac:dyDescent="0.2">
      <c r="B37" s="342" t="s">
        <v>154</v>
      </c>
      <c r="C37" s="342"/>
      <c r="D37" s="342"/>
      <c r="E37" s="342"/>
      <c r="F37" s="342"/>
      <c r="G37" s="342"/>
      <c r="H37" s="342"/>
      <c r="I37" s="342"/>
      <c r="J37" s="342"/>
      <c r="L37" s="342" t="s">
        <v>166</v>
      </c>
      <c r="M37" s="342"/>
      <c r="N37" s="342"/>
      <c r="O37" s="342"/>
      <c r="P37" s="342"/>
      <c r="Q37" s="342"/>
      <c r="R37" s="342"/>
      <c r="S37" s="342"/>
      <c r="U37" s="342" t="s">
        <v>166</v>
      </c>
      <c r="V37" s="342"/>
      <c r="W37" s="342"/>
      <c r="X37" s="342"/>
      <c r="Y37" s="342"/>
      <c r="Z37" s="342"/>
      <c r="AA37" s="342"/>
    </row>
    <row r="38" spans="1:27" x14ac:dyDescent="0.2">
      <c r="A38" s="283" t="s">
        <v>57</v>
      </c>
      <c r="B38" s="49" t="s">
        <v>141</v>
      </c>
      <c r="C38" s="49" t="s">
        <v>142</v>
      </c>
      <c r="D38" s="49" t="s">
        <v>143</v>
      </c>
      <c r="E38" s="49" t="s">
        <v>144</v>
      </c>
      <c r="F38" s="49" t="s">
        <v>145</v>
      </c>
      <c r="G38" s="49" t="s">
        <v>146</v>
      </c>
      <c r="H38" s="49" t="s">
        <v>147</v>
      </c>
      <c r="I38" s="49" t="s">
        <v>148</v>
      </c>
      <c r="J38" s="49" t="s">
        <v>149</v>
      </c>
      <c r="K38" s="283" t="s">
        <v>57</v>
      </c>
      <c r="L38" s="49" t="s">
        <v>158</v>
      </c>
      <c r="M38" s="49" t="s">
        <v>159</v>
      </c>
      <c r="N38" s="49" t="s">
        <v>160</v>
      </c>
      <c r="O38" s="49" t="s">
        <v>161</v>
      </c>
      <c r="P38" s="49" t="s">
        <v>162</v>
      </c>
      <c r="Q38" s="49" t="s">
        <v>163</v>
      </c>
      <c r="R38" s="49" t="s">
        <v>164</v>
      </c>
      <c r="S38" s="49" t="s">
        <v>165</v>
      </c>
      <c r="T38" s="283" t="s">
        <v>57</v>
      </c>
      <c r="U38" s="49" t="s">
        <v>169</v>
      </c>
      <c r="V38" s="49" t="s">
        <v>170</v>
      </c>
      <c r="W38" s="49" t="s">
        <v>171</v>
      </c>
      <c r="X38" s="49" t="s">
        <v>172</v>
      </c>
      <c r="Y38" s="49" t="s">
        <v>173</v>
      </c>
      <c r="Z38" s="49" t="s">
        <v>174</v>
      </c>
      <c r="AA38" s="49" t="s">
        <v>175</v>
      </c>
    </row>
    <row r="39" spans="1:27" x14ac:dyDescent="0.2">
      <c r="A39" s="283">
        <v>1</v>
      </c>
      <c r="B39" s="1">
        <f>'1x2'!E33</f>
        <v>19.380224308650003</v>
      </c>
      <c r="C39" s="1">
        <f>'1x3'!E33</f>
        <v>13.030902752565376</v>
      </c>
      <c r="D39" s="1">
        <f>'1x4'!E33</f>
        <v>13.282157703260239</v>
      </c>
      <c r="E39" s="1">
        <f>'1x5'!E33</f>
        <v>14.516091898240006</v>
      </c>
      <c r="F39" s="1">
        <f>'1x6'!E33</f>
        <v>16.115662659428747</v>
      </c>
      <c r="G39" s="1">
        <f>'1x7'!E33</f>
        <v>17.909133338241897</v>
      </c>
      <c r="H39" s="1">
        <f>'1x8'!E33</f>
        <v>19.826665338578159</v>
      </c>
      <c r="I39" s="1">
        <f>'1x9'!E33</f>
        <v>21.832275356266774</v>
      </c>
      <c r="J39" s="1">
        <f>'1x10'!E33</f>
        <v>23.90407125373833</v>
      </c>
      <c r="K39" s="283">
        <v>1</v>
      </c>
      <c r="L39" s="1">
        <f>'2x3'!E21</f>
        <v>-15.026693033762502</v>
      </c>
      <c r="M39" s="1">
        <f>'2x4'!E21</f>
        <v>-31.914845027994744</v>
      </c>
      <c r="N39" s="1">
        <f>'2x5'!E21</f>
        <v>-64.513589681892029</v>
      </c>
      <c r="O39" s="1">
        <f>'2x6'!E21</f>
        <v>-131.42320790864352</v>
      </c>
      <c r="P39" s="1">
        <f>'2x7'!E21</f>
        <v>-292.09672438042276</v>
      </c>
      <c r="Q39" s="1">
        <f>'2x8'!E21</f>
        <v>-892.14944281923442</v>
      </c>
      <c r="R39" s="1">
        <f>'2x9'!E21</f>
        <v>5948.7503524171261</v>
      </c>
      <c r="S39" s="1">
        <f>'2x10'!E21</f>
        <v>1124.8431732933502</v>
      </c>
      <c r="T39" s="283">
        <v>1</v>
      </c>
      <c r="U39" s="1">
        <f>'3x4'!E21</f>
        <v>-10.003905745462683</v>
      </c>
      <c r="V39" s="1">
        <f>'3x5'!E33</f>
        <v>-13.948284732283932</v>
      </c>
      <c r="W39" s="1">
        <f>'3x6'!E33</f>
        <v>-18.165900910064718</v>
      </c>
      <c r="X39" s="1">
        <f>'3x7'!E33</f>
        <v>-22.522160517863032</v>
      </c>
      <c r="Y39" s="1">
        <f>'3x8'!E33</f>
        <v>-26.918823514888587</v>
      </c>
      <c r="Z39" s="1">
        <f>'3x9'!E33</f>
        <v>-31.292845926543283</v>
      </c>
      <c r="AA39" s="1">
        <f>'3x10'!E33</f>
        <v>-35.609465685472848</v>
      </c>
    </row>
    <row r="40" spans="1:27" x14ac:dyDescent="0.2">
      <c r="A40" s="283">
        <v>2</v>
      </c>
      <c r="B40" s="1">
        <f>'1x2'!E34</f>
        <v>17.17743061806128</v>
      </c>
      <c r="C40" s="1">
        <f>'1x3'!E34</f>
        <v>24.517042107769388</v>
      </c>
      <c r="D40" s="1">
        <f>'1x4'!E34</f>
        <v>35.089488792582451</v>
      </c>
      <c r="E40" s="1">
        <f>'1x5'!E34</f>
        <v>48.315975205388433</v>
      </c>
      <c r="F40" s="1">
        <f>'1x6'!E34</f>
        <v>64.090924907955255</v>
      </c>
      <c r="G40" s="1">
        <f>'1x7'!E34</f>
        <v>82.393815035990201</v>
      </c>
      <c r="H40" s="1">
        <f>'1x8'!E34</f>
        <v>103.22578305523362</v>
      </c>
      <c r="I40" s="1">
        <f>'1x9'!E34</f>
        <v>126.59296143881058</v>
      </c>
      <c r="J40" s="1">
        <f>'1x10'!E34</f>
        <v>152.50113796494082</v>
      </c>
      <c r="K40" s="283">
        <v>2</v>
      </c>
      <c r="L40" s="1">
        <f>'2x3'!E22</f>
        <v>225.78361002110717</v>
      </c>
      <c r="M40" s="1">
        <f>'2x4'!E22</f>
        <v>124.88506948081935</v>
      </c>
      <c r="N40" s="1">
        <f>'2x5'!E22</f>
        <v>131.8460480382536</v>
      </c>
      <c r="O40" s="1">
        <f>'2x6'!E22</f>
        <v>154.65179461493622</v>
      </c>
      <c r="P40" s="1">
        <f>'2x7'!E22</f>
        <v>185.96535091569376</v>
      </c>
      <c r="Q40" s="1">
        <f>'2x8'!E22</f>
        <v>224.06050449599172</v>
      </c>
      <c r="R40" s="1">
        <f>'2x9'!E22</f>
        <v>268.37668747038981</v>
      </c>
      <c r="S40" s="1">
        <f>'2x10'!E22</f>
        <v>318.70072104285822</v>
      </c>
      <c r="T40" s="283">
        <v>2</v>
      </c>
      <c r="U40" s="1">
        <f>'3x4'!E22</f>
        <v>-83.236703751596522</v>
      </c>
      <c r="V40" s="1">
        <f>'3x5'!E34</f>
        <v>-194.70828938460323</v>
      </c>
      <c r="W40" s="1">
        <f>'3x6'!E34</f>
        <v>-346.8616409759058</v>
      </c>
      <c r="X40" s="1">
        <f>'3x7'!E34</f>
        <v>-574.08610546449654</v>
      </c>
      <c r="Y40" s="1">
        <f>'3x8'!E34</f>
        <v>-891.67329729042524</v>
      </c>
      <c r="Z40" s="1">
        <f>'3x9'!E34</f>
        <v>-1309.0390349400921</v>
      </c>
      <c r="AA40" s="1">
        <f>'3x10'!E34</f>
        <v>-1827.5879086364737</v>
      </c>
    </row>
    <row r="41" spans="1:27" x14ac:dyDescent="0.2">
      <c r="A41" s="283">
        <v>3</v>
      </c>
      <c r="B41" s="1">
        <f>'1x2'!E35</f>
        <v>40.424650915634103</v>
      </c>
      <c r="C41" s="1">
        <f>'1x3'!E35</f>
        <v>80.417604593608644</v>
      </c>
      <c r="D41" s="1">
        <f>'1x4'!E35</f>
        <v>146.99982194923891</v>
      </c>
      <c r="E41" s="1">
        <f>'1x5'!E35</f>
        <v>245.97378150327785</v>
      </c>
      <c r="F41" s="1">
        <f>'1x6'!E35</f>
        <v>383.66638885004079</v>
      </c>
      <c r="G41" s="1">
        <f>'1x7'!E35</f>
        <v>566.53970328546814</v>
      </c>
      <c r="H41" s="1">
        <f>'1x8'!E35</f>
        <v>801.11269983696513</v>
      </c>
      <c r="I41" s="1">
        <f>'1x9'!E35</f>
        <v>1093.931849026184</v>
      </c>
      <c r="J41" s="1">
        <f>'1x10'!E35</f>
        <v>1451.5551299066487</v>
      </c>
      <c r="K41" s="283">
        <v>3</v>
      </c>
      <c r="L41" s="1">
        <f>'2x3'!E23</f>
        <v>229.60747713471375</v>
      </c>
      <c r="M41" s="1">
        <f>'2x4'!E23</f>
        <v>281.43294953145545</v>
      </c>
      <c r="N41" s="1">
        <f>'2x5'!E23</f>
        <v>409.79562090242746</v>
      </c>
      <c r="O41" s="1">
        <f>'2x6'!E23</f>
        <v>600.65101213675109</v>
      </c>
      <c r="P41" s="1">
        <f>'2x7'!E23</f>
        <v>860.85482824729002</v>
      </c>
      <c r="Q41" s="1">
        <f>'2x8'!E23</f>
        <v>1200.485973722635</v>
      </c>
      <c r="R41" s="1">
        <f>'2x9'!E23</f>
        <v>1630.6065306209794</v>
      </c>
      <c r="S41" s="1">
        <f>'2x10'!E23</f>
        <v>2162.6657348990457</v>
      </c>
      <c r="T41" s="283">
        <v>3</v>
      </c>
      <c r="U41" s="1">
        <f>'3x4'!E23</f>
        <v>-460.29871498189277</v>
      </c>
      <c r="V41" s="1">
        <f>'3x5'!E35</f>
        <v>-1941.3114468032081</v>
      </c>
      <c r="W41" s="1">
        <f>'3x6'!E35</f>
        <v>-5578.4881100169878</v>
      </c>
      <c r="X41" s="1">
        <f>'3x7'!E35</f>
        <v>-18982.977987255992</v>
      </c>
      <c r="Y41" s="1">
        <f>'3x8'!E35</f>
        <v>-258096.92106789138</v>
      </c>
      <c r="Z41" s="1">
        <f>'3x9'!E35</f>
        <v>70519.734363674797</v>
      </c>
      <c r="AA41" s="1">
        <f>'3x10'!E35</f>
        <v>50775.633186207335</v>
      </c>
    </row>
    <row r="42" spans="1:27" x14ac:dyDescent="0.2">
      <c r="A42" s="283">
        <v>4</v>
      </c>
      <c r="B42" s="1">
        <f>'1x2'!E36</f>
        <v>107.14211535574057</v>
      </c>
      <c r="C42" s="1">
        <f>'1x3'!E36</f>
        <v>292.07088386097723</v>
      </c>
      <c r="D42" s="1">
        <f>'1x4'!E36</f>
        <v>678.73757960588955</v>
      </c>
      <c r="E42" s="1">
        <f>'1x5'!E36</f>
        <v>1377.0319112673917</v>
      </c>
      <c r="F42" s="1">
        <f>'1x6'!E36</f>
        <v>2522.2532600078302</v>
      </c>
      <c r="G42" s="1">
        <f>'1x7'!E36</f>
        <v>4274.6732167762293</v>
      </c>
      <c r="H42" s="1">
        <f>'1x8'!E36</f>
        <v>6819.4834713770006</v>
      </c>
      <c r="I42" s="1">
        <f>'1x9'!E36</f>
        <v>10366.782338328601</v>
      </c>
      <c r="J42" s="1">
        <f>'1x10'!E36</f>
        <v>15151.555877521898</v>
      </c>
      <c r="K42" s="283">
        <v>4</v>
      </c>
      <c r="L42" s="1">
        <f>'2x3'!E24</f>
        <v>515.16941839211881</v>
      </c>
      <c r="M42" s="1">
        <f>'2x4'!E24</f>
        <v>899.265034121432</v>
      </c>
      <c r="N42" s="1">
        <f>'2x5'!E24</f>
        <v>1669.4347566570532</v>
      </c>
      <c r="O42" s="1">
        <f>'2x6'!E24</f>
        <v>2966.8785323574602</v>
      </c>
      <c r="P42" s="1">
        <f>'2x7'!E24</f>
        <v>4993.2181793640875</v>
      </c>
      <c r="Q42" s="1">
        <f>'2x8'!E24</f>
        <v>7992.8249625102799</v>
      </c>
      <c r="R42" s="1">
        <f>'2x9'!E24</f>
        <v>12250.650121208197</v>
      </c>
      <c r="S42" s="1">
        <f>'2x10'!E24</f>
        <v>18091.614907652322</v>
      </c>
      <c r="T42" s="283">
        <v>4</v>
      </c>
      <c r="U42" s="1">
        <f>'3x4'!E24</f>
        <v>-2133.9157264795253</v>
      </c>
      <c r="V42" s="1">
        <f>'3x5'!E36</f>
        <v>-16008.85739412514</v>
      </c>
      <c r="W42" s="1">
        <f>'3x6'!E36</f>
        <v>-91172.74241043345</v>
      </c>
      <c r="X42" s="1">
        <f>'3x7'!E36</f>
        <v>345413.91455276567</v>
      </c>
      <c r="Y42" s="1">
        <f>'3x8'!E36</f>
        <v>169458.39142456275</v>
      </c>
      <c r="Z42" s="1">
        <f>'3x9'!E36</f>
        <v>173325.3966495081</v>
      </c>
      <c r="AA42" s="1">
        <f>'3x10'!E36</f>
        <v>205768.34680308489</v>
      </c>
    </row>
    <row r="43" spans="1:27" x14ac:dyDescent="0.2">
      <c r="A43" s="283">
        <v>5</v>
      </c>
      <c r="B43" s="1">
        <f>'1x2'!E37</f>
        <v>297.55630755842134</v>
      </c>
      <c r="C43" s="1">
        <f>'1x3'!E37</f>
        <v>1107.6057369616381</v>
      </c>
      <c r="D43" s="1">
        <f>'1x4'!E37</f>
        <v>3262.3103555659577</v>
      </c>
      <c r="E43" s="1">
        <f>'1x5'!E37</f>
        <v>8004.1705318924796</v>
      </c>
      <c r="F43" s="1">
        <f>'1x6'!E37</f>
        <v>17182.765855388781</v>
      </c>
      <c r="G43" s="1">
        <f>'1x7'!E37</f>
        <v>33375.785840649507</v>
      </c>
      <c r="H43" s="1">
        <f>'1x8'!E37</f>
        <v>60010.698948829573</v>
      </c>
      <c r="I43" s="1">
        <f>'1x9'!E37</f>
        <v>101486.50624937969</v>
      </c>
      <c r="J43" s="1">
        <f>'1x10'!E37</f>
        <v>163295.45210846115</v>
      </c>
      <c r="K43" s="283">
        <v>5</v>
      </c>
      <c r="L43" s="1">
        <f>'2x3'!E25</f>
        <v>1344.7312769818732</v>
      </c>
      <c r="M43" s="1">
        <f>'2x4'!E25</f>
        <v>3183.2164034160046</v>
      </c>
      <c r="N43" s="1">
        <f>'2x5'!E25</f>
        <v>7432.7181072191706</v>
      </c>
      <c r="O43" s="1">
        <f>'2x6'!E25</f>
        <v>15916.576440189645</v>
      </c>
      <c r="P43" s="1">
        <f>'2x7'!E25</f>
        <v>31347.03208606214</v>
      </c>
      <c r="Q43" s="1">
        <f>'2x8'!E25</f>
        <v>57475.741622324516</v>
      </c>
      <c r="R43" s="1">
        <f>'2x9'!E25</f>
        <v>99268.793489809992</v>
      </c>
      <c r="S43" s="1">
        <f>'2x10'!E25</f>
        <v>163083.74810597009</v>
      </c>
      <c r="T43" s="283">
        <v>5</v>
      </c>
      <c r="U43" s="1">
        <f>'3x4'!E25</f>
        <v>-9112.8854287002032</v>
      </c>
      <c r="V43" s="1">
        <f>'3x5'!E37</f>
        <v>-115452.44287221863</v>
      </c>
      <c r="W43" s="1">
        <f>'3x6'!E37</f>
        <v>-1756026.3945662389</v>
      </c>
      <c r="X43" s="1">
        <f>'3x7'!E37</f>
        <v>1053925.952171854</v>
      </c>
      <c r="Y43" s="1">
        <f>'3x8'!E37</f>
        <v>987289.63385803509</v>
      </c>
      <c r="Z43" s="1">
        <f>'3x9'!E37</f>
        <v>1247535.4237179819</v>
      </c>
      <c r="AA43" s="1">
        <f>'3x10'!E37</f>
        <v>1702143.0502662342</v>
      </c>
    </row>
    <row r="44" spans="1:27" x14ac:dyDescent="0.2">
      <c r="A44" s="283">
        <v>6</v>
      </c>
      <c r="B44" s="1">
        <f>'1x2'!E38</f>
        <v>847.56785807746314</v>
      </c>
      <c r="C44" s="1">
        <f>'1x3'!E38</f>
        <v>4295.5189792237543</v>
      </c>
      <c r="D44" s="1">
        <f>'1x4'!E38</f>
        <v>15983.869994100258</v>
      </c>
      <c r="E44" s="1">
        <f>'1x5'!E38</f>
        <v>47310.916523076761</v>
      </c>
      <c r="F44" s="1">
        <f>'1x6'!E38</f>
        <v>118833.87993315789</v>
      </c>
      <c r="G44" s="1">
        <f>'1x7'!E38</f>
        <v>264245.52463359857</v>
      </c>
      <c r="H44" s="1">
        <f>'1x8'!E38</f>
        <v>535075.80225162546</v>
      </c>
      <c r="I44" s="1">
        <f>'1x9'!E38</f>
        <v>1006117.9208679427</v>
      </c>
      <c r="J44" s="1">
        <f>'1x10'!E38</f>
        <v>1781578.4833012118</v>
      </c>
      <c r="K44" s="283">
        <v>6</v>
      </c>
      <c r="L44" s="1">
        <f>'2x3'!E26</f>
        <v>3730.6623364156499</v>
      </c>
      <c r="M44" s="1">
        <f>'2x4'!E26</f>
        <v>11808.742037740993</v>
      </c>
      <c r="N44" s="1">
        <f>'2x5'!E26</f>
        <v>34508.726542597688</v>
      </c>
      <c r="O44" s="1">
        <f>'2x6'!E26</f>
        <v>88812.67026309135</v>
      </c>
      <c r="P44" s="1">
        <f>'2x7'!E26</f>
        <v>204370.01566063834</v>
      </c>
      <c r="Q44" s="1">
        <f>'2x8'!E26</f>
        <v>428793.52743429079</v>
      </c>
      <c r="R44" s="1">
        <f>'2x9'!E26</f>
        <v>833997.39056226762</v>
      </c>
      <c r="S44" s="1">
        <f>'2x10'!E26</f>
        <v>1523533.2087572366</v>
      </c>
      <c r="T44" s="283">
        <v>6</v>
      </c>
      <c r="U44" s="1">
        <f>'3x4'!E26</f>
        <v>-37502.949923968765</v>
      </c>
      <c r="V44" s="1">
        <f>'3x5'!E38</f>
        <v>-764051.21391899011</v>
      </c>
      <c r="W44" s="1">
        <f>'3x6'!E38</f>
        <v>-87687819.458132684</v>
      </c>
      <c r="X44" s="1">
        <f>'3x7'!E38</f>
        <v>6408344.8456223635</v>
      </c>
      <c r="Y44" s="1">
        <f>'3x8'!E38</f>
        <v>7500281.7331193881</v>
      </c>
      <c r="Z44" s="1">
        <f>'3x9'!E38</f>
        <v>10853772.770827049</v>
      </c>
      <c r="AA44" s="1">
        <f>'3x10'!E38</f>
        <v>16513329.704794781</v>
      </c>
    </row>
    <row r="45" spans="1:27" x14ac:dyDescent="0.2">
      <c r="A45" s="283">
        <v>7</v>
      </c>
      <c r="B45" s="1">
        <f>'1x2'!E39</f>
        <v>2451.9364638660968</v>
      </c>
      <c r="C45" s="1">
        <f>'1x3'!E39</f>
        <v>16868.629227620477</v>
      </c>
      <c r="D45" s="1">
        <f>'1x4'!E39</f>
        <v>79074.458071845555</v>
      </c>
      <c r="E45" s="1">
        <f>'1x5'!E39</f>
        <v>281833.80605143763</v>
      </c>
      <c r="F45" s="1">
        <f>'1x6'!E39</f>
        <v>827309.67021601147</v>
      </c>
      <c r="G45" s="1">
        <f>'1x7'!E39</f>
        <v>2104471.6920609414</v>
      </c>
      <c r="H45" s="1">
        <f>'1x8'!E39</f>
        <v>4796800.8325380646</v>
      </c>
      <c r="I45" s="1">
        <f>'1x9'!E39</f>
        <v>10025342.931790886</v>
      </c>
      <c r="J45" s="1">
        <f>'1x10'!E39</f>
        <v>19532162.175053068</v>
      </c>
      <c r="K45" s="283">
        <v>7</v>
      </c>
      <c r="L45" s="1">
        <f>'2x3'!E27</f>
        <v>10676.432731777108</v>
      </c>
      <c r="M45" s="1">
        <f>'2x4'!E27</f>
        <v>44942.315604039672</v>
      </c>
      <c r="N45" s="1">
        <f>'2x5'!E27</f>
        <v>163977.56869921551</v>
      </c>
      <c r="O45" s="1">
        <f>'2x6'!E27</f>
        <v>506505.30374743982</v>
      </c>
      <c r="P45" s="1">
        <f>'2x7'!E27</f>
        <v>1360701.6587617111</v>
      </c>
      <c r="Q45" s="1">
        <f>'2x8'!E27</f>
        <v>3265190.8361099064</v>
      </c>
      <c r="R45" s="1">
        <f>'2x9'!E27</f>
        <v>7149290.3909851965</v>
      </c>
      <c r="S45" s="1">
        <f>'2x10'!E27</f>
        <v>14519036.268513869</v>
      </c>
      <c r="T45" s="283">
        <v>7</v>
      </c>
      <c r="U45" s="1">
        <f>'3x4'!E27</f>
        <v>-151858.85464649956</v>
      </c>
      <c r="V45" s="1">
        <f>'3x5'!E39</f>
        <v>-4816329.6364266481</v>
      </c>
      <c r="W45" s="1">
        <f>'3x6'!E39</f>
        <v>299423974.53454024</v>
      </c>
      <c r="X45" s="1">
        <f>'3x7'!E39</f>
        <v>45601885.564943917</v>
      </c>
      <c r="Y45" s="1">
        <f>'3x8'!E39</f>
        <v>62331879.463029057</v>
      </c>
      <c r="Z45" s="1">
        <f>'3x9'!E39</f>
        <v>101392124.96414556</v>
      </c>
      <c r="AA45" s="1">
        <f>'3x10'!E39</f>
        <v>170584571.39747891</v>
      </c>
    </row>
    <row r="46" spans="1:27" x14ac:dyDescent="0.2">
      <c r="A46" s="283">
        <v>8</v>
      </c>
      <c r="B46" s="1">
        <f>'1x2'!E40</f>
        <v>7165.056517066324</v>
      </c>
      <c r="C46" s="1">
        <f>'1x3'!E40</f>
        <v>66726.26876195443</v>
      </c>
      <c r="D46" s="1">
        <f>'1x4'!E40</f>
        <v>393153.94313593808</v>
      </c>
      <c r="E46" s="1">
        <f>'1x5'!E40</f>
        <v>1685141.8411640979</v>
      </c>
      <c r="F46" s="1">
        <f>'1x6'!E40</f>
        <v>5776820.8719486231</v>
      </c>
      <c r="G46" s="1">
        <f>'1x7'!E40</f>
        <v>16802794.467650086</v>
      </c>
      <c r="H46" s="1">
        <f>'1x8'!E40</f>
        <v>43099511.848063141</v>
      </c>
      <c r="I46" s="1">
        <f>'1x9'!E40</f>
        <v>100105268.2121952</v>
      </c>
      <c r="J46" s="1">
        <f>'1x10'!E40</f>
        <v>214561472.54419202</v>
      </c>
      <c r="K46" s="283">
        <v>8</v>
      </c>
      <c r="L46" s="1">
        <f>'2x3'!E28</f>
        <v>31097.889724930003</v>
      </c>
      <c r="M46" s="1">
        <f>'2x4'!E28</f>
        <v>173698.7582807354</v>
      </c>
      <c r="N46" s="1">
        <f>'2x5'!E28</f>
        <v>790293.32881986117</v>
      </c>
      <c r="O46" s="1">
        <f>'2x6'!E28</f>
        <v>2927556.426216383</v>
      </c>
      <c r="P46" s="1">
        <f>'2x7'!E28</f>
        <v>9177232.0041361768</v>
      </c>
      <c r="Q46" s="1">
        <f>'2x8'!E28</f>
        <v>25179005.058193531</v>
      </c>
      <c r="R46" s="1">
        <f>'2x9'!E28</f>
        <v>62050188.008006036</v>
      </c>
      <c r="S46" s="1">
        <f>'2x10'!E28</f>
        <v>140070406.82775152</v>
      </c>
      <c r="T46" s="283">
        <v>8</v>
      </c>
      <c r="U46" s="1">
        <f>'3x4'!E28</f>
        <v>-610631.22295357357</v>
      </c>
      <c r="V46" s="1">
        <f>'3x5'!E40</f>
        <v>-29602464.134497214</v>
      </c>
      <c r="W46" s="1">
        <f>'3x6'!E40</f>
        <v>1201530405.7648432</v>
      </c>
      <c r="X46" s="1">
        <f>'3x7'!E40</f>
        <v>344936284.01798141</v>
      </c>
      <c r="Y46" s="1">
        <f>'3x8'!E40</f>
        <v>538841407.05545521</v>
      </c>
      <c r="Z46" s="1">
        <f>'3x9'!E40</f>
        <v>978667693.4063344</v>
      </c>
      <c r="AA46" s="1">
        <f>'3x10'!E40</f>
        <v>1815115233.002588</v>
      </c>
    </row>
    <row r="47" spans="1:27" x14ac:dyDescent="0.2">
      <c r="A47" s="283">
        <v>9</v>
      </c>
      <c r="B47" s="1">
        <f>'1x2'!E41</f>
        <v>21081.126337148238</v>
      </c>
      <c r="C47" s="1">
        <f>'1x3'!E41</f>
        <v>265087.86768855969</v>
      </c>
      <c r="D47" s="1">
        <f>'1x4'!E41</f>
        <v>1959886.076406244</v>
      </c>
      <c r="E47" s="1">
        <f>'1x5'!E41</f>
        <v>10093824.277297564</v>
      </c>
      <c r="F47" s="1">
        <f>'1x6'!E41</f>
        <v>40392032.473342314</v>
      </c>
      <c r="G47" s="1">
        <f>'1x7'!E41</f>
        <v>134307242.09954369</v>
      </c>
      <c r="H47" s="1">
        <f>'1x8'!E41</f>
        <v>387622227.66719699</v>
      </c>
      <c r="I47" s="1">
        <f>'1x9'!E41</f>
        <v>1000437760.5176764</v>
      </c>
      <c r="J47" s="1">
        <f>'1x10'!E41</f>
        <v>2358860919.87186</v>
      </c>
      <c r="K47" s="283">
        <v>9</v>
      </c>
      <c r="L47" s="1">
        <f>'2x3'!E29</f>
        <v>91548.711233015085</v>
      </c>
      <c r="M47" s="1">
        <f>'2x4'!E29</f>
        <v>678006.20526843425</v>
      </c>
      <c r="N47" s="1">
        <f>'2x5'!E29</f>
        <v>3844259.2310922891</v>
      </c>
      <c r="O47" s="1">
        <f>'2x6'!E29</f>
        <v>17070538.658859141</v>
      </c>
      <c r="P47" s="1">
        <f>'2x7'!E29</f>
        <v>62423951.060096152</v>
      </c>
      <c r="Q47" s="1">
        <f>'2x8'!E29</f>
        <v>195783282.72108757</v>
      </c>
      <c r="R47" s="1">
        <f>'2x9'!E29</f>
        <v>542969220.67958212</v>
      </c>
      <c r="S47" s="1">
        <f>'2x10'!E29</f>
        <v>1362290624.7214334</v>
      </c>
      <c r="T47" s="283">
        <v>9</v>
      </c>
      <c r="U47" s="1">
        <f>'3x4'!E29</f>
        <v>-2448021.2370711416</v>
      </c>
      <c r="V47" s="1">
        <f>'3x5'!E41</f>
        <v>-179679219.03731942</v>
      </c>
      <c r="W47" s="1">
        <f>'3x6'!E41</f>
        <v>6927109785.8592052</v>
      </c>
      <c r="X47" s="1">
        <f>'3x7'!E41</f>
        <v>2682949274.2215567</v>
      </c>
      <c r="Y47" s="1">
        <f>'3x8'!E41</f>
        <v>4748544940.925909</v>
      </c>
      <c r="Z47" s="1">
        <f>'3x9'!E41</f>
        <v>9603071250.3108749</v>
      </c>
      <c r="AA47" s="1">
        <f>'3x10'!E41</f>
        <v>19608931119.351147</v>
      </c>
    </row>
    <row r="48" spans="1:27" x14ac:dyDescent="0.2">
      <c r="A48" s="283">
        <v>10</v>
      </c>
      <c r="B48" s="1">
        <f>'1x2'!E42</f>
        <v>62322.069125053633</v>
      </c>
      <c r="C48" s="1">
        <f>'1x3'!E42</f>
        <v>1055889.2454715127</v>
      </c>
      <c r="D48" s="1">
        <f>'1x4'!E42</f>
        <v>9783737.5180109572</v>
      </c>
      <c r="E48" s="1">
        <f>'1x5'!E42</f>
        <v>60513306.000918381</v>
      </c>
      <c r="F48" s="1">
        <f>'1x6'!E42</f>
        <v>282598191.08334231</v>
      </c>
      <c r="G48" s="1">
        <f>'1x7'!E42</f>
        <v>1074055289.9504206</v>
      </c>
      <c r="H48" s="1">
        <f>'1x8'!E42</f>
        <v>3487555759.6186066</v>
      </c>
      <c r="I48" s="1">
        <f>'1x9'!E42</f>
        <v>10001821314.349709</v>
      </c>
      <c r="J48" s="1">
        <f>'1x10'!E42</f>
        <v>25941543006.735909</v>
      </c>
      <c r="K48" s="283">
        <v>10</v>
      </c>
      <c r="L48" s="1">
        <f>'2x3'!E30</f>
        <v>271301.97976711852</v>
      </c>
      <c r="M48" s="1">
        <f>'2x4'!E30</f>
        <v>2664161.6414463636</v>
      </c>
      <c r="N48" s="1">
        <f>'2x5'!E30</f>
        <v>18819363.522006057</v>
      </c>
      <c r="O48" s="1">
        <f>'2x6'!E30</f>
        <v>100146536.95962128</v>
      </c>
      <c r="P48" s="1">
        <f>'2x7'!E30</f>
        <v>427122690.55285037</v>
      </c>
      <c r="Q48" s="1">
        <f>'2x8'!E30</f>
        <v>1531153821.8590522</v>
      </c>
      <c r="R48" s="1">
        <f>'2x9'!E30</f>
        <v>4778336564.5400152</v>
      </c>
      <c r="S48" s="1">
        <f>'2x10'!E30</f>
        <v>13324095768.475294</v>
      </c>
      <c r="T48" s="283">
        <v>10</v>
      </c>
      <c r="U48" s="1">
        <f>'3x4'!E30</f>
        <v>-9801517.1270929091</v>
      </c>
      <c r="V48" s="1">
        <f>'3x5'!E42</f>
        <v>-1084019910.4159088</v>
      </c>
      <c r="W48" s="1">
        <f>'3x6'!E42</f>
        <v>44540579644.51384</v>
      </c>
      <c r="X48" s="1">
        <f>'3x7'!E42</f>
        <v>21155749633.807205</v>
      </c>
      <c r="Y48" s="1">
        <f>'3x8'!E42</f>
        <v>42261265926.332054</v>
      </c>
      <c r="Z48" s="1">
        <f>'3x9'!E42</f>
        <v>95047470101.618866</v>
      </c>
      <c r="AA48" s="1">
        <f>'3x10'!E42</f>
        <v>213560325244.31116</v>
      </c>
    </row>
    <row r="49" spans="1:27" x14ac:dyDescent="0.2">
      <c r="B49" s="342" t="s">
        <v>156</v>
      </c>
      <c r="C49" s="342"/>
      <c r="D49" s="342"/>
      <c r="E49" s="342"/>
      <c r="F49" s="342"/>
      <c r="G49" s="342"/>
      <c r="H49" s="342"/>
      <c r="I49" s="342"/>
      <c r="J49" s="342"/>
      <c r="L49" s="342" t="s">
        <v>167</v>
      </c>
      <c r="M49" s="342"/>
      <c r="N49" s="342"/>
      <c r="O49" s="342"/>
      <c r="P49" s="342"/>
      <c r="Q49" s="342"/>
      <c r="R49" s="342"/>
      <c r="S49" s="342"/>
      <c r="U49" s="342" t="s">
        <v>156</v>
      </c>
      <c r="V49" s="342"/>
      <c r="W49" s="342"/>
      <c r="X49" s="342"/>
      <c r="Y49" s="342"/>
      <c r="Z49" s="342"/>
      <c r="AA49" s="342"/>
    </row>
    <row r="50" spans="1:27" x14ac:dyDescent="0.2">
      <c r="A50" s="283" t="s">
        <v>57</v>
      </c>
      <c r="B50" s="49" t="s">
        <v>141</v>
      </c>
      <c r="C50" s="49" t="s">
        <v>142</v>
      </c>
      <c r="D50" s="49" t="s">
        <v>143</v>
      </c>
      <c r="E50" s="49" t="s">
        <v>144</v>
      </c>
      <c r="F50" s="49" t="s">
        <v>145</v>
      </c>
      <c r="G50" s="49" t="s">
        <v>146</v>
      </c>
      <c r="H50" s="49" t="s">
        <v>147</v>
      </c>
      <c r="I50" s="49" t="s">
        <v>148</v>
      </c>
      <c r="J50" s="49" t="s">
        <v>149</v>
      </c>
      <c r="K50" s="283" t="s">
        <v>57</v>
      </c>
      <c r="L50" s="49" t="s">
        <v>158</v>
      </c>
      <c r="M50" s="49" t="s">
        <v>159</v>
      </c>
      <c r="N50" s="49" t="s">
        <v>160</v>
      </c>
      <c r="O50" s="49" t="s">
        <v>161</v>
      </c>
      <c r="P50" s="49" t="s">
        <v>162</v>
      </c>
      <c r="Q50" s="49" t="s">
        <v>163</v>
      </c>
      <c r="R50" s="49" t="s">
        <v>164</v>
      </c>
      <c r="S50" s="49" t="s">
        <v>165</v>
      </c>
      <c r="T50" s="283" t="s">
        <v>57</v>
      </c>
      <c r="U50" s="49" t="s">
        <v>169</v>
      </c>
      <c r="V50" s="49" t="s">
        <v>170</v>
      </c>
      <c r="W50" s="49" t="s">
        <v>171</v>
      </c>
      <c r="X50" s="49" t="s">
        <v>172</v>
      </c>
      <c r="Y50" s="49" t="s">
        <v>173</v>
      </c>
      <c r="Z50" s="49" t="s">
        <v>174</v>
      </c>
      <c r="AA50" s="49" t="s">
        <v>175</v>
      </c>
    </row>
    <row r="51" spans="1:27" x14ac:dyDescent="0.2">
      <c r="A51" s="283">
        <v>1</v>
      </c>
      <c r="B51" s="1">
        <f>'1x2'!E45</f>
        <v>19.380224308650003</v>
      </c>
      <c r="C51" s="1">
        <f>'1x3'!E45</f>
        <v>13.030902752565376</v>
      </c>
      <c r="D51" s="1">
        <f>'1x4'!E45</f>
        <v>13.282157703260239</v>
      </c>
      <c r="E51" s="1">
        <f>'1x5'!E45</f>
        <v>14.516091898240006</v>
      </c>
      <c r="F51" s="1">
        <f>'1x6'!E45</f>
        <v>16.115662659428747</v>
      </c>
      <c r="G51" s="1">
        <f>'1x7'!E45</f>
        <v>17.909133338241897</v>
      </c>
      <c r="H51" s="1">
        <f>'1x8'!E45</f>
        <v>19.826665338578159</v>
      </c>
      <c r="I51" s="1">
        <f>'1x9'!E45</f>
        <v>21.832275356266774</v>
      </c>
      <c r="J51" s="1">
        <f>'1x10'!E45</f>
        <v>23.90407125373833</v>
      </c>
      <c r="K51" s="283">
        <v>1</v>
      </c>
      <c r="L51" s="1">
        <f>'2x3'!E45</f>
        <v>-15.026693033762502</v>
      </c>
      <c r="M51" s="1">
        <f>'2x4'!E45</f>
        <v>-31.914845027994744</v>
      </c>
      <c r="N51" s="1">
        <f>'2x5'!E45</f>
        <v>-64.513589681892029</v>
      </c>
      <c r="O51" s="1">
        <f>'2x6'!E45</f>
        <v>-131.42320790864352</v>
      </c>
      <c r="P51" s="1">
        <f>'2x7'!E45</f>
        <v>-292.09672438042276</v>
      </c>
      <c r="Q51" s="1">
        <f>'2x8'!E45</f>
        <v>-892.14944281923442</v>
      </c>
      <c r="R51" s="1">
        <f>'2x9'!E45</f>
        <v>5948.7503524171261</v>
      </c>
      <c r="S51" s="1">
        <f>'2x10'!E45</f>
        <v>1124.8431732933502</v>
      </c>
      <c r="T51" s="283">
        <v>1</v>
      </c>
      <c r="U51" s="1">
        <f>'3x4'!E45</f>
        <v>-10.003905745462683</v>
      </c>
      <c r="V51" s="1">
        <f>'3x5'!E45</f>
        <v>-13.948284732283932</v>
      </c>
      <c r="W51" s="1">
        <f>'3x6'!E45</f>
        <v>-18.165900910064718</v>
      </c>
      <c r="X51" s="1">
        <f>'3x7'!E45</f>
        <v>-22.522160517863032</v>
      </c>
      <c r="Y51" s="1">
        <f>'3x8'!E45</f>
        <v>-26.918823514888587</v>
      </c>
      <c r="Z51" s="1">
        <f>'3x9'!E45</f>
        <v>-31.292845926543283</v>
      </c>
      <c r="AA51" s="1">
        <f>'3x10'!E21</f>
        <v>-35.609465685472848</v>
      </c>
    </row>
    <row r="52" spans="1:27" x14ac:dyDescent="0.2">
      <c r="A52" s="283">
        <v>2</v>
      </c>
      <c r="B52" s="1">
        <f>'1x2'!E46</f>
        <v>21.471788272576603</v>
      </c>
      <c r="C52" s="1">
        <f>'1x3'!E46</f>
        <v>34.323858950877145</v>
      </c>
      <c r="D52" s="1">
        <f>'1x4'!E46</f>
        <v>52.634233188873672</v>
      </c>
      <c r="E52" s="1">
        <f>'1x5'!E46</f>
        <v>75.925103894181817</v>
      </c>
      <c r="F52" s="1">
        <f>'1x6'!E46</f>
        <v>104.14775297542728</v>
      </c>
      <c r="G52" s="1">
        <f>'1x7'!E46</f>
        <v>137.32302505998368</v>
      </c>
      <c r="H52" s="1">
        <f>'1x8'!E46</f>
        <v>175.48383119389715</v>
      </c>
      <c r="I52" s="1">
        <f>'1x9'!E46</f>
        <v>218.66056975794555</v>
      </c>
      <c r="J52" s="1">
        <f>'1x10'!E46</f>
        <v>266.87699143864648</v>
      </c>
      <c r="K52" s="283">
        <v>2</v>
      </c>
      <c r="L52" s="1">
        <f>'2x3'!E46</f>
        <v>395.12131753693757</v>
      </c>
      <c r="M52" s="1">
        <f>'2x4'!E46</f>
        <v>224.79312506547484</v>
      </c>
      <c r="N52" s="1">
        <f>'2x5'!E46</f>
        <v>241.71775473679827</v>
      </c>
      <c r="O52" s="1">
        <f>'2x6'!E46</f>
        <v>287.21047571345298</v>
      </c>
      <c r="P52" s="1">
        <f>'2x7'!E46</f>
        <v>348.6850329669258</v>
      </c>
      <c r="Q52" s="1">
        <f>'2x8'!E46</f>
        <v>423.22539738131769</v>
      </c>
      <c r="R52" s="1">
        <f>'2x9'!E46</f>
        <v>509.91570619374068</v>
      </c>
      <c r="S52" s="1">
        <f>'2x10'!E46</f>
        <v>608.42864926363848</v>
      </c>
      <c r="T52" s="283">
        <v>2</v>
      </c>
      <c r="U52" s="1">
        <f>'3x4'!E46</f>
        <v>-149.82606675287374</v>
      </c>
      <c r="V52" s="1">
        <f>'3x5'!E46</f>
        <v>-305.97016903294792</v>
      </c>
      <c r="W52" s="1">
        <f>'3x6'!E46</f>
        <v>-563.65016658584693</v>
      </c>
      <c r="X52" s="1">
        <f>'3x7'!E46</f>
        <v>-956.81017577416083</v>
      </c>
      <c r="Y52" s="1">
        <f>'3x8'!E46</f>
        <v>-1515.844605393723</v>
      </c>
      <c r="Z52" s="1">
        <f>'3x9'!E46</f>
        <v>-2261.067423987432</v>
      </c>
      <c r="AA52" s="1">
        <f>'3x10'!E22</f>
        <v>-1675.2889162501008</v>
      </c>
    </row>
    <row r="53" spans="1:27" x14ac:dyDescent="0.2">
      <c r="A53" s="283">
        <v>3</v>
      </c>
      <c r="B53" s="1">
        <f>'1x2'!E47</f>
        <v>65.301359171408933</v>
      </c>
      <c r="C53" s="1">
        <f>'1x3'!E47</f>
        <v>164.66461892977009</v>
      </c>
      <c r="D53" s="1">
        <f>'1x4'!E47</f>
        <v>346.16087104175614</v>
      </c>
      <c r="E53" s="1">
        <f>'1x5'!E47</f>
        <v>634.95557550846149</v>
      </c>
      <c r="F53" s="1">
        <f>'1x6'!E47</f>
        <v>1056.7653166571299</v>
      </c>
      <c r="G53" s="1">
        <f>'1x7'!E47</f>
        <v>1637.5325670305997</v>
      </c>
      <c r="H53" s="1">
        <f>'1x8'!E47</f>
        <v>2403.3380995108955</v>
      </c>
      <c r="I53" s="1">
        <f>'1x9'!E47</f>
        <v>3380.3479659097397</v>
      </c>
      <c r="J53" s="1">
        <f>'1x10'!E47</f>
        <v>4594.7722533135275</v>
      </c>
      <c r="K53" s="283">
        <v>3</v>
      </c>
      <c r="L53" s="1">
        <f>'2x3'!E47</f>
        <v>759.47088590713008</v>
      </c>
      <c r="M53" s="1">
        <f>'2x4'!E47</f>
        <v>978.3145388474403</v>
      </c>
      <c r="N53" s="1">
        <f>'2x5'!E47</f>
        <v>1467.3327071022402</v>
      </c>
      <c r="O53" s="1">
        <f>'2x6'!E47</f>
        <v>2193.074625708603</v>
      </c>
      <c r="P53" s="1">
        <f>'2x7'!E47</f>
        <v>3186.6731361434772</v>
      </c>
      <c r="Q53" s="1">
        <f>'2x8'!E47</f>
        <v>4489.4886414558814</v>
      </c>
      <c r="R53" s="1">
        <f>'2x9'!E47</f>
        <v>6146.13230772523</v>
      </c>
      <c r="S53" s="1">
        <f>'2x10'!E47</f>
        <v>8202.5430125450293</v>
      </c>
      <c r="T53" s="283">
        <v>3</v>
      </c>
      <c r="U53" s="1">
        <f>'3x4'!E47</f>
        <v>-1600.0860092227701</v>
      </c>
      <c r="V53" s="1">
        <f>'3x5'!E47</f>
        <v>-5011.2923394222344</v>
      </c>
      <c r="W53" s="1">
        <f>'3x6'!E47</f>
        <v>-15365.309355660826</v>
      </c>
      <c r="X53" s="1">
        <f>'3x7'!E47</f>
        <v>-54868.607607000202</v>
      </c>
      <c r="Y53" s="1">
        <f>'3x8'!E47</f>
        <v>-774290.76320367411</v>
      </c>
      <c r="Z53" s="1">
        <f>'3x9'!E47</f>
        <v>217912.33231297706</v>
      </c>
      <c r="AA53" s="1">
        <f>'3x10'!E23</f>
        <v>42376.656268188075</v>
      </c>
    </row>
    <row r="54" spans="1:27" x14ac:dyDescent="0.2">
      <c r="A54" s="283">
        <v>4</v>
      </c>
      <c r="B54" s="1">
        <f>'1x2'!E48</f>
        <v>227.67699513094871</v>
      </c>
      <c r="C54" s="1">
        <f>'1x3'!E48</f>
        <v>889.95716376462474</v>
      </c>
      <c r="D54" s="1">
        <f>'1x4'!E48</f>
        <v>2545.2659235220858</v>
      </c>
      <c r="E54" s="1">
        <f>'1x5'!E48</f>
        <v>5906.8820595292364</v>
      </c>
      <c r="F54" s="1">
        <f>'1x6'!E48</f>
        <v>11886.1184877869</v>
      </c>
      <c r="G54" s="1">
        <f>'1x7'!E48</f>
        <v>21592.580094997877</v>
      </c>
      <c r="H54" s="1">
        <f>'1x8'!E48</f>
        <v>36334.540593226971</v>
      </c>
      <c r="I54" s="1">
        <f>'1x9'!E48</f>
        <v>57619.15476073727</v>
      </c>
      <c r="J54" s="1">
        <f>'1x10'!E48</f>
        <v>87152.494565991728</v>
      </c>
      <c r="K54" s="283">
        <v>4</v>
      </c>
      <c r="L54" s="1">
        <f>'2x3'!E48</f>
        <v>3335.7219840889697</v>
      </c>
      <c r="M54" s="1">
        <f>'2x4'!E48</f>
        <v>6189.0593524827964</v>
      </c>
      <c r="N54" s="1">
        <f>'2x5'!E48</f>
        <v>11889.371888756321</v>
      </c>
      <c r="O54" s="1">
        <f>'2x6'!E48</f>
        <v>21592.919048238658</v>
      </c>
      <c r="P54" s="1">
        <f>'2x7'!E48</f>
        <v>36887.399300052195</v>
      </c>
      <c r="Q54" s="1">
        <f>'2x8'!E48</f>
        <v>59693.422668730615</v>
      </c>
      <c r="R54" s="1">
        <f>'2x9'!E48</f>
        <v>92253.371339586112</v>
      </c>
      <c r="S54" s="1">
        <f>'2x10'!E48</f>
        <v>137128.25304891108</v>
      </c>
      <c r="T54" s="283">
        <v>4</v>
      </c>
      <c r="U54" s="1">
        <f>'3x4'!E48</f>
        <v>-14686.361176359087</v>
      </c>
      <c r="V54" s="1">
        <f>'3x5'!E48</f>
        <v>-68671.199092173862</v>
      </c>
      <c r="W54" s="1">
        <f>'3x6'!E48</f>
        <v>-429651.54860916757</v>
      </c>
      <c r="X54" s="1">
        <f>'3x7'!E48</f>
        <v>1744783.1068434573</v>
      </c>
      <c r="Y54" s="1">
        <f>'3x8'!E48</f>
        <v>902882.57577306672</v>
      </c>
      <c r="Z54" s="1">
        <f>'3x9'!E48</f>
        <v>963352.22710235149</v>
      </c>
      <c r="AA54" s="1">
        <f>'3x10'!E24</f>
        <v>156153.43804523721</v>
      </c>
    </row>
    <row r="55" spans="1:27" x14ac:dyDescent="0.2">
      <c r="A55" s="283">
        <v>5</v>
      </c>
      <c r="B55" s="1">
        <f>'1x2'!E49</f>
        <v>838.56777584646011</v>
      </c>
      <c r="C55" s="1">
        <f>'1x3'!E49</f>
        <v>5050.8120849716925</v>
      </c>
      <c r="D55" s="1">
        <f>'1x4'!E49</f>
        <v>19552.976663769845</v>
      </c>
      <c r="E55" s="1">
        <f>'1x5'!E49</f>
        <v>57192.500823059381</v>
      </c>
      <c r="F55" s="1">
        <f>'1x6'!E49</f>
        <v>138768.7777275079</v>
      </c>
      <c r="G55" s="1">
        <f>'1x7'!E49</f>
        <v>294977.49113725929</v>
      </c>
      <c r="H55" s="1">
        <f>'1x8'!E49</f>
        <v>568357.6629207331</v>
      </c>
      <c r="I55" s="1">
        <f>'1x9'!E49</f>
        <v>1015239.5514467466</v>
      </c>
      <c r="J55" s="1">
        <f>'1x10'!E49</f>
        <v>1707692.2284730915</v>
      </c>
      <c r="K55" s="283">
        <v>5</v>
      </c>
      <c r="L55" s="1">
        <f>'2x3'!E49</f>
        <v>17281.463931461265</v>
      </c>
      <c r="M55" s="1">
        <f>'2x4'!E49</f>
        <v>43696.879719619697</v>
      </c>
      <c r="N55" s="1">
        <f>'2x5'!E49</f>
        <v>105742.54915404892</v>
      </c>
      <c r="O55" s="1">
        <f>'2x6'!E49</f>
        <v>231542.68530773633</v>
      </c>
      <c r="P55" s="1">
        <f>'2x7'!E49</f>
        <v>462998.23792662501</v>
      </c>
      <c r="Q55" s="1">
        <f>'2x8'!E49</f>
        <v>858329.78383007797</v>
      </c>
      <c r="R55" s="1">
        <f>'2x9'!E49</f>
        <v>1494895.7682137745</v>
      </c>
      <c r="S55" s="1">
        <f>'2x10'!E49</f>
        <v>2472030.2348803519</v>
      </c>
      <c r="T55" s="283">
        <v>5</v>
      </c>
      <c r="U55" s="1">
        <f>'3x4'!E49</f>
        <v>-125095.06361215733</v>
      </c>
      <c r="V55" s="1">
        <f>'3x5'!E49</f>
        <v>-824946.68344258599</v>
      </c>
      <c r="W55" s="1">
        <f>'3x6'!E49</f>
        <v>-14181746.901636161</v>
      </c>
      <c r="X55" s="1">
        <f>'3x7'!E49</f>
        <v>9314670.0635124482</v>
      </c>
      <c r="Y55" s="1">
        <f>'3x8'!E49</f>
        <v>9350559.7960772179</v>
      </c>
      <c r="Z55" s="1">
        <f>'3x9'!E49</f>
        <v>12479957.688927857</v>
      </c>
      <c r="AA55" s="1">
        <f>'3x10'!E25</f>
        <v>1174325.4536794864</v>
      </c>
    </row>
    <row r="56" spans="1:27" x14ac:dyDescent="0.2">
      <c r="A56" s="283">
        <v>6</v>
      </c>
      <c r="B56" s="1">
        <f>'1x2'!E50</f>
        <v>3178.3794677904866</v>
      </c>
      <c r="C56" s="1">
        <f>'1x3'!E50</f>
        <v>29363.727175924436</v>
      </c>
      <c r="D56" s="1">
        <f>'1x4'!E50</f>
        <v>153246.27429827457</v>
      </c>
      <c r="E56" s="1">
        <f>'1x5'!E50</f>
        <v>563365.47484680975</v>
      </c>
      <c r="F56" s="1">
        <f>'1x6'!E50</f>
        <v>1645135.31260177</v>
      </c>
      <c r="G56" s="1">
        <f>'1x7'!E50</f>
        <v>4086883.1381387254</v>
      </c>
      <c r="H56" s="1">
        <f>'1x8'!E50</f>
        <v>9009063.9527051076</v>
      </c>
      <c r="I56" s="1">
        <f>'1x9'!E50</f>
        <v>18116651.281340186</v>
      </c>
      <c r="J56" s="1">
        <f>'1x10'!E50</f>
        <v>33874700.130393282</v>
      </c>
      <c r="K56" s="283">
        <v>6</v>
      </c>
      <c r="L56" s="1">
        <f>'2x3'!E50</f>
        <v>95634.094123885792</v>
      </c>
      <c r="M56" s="1">
        <f>'2x4'!E50</f>
        <v>323974.78430136445</v>
      </c>
      <c r="N56" s="1">
        <f>'2x5'!E50</f>
        <v>981643.39858539973</v>
      </c>
      <c r="O56" s="1">
        <f>'2x6'!E50</f>
        <v>2583695.8290565787</v>
      </c>
      <c r="P56" s="1">
        <f>'2x7'!E50</f>
        <v>6036826.3576378729</v>
      </c>
      <c r="Q56" s="1">
        <f>'2x8'!E50</f>
        <v>12806681.442982001</v>
      </c>
      <c r="R56" s="1">
        <f>'2x9'!E50</f>
        <v>25118085.582543273</v>
      </c>
      <c r="S56" s="1">
        <f>'2x10'!E50</f>
        <v>46187157.478334814</v>
      </c>
      <c r="T56" s="283">
        <v>6</v>
      </c>
      <c r="U56" s="1">
        <f>'3x4'!E50</f>
        <v>-1028899.6129690156</v>
      </c>
      <c r="V56" s="1">
        <f>'3x5'!E50</f>
        <v>-9098113.2172063999</v>
      </c>
      <c r="W56" s="1">
        <f>'3x6'!E50</f>
        <v>-1213949492.8278503</v>
      </c>
      <c r="X56" s="1">
        <f>'3x7'!E50</f>
        <v>99112961.437161073</v>
      </c>
      <c r="Y56" s="1">
        <f>'3x8'!E50</f>
        <v>126282140.79694577</v>
      </c>
      <c r="Z56" s="1">
        <f>'3x9'!E50</f>
        <v>195438340.07682699</v>
      </c>
      <c r="AA56" s="1">
        <f>'3x10'!E26</f>
        <v>10357044.507831814</v>
      </c>
    </row>
    <row r="57" spans="1:27" x14ac:dyDescent="0.2">
      <c r="A57" s="283">
        <v>7</v>
      </c>
      <c r="B57" s="1">
        <f>'1x2'!E51</f>
        <v>12250.709084330059</v>
      </c>
      <c r="C57" s="1">
        <f>'1x3'!E51</f>
        <v>172939.7444729514</v>
      </c>
      <c r="D57" s="1">
        <f>'1x4'!E51</f>
        <v>1212951.4165745955</v>
      </c>
      <c r="E57" s="1">
        <f>'1x5'!E51</f>
        <v>5593238.4674231326</v>
      </c>
      <c r="F57" s="1">
        <f>'1x6'!E51</f>
        <v>19634037.828449067</v>
      </c>
      <c r="G57" s="1">
        <f>'1x7'!E51</f>
        <v>56959257.552870087</v>
      </c>
      <c r="H57" s="1">
        <f>'1x8'!E51</f>
        <v>143579625.48517817</v>
      </c>
      <c r="I57" s="1">
        <f>'1x9'!E51</f>
        <v>324937925.6960268</v>
      </c>
      <c r="J57" s="1">
        <f>'1x10'!E51</f>
        <v>675239618.9129827</v>
      </c>
      <c r="K57" s="283">
        <v>7</v>
      </c>
      <c r="L57" s="1">
        <f>'2x3'!E51</f>
        <v>546881.46326990391</v>
      </c>
      <c r="M57" s="1">
        <f>'2x4'!E51</f>
        <v>2465556.337440223</v>
      </c>
      <c r="N57" s="1">
        <f>'2x5'!E51</f>
        <v>9328620.1594876889</v>
      </c>
      <c r="O57" s="1">
        <f>'2x6'!E51</f>
        <v>29469503.940613877</v>
      </c>
      <c r="P57" s="1">
        <f>'2x7'!E51</f>
        <v>80386164.072888881</v>
      </c>
      <c r="Q57" s="1">
        <f>'2x8'!E51</f>
        <v>195040824.88642773</v>
      </c>
      <c r="R57" s="1">
        <f>'2x9'!E51</f>
        <v>430639698.76611775</v>
      </c>
      <c r="S57" s="1">
        <f>'2x10'!E51</f>
        <v>880312181.09757841</v>
      </c>
      <c r="T57" s="283">
        <v>7</v>
      </c>
      <c r="U57" s="1">
        <f>'3x4'!E51</f>
        <v>-8331047.3979323823</v>
      </c>
      <c r="V57" s="1">
        <f>'3x5'!E51</f>
        <v>-95584275.611474976</v>
      </c>
      <c r="W57" s="1">
        <f>'3x6'!E51</f>
        <v>7106047293.2955637</v>
      </c>
      <c r="X57" s="1">
        <f>'3x7'!E51</f>
        <v>1234252546.4176841</v>
      </c>
      <c r="Y57" s="1">
        <f>'3x8'!E51</f>
        <v>1865740984.7791426</v>
      </c>
      <c r="Z57" s="1">
        <f>'3x9'!E51</f>
        <v>3286286263.913012</v>
      </c>
      <c r="AA57" s="1">
        <f>'3x10'!E27</f>
        <v>97263170.439845398</v>
      </c>
    </row>
    <row r="58" spans="1:27" x14ac:dyDescent="0.2">
      <c r="A58" s="283">
        <v>8</v>
      </c>
      <c r="B58" s="1">
        <f>'1x2'!E52</f>
        <v>47719.71329735178</v>
      </c>
      <c r="C58" s="1">
        <f>'1x3'!E52</f>
        <v>1026087.8178677968</v>
      </c>
      <c r="D58" s="1">
        <f>'1x4'!E52</f>
        <v>9649071.7154229525</v>
      </c>
      <c r="E58" s="1">
        <f>'1x5'!E52</f>
        <v>55738362.803138405</v>
      </c>
      <c r="F58" s="1">
        <f>'1x6'!E52</f>
        <v>235024527.87751183</v>
      </c>
      <c r="G58" s="1">
        <f>'1x7'!E52</f>
        <v>795867220.84046197</v>
      </c>
      <c r="H58" s="1">
        <f>'1x8'!E52</f>
        <v>2293458441.6546636</v>
      </c>
      <c r="I58" s="1">
        <f>'1x9'!E52</f>
        <v>5840238282.7751627</v>
      </c>
      <c r="J58" s="1">
        <f>'1x10'!E52</f>
        <v>13486418312.565489</v>
      </c>
      <c r="K58" s="283">
        <v>8</v>
      </c>
      <c r="L58" s="1">
        <f>'2x3'!E52</f>
        <v>3184907.4420937989</v>
      </c>
      <c r="M58" s="1">
        <f>'2x4'!E52</f>
        <v>19057524.853081308</v>
      </c>
      <c r="N58" s="1">
        <f>'2x5'!E52</f>
        <v>89918048.036751211</v>
      </c>
      <c r="O58" s="1">
        <f>'2x6'!E52</f>
        <v>340661313.44295156</v>
      </c>
      <c r="P58" s="1">
        <f>'2x7'!E52</f>
        <v>1084325445.694284</v>
      </c>
      <c r="Q58" s="1">
        <f>'2x8'!E52</f>
        <v>3008051982.8790236</v>
      </c>
      <c r="R58" s="1">
        <f>'2x9'!E52</f>
        <v>7475222822.4104557</v>
      </c>
      <c r="S58" s="1">
        <f>'2x10'!E52</f>
        <v>16985380028.723967</v>
      </c>
      <c r="T58" s="283">
        <v>8</v>
      </c>
      <c r="U58" s="1">
        <f>'3x4'!E52</f>
        <v>-66995986.745610557</v>
      </c>
      <c r="V58" s="1">
        <f>'3x5'!E52</f>
        <v>-979141841.64798915</v>
      </c>
      <c r="W58" s="1">
        <f>'3x6'!E52</f>
        <v>48883135310.045135</v>
      </c>
      <c r="X58" s="1">
        <f>'3x7'!E52</f>
        <v>16337965822.11125</v>
      </c>
      <c r="Y58" s="1">
        <f>'3x8'!E52</f>
        <v>28673419274.003838</v>
      </c>
      <c r="Z58" s="1">
        <f>'3x9'!E52</f>
        <v>57096420909.95005</v>
      </c>
      <c r="AA58" s="1">
        <f>'3x10'!E28</f>
        <v>940849608.45487797</v>
      </c>
    </row>
    <row r="59" spans="1:27" x14ac:dyDescent="0.2">
      <c r="A59" s="283">
        <v>9</v>
      </c>
      <c r="B59" s="1">
        <f>'1x2'!E53</f>
        <v>187185.2352877096</v>
      </c>
      <c r="C59" s="1">
        <f>'1x3'!E53</f>
        <v>6114543.6164970873</v>
      </c>
      <c r="D59" s="1">
        <f>'1x4'!E53</f>
        <v>76961379.192424729</v>
      </c>
      <c r="E59" s="1">
        <f>'1x5'!E53</f>
        <v>556444717.6111722</v>
      </c>
      <c r="F59" s="1">
        <f>'1x6'!E53</f>
        <v>2817105665.5268779</v>
      </c>
      <c r="G59" s="1">
        <f>'1x7'!E53</f>
        <v>11132598857.996807</v>
      </c>
      <c r="H59" s="1">
        <f>'1x8'!E53</f>
        <v>36669472377.715958</v>
      </c>
      <c r="I59" s="1">
        <f>'1x9'!E53</f>
        <v>105059712934.10281</v>
      </c>
      <c r="J59" s="1">
        <f>'1x10'!E53</f>
        <v>269578050994.3627</v>
      </c>
      <c r="K59" s="283">
        <v>9</v>
      </c>
      <c r="L59" s="1">
        <f>'2x3'!E53</f>
        <v>18750126.805190526</v>
      </c>
      <c r="M59" s="1">
        <f>'2x4'!E53</f>
        <v>148774499.4629834</v>
      </c>
      <c r="N59" s="1">
        <f>'2x5'!E53</f>
        <v>874782992.04488802</v>
      </c>
      <c r="O59" s="1">
        <f>'2x6'!E53</f>
        <v>3972780299.5069489</v>
      </c>
      <c r="P59" s="1">
        <f>'2x7'!E53</f>
        <v>14751260184.575659</v>
      </c>
      <c r="Q59" s="1">
        <f>'2x8'!E53</f>
        <v>46779152699.342979</v>
      </c>
      <c r="R59" s="1">
        <f>'2x9'!E53</f>
        <v>130823643154.87614</v>
      </c>
      <c r="S59" s="1">
        <f>'2x10'!E53</f>
        <v>330391326577.97577</v>
      </c>
      <c r="T59" s="283">
        <v>9</v>
      </c>
      <c r="U59" s="1">
        <f>'3x4'!E53</f>
        <v>-537167848.00784862</v>
      </c>
      <c r="V59" s="1">
        <f>'3x5'!E53</f>
        <v>-9905220216.9488716</v>
      </c>
      <c r="W59" s="1">
        <f>'3x6'!E53</f>
        <v>483124988482.55884</v>
      </c>
      <c r="X59" s="1">
        <f>'3x7'!E53</f>
        <v>222387099603.49744</v>
      </c>
      <c r="Y59" s="1">
        <f>'3x8'!E53</f>
        <v>449217369688.93945</v>
      </c>
      <c r="Z59" s="1">
        <f>'3x9'!E53</f>
        <v>1008454447302.4921</v>
      </c>
      <c r="AA59" s="1">
        <f>'3x10'!E29</f>
        <v>9240112201.9529591</v>
      </c>
    </row>
    <row r="60" spans="1:27" x14ac:dyDescent="0.2">
      <c r="A60" s="283">
        <v>10</v>
      </c>
      <c r="B60" s="1">
        <f>'1x2'!E54</f>
        <v>737810.63578561076</v>
      </c>
      <c r="C60" s="1">
        <f>'1x3'!E54</f>
        <v>36532770.987653784</v>
      </c>
      <c r="D60" s="1">
        <f>'1x4'!E54</f>
        <v>614704814.611076</v>
      </c>
      <c r="E60" s="1">
        <f>'1x5'!E54</f>
        <v>5559885891.6545811</v>
      </c>
      <c r="F60" s="1">
        <f>'1x6'!E54</f>
        <v>33787806992.822231</v>
      </c>
      <c r="G60" s="1">
        <f>'1x7'!E54</f>
        <v>155797976732.26483</v>
      </c>
      <c r="H60" s="1">
        <f>'1x8'!E54</f>
        <v>586535928475.42944</v>
      </c>
      <c r="I60" s="1">
        <f>'1x9'!E54</f>
        <v>1890591628923.3245</v>
      </c>
      <c r="J60" s="1">
        <f>'1x10'!E54</f>
        <v>5390329437819.5566</v>
      </c>
      <c r="K60" s="283">
        <v>10</v>
      </c>
      <c r="L60" s="1">
        <f>'2x3'!E54</f>
        <v>111127171.02320179</v>
      </c>
      <c r="M60" s="1">
        <f>'2x4'!E54</f>
        <v>1169187480.0099282</v>
      </c>
      <c r="N60" s="1">
        <f>'2x5'!E54</f>
        <v>8564902319.0935974</v>
      </c>
      <c r="O60" s="1">
        <f>'2x6'!E54</f>
        <v>46613661609.539268</v>
      </c>
      <c r="P60" s="1">
        <f>'2x7'!E54</f>
        <v>201864755387.5235</v>
      </c>
      <c r="Q60" s="1">
        <f>'2x8'!E54</f>
        <v>731687373686.48389</v>
      </c>
      <c r="R60" s="1">
        <f>'2x9'!E54</f>
        <v>2302596067525.1338</v>
      </c>
      <c r="S60" s="1">
        <f>'2x10'!E54</f>
        <v>6462887716554.5156</v>
      </c>
      <c r="T60" s="283">
        <v>10</v>
      </c>
      <c r="U60" s="1">
        <f>'3x4'!E54</f>
        <v>-4301469900.2566595</v>
      </c>
      <c r="V60" s="1">
        <f>'3x5'!E54</f>
        <v>-99598376034.893951</v>
      </c>
      <c r="W60" s="1">
        <f>'3x6'!E54</f>
        <v>5325329587596.1035</v>
      </c>
      <c r="X60" s="1">
        <f>'3x7'!E54</f>
        <v>3068764727515.7163</v>
      </c>
      <c r="Y60" s="1">
        <f>'3x8'!E54</f>
        <v>7107485172182.293</v>
      </c>
      <c r="Z60" s="1">
        <f>'3x9'!E54</f>
        <v>17966322900275.082</v>
      </c>
      <c r="AA60" s="1">
        <f>'3x10'!E30</f>
        <v>91485278090.303497</v>
      </c>
    </row>
    <row r="61" spans="1:27" x14ac:dyDescent="0.2">
      <c r="B61" s="342" t="s">
        <v>157</v>
      </c>
      <c r="C61" s="342"/>
      <c r="D61" s="342"/>
      <c r="E61" s="342"/>
      <c r="F61" s="342"/>
      <c r="G61" s="342"/>
      <c r="H61" s="342"/>
      <c r="I61" s="342"/>
      <c r="J61" s="342"/>
      <c r="L61" s="342" t="s">
        <v>157</v>
      </c>
      <c r="M61" s="342"/>
      <c r="N61" s="342"/>
      <c r="O61" s="342"/>
      <c r="P61" s="342"/>
      <c r="Q61" s="342"/>
      <c r="R61" s="342"/>
      <c r="S61" s="342"/>
      <c r="U61" s="342" t="s">
        <v>176</v>
      </c>
      <c r="V61" s="342"/>
      <c r="W61" s="342"/>
      <c r="X61" s="342"/>
      <c r="Y61" s="342"/>
      <c r="Z61" s="342"/>
      <c r="AA61" s="342"/>
    </row>
    <row r="62" spans="1:27" x14ac:dyDescent="0.2">
      <c r="A62" s="283" t="s">
        <v>57</v>
      </c>
      <c r="B62" s="49" t="s">
        <v>141</v>
      </c>
      <c r="C62" s="49" t="s">
        <v>142</v>
      </c>
      <c r="D62" s="49" t="s">
        <v>143</v>
      </c>
      <c r="E62" s="49" t="s">
        <v>144</v>
      </c>
      <c r="F62" s="49" t="s">
        <v>145</v>
      </c>
      <c r="G62" s="49" t="s">
        <v>146</v>
      </c>
      <c r="H62" s="49" t="s">
        <v>147</v>
      </c>
      <c r="I62" s="49" t="s">
        <v>148</v>
      </c>
      <c r="J62" s="49" t="s">
        <v>149</v>
      </c>
      <c r="K62" s="283" t="s">
        <v>57</v>
      </c>
      <c r="L62" s="49" t="s">
        <v>158</v>
      </c>
      <c r="M62" s="49" t="s">
        <v>159</v>
      </c>
      <c r="N62" s="49" t="s">
        <v>160</v>
      </c>
      <c r="O62" s="49" t="s">
        <v>161</v>
      </c>
      <c r="P62" s="49" t="s">
        <v>162</v>
      </c>
      <c r="Q62" s="49" t="s">
        <v>163</v>
      </c>
      <c r="R62" s="49" t="s">
        <v>164</v>
      </c>
      <c r="S62" s="49" t="s">
        <v>165</v>
      </c>
      <c r="T62" s="283" t="s">
        <v>57</v>
      </c>
      <c r="U62" s="49" t="s">
        <v>169</v>
      </c>
      <c r="V62" s="49" t="s">
        <v>170</v>
      </c>
      <c r="W62" s="49" t="s">
        <v>171</v>
      </c>
      <c r="X62" s="49" t="s">
        <v>172</v>
      </c>
      <c r="Y62" s="49" t="s">
        <v>173</v>
      </c>
      <c r="Z62" s="49" t="s">
        <v>174</v>
      </c>
      <c r="AA62" s="49" t="s">
        <v>175</v>
      </c>
    </row>
    <row r="63" spans="1:27" x14ac:dyDescent="0.2">
      <c r="A63" s="283">
        <v>2</v>
      </c>
      <c r="B63" s="263">
        <f t="shared" ref="B63:J63" si="0">B4/B28</f>
        <v>-6.718248683091497E-3</v>
      </c>
      <c r="C63" s="263">
        <f t="shared" si="0"/>
        <v>-5.5478357403972991E-4</v>
      </c>
      <c r="D63" s="263">
        <f t="shared" si="0"/>
        <v>2.5760545649554426E-3</v>
      </c>
      <c r="E63" s="263">
        <f t="shared" si="0"/>
        <v>4.0056483437985926E-3</v>
      </c>
      <c r="F63" s="263">
        <f t="shared" si="0"/>
        <v>4.6077519800941102E-3</v>
      </c>
      <c r="G63" s="263">
        <f t="shared" si="0"/>
        <v>4.8016945689157865E-3</v>
      </c>
      <c r="H63" s="263">
        <f t="shared" si="0"/>
        <v>4.790266096462277E-3</v>
      </c>
      <c r="I63" s="263">
        <f t="shared" si="0"/>
        <v>4.6756531197557367E-3</v>
      </c>
      <c r="J63" s="263">
        <f t="shared" si="0"/>
        <v>4.5113459413449472E-3</v>
      </c>
      <c r="K63" s="283">
        <v>2</v>
      </c>
      <c r="L63" s="1">
        <f t="shared" ref="L63:S63" si="1">L4/L28</f>
        <v>-3.5297523655415462E-2</v>
      </c>
      <c r="M63" s="1">
        <f t="shared" si="1"/>
        <v>-7.6884626315931051E-3</v>
      </c>
      <c r="N63" s="1">
        <f t="shared" si="1"/>
        <v>-8.0864874981901747E-3</v>
      </c>
      <c r="O63" s="1">
        <f t="shared" si="1"/>
        <v>-7.6012103394258552E-3</v>
      </c>
      <c r="P63" s="1">
        <f t="shared" si="1"/>
        <v>-6.9519774285682241E-3</v>
      </c>
      <c r="Q63" s="1">
        <f t="shared" si="1"/>
        <v>-6.3363246059157186E-3</v>
      </c>
      <c r="R63" s="1">
        <f t="shared" si="1"/>
        <v>-5.7994348767272099E-3</v>
      </c>
      <c r="S63" s="1">
        <f t="shared" si="1"/>
        <v>-5.3417110308722647E-3</v>
      </c>
      <c r="T63" s="283">
        <v>2</v>
      </c>
      <c r="U63" s="1">
        <f t="shared" ref="U63:AA63" si="2">U4/U28</f>
        <v>2.8547087657272621E-2</v>
      </c>
      <c r="V63" s="1">
        <f t="shared" si="2"/>
        <v>1.7040669307440044E-2</v>
      </c>
      <c r="W63" s="1">
        <f t="shared" si="2"/>
        <v>1.0941165841296938E-2</v>
      </c>
      <c r="X63" s="1">
        <f t="shared" si="2"/>
        <v>7.4713022065143906E-3</v>
      </c>
      <c r="Y63" s="1">
        <f t="shared" si="2"/>
        <v>5.3854048192419086E-3</v>
      </c>
      <c r="Z63" s="1">
        <f t="shared" si="2"/>
        <v>4.0740245360853721E-3</v>
      </c>
      <c r="AA63" s="1">
        <f t="shared" si="2"/>
        <v>3.2176808717448383E-3</v>
      </c>
    </row>
    <row r="64" spans="1:27" x14ac:dyDescent="0.2">
      <c r="A64" s="283">
        <v>3</v>
      </c>
      <c r="B64" s="263">
        <f t="shared" ref="B64:J64" si="3">B5/B29</f>
        <v>-7.7490156455020595E-3</v>
      </c>
      <c r="C64" s="263">
        <f t="shared" si="3"/>
        <v>-4.0978789774881956E-4</v>
      </c>
      <c r="D64" s="263">
        <f t="shared" si="3"/>
        <v>1.3848222817584173E-3</v>
      </c>
      <c r="E64" s="263">
        <f t="shared" si="3"/>
        <v>1.6872004976085195E-3</v>
      </c>
      <c r="F64" s="263">
        <f t="shared" si="3"/>
        <v>1.5946632973989183E-3</v>
      </c>
      <c r="G64" s="263">
        <f t="shared" si="3"/>
        <v>1.4108106793271399E-3</v>
      </c>
      <c r="H64" s="263">
        <f t="shared" si="3"/>
        <v>1.2235387435953762E-3</v>
      </c>
      <c r="I64" s="263">
        <f t="shared" si="3"/>
        <v>1.0568952894393895E-3</v>
      </c>
      <c r="J64" s="263">
        <f t="shared" si="3"/>
        <v>9.1505037245743549E-4</v>
      </c>
      <c r="K64" s="283">
        <v>3</v>
      </c>
      <c r="L64" s="1">
        <f t="shared" ref="L64:S64" si="4">L5/L29</f>
        <v>-1.4108421912515892E-2</v>
      </c>
      <c r="M64" s="1">
        <f t="shared" si="4"/>
        <v>-6.9824187113194875E-3</v>
      </c>
      <c r="N64" s="1">
        <f t="shared" si="4"/>
        <v>-5.2841645102403596E-3</v>
      </c>
      <c r="O64" s="1">
        <f t="shared" si="4"/>
        <v>-3.9516532959885768E-3</v>
      </c>
      <c r="P64" s="1">
        <f t="shared" si="4"/>
        <v>-3.0191083368906971E-3</v>
      </c>
      <c r="Q64" s="1">
        <f t="shared" si="4"/>
        <v>-2.3699035017414613E-3</v>
      </c>
      <c r="R64" s="1">
        <f t="shared" si="4"/>
        <v>-1.9083805257663503E-3</v>
      </c>
      <c r="S64" s="1">
        <f t="shared" si="4"/>
        <v>-1.5712160816001139E-3</v>
      </c>
      <c r="T64" s="283">
        <v>3</v>
      </c>
      <c r="U64" s="1">
        <f t="shared" ref="U64:AA64" si="5">U5/U29</f>
        <v>1.075339325899235E-2</v>
      </c>
      <c r="V64" s="1">
        <f t="shared" si="5"/>
        <v>4.2323532214724137E-3</v>
      </c>
      <c r="W64" s="1">
        <f t="shared" si="5"/>
        <v>1.6425819082372156E-3</v>
      </c>
      <c r="X64" s="1">
        <f t="shared" si="5"/>
        <v>5.3512015486643894E-4</v>
      </c>
      <c r="Y64" s="1">
        <f t="shared" si="5"/>
        <v>4.3402611452810336E-5</v>
      </c>
      <c r="Z64" s="1">
        <f t="shared" si="5"/>
        <v>-1.7429239325434759E-4</v>
      </c>
      <c r="AA64" s="1">
        <f t="shared" si="5"/>
        <v>-2.6429135084001155E-4</v>
      </c>
    </row>
    <row r="65" spans="1:27" x14ac:dyDescent="0.2">
      <c r="A65" s="283">
        <v>4</v>
      </c>
      <c r="B65" s="263">
        <f t="shared" ref="B65:J65" si="6">B6/B30</f>
        <v>-6.815514376734574E-3</v>
      </c>
      <c r="C65" s="263">
        <f t="shared" si="6"/>
        <v>-2.3183720989878768E-4</v>
      </c>
      <c r="D65" s="263">
        <f t="shared" si="6"/>
        <v>5.6949313867733211E-4</v>
      </c>
      <c r="E65" s="263">
        <f t="shared" si="6"/>
        <v>5.4355672866404007E-4</v>
      </c>
      <c r="F65" s="263">
        <f t="shared" si="6"/>
        <v>4.2225794043019953E-4</v>
      </c>
      <c r="G65" s="263">
        <f t="shared" si="6"/>
        <v>3.1727627746795488E-4</v>
      </c>
      <c r="H65" s="263">
        <f t="shared" si="6"/>
        <v>2.3926933385682301E-4</v>
      </c>
      <c r="I65" s="263">
        <f t="shared" si="6"/>
        <v>1.8293104171253599E-4</v>
      </c>
      <c r="J65" s="263">
        <f t="shared" si="6"/>
        <v>1.4211835342606321E-4</v>
      </c>
      <c r="K65" s="283">
        <v>4</v>
      </c>
      <c r="L65" s="1">
        <f t="shared" ref="L65:S65" si="7">L6/L30</f>
        <v>-4.8132392847785701E-3</v>
      </c>
      <c r="M65" s="1">
        <f t="shared" si="7"/>
        <v>-3.7233579708503346E-3</v>
      </c>
      <c r="N65" s="1">
        <f t="shared" si="7"/>
        <v>-2.1946235726499124E-3</v>
      </c>
      <c r="O65" s="1">
        <f t="shared" si="7"/>
        <v>-1.345965444283753E-3</v>
      </c>
      <c r="P65" s="1">
        <f t="shared" si="7"/>
        <v>-8.7197092000822511E-4</v>
      </c>
      <c r="Q65" s="1">
        <f t="shared" si="7"/>
        <v>-5.944145959349311E-4</v>
      </c>
      <c r="R65" s="1">
        <f t="shared" si="7"/>
        <v>-4.2321145215618678E-4</v>
      </c>
      <c r="S65" s="1">
        <f t="shared" si="7"/>
        <v>-3.1241146177901511E-4</v>
      </c>
      <c r="T65" s="283">
        <v>4</v>
      </c>
      <c r="U65" s="1">
        <f t="shared" ref="U65:AA65" si="8">U6/U30</f>
        <v>3.996870357581216E-3</v>
      </c>
      <c r="V65" s="1">
        <f t="shared" si="8"/>
        <v>1.0593576187351197E-3</v>
      </c>
      <c r="W65" s="1">
        <f t="shared" si="8"/>
        <v>2.0195693751752411E-4</v>
      </c>
      <c r="X65" s="1">
        <f t="shared" si="8"/>
        <v>-5.7917232180006491E-5</v>
      </c>
      <c r="Y65" s="1">
        <f t="shared" si="8"/>
        <v>-1.2816873060555019E-4</v>
      </c>
      <c r="Z65" s="1">
        <f t="shared" si="8"/>
        <v>-1.3579179643524085E-4</v>
      </c>
      <c r="AA65" s="1">
        <f t="shared" si="8"/>
        <v>-1.2362815530804933E-4</v>
      </c>
    </row>
    <row r="66" spans="1:27" x14ac:dyDescent="0.2">
      <c r="A66" s="283">
        <v>5</v>
      </c>
      <c r="B66" s="263">
        <f t="shared" ref="B66:J66" si="9">B7/B31</f>
        <v>-5.2469055681112677E-3</v>
      </c>
      <c r="C66" s="263">
        <f t="shared" si="9"/>
        <v>-1.1401407634829521E-4</v>
      </c>
      <c r="D66" s="263">
        <f t="shared" si="9"/>
        <v>2.036679899169829E-4</v>
      </c>
      <c r="E66" s="263">
        <f t="shared" si="9"/>
        <v>1.5265833685050074E-4</v>
      </c>
      <c r="F66" s="263">
        <f t="shared" si="9"/>
        <v>9.7708413859634382E-5</v>
      </c>
      <c r="G66" s="263">
        <f t="shared" si="9"/>
        <v>6.2473376537158424E-5</v>
      </c>
      <c r="H66" s="263">
        <f t="shared" si="9"/>
        <v>4.1027868178036683E-5</v>
      </c>
      <c r="I66" s="263">
        <f t="shared" si="9"/>
        <v>2.7792581178099092E-5</v>
      </c>
      <c r="J66" s="263">
        <f t="shared" si="9"/>
        <v>1.9389886087827288E-5</v>
      </c>
      <c r="K66" s="283">
        <v>5</v>
      </c>
      <c r="L66" s="1">
        <f t="shared" ref="L66:S66" si="10">L7/L31</f>
        <v>-1.4820308451177994E-3</v>
      </c>
      <c r="M66" s="1">
        <f t="shared" si="10"/>
        <v>-1.6114887333581762E-3</v>
      </c>
      <c r="N66" s="1">
        <f t="shared" si="10"/>
        <v>-7.5033887138240723E-4</v>
      </c>
      <c r="O66" s="1">
        <f t="shared" si="10"/>
        <v>-3.7984705785829704E-4</v>
      </c>
      <c r="P66" s="1">
        <f t="shared" si="10"/>
        <v>-2.0940610389940501E-4</v>
      </c>
      <c r="Q66" s="1">
        <f t="shared" si="10"/>
        <v>-1.24236135338777E-4</v>
      </c>
      <c r="R66" s="1">
        <f t="shared" si="10"/>
        <v>-7.83156684792195E-5</v>
      </c>
      <c r="S66" s="1">
        <f t="shared" si="10"/>
        <v>-5.1881611190986595E-5</v>
      </c>
      <c r="T66" s="283">
        <v>5</v>
      </c>
      <c r="U66" s="1">
        <f t="shared" ref="U66:AA66" si="11">U7/U31</f>
        <v>1.4426304758447714E-3</v>
      </c>
      <c r="V66" s="1">
        <f t="shared" si="11"/>
        <v>2.7189481203258252E-4</v>
      </c>
      <c r="W66" s="1">
        <f t="shared" si="11"/>
        <v>1.8887919391497823E-5</v>
      </c>
      <c r="X66" s="1">
        <f t="shared" si="11"/>
        <v>-3.3508163408391072E-5</v>
      </c>
      <c r="Y66" s="1">
        <f t="shared" si="11"/>
        <v>-3.8233310617220345E-5</v>
      </c>
      <c r="Z66" s="1">
        <f t="shared" si="11"/>
        <v>-3.2385385465263823E-5</v>
      </c>
      <c r="AA66" s="1">
        <f t="shared" si="11"/>
        <v>-2.5398111123985207E-5</v>
      </c>
    </row>
    <row r="67" spans="1:27" x14ac:dyDescent="0.2">
      <c r="A67" s="283">
        <v>6</v>
      </c>
      <c r="B67" s="263">
        <f t="shared" ref="B67:J67" si="12">B8/B32</f>
        <v>-3.7164289787434096E-3</v>
      </c>
      <c r="C67" s="263">
        <f t="shared" si="12"/>
        <v>-5.1384626872286307E-5</v>
      </c>
      <c r="D67" s="263">
        <f t="shared" si="12"/>
        <v>6.6955782848856539E-5</v>
      </c>
      <c r="E67" s="263">
        <f t="shared" si="12"/>
        <v>3.9548014713517658E-5</v>
      </c>
      <c r="F67" s="263">
        <f t="shared" si="12"/>
        <v>2.0910678559100424E-5</v>
      </c>
      <c r="G67" s="263">
        <f t="shared" si="12"/>
        <v>1.1398791482379226E-5</v>
      </c>
      <c r="H67" s="263">
        <f t="shared" si="12"/>
        <v>6.5276492858312671E-6</v>
      </c>
      <c r="I67" s="263">
        <f t="shared" si="12"/>
        <v>3.9215990313790865E-6</v>
      </c>
      <c r="J67" s="263">
        <f t="shared" si="12"/>
        <v>2.4585537534848272E-6</v>
      </c>
      <c r="K67" s="283">
        <v>6</v>
      </c>
      <c r="L67" s="1">
        <f t="shared" ref="L67:S67" si="13">L8/L32</f>
        <v>-4.2538389683178965E-4</v>
      </c>
      <c r="M67" s="1">
        <f t="shared" si="13"/>
        <v>-6.2055857618559739E-4</v>
      </c>
      <c r="N67" s="1">
        <f t="shared" si="13"/>
        <v>-2.2952670017529572E-4</v>
      </c>
      <c r="O67" s="1">
        <f t="shared" si="13"/>
        <v>-9.61819943576918E-5</v>
      </c>
      <c r="P67" s="1">
        <f t="shared" si="13"/>
        <v>-4.5195501734277989E-5</v>
      </c>
      <c r="Q67" s="1">
        <f t="shared" si="13"/>
        <v>-2.3359419092700808E-5</v>
      </c>
      <c r="R67" s="1">
        <f t="shared" si="13"/>
        <v>-1.3046027624406636E-5</v>
      </c>
      <c r="S67" s="1">
        <f t="shared" si="13"/>
        <v>-7.7593832356225523E-6</v>
      </c>
      <c r="T67" s="283">
        <v>6</v>
      </c>
      <c r="U67" s="1">
        <f t="shared" ref="U67:AA67" si="14">U8/U32</f>
        <v>5.0185153027278867E-4</v>
      </c>
      <c r="V67" s="1">
        <f t="shared" si="14"/>
        <v>7.0684657430931556E-5</v>
      </c>
      <c r="W67" s="1">
        <f t="shared" si="14"/>
        <v>6.3331099734690712E-7</v>
      </c>
      <c r="X67" s="1">
        <f t="shared" si="14"/>
        <v>-9.0434005928918809E-6</v>
      </c>
      <c r="Y67" s="1">
        <f t="shared" si="14"/>
        <v>-8.1322641130719425E-6</v>
      </c>
      <c r="Z67" s="1">
        <f t="shared" si="14"/>
        <v>-5.9415196016354128E-6</v>
      </c>
      <c r="AA67" s="1">
        <f t="shared" si="14"/>
        <v>-4.1372593470774266E-6</v>
      </c>
    </row>
    <row r="68" spans="1:27" x14ac:dyDescent="0.2">
      <c r="A68" s="283">
        <v>7</v>
      </c>
      <c r="B68" s="263">
        <f t="shared" ref="B68:J68" si="15">B9/B33</f>
        <v>-2.4835072823492341E-3</v>
      </c>
      <c r="C68" s="263">
        <f t="shared" si="15"/>
        <v>-2.1834986068486004E-5</v>
      </c>
      <c r="D68" s="263">
        <f t="shared" si="15"/>
        <v>2.0836662447517633E-5</v>
      </c>
      <c r="E68" s="263">
        <f t="shared" si="15"/>
        <v>9.7297626762278003E-6</v>
      </c>
      <c r="F68" s="263">
        <f t="shared" si="15"/>
        <v>4.2591618108999098E-6</v>
      </c>
      <c r="G68" s="263">
        <f t="shared" si="15"/>
        <v>1.9823103432215817E-6</v>
      </c>
      <c r="H68" s="263">
        <f t="shared" si="15"/>
        <v>9.9084658270214828E-7</v>
      </c>
      <c r="I68" s="263">
        <f t="shared" si="15"/>
        <v>5.282717751690684E-7</v>
      </c>
      <c r="J68" s="263">
        <f t="shared" si="15"/>
        <v>2.9774400680942145E-7</v>
      </c>
      <c r="K68" s="283">
        <v>7</v>
      </c>
      <c r="L68" s="1">
        <f t="shared" ref="L68:S68" si="16">L9/L33</f>
        <v>-1.1605908562647734E-4</v>
      </c>
      <c r="M68" s="1">
        <f t="shared" si="16"/>
        <v>-2.216266509616615E-4</v>
      </c>
      <c r="N68" s="1">
        <f t="shared" si="16"/>
        <v>-6.5311262340388466E-5</v>
      </c>
      <c r="O68" s="1">
        <f t="shared" si="16"/>
        <v>-2.2691001106546041E-5</v>
      </c>
      <c r="P68" s="1">
        <f t="shared" si="16"/>
        <v>-9.0964781422086358E-6</v>
      </c>
      <c r="Q68" s="1">
        <f t="shared" si="16"/>
        <v>-4.09815463454613E-6</v>
      </c>
      <c r="R68" s="1">
        <f t="shared" si="16"/>
        <v>-2.0284872528146624E-6</v>
      </c>
      <c r="S68" s="1">
        <f t="shared" si="16"/>
        <v>-1.0834413421438619E-6</v>
      </c>
      <c r="T68" s="283">
        <v>7</v>
      </c>
      <c r="U68" s="1">
        <f t="shared" ref="U68:AA68" si="17">U9/U33</f>
        <v>1.6832815139508639E-4</v>
      </c>
      <c r="V68" s="1">
        <f t="shared" si="17"/>
        <v>1.8305649794553514E-5</v>
      </c>
      <c r="W68" s="1">
        <f t="shared" si="17"/>
        <v>-2.946795458083133E-7</v>
      </c>
      <c r="X68" s="1">
        <f t="shared" si="17"/>
        <v>-1.9792447748193956E-6</v>
      </c>
      <c r="Y68" s="1">
        <f t="shared" si="17"/>
        <v>-1.5007743956434146E-6</v>
      </c>
      <c r="Z68" s="1">
        <f t="shared" si="17"/>
        <v>-9.6365705485173064E-7</v>
      </c>
      <c r="AA68" s="1">
        <f t="shared" si="17"/>
        <v>-6.0084073155676882E-7</v>
      </c>
    </row>
    <row r="69" spans="1:27" x14ac:dyDescent="0.2">
      <c r="A69" s="283">
        <v>8</v>
      </c>
      <c r="B69" s="263">
        <f t="shared" ref="B69:J69" si="18">B10/B34</f>
        <v>-1.589408998588022E-3</v>
      </c>
      <c r="C69" s="263">
        <f t="shared" si="18"/>
        <v>-8.8995571401254137E-6</v>
      </c>
      <c r="D69" s="263">
        <f t="shared" si="18"/>
        <v>6.2439437995591898E-6</v>
      </c>
      <c r="E69" s="263">
        <f t="shared" si="18"/>
        <v>2.3110455394473525E-6</v>
      </c>
      <c r="F69" s="263">
        <f t="shared" si="18"/>
        <v>8.3890714735273143E-7</v>
      </c>
      <c r="G69" s="263">
        <f t="shared" si="18"/>
        <v>3.3370576368146302E-7</v>
      </c>
      <c r="H69" s="263">
        <f t="shared" si="18"/>
        <v>1.4568849950688459E-7</v>
      </c>
      <c r="I69" s="263">
        <f t="shared" si="18"/>
        <v>6.8962751825213501E-8</v>
      </c>
      <c r="J69" s="263">
        <f t="shared" si="18"/>
        <v>3.495434870327854E-8</v>
      </c>
      <c r="K69" s="283">
        <v>8</v>
      </c>
      <c r="L69" s="1">
        <f t="shared" ref="L69:S69" si="19">L10/L34</f>
        <v>-3.0474468853456276E-5</v>
      </c>
      <c r="M69" s="1">
        <f t="shared" si="19"/>
        <v>-7.5087916326855737E-5</v>
      </c>
      <c r="N69" s="1">
        <f t="shared" si="19"/>
        <v>-1.7662067228679144E-5</v>
      </c>
      <c r="O69" s="1">
        <f t="shared" si="19"/>
        <v>-5.0927729812103224E-6</v>
      </c>
      <c r="P69" s="1">
        <f t="shared" si="19"/>
        <v>-1.7427711180628813E-6</v>
      </c>
      <c r="Q69" s="1">
        <f t="shared" si="19"/>
        <v>-6.8461896779694689E-7</v>
      </c>
      <c r="R69" s="1">
        <f t="shared" si="19"/>
        <v>-3.0039315893202061E-7</v>
      </c>
      <c r="S69" s="1">
        <f t="shared" si="19"/>
        <v>-1.4410033483918034E-7</v>
      </c>
      <c r="T69" s="283">
        <v>8</v>
      </c>
      <c r="U69" s="1">
        <f t="shared" ref="U69:AA69" si="20">U10/U34</f>
        <v>5.4657094784596732E-5</v>
      </c>
      <c r="V69" s="1">
        <f t="shared" si="20"/>
        <v>4.674087335005184E-6</v>
      </c>
      <c r="W69" s="1">
        <f t="shared" si="20"/>
        <v>-1.1216645381561642E-7</v>
      </c>
      <c r="X69" s="1">
        <f t="shared" si="20"/>
        <v>-3.917920042084932E-7</v>
      </c>
      <c r="Y69" s="1">
        <f t="shared" si="20"/>
        <v>-2.5599786624195105E-7</v>
      </c>
      <c r="Z69" s="1">
        <f t="shared" si="20"/>
        <v>-1.4544505465859257E-7</v>
      </c>
      <c r="AA69" s="1">
        <f t="shared" si="20"/>
        <v>-8.1456322436138418E-8</v>
      </c>
    </row>
    <row r="70" spans="1:27" x14ac:dyDescent="0.2">
      <c r="A70" s="283">
        <v>9</v>
      </c>
      <c r="B70" s="263">
        <f t="shared" ref="B70:J70" si="21">B11/B35</f>
        <v>-9.8386444851987064E-4</v>
      </c>
      <c r="C70" s="263">
        <f t="shared" si="21"/>
        <v>-3.5178474366078746E-6</v>
      </c>
      <c r="D70" s="263">
        <f t="shared" si="21"/>
        <v>1.8208423798328651E-6</v>
      </c>
      <c r="E70" s="263">
        <f t="shared" si="21"/>
        <v>5.352698949406243E-7</v>
      </c>
      <c r="F70" s="263">
        <f t="shared" si="21"/>
        <v>1.613130373139155E-7</v>
      </c>
      <c r="G70" s="263">
        <f t="shared" si="21"/>
        <v>5.4882090644495415E-8</v>
      </c>
      <c r="H70" s="263">
        <f t="shared" si="21"/>
        <v>2.0937061220619125E-8</v>
      </c>
      <c r="I70" s="263">
        <f t="shared" si="21"/>
        <v>8.8018280124250797E-9</v>
      </c>
      <c r="J70" s="263">
        <f t="shared" si="21"/>
        <v>4.0128036037739772E-9</v>
      </c>
      <c r="K70" s="283">
        <v>9</v>
      </c>
      <c r="L70" s="1">
        <f t="shared" ref="L70:S70" si="22">L11/L35</f>
        <v>-7.7653803261606129E-6</v>
      </c>
      <c r="M70" s="1">
        <f t="shared" si="22"/>
        <v>-2.4467445178229232E-5</v>
      </c>
      <c r="N70" s="1">
        <f t="shared" si="22"/>
        <v>-4.5991803490051429E-6</v>
      </c>
      <c r="O70" s="1">
        <f t="shared" si="22"/>
        <v>-1.1014035342761286E-6</v>
      </c>
      <c r="P70" s="1">
        <f t="shared" si="22"/>
        <v>-3.2186104705661625E-7</v>
      </c>
      <c r="Q70" s="1">
        <f t="shared" si="22"/>
        <v>-1.1027224118259905E-7</v>
      </c>
      <c r="R70" s="1">
        <f t="shared" si="22"/>
        <v>-4.2896448982984647E-8</v>
      </c>
      <c r="S70" s="1">
        <f t="shared" si="22"/>
        <v>-1.848305432185522E-8</v>
      </c>
      <c r="T70" s="283">
        <v>9</v>
      </c>
      <c r="U70" s="1">
        <f t="shared" ref="U70:AA70" si="23">U11/U35</f>
        <v>1.7264209984649073E-5</v>
      </c>
      <c r="V70" s="1">
        <f t="shared" si="23"/>
        <v>1.1719818151895871E-6</v>
      </c>
      <c r="W70" s="1">
        <f t="shared" si="23"/>
        <v>-2.8818381812250214E-8</v>
      </c>
      <c r="X70" s="1">
        <f t="shared" si="23"/>
        <v>-7.3141607244785201E-8</v>
      </c>
      <c r="Y70" s="1">
        <f t="shared" si="23"/>
        <v>-4.1542364264362225E-8</v>
      </c>
      <c r="Z70" s="1">
        <f t="shared" si="23"/>
        <v>-2.0942415755736106E-8</v>
      </c>
      <c r="AA70" s="1">
        <f t="shared" si="23"/>
        <v>-1.0548991533906634E-8</v>
      </c>
    </row>
    <row r="71" spans="1:27" x14ac:dyDescent="0.2">
      <c r="A71" s="283">
        <v>10</v>
      </c>
      <c r="B71" s="263">
        <f t="shared" ref="B71:J71" si="24">B12/B36</f>
        <v>-5.9316895461814542E-4</v>
      </c>
      <c r="C71" s="263">
        <f t="shared" si="24"/>
        <v>-1.3586498768137847E-6</v>
      </c>
      <c r="D71" s="263">
        <f t="shared" si="24"/>
        <v>5.2029764527097246E-7</v>
      </c>
      <c r="E71" s="263">
        <f t="shared" si="24"/>
        <v>1.2166403177724876E-7</v>
      </c>
      <c r="F71" s="263">
        <f t="shared" si="24"/>
        <v>3.0465851467540487E-8</v>
      </c>
      <c r="G71" s="263">
        <f t="shared" si="24"/>
        <v>8.8695377750315243E-9</v>
      </c>
      <c r="H71" s="263">
        <f t="shared" si="24"/>
        <v>2.9576336554961683E-9</v>
      </c>
      <c r="I71" s="263">
        <f t="shared" si="24"/>
        <v>1.1044785747739856E-9</v>
      </c>
      <c r="J71" s="263">
        <f t="shared" si="24"/>
        <v>4.5298067987736773E-10</v>
      </c>
      <c r="K71" s="283">
        <v>10</v>
      </c>
      <c r="L71" s="1">
        <f t="shared" ref="L71:S71" si="25">L12/L36</f>
        <v>-1.9315104904317659E-6</v>
      </c>
      <c r="M71" s="1">
        <f t="shared" si="25"/>
        <v>-7.7369263517532672E-6</v>
      </c>
      <c r="N71" s="1">
        <f t="shared" si="25"/>
        <v>-1.1631392072637658E-6</v>
      </c>
      <c r="O71" s="1">
        <f t="shared" si="25"/>
        <v>-2.3146113171686676E-7</v>
      </c>
      <c r="P71" s="1">
        <f t="shared" si="25"/>
        <v>-5.7777781316086361E-8</v>
      </c>
      <c r="Q71" s="1">
        <f t="shared" si="25"/>
        <v>-1.7266950456442903E-8</v>
      </c>
      <c r="R71" s="1">
        <f t="shared" si="25"/>
        <v>-5.9555701647360845E-9</v>
      </c>
      <c r="S71" s="1">
        <f t="shared" si="25"/>
        <v>-2.3050293559677852E-9</v>
      </c>
      <c r="T71" s="283">
        <v>10</v>
      </c>
      <c r="U71" s="1">
        <f t="shared" ref="U71:AA71" si="26">U12/U36</f>
        <v>5.3284489810719159E-6</v>
      </c>
      <c r="V71" s="1">
        <f t="shared" si="26"/>
        <v>2.8848368626217483E-7</v>
      </c>
      <c r="W71" s="1">
        <f t="shared" si="26"/>
        <v>-6.4776063965186735E-9</v>
      </c>
      <c r="X71" s="1">
        <f t="shared" si="26"/>
        <v>-1.3141677511597743E-8</v>
      </c>
      <c r="Y71" s="1">
        <f t="shared" si="26"/>
        <v>-6.5130635633143857E-9</v>
      </c>
      <c r="Z71" s="1">
        <f t="shared" si="26"/>
        <v>-2.9169230752564699E-9</v>
      </c>
      <c r="AA71" s="1">
        <f t="shared" si="26"/>
        <v>-1.322241204925042E-9</v>
      </c>
    </row>
  </sheetData>
  <sheetProtection sheet="1" objects="1" scenarios="1"/>
  <mergeCells count="18">
    <mergeCell ref="U61:AA61"/>
    <mergeCell ref="U1:AA1"/>
    <mergeCell ref="U13:AA13"/>
    <mergeCell ref="U25:AA25"/>
    <mergeCell ref="U37:AA37"/>
    <mergeCell ref="U49:AA49"/>
    <mergeCell ref="B1:J1"/>
    <mergeCell ref="B13:J13"/>
    <mergeCell ref="B25:J25"/>
    <mergeCell ref="B37:J37"/>
    <mergeCell ref="B61:J61"/>
    <mergeCell ref="B49:J49"/>
    <mergeCell ref="L61:S61"/>
    <mergeCell ref="L1:S1"/>
    <mergeCell ref="L13:S13"/>
    <mergeCell ref="L25:S25"/>
    <mergeCell ref="L37:S37"/>
    <mergeCell ref="L49:S49"/>
  </mergeCells>
  <phoneticPr fontId="16" type="noConversion"/>
  <conditionalFormatting sqref="B15:J24">
    <cfRule type="colorScale" priority="4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ellIs" dxfId="125" priority="1" stopIfTrue="1" operator="lessThan">
      <formula>0</formula>
    </cfRule>
    <cfRule type="colorScale" priority="43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4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3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86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87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24" priority="14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23" priority="12" operator="lessThanOrEqual">
      <formula>0</formula>
    </cfRule>
    <cfRule type="colorScale" priority="18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22" priority="10" operator="lessThanOrEqual">
      <formula>0</formula>
    </cfRule>
    <cfRule type="colorScale" priority="19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19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21" priority="13" operator="lessThanOrEqual">
      <formula>0</formula>
    </cfRule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20" priority="11" operator="lessThanOrEqual">
      <formula>0</formula>
    </cfRule>
    <cfRule type="colorScale" priority="19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19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1">
    <cfRule type="cellIs" dxfId="119" priority="318" operator="equal">
      <formula>MAX($B$63:$J$71)</formula>
    </cfRule>
    <cfRule type="colorScale" priority="319">
      <colorScale>
        <cfvo type="num" val="0"/>
        <cfvo type="percentile" val="50"/>
        <cfvo type="num" val="MAX($B$63:$J$71)"/>
        <color rgb="FFFF0000"/>
        <color rgb="FFFFEB84"/>
        <color rgb="FF00B050"/>
      </colorScale>
    </cfRule>
  </conditionalFormatting>
  <conditionalFormatting sqref="L63:S71">
    <cfRule type="colorScale" priority="3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1">
    <cfRule type="colorScale" priority="32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F125-C276-244A-97F9-A501244095E9}">
  <dimension ref="A1:AA72"/>
  <sheetViews>
    <sheetView workbookViewId="0">
      <selection activeCell="T1" sqref="T1:T1048576"/>
    </sheetView>
  </sheetViews>
  <sheetFormatPr baseColWidth="10" defaultColWidth="8.83203125" defaultRowHeight="16" x14ac:dyDescent="0.2"/>
  <cols>
    <col min="1" max="1" width="6.6640625" style="283" customWidth="1"/>
    <col min="2" max="10" width="6.6640625" customWidth="1"/>
    <col min="11" max="11" width="6.6640625" style="283" customWidth="1"/>
    <col min="12" max="19" width="6.6640625" customWidth="1"/>
    <col min="20" max="20" width="6.6640625" style="283" customWidth="1"/>
    <col min="21" max="27" width="6.6640625" customWidth="1"/>
  </cols>
  <sheetData>
    <row r="1" spans="1:27" x14ac:dyDescent="0.2">
      <c r="B1" s="342" t="s">
        <v>48</v>
      </c>
      <c r="C1" s="342"/>
      <c r="D1" s="342"/>
      <c r="E1" s="342"/>
      <c r="F1" s="342"/>
      <c r="G1" s="342"/>
      <c r="H1" s="342"/>
      <c r="I1" s="342"/>
      <c r="J1" s="342"/>
      <c r="L1" s="342" t="s">
        <v>48</v>
      </c>
      <c r="M1" s="342"/>
      <c r="N1" s="342"/>
      <c r="O1" s="342"/>
      <c r="P1" s="342"/>
      <c r="Q1" s="342"/>
      <c r="R1" s="342"/>
      <c r="S1" s="342"/>
      <c r="U1" s="342" t="s">
        <v>48</v>
      </c>
      <c r="V1" s="342"/>
      <c r="W1" s="342"/>
      <c r="X1" s="342"/>
      <c r="Y1" s="342"/>
      <c r="Z1" s="342"/>
      <c r="AA1" s="342"/>
    </row>
    <row r="2" spans="1:27" x14ac:dyDescent="0.2">
      <c r="A2" s="283" t="s">
        <v>57</v>
      </c>
      <c r="B2" s="259" t="s">
        <v>141</v>
      </c>
      <c r="C2" s="259" t="s">
        <v>142</v>
      </c>
      <c r="D2" s="259" t="s">
        <v>143</v>
      </c>
      <c r="E2" s="259" t="s">
        <v>144</v>
      </c>
      <c r="F2" s="259" t="s">
        <v>145</v>
      </c>
      <c r="G2" s="259" t="s">
        <v>146</v>
      </c>
      <c r="H2" s="259" t="s">
        <v>147</v>
      </c>
      <c r="I2" s="259" t="s">
        <v>148</v>
      </c>
      <c r="J2" s="259" t="s">
        <v>149</v>
      </c>
      <c r="K2" s="283" t="s">
        <v>57</v>
      </c>
      <c r="L2" s="259" t="s">
        <v>158</v>
      </c>
      <c r="M2" s="259" t="s">
        <v>159</v>
      </c>
      <c r="N2" s="259" t="s">
        <v>160</v>
      </c>
      <c r="O2" s="259" t="s">
        <v>161</v>
      </c>
      <c r="P2" s="259" t="s">
        <v>162</v>
      </c>
      <c r="Q2" s="259" t="s">
        <v>163</v>
      </c>
      <c r="R2" s="259" t="s">
        <v>164</v>
      </c>
      <c r="S2" s="259" t="s">
        <v>165</v>
      </c>
      <c r="T2" s="283" t="s">
        <v>57</v>
      </c>
      <c r="U2" s="259" t="s">
        <v>169</v>
      </c>
      <c r="V2" s="259" t="s">
        <v>170</v>
      </c>
      <c r="W2" s="259" t="s">
        <v>171</v>
      </c>
      <c r="X2" s="259" t="s">
        <v>172</v>
      </c>
      <c r="Y2" s="259" t="s">
        <v>173</v>
      </c>
      <c r="Z2" s="259" t="s">
        <v>174</v>
      </c>
      <c r="AA2" s="259" t="s">
        <v>175</v>
      </c>
    </row>
    <row r="3" spans="1:27" x14ac:dyDescent="0.2">
      <c r="A3" s="283">
        <v>1</v>
      </c>
      <c r="B3" s="1">
        <f>'1x2'!U7</f>
        <v>-2.9596695884589019E-2</v>
      </c>
      <c r="C3" s="1">
        <f>'1x3'!U7</f>
        <v>-3.8662174848585751E-3</v>
      </c>
      <c r="D3" s="1">
        <f>'1x4'!U7</f>
        <v>2.7427234041654674E-2</v>
      </c>
      <c r="E3" s="1">
        <f>'1x5'!U7</f>
        <v>6.1371620377175917E-2</v>
      </c>
      <c r="F3" s="1">
        <f>'1x6'!U7</f>
        <v>9.6619051618230756E-2</v>
      </c>
      <c r="G3" s="1">
        <f>'1x7'!U7</f>
        <v>0.13244923426163047</v>
      </c>
      <c r="H3" s="1">
        <f>'1x8'!U7</f>
        <v>0.16845137301710694</v>
      </c>
      <c r="I3" s="1">
        <f>'1x9'!U7</f>
        <v>0.20438968803748819</v>
      </c>
      <c r="J3" s="1">
        <f>'1x10'!U7</f>
        <v>0.24013547371678878</v>
      </c>
      <c r="K3" s="283">
        <v>1</v>
      </c>
      <c r="L3" s="1">
        <f>'2x3'!U7</f>
        <v>-0.2728198764624834</v>
      </c>
      <c r="M3" s="1">
        <f>'2x4'!U7</f>
        <v>-0.31248522639831922</v>
      </c>
      <c r="N3" s="1">
        <f>'2x5'!U7</f>
        <v>-0.34984324498541275</v>
      </c>
      <c r="O3" s="1">
        <f>'2x6'!U7</f>
        <v>-0.38809197802836592</v>
      </c>
      <c r="P3" s="1">
        <f>'2x7'!U7</f>
        <v>-0.42871433777214352</v>
      </c>
      <c r="Q3" s="1">
        <f>'2x8'!U7</f>
        <v>-0.4723073314238091</v>
      </c>
      <c r="R3" s="1">
        <f>'2x9'!U7</f>
        <v>-0.51898578997343592</v>
      </c>
      <c r="S3" s="1">
        <f>'2x10'!U7</f>
        <v>-0.5686023306887712</v>
      </c>
      <c r="T3" s="283">
        <v>1</v>
      </c>
      <c r="U3" s="1">
        <f>'3x4'!U7</f>
        <v>-0.75388712237740174</v>
      </c>
      <c r="V3" s="1">
        <f>'3x5'!U7</f>
        <v>-0.90370245173501096</v>
      </c>
      <c r="W3" s="1">
        <f>'3x6'!U7</f>
        <v>-1.0567724707852977</v>
      </c>
      <c r="X3" s="1">
        <f>'3x7'!U7</f>
        <v>-1.2148415100314476</v>
      </c>
      <c r="Y3" s="1">
        <f>'3x8'!U7</f>
        <v>-1.3784551197768893</v>
      </c>
      <c r="Z3" s="1">
        <f>'3x9'!U7</f>
        <v>-1.5475091763263382</v>
      </c>
      <c r="AA3" s="1">
        <f>'3x10'!U7</f>
        <v>-1.721562927481584</v>
      </c>
    </row>
    <row r="4" spans="1:27" x14ac:dyDescent="0.2">
      <c r="A4" s="283">
        <v>2</v>
      </c>
      <c r="B4" s="1">
        <f>'1x2'!U8</f>
        <v>-8.6551687971514329E-2</v>
      </c>
      <c r="C4" s="1">
        <f>'1x3'!U8</f>
        <v>-1.0881321796344684E-2</v>
      </c>
      <c r="D4" s="1">
        <f>'1x4'!U8</f>
        <v>7.5327031488404056E-2</v>
      </c>
      <c r="E4" s="1">
        <f>'1x5'!U8</f>
        <v>0.16588869090898117</v>
      </c>
      <c r="F4" s="1">
        <f>'1x6'!U8</f>
        <v>0.25840070038185703</v>
      </c>
      <c r="G4" s="1">
        <f>'1x7'!U8</f>
        <v>0.35167105259605869</v>
      </c>
      <c r="H4" s="1">
        <f>'1x8'!U8</f>
        <v>0.44503107196523023</v>
      </c>
      <c r="I4" s="1">
        <f>'1x9'!U8</f>
        <v>0.53809525008226577</v>
      </c>
      <c r="J4" s="1">
        <f>'1x10'!U8</f>
        <v>0.63065327399123661</v>
      </c>
      <c r="K4" s="283">
        <v>2</v>
      </c>
      <c r="L4" s="1">
        <f>'2x3'!U8</f>
        <v>-0.84714056772997104</v>
      </c>
      <c r="M4" s="1">
        <f>'2x4'!U8</f>
        <v>-0.96017418994718817</v>
      </c>
      <c r="N4" s="1">
        <f>'2x5'!U8</f>
        <v>-1.066171419147119</v>
      </c>
      <c r="O4" s="1">
        <f>'2x6'!U8</f>
        <v>-1.175540820237817</v>
      </c>
      <c r="P4" s="1">
        <f>'2x7'!U8</f>
        <v>-1.2928269220616722</v>
      </c>
      <c r="Q4" s="1">
        <f>'2x8'!U8</f>
        <v>-1.4197200878518419</v>
      </c>
      <c r="R4" s="1">
        <f>'2x9'!U8</f>
        <v>-1.5564331214162972</v>
      </c>
      <c r="S4" s="1">
        <f>'2x10'!U8</f>
        <v>-1.7024071571415802</v>
      </c>
      <c r="T4" s="283">
        <v>2</v>
      </c>
      <c r="U4" s="1">
        <f>'3x4'!U8</f>
        <v>-2.3761654782992587</v>
      </c>
      <c r="V4" s="1">
        <f>'3x5'!U8</f>
        <v>-2.8439653464174537</v>
      </c>
      <c r="W4" s="1">
        <f>'3x6'!U8</f>
        <v>-3.3206868956640596</v>
      </c>
      <c r="X4" s="1">
        <f>'3x7'!U8</f>
        <v>-3.8125962546543519</v>
      </c>
      <c r="Y4" s="1">
        <f>'3x8'!U8</f>
        <v>-4.3218195051754611</v>
      </c>
      <c r="Z4" s="1">
        <f>'3x9'!U8</f>
        <v>-4.8482337700358649</v>
      </c>
      <c r="AA4" s="1">
        <f>'3x10'!U8</f>
        <v>-5.3905451004640899</v>
      </c>
    </row>
    <row r="5" spans="1:27" x14ac:dyDescent="0.2">
      <c r="A5" s="283">
        <v>3</v>
      </c>
      <c r="B5" s="1">
        <f>'1x2'!U9</f>
        <v>-0.16867375129726578</v>
      </c>
      <c r="C5" s="1">
        <f>'1x3'!U9</f>
        <v>-2.0400194984254244E-2</v>
      </c>
      <c r="D5" s="1">
        <f>'1x4'!U9</f>
        <v>0.13790132922084994</v>
      </c>
      <c r="E5" s="1">
        <f>'1x5'!U9</f>
        <v>0.2991911554204737</v>
      </c>
      <c r="F5" s="1">
        <f>'1x6'!U9</f>
        <v>0.4615474469477876</v>
      </c>
      <c r="G5" s="1">
        <f>'1x7'!U9</f>
        <v>0.62409554833567327</v>
      </c>
      <c r="H5" s="1">
        <f>'1x8'!U9</f>
        <v>0.78630821005810847</v>
      </c>
      <c r="I5" s="1">
        <f>'1x9'!U9</f>
        <v>0.94785224375241506</v>
      </c>
      <c r="J5" s="1">
        <f>'1x10'!U9</f>
        <v>1.1085361873026871</v>
      </c>
      <c r="K5" s="283">
        <v>3</v>
      </c>
      <c r="L5" s="1">
        <f>'2x3'!U9</f>
        <v>-1.7494443171519707</v>
      </c>
      <c r="M5" s="1">
        <f>'2x4'!U9</f>
        <v>-1.9650826927902676</v>
      </c>
      <c r="N5" s="1">
        <f>'2x5'!U9</f>
        <v>-2.1654274764245196</v>
      </c>
      <c r="O5" s="1">
        <f>'2x6'!U9</f>
        <v>-2.3735645518490673</v>
      </c>
      <c r="P5" s="1">
        <f>'2x7'!U9</f>
        <v>-2.5990139888140025</v>
      </c>
      <c r="Q5" s="1">
        <f>'2x8'!U9</f>
        <v>-2.8450359129167806</v>
      </c>
      <c r="R5" s="1">
        <f>'2x9'!U9</f>
        <v>-3.1118177482245089</v>
      </c>
      <c r="S5" s="1">
        <f>'2x10'!U9</f>
        <v>-3.3980151817989093</v>
      </c>
      <c r="T5" s="283">
        <v>3</v>
      </c>
      <c r="U5" s="1">
        <f>'3x4'!U9</f>
        <v>-4.9497730988091266</v>
      </c>
      <c r="V5" s="1">
        <f>'3x5'!U9</f>
        <v>-5.9233904285703201</v>
      </c>
      <c r="W5" s="1">
        <f>'3x6'!U9</f>
        <v>-6.9125318724158564</v>
      </c>
      <c r="X5" s="1">
        <f>'3x7'!U9</f>
        <v>-7.9317249980944897</v>
      </c>
      <c r="Y5" s="1">
        <f>'3x8'!U9</f>
        <v>-8.9862842627052011</v>
      </c>
      <c r="Z5" s="1">
        <f>'3x9'!U9</f>
        <v>-10.076449080409208</v>
      </c>
      <c r="AA5" s="1">
        <f>'3x10'!U9</f>
        <v>-11.199783729202268</v>
      </c>
    </row>
    <row r="6" spans="1:27" x14ac:dyDescent="0.2">
      <c r="A6" s="283">
        <v>4</v>
      </c>
      <c r="B6" s="1">
        <f>'1x2'!U10</f>
        <v>-0.27383573533530148</v>
      </c>
      <c r="C6" s="1">
        <f>'1x3'!U10</f>
        <v>-3.1864893556236146E-2</v>
      </c>
      <c r="D6" s="1">
        <f>'1x4'!U10</f>
        <v>0.21061277908064843</v>
      </c>
      <c r="E6" s="1">
        <f>'1x5'!U10</f>
        <v>0.45083094173320881</v>
      </c>
      <c r="F6" s="1">
        <f>'1x6'!U10</f>
        <v>0.68961434976223523</v>
      </c>
      <c r="G6" s="1">
        <f>'1x7'!U10</f>
        <v>0.92735207221246507</v>
      </c>
      <c r="H6" s="1">
        <f>'1x8'!U10</f>
        <v>1.1640738554326027</v>
      </c>
      <c r="I6" s="1">
        <f>'1x9'!U10</f>
        <v>1.3996878125411412</v>
      </c>
      <c r="J6" s="1">
        <f>'1x10'!U10</f>
        <v>1.6341065890551658</v>
      </c>
      <c r="K6" s="283">
        <v>4</v>
      </c>
      <c r="L6" s="1">
        <f>'2x3'!U10</f>
        <v>-3.0034613137018278</v>
      </c>
      <c r="M6" s="1">
        <f>'2x4'!U10</f>
        <v>-3.3482856327030319</v>
      </c>
      <c r="N6" s="1">
        <f>'2x5'!U10</f>
        <v>-3.6637808699606396</v>
      </c>
      <c r="O6" s="1">
        <f>'2x6'!U10</f>
        <v>-3.9933159819404382</v>
      </c>
      <c r="P6" s="1">
        <f>'2x7'!U10</f>
        <v>-4.3539410496618984</v>
      </c>
      <c r="Q6" s="1">
        <f>'2x8'!U10</f>
        <v>-4.7510518204691792</v>
      </c>
      <c r="R6" s="1">
        <f>'2x9'!U10</f>
        <v>-5.1846154276538865</v>
      </c>
      <c r="S6" s="1">
        <f>'2x10'!U10</f>
        <v>-5.6520278592426836</v>
      </c>
      <c r="T6" s="283">
        <v>4</v>
      </c>
      <c r="U6" s="1">
        <f>'3x4'!U10</f>
        <v>-8.5289845127424009</v>
      </c>
      <c r="V6" s="1">
        <f>'3x5'!U10</f>
        <v>-10.214750530667342</v>
      </c>
      <c r="W6" s="1">
        <f>'3x6'!U10</f>
        <v>-11.922396677879684</v>
      </c>
      <c r="X6" s="1">
        <f>'3x7'!U10</f>
        <v>-13.678918213577745</v>
      </c>
      <c r="Y6" s="1">
        <f>'3x8'!U10</f>
        <v>-15.494842863191009</v>
      </c>
      <c r="Z6" s="1">
        <f>'3x9'!U10</f>
        <v>-17.371428373256212</v>
      </c>
      <c r="AA6" s="1">
        <f>'3x10'!U10</f>
        <v>-19.304961490542446</v>
      </c>
    </row>
    <row r="7" spans="1:27" x14ac:dyDescent="0.2">
      <c r="A7" s="283">
        <v>5</v>
      </c>
      <c r="B7" s="1">
        <f>'1x2'!U11</f>
        <v>-0.39998963021158845</v>
      </c>
      <c r="C7" s="1">
        <f>'1x3'!U11</f>
        <v>-4.4809970826944961E-2</v>
      </c>
      <c r="D7" s="1">
        <f>'1x4'!U11</f>
        <v>0.29010245029165871</v>
      </c>
      <c r="E7" s="1">
        <f>'1x5'!U11</f>
        <v>0.61370194543352519</v>
      </c>
      <c r="F7" s="1">
        <f>'1x6'!U11</f>
        <v>0.93205667263017367</v>
      </c>
      <c r="G7" s="1">
        <f>'1x7'!U11</f>
        <v>1.2476734883499523</v>
      </c>
      <c r="H7" s="1">
        <f>'1x8'!U11</f>
        <v>1.5614607512707832</v>
      </c>
      <c r="I7" s="1">
        <f>'1x9'!U11</f>
        <v>1.8736964865435068</v>
      </c>
      <c r="J7" s="1">
        <f>'1x10'!U11</f>
        <v>2.1844482750292649</v>
      </c>
      <c r="K7" s="283">
        <v>5</v>
      </c>
      <c r="L7" s="1">
        <f>'2x3'!U11</f>
        <v>-4.6298643601480052</v>
      </c>
      <c r="M7" s="1">
        <f>'2x4'!U11</f>
        <v>-5.1297173699458263</v>
      </c>
      <c r="N7" s="1">
        <f>'2x5'!U11</f>
        <v>-5.5770573158744146</v>
      </c>
      <c r="O7" s="1">
        <f>'2x6'!U11</f>
        <v>-6.0458647319827232</v>
      </c>
      <c r="P7" s="1">
        <f>'2x7'!U11</f>
        <v>-6.5642598579519111</v>
      </c>
      <c r="Q7" s="1">
        <f>'2x8'!U11</f>
        <v>-7.140564014887687</v>
      </c>
      <c r="R7" s="1">
        <f>'2x9'!U11</f>
        <v>-7.7743019212800624</v>
      </c>
      <c r="S7" s="1">
        <f>'2x10'!U11</f>
        <v>-8.461047610802737</v>
      </c>
      <c r="T7" s="283">
        <v>5</v>
      </c>
      <c r="U7" s="1">
        <f>'3x4'!U11</f>
        <v>-13.146526242324658</v>
      </c>
      <c r="V7" s="1">
        <f>'3x5'!U11</f>
        <v>-15.766114931151154</v>
      </c>
      <c r="W7" s="1">
        <f>'3x6'!U11</f>
        <v>-18.413334580260454</v>
      </c>
      <c r="X7" s="1">
        <f>'3x7'!U11</f>
        <v>-21.131736721862399</v>
      </c>
      <c r="Y7" s="1">
        <f>'3x8'!U11</f>
        <v>-23.939215710144225</v>
      </c>
      <c r="Z7" s="1">
        <f>'3x9'!U11</f>
        <v>-26.838856888328941</v>
      </c>
      <c r="AA7" s="1">
        <f>'3x10'!U11</f>
        <v>-29.825648368275939</v>
      </c>
    </row>
    <row r="8" spans="1:27" x14ac:dyDescent="0.2">
      <c r="A8" s="283">
        <v>6</v>
      </c>
      <c r="B8" s="1">
        <f>'1x2'!U12</f>
        <v>-0.54517945659413636</v>
      </c>
      <c r="C8" s="1">
        <f>'1x3'!U12</f>
        <v>-5.885963732539648E-2</v>
      </c>
      <c r="D8" s="1">
        <f>'1x4'!U12</f>
        <v>0.37399900186347579</v>
      </c>
      <c r="E8" s="1">
        <f>'1x5'!U12</f>
        <v>0.7832314141805492</v>
      </c>
      <c r="F8" s="1">
        <f>'1x6'!U12</f>
        <v>1.182505840243905</v>
      </c>
      <c r="G8" s="1">
        <f>'1x7'!U12</f>
        <v>1.5771010572220714</v>
      </c>
      <c r="H8" s="1">
        <f>'1x8'!U12</f>
        <v>1.96901079399598</v>
      </c>
      <c r="I8" s="1">
        <f>'1x9'!U12</f>
        <v>2.3589528883440387</v>
      </c>
      <c r="J8" s="1">
        <f>'1x10'!U12</f>
        <v>2.747172038668702</v>
      </c>
      <c r="K8" s="283">
        <v>6</v>
      </c>
      <c r="L8" s="1">
        <f>'2x3'!U12</f>
        <v>-6.6461980040998814</v>
      </c>
      <c r="M8" s="1">
        <f>'2x4'!U12</f>
        <v>-7.3280161454835602</v>
      </c>
      <c r="N8" s="1">
        <f>'2x5'!U12</f>
        <v>-7.9206741305740884</v>
      </c>
      <c r="O8" s="1">
        <f>'2x6'!U12</f>
        <v>-8.542179750136194</v>
      </c>
      <c r="P8" s="1">
        <f>'2x7'!U12</f>
        <v>-9.2366053972247997</v>
      </c>
      <c r="Q8" s="1">
        <f>'2x8'!U12</f>
        <v>-10.0163677115751</v>
      </c>
      <c r="R8" s="1">
        <f>'2x9'!U12</f>
        <v>-10.880352995958393</v>
      </c>
      <c r="S8" s="1">
        <f>'2x10'!U12</f>
        <v>-11.821678038945135</v>
      </c>
      <c r="T8" s="283">
        <v>6</v>
      </c>
      <c r="U8" s="1">
        <f>'3x4'!U12</f>
        <v>-18.820912809087488</v>
      </c>
      <c r="V8" s="1">
        <f>'3x5'!U12</f>
        <v>-22.607455108835396</v>
      </c>
      <c r="W8" s="1">
        <f>'3x6'!U12</f>
        <v>-26.427202425387282</v>
      </c>
      <c r="X8" s="1">
        <f>'3x7'!U12</f>
        <v>-30.34385232004076</v>
      </c>
      <c r="Y8" s="1">
        <f>'3x8'!U12</f>
        <v>-34.384682993162862</v>
      </c>
      <c r="Z8" s="1">
        <f>'3x9'!U12</f>
        <v>-38.555421522344716</v>
      </c>
      <c r="AA8" s="1">
        <f>'3x10'!U12</f>
        <v>-42.849779198124097</v>
      </c>
    </row>
    <row r="9" spans="1:27" x14ac:dyDescent="0.2">
      <c r="A9" s="283">
        <v>7</v>
      </c>
      <c r="B9" s="1">
        <f>'1x2'!U13</f>
        <v>-0.70755174941571219</v>
      </c>
      <c r="C9" s="1">
        <f>'1x3'!U13</f>
        <v>-7.3719214174738507E-2</v>
      </c>
      <c r="D9" s="1">
        <f>'1x4'!U13</f>
        <v>0.46069349173096108</v>
      </c>
      <c r="E9" s="1">
        <f>'1x5'!U13</f>
        <v>0.95660493282937775</v>
      </c>
      <c r="F9" s="1">
        <f>'1x6'!U13</f>
        <v>1.4372917576724968</v>
      </c>
      <c r="G9" s="1">
        <f>'1x7'!U13</f>
        <v>1.911250340670557</v>
      </c>
      <c r="H9" s="1">
        <f>'1x8'!U13</f>
        <v>2.3816737826484804</v>
      </c>
      <c r="I9" s="1">
        <f>'1x9'!U13</f>
        <v>2.8497494987474328</v>
      </c>
      <c r="J9" s="1">
        <f>'1x10'!U13</f>
        <v>3.3159045704277919</v>
      </c>
      <c r="K9" s="283">
        <v>7</v>
      </c>
      <c r="L9" s="1">
        <f>'2x3'!U13</f>
        <v>-9.0670000054829156</v>
      </c>
      <c r="M9" s="1">
        <f>'2x4'!U13</f>
        <v>-9.9604148937853338</v>
      </c>
      <c r="N9" s="1">
        <f>'2x5'!U13</f>
        <v>-10.709582007253536</v>
      </c>
      <c r="O9" s="1">
        <f>'2x6'!U13</f>
        <v>-11.493112407804595</v>
      </c>
      <c r="P9" s="1">
        <f>'2x7'!U13</f>
        <v>-12.377592896992939</v>
      </c>
      <c r="Q9" s="1">
        <f>'2x8'!U13</f>
        <v>-13.381256957681366</v>
      </c>
      <c r="R9" s="1">
        <f>'2x9'!U13</f>
        <v>-14.502244424783823</v>
      </c>
      <c r="S9" s="1">
        <f>'2x10'!U13</f>
        <v>-15.730524141394076</v>
      </c>
      <c r="T9" s="283">
        <v>7</v>
      </c>
      <c r="U9" s="1">
        <f>'3x4'!U13</f>
        <v>-25.562120275620394</v>
      </c>
      <c r="V9" s="1">
        <f>'3x5'!U13</f>
        <v>-30.756622036071551</v>
      </c>
      <c r="W9" s="1">
        <f>'3x6'!U13</f>
        <v>-35.990614120569475</v>
      </c>
      <c r="X9" s="1">
        <f>'3x7'!U13</f>
        <v>-41.350917294444471</v>
      </c>
      <c r="Y9" s="1">
        <f>'3x8'!U13</f>
        <v>-46.875920325656182</v>
      </c>
      <c r="Z9" s="1">
        <f>'3x9'!U13</f>
        <v>-52.57469614673596</v>
      </c>
      <c r="AA9" s="1">
        <f>'3x10'!U13</f>
        <v>-58.439674480607401</v>
      </c>
    </row>
    <row r="10" spans="1:27" x14ac:dyDescent="0.2">
      <c r="A10" s="283">
        <v>8</v>
      </c>
      <c r="B10" s="1">
        <f>'1x2'!U14</f>
        <v>-0.88536352207997759</v>
      </c>
      <c r="C10" s="1">
        <f>'1x3'!U14</f>
        <v>-8.9163484203687943E-2</v>
      </c>
      <c r="D10" s="1">
        <f>'1x4'!U14</f>
        <v>0.54912945376520184</v>
      </c>
      <c r="E10" s="1">
        <f>'1x5'!U14</f>
        <v>1.1321504846794019</v>
      </c>
      <c r="F10" s="1">
        <f>'1x6'!U14</f>
        <v>1.6943750253372913</v>
      </c>
      <c r="G10" s="1">
        <f>'1x7'!U14</f>
        <v>2.2477933768111704</v>
      </c>
      <c r="H10" s="1">
        <f>'1x8'!U14</f>
        <v>2.7968512768537725</v>
      </c>
      <c r="I10" s="1">
        <f>'1x9'!U14</f>
        <v>3.343213475381428</v>
      </c>
      <c r="J10" s="1">
        <f>'1x10'!U14</f>
        <v>3.8874871143404444</v>
      </c>
      <c r="K10" s="283">
        <v>8</v>
      </c>
      <c r="L10" s="1">
        <f>'2x3'!U14</f>
        <v>-11.904058921412505</v>
      </c>
      <c r="M10" s="1">
        <f>'2x4'!U14</f>
        <v>-13.042677827862599</v>
      </c>
      <c r="N10" s="1">
        <f>'2x5'!U14</f>
        <v>-13.95821390399302</v>
      </c>
      <c r="O10" s="1">
        <f>'2x6'!U14</f>
        <v>-14.909380268403446</v>
      </c>
      <c r="P10" s="1">
        <f>'2x7'!U14</f>
        <v>-15.993814880570861</v>
      </c>
      <c r="Q10" s="1">
        <f>'2x8'!U14</f>
        <v>-17.23802445309456</v>
      </c>
      <c r="R10" s="1">
        <f>'2x9'!U14</f>
        <v>-18.639451988050716</v>
      </c>
      <c r="S10" s="1">
        <f>'2x10'!U14</f>
        <v>-20.184192524939206</v>
      </c>
      <c r="T10" s="283">
        <v>8</v>
      </c>
      <c r="U10" s="1">
        <f>'3x4'!U14</f>
        <v>-33.37532863140769</v>
      </c>
      <c r="V10" s="1">
        <f>'3x5'!U14</f>
        <v>-40.223872361465105</v>
      </c>
      <c r="W10" s="1">
        <f>'3x6'!U14</f>
        <v>-47.11991528237246</v>
      </c>
      <c r="X10" s="1">
        <f>'3x7'!U14</f>
        <v>-54.175834951353309</v>
      </c>
      <c r="Y10" s="1">
        <f>'3x8'!U14</f>
        <v>-61.442525526201401</v>
      </c>
      <c r="Z10" s="1">
        <f>'3x9'!U14</f>
        <v>-68.93294030967931</v>
      </c>
      <c r="AA10" s="1">
        <f>'3x10'!U14</f>
        <v>-76.638149070215121</v>
      </c>
    </row>
    <row r="11" spans="1:27" x14ac:dyDescent="0.2">
      <c r="A11" s="283">
        <v>9</v>
      </c>
      <c r="B11" s="1">
        <f>'1x2'!U15</f>
        <v>-1.076987709283068</v>
      </c>
      <c r="C11" s="1">
        <f>'1x3'!U15</f>
        <v>-0.10502412548247844</v>
      </c>
      <c r="D11" s="1">
        <f>'1x4'!U15</f>
        <v>0.63863154376320896</v>
      </c>
      <c r="E11" s="1">
        <f>'1x5'!U15</f>
        <v>1.3089021386819035</v>
      </c>
      <c r="F11" s="1">
        <f>'1x6'!U15</f>
        <v>1.952653941284157</v>
      </c>
      <c r="G11" s="1">
        <f>'1x7'!U15</f>
        <v>2.5855285477831584</v>
      </c>
      <c r="H11" s="1">
        <f>'1x8'!U15</f>
        <v>3.2132435088909985</v>
      </c>
      <c r="I11" s="1">
        <f>'1x9'!U15</f>
        <v>3.8379389336608822</v>
      </c>
      <c r="J11" s="1">
        <f>'1x10'!U15</f>
        <v>4.4603975033700003</v>
      </c>
      <c r="K11" s="283">
        <v>9</v>
      </c>
      <c r="L11" s="1">
        <f>'2x3'!U15</f>
        <v>-15.16675068415212</v>
      </c>
      <c r="M11" s="1">
        <f>'2x4'!U15</f>
        <v>-16.589079657904652</v>
      </c>
      <c r="N11" s="1">
        <f>'2x5'!U15</f>
        <v>-17.680441512121277</v>
      </c>
      <c r="O11" s="1">
        <f>'2x6'!U15</f>
        <v>-18.801551610864742</v>
      </c>
      <c r="P11" s="1">
        <f>'2x7'!U15</f>
        <v>-20.091838249613517</v>
      </c>
      <c r="Q11" s="1">
        <f>'2x8'!U15</f>
        <v>-21.589461371740747</v>
      </c>
      <c r="R11" s="1">
        <f>'2x9'!U15</f>
        <v>-23.291451474212625</v>
      </c>
      <c r="S11" s="1">
        <f>'2x10'!U15</f>
        <v>-25.179291618880338</v>
      </c>
      <c r="T11" s="283">
        <v>9</v>
      </c>
      <c r="U11" s="1">
        <f>'3x4'!U15</f>
        <v>-42.26315268367658</v>
      </c>
      <c r="V11" s="1">
        <f>'3x5'!U15</f>
        <v>-51.014935712316912</v>
      </c>
      <c r="W11" s="1">
        <f>'3x6'!U15</f>
        <v>-59.824870712895219</v>
      </c>
      <c r="X11" s="1">
        <f>'3x7'!U15</f>
        <v>-68.832924287684193</v>
      </c>
      <c r="Y11" s="1">
        <f>'3x8'!U15</f>
        <v>-78.103591518117014</v>
      </c>
      <c r="Z11" s="1">
        <f>'3x9'!U15</f>
        <v>-87.654059638499945</v>
      </c>
      <c r="AA11" s="1">
        <f>'3x10'!U15</f>
        <v>-97.473865390749154</v>
      </c>
    </row>
    <row r="12" spans="1:27" x14ac:dyDescent="0.2">
      <c r="A12" s="283">
        <v>10</v>
      </c>
      <c r="B12" s="1">
        <f>'1x2'!U16</f>
        <v>-1.28091618595639</v>
      </c>
      <c r="C12" s="1">
        <f>'1x3'!U16</f>
        <v>-0.121177746693543</v>
      </c>
      <c r="D12" s="1">
        <f>'1x4'!U16</f>
        <v>0.72877738933760228</v>
      </c>
      <c r="E12" s="1">
        <f>'1x5'!U16</f>
        <v>1.4863141067882495</v>
      </c>
      <c r="F12" s="1">
        <f>'1x6'!U16</f>
        <v>2.2115463310056529</v>
      </c>
      <c r="G12" s="1">
        <f>'1x7'!U16</f>
        <v>2.9238490324171011</v>
      </c>
      <c r="H12" s="1">
        <f>'1x8'!U16</f>
        <v>3.6302142869752685</v>
      </c>
      <c r="I12" s="1">
        <f>'1x9'!U16</f>
        <v>4.3332525759653144</v>
      </c>
      <c r="J12" s="1">
        <f>'1x10'!U16</f>
        <v>5.0339178355022378</v>
      </c>
      <c r="K12" s="283">
        <v>10</v>
      </c>
      <c r="L12" s="1">
        <f>'2x3'!U16</f>
        <v>-18.862405201612223</v>
      </c>
      <c r="M12" s="1">
        <f>'2x4'!U16</f>
        <v>-20.612422409036611</v>
      </c>
      <c r="N12" s="1">
        <f>'2x5'!U16</f>
        <v>-21.889539568194756</v>
      </c>
      <c r="O12" s="1">
        <f>'2x6'!U16</f>
        <v>-23.180030782198966</v>
      </c>
      <c r="P12" s="1">
        <f>'2x7'!U16</f>
        <v>-24.678201409901014</v>
      </c>
      <c r="Q12" s="1">
        <f>'2x8'!U16</f>
        <v>-26.438357183233457</v>
      </c>
      <c r="R12" s="1">
        <f>'2x9'!U16</f>
        <v>-28.457718680842035</v>
      </c>
      <c r="S12" s="1">
        <f>'2x10'!U16</f>
        <v>-30.712431888061698</v>
      </c>
      <c r="T12" s="283">
        <v>10</v>
      </c>
      <c r="U12" s="1">
        <f>'3x4'!U16</f>
        <v>-52.226883948817147</v>
      </c>
      <c r="V12" s="1">
        <f>'3x5'!U16</f>
        <v>-63.132942754988591</v>
      </c>
      <c r="W12" s="1">
        <f>'3x6'!U16</f>
        <v>-74.111186080613351</v>
      </c>
      <c r="X12" s="1">
        <f>'3x7'!U16</f>
        <v>-85.330942618737765</v>
      </c>
      <c r="Y12" s="1">
        <f>'3x8'!U16</f>
        <v>-96.871169068082196</v>
      </c>
      <c r="Z12" s="1">
        <f>'3x9'!U16</f>
        <v>-108.75347791933578</v>
      </c>
      <c r="AA12" s="1">
        <f>'3x10'!U16</f>
        <v>-120.96560433502543</v>
      </c>
    </row>
    <row r="13" spans="1:27" x14ac:dyDescent="0.2">
      <c r="B13" s="342" t="s">
        <v>49</v>
      </c>
      <c r="C13" s="342"/>
      <c r="D13" s="342"/>
      <c r="E13" s="342"/>
      <c r="F13" s="342"/>
      <c r="G13" s="342"/>
      <c r="H13" s="342"/>
      <c r="I13" s="342"/>
      <c r="J13" s="342"/>
      <c r="L13" s="342" t="s">
        <v>49</v>
      </c>
      <c r="M13" s="342"/>
      <c r="N13" s="342"/>
      <c r="O13" s="342"/>
      <c r="P13" s="342"/>
      <c r="Q13" s="342"/>
      <c r="R13" s="342"/>
      <c r="S13" s="342"/>
      <c r="U13" s="342" t="s">
        <v>49</v>
      </c>
      <c r="V13" s="342"/>
      <c r="W13" s="342"/>
      <c r="X13" s="342"/>
      <c r="Y13" s="342"/>
      <c r="Z13" s="342"/>
      <c r="AA13" s="342"/>
    </row>
    <row r="14" spans="1:27" x14ac:dyDescent="0.2">
      <c r="A14" s="283" t="s">
        <v>57</v>
      </c>
      <c r="B14" s="259" t="s">
        <v>141</v>
      </c>
      <c r="C14" s="259" t="s">
        <v>142</v>
      </c>
      <c r="D14" s="259" t="s">
        <v>143</v>
      </c>
      <c r="E14" s="259" t="s">
        <v>144</v>
      </c>
      <c r="F14" s="259" t="s">
        <v>145</v>
      </c>
      <c r="G14" s="259" t="s">
        <v>146</v>
      </c>
      <c r="H14" s="259" t="s">
        <v>147</v>
      </c>
      <c r="I14" s="259" t="s">
        <v>148</v>
      </c>
      <c r="J14" s="259" t="s">
        <v>149</v>
      </c>
      <c r="K14" s="283" t="s">
        <v>57</v>
      </c>
      <c r="L14" s="259" t="s">
        <v>158</v>
      </c>
      <c r="M14" s="259" t="s">
        <v>159</v>
      </c>
      <c r="N14" s="259" t="s">
        <v>160</v>
      </c>
      <c r="O14" s="259" t="s">
        <v>161</v>
      </c>
      <c r="P14" s="259" t="s">
        <v>162</v>
      </c>
      <c r="Q14" s="259" t="s">
        <v>163</v>
      </c>
      <c r="R14" s="259" t="s">
        <v>164</v>
      </c>
      <c r="S14" s="259" t="s">
        <v>165</v>
      </c>
      <c r="T14" s="283" t="s">
        <v>57</v>
      </c>
      <c r="U14" s="259" t="s">
        <v>169</v>
      </c>
      <c r="V14" s="259" t="s">
        <v>170</v>
      </c>
      <c r="W14" s="259" t="s">
        <v>171</v>
      </c>
      <c r="X14" s="259" t="s">
        <v>172</v>
      </c>
      <c r="Y14" s="259" t="s">
        <v>173</v>
      </c>
      <c r="Z14" s="259" t="s">
        <v>174</v>
      </c>
      <c r="AA14" s="259" t="s">
        <v>175</v>
      </c>
    </row>
    <row r="15" spans="1:27" x14ac:dyDescent="0.2">
      <c r="A15" s="283">
        <v>1</v>
      </c>
      <c r="B15" s="1">
        <f>'1x2'!R7</f>
        <v>0.10319797996906244</v>
      </c>
      <c r="C15" s="1">
        <f>'1x3'!R7</f>
        <v>0.23022196212840235</v>
      </c>
      <c r="D15" s="1">
        <f>'1x4'!R7</f>
        <v>0.30115588817456668</v>
      </c>
      <c r="E15" s="1">
        <f>'1x5'!R7</f>
        <v>0.34444532557734919</v>
      </c>
      <c r="F15" s="1">
        <f>'1x6'!R7</f>
        <v>0.37230861223628287</v>
      </c>
      <c r="G15" s="1">
        <f>'1x7'!R7</f>
        <v>0.39086201815543437</v>
      </c>
      <c r="H15" s="1">
        <f>'1x8'!R7</f>
        <v>0.40349700080092782</v>
      </c>
      <c r="I15" s="1">
        <f>'1x9'!R7</f>
        <v>0.41223371605271664</v>
      </c>
      <c r="J15" s="1">
        <f>'1x10'!R7</f>
        <v>0.41833877977736161</v>
      </c>
      <c r="K15" s="283">
        <v>1</v>
      </c>
      <c r="L15" s="1">
        <f>'2x3'!R7</f>
        <v>-0.19964472510748005</v>
      </c>
      <c r="M15" s="1">
        <f>'2x4'!R7</f>
        <v>-0.12533352414812982</v>
      </c>
      <c r="N15" s="1">
        <f>'2x5'!R7</f>
        <v>-7.7503050514695249E-2</v>
      </c>
      <c r="O15" s="1">
        <f>'2x6'!R7</f>
        <v>-4.5654037026480077E-2</v>
      </c>
      <c r="P15" s="1">
        <f>'2x7'!R7</f>
        <v>-2.3964664495461085E-2</v>
      </c>
      <c r="Q15" s="1">
        <f>'2x8'!R7</f>
        <v>-8.9671075450314941E-3</v>
      </c>
      <c r="R15" s="1">
        <f>'2x9'!R7</f>
        <v>1.5129227933297074E-3</v>
      </c>
      <c r="S15" s="1">
        <f>'2x10'!R7</f>
        <v>8.8901281862445725E-3</v>
      </c>
      <c r="T15" s="283">
        <v>1</v>
      </c>
      <c r="U15" s="1">
        <f>'3x4'!R7</f>
        <v>-0.39984383117705985</v>
      </c>
      <c r="V15" s="1">
        <f>'3x5'!R7</f>
        <v>-0.35846701554831867</v>
      </c>
      <c r="W15" s="1">
        <f>'3x6'!R7</f>
        <v>-0.3302891516200957</v>
      </c>
      <c r="X15" s="1">
        <f>'3x7'!R7</f>
        <v>-0.31080499557083258</v>
      </c>
      <c r="Y15" s="1">
        <f>'3x8'!R7</f>
        <v>-0.29718980829809533</v>
      </c>
      <c r="Z15" s="1">
        <f>'3x9'!R7</f>
        <v>-0.28760567259131908</v>
      </c>
      <c r="AA15" s="1">
        <f>'3x10'!R7</f>
        <v>-0.28082420804419922</v>
      </c>
    </row>
    <row r="16" spans="1:27" x14ac:dyDescent="0.2">
      <c r="A16" s="283">
        <v>2</v>
      </c>
      <c r="B16" s="1">
        <f>'1x2'!R8</f>
        <v>0.46572739415337044</v>
      </c>
      <c r="C16" s="1">
        <f>'1x3'!R8</f>
        <v>0.61181931874426798</v>
      </c>
      <c r="D16" s="1">
        <f>'1x4'!R8</f>
        <v>0.68396550721688909</v>
      </c>
      <c r="E16" s="1">
        <f>'1x5'!R8</f>
        <v>0.72439808678634787</v>
      </c>
      <c r="F16" s="1">
        <f>'1x6'!R8</f>
        <v>0.74893598538226158</v>
      </c>
      <c r="G16" s="1">
        <f>'1x7'!R8</f>
        <v>0.76462049939647958</v>
      </c>
      <c r="H16" s="1">
        <f>'1x8'!R8</f>
        <v>0.7750001756556687</v>
      </c>
      <c r="I16" s="1">
        <f>'1x9'!R8</f>
        <v>0.78203399995387746</v>
      </c>
      <c r="J16" s="1">
        <f>'1x10'!R8</f>
        <v>0.78687937415645604</v>
      </c>
      <c r="K16" s="283">
        <v>2</v>
      </c>
      <c r="L16" s="1">
        <f>'2x3'!R8</f>
        <v>5.3148233385400256E-2</v>
      </c>
      <c r="M16" s="1">
        <f>'2x4'!R8</f>
        <v>0.16014724644943829</v>
      </c>
      <c r="N16" s="1">
        <f>'2x5'!R8</f>
        <v>0.22753810558884441</v>
      </c>
      <c r="O16" s="1">
        <f>'2x6'!R8</f>
        <v>0.2715778378425856</v>
      </c>
      <c r="P16" s="1">
        <f>'2x7'!R8</f>
        <v>0.30113136519387018</v>
      </c>
      <c r="Q16" s="1">
        <f>'2x8'!R8</f>
        <v>0.32134177400858271</v>
      </c>
      <c r="R16" s="1">
        <f>'2x9'!R8</f>
        <v>0.33534954488150076</v>
      </c>
      <c r="S16" s="1">
        <f>'2x10'!R8</f>
        <v>0.34515139984640142</v>
      </c>
      <c r="T16" s="283">
        <v>2</v>
      </c>
      <c r="U16" s="1">
        <f>'3x4'!R8</f>
        <v>-0.24027861626628133</v>
      </c>
      <c r="V16" s="1">
        <f>'3x5'!R8</f>
        <v>-0.17975608594077486</v>
      </c>
      <c r="W16" s="1">
        <f>'3x6'!R8</f>
        <v>-0.13838370788119014</v>
      </c>
      <c r="X16" s="1">
        <f>'3x7'!R8</f>
        <v>-0.10973963557091548</v>
      </c>
      <c r="Y16" s="1">
        <f>'3x8'!R8</f>
        <v>-8.9718958998884712E-2</v>
      </c>
      <c r="Z16" s="1">
        <f>'3x9'!R8</f>
        <v>-7.5627996841614975E-2</v>
      </c>
      <c r="AA16" s="1">
        <f>'3x10'!R8</f>
        <v>-6.5660316219496973E-2</v>
      </c>
    </row>
    <row r="17" spans="1:27" x14ac:dyDescent="0.2">
      <c r="A17" s="283">
        <v>3</v>
      </c>
      <c r="B17" s="1">
        <f>'1x2'!R9</f>
        <v>0.64317191147208108</v>
      </c>
      <c r="C17" s="1">
        <f>'1x3'!R9</f>
        <v>0.78341055193537878</v>
      </c>
      <c r="D17" s="1">
        <f>'1x4'!R9</f>
        <v>0.84353843668476636</v>
      </c>
      <c r="E17" s="1">
        <f>'1x5'!R9</f>
        <v>0.87407689830200419</v>
      </c>
      <c r="F17" s="1">
        <f>'1x6'!R9</f>
        <v>0.8913994291370505</v>
      </c>
      <c r="G17" s="1">
        <f>'1x7'!R9</f>
        <v>0.90196679427164039</v>
      </c>
      <c r="H17" s="1">
        <f>'1x8'!R9</f>
        <v>0.90873606191507839</v>
      </c>
      <c r="I17" s="1">
        <f>'1x9'!R9</f>
        <v>0.91321959488546556</v>
      </c>
      <c r="J17" s="1">
        <f>'1x10'!R9</f>
        <v>0.91625868876611938</v>
      </c>
      <c r="K17" s="283">
        <v>3</v>
      </c>
      <c r="L17" s="1">
        <f>'2x3'!R9</f>
        <v>0.1698550956906259</v>
      </c>
      <c r="M17" s="1">
        <f>'2x4'!R9</f>
        <v>0.29847251410983566</v>
      </c>
      <c r="N17" s="1">
        <f>'2x5'!R9</f>
        <v>0.37823732634982349</v>
      </c>
      <c r="O17" s="1">
        <f>'2x6'!R9</f>
        <v>0.42953394697895014</v>
      </c>
      <c r="P17" s="1">
        <f>'2x7'!R9</f>
        <v>0.46349278287997575</v>
      </c>
      <c r="Q17" s="1">
        <f>'2x8'!R9</f>
        <v>0.48646965710815515</v>
      </c>
      <c r="R17" s="1">
        <f>'2x9'!R9</f>
        <v>0.50226709179688034</v>
      </c>
      <c r="S17" s="1">
        <f>'2x10'!R9</f>
        <v>0.5132554615759034</v>
      </c>
      <c r="T17" s="283">
        <v>3</v>
      </c>
      <c r="U17" s="1">
        <f>'3x4'!R9</f>
        <v>-0.18249019010036643</v>
      </c>
      <c r="V17" s="1">
        <f>'3x5'!R9</f>
        <v>-0.11074987496418687</v>
      </c>
      <c r="W17" s="1">
        <f>'3x6'!R9</f>
        <v>-6.130693357325423E-2</v>
      </c>
      <c r="X17" s="1">
        <f>'3x7'!R9</f>
        <v>-2.691885331917121E-2</v>
      </c>
      <c r="Y17" s="1">
        <f>'3x8'!R9</f>
        <v>-2.8206458139363177E-3</v>
      </c>
      <c r="Z17" s="1">
        <f>'3x9'!R9</f>
        <v>1.416624734926103E-2</v>
      </c>
      <c r="AA17" s="1">
        <f>'3x10'!R9</f>
        <v>2.6193666460495868E-2</v>
      </c>
    </row>
    <row r="18" spans="1:27" x14ac:dyDescent="0.2">
      <c r="A18" s="283">
        <v>4</v>
      </c>
      <c r="B18" s="1">
        <f>'1x2'!R10</f>
        <v>0.74667183613445132</v>
      </c>
      <c r="C18" s="1">
        <f>'1x3'!R10</f>
        <v>0.87307572952522516</v>
      </c>
      <c r="D18" s="1">
        <f>'1x4'!R10</f>
        <v>0.91935383975987739</v>
      </c>
      <c r="E18" s="1">
        <f>'1x5'!R10</f>
        <v>0.94042846022944293</v>
      </c>
      <c r="F18" s="1">
        <f>'1x6'!R10</f>
        <v>0.95153014094728505</v>
      </c>
      <c r="G18" s="1">
        <f>'1x7'!R10</f>
        <v>0.95796796441162091</v>
      </c>
      <c r="H18" s="1">
        <f>'1x8'!R10</f>
        <v>0.96194968835013461</v>
      </c>
      <c r="I18" s="1">
        <f>'1x9'!R10</f>
        <v>0.96452299987346923</v>
      </c>
      <c r="J18" s="1">
        <f>'1x10'!R10</f>
        <v>0.96623740283459492</v>
      </c>
      <c r="K18" s="283">
        <v>4</v>
      </c>
      <c r="L18" s="1">
        <f>'2x3'!R10</f>
        <v>0.23293308126582651</v>
      </c>
      <c r="M18" s="1">
        <f>'2x4'!R10</f>
        <v>0.37808653411302123</v>
      </c>
      <c r="N18" s="1">
        <f>'2x5'!R10</f>
        <v>0.46722400913822176</v>
      </c>
      <c r="O18" s="1">
        <f>'2x6'!R10</f>
        <v>0.52378281855887199</v>
      </c>
      <c r="P18" s="1">
        <f>'2x7'!R10</f>
        <v>0.56076059555574931</v>
      </c>
      <c r="Q18" s="1">
        <f>'2x8'!R10</f>
        <v>0.58552514560886471</v>
      </c>
      <c r="R18" s="1">
        <f>'2x9'!R10</f>
        <v>0.60241700864706127</v>
      </c>
      <c r="S18" s="1">
        <f>'2x10'!R10</f>
        <v>0.61409664403705244</v>
      </c>
      <c r="T18" s="283">
        <v>4</v>
      </c>
      <c r="U18" s="1">
        <f>'3x4'!R10</f>
        <v>-0.15933150301156573</v>
      </c>
      <c r="V18" s="1">
        <f>'3x5'!R10</f>
        <v>-8.0892718831715837E-2</v>
      </c>
      <c r="W18" s="1">
        <f>'3x6'!R10</f>
        <v>-2.6323657011389334E-2</v>
      </c>
      <c r="X18" s="1">
        <f>'3x7'!R10</f>
        <v>1.1855341743548797E-2</v>
      </c>
      <c r="Y18" s="1">
        <f>'3x8'!R10</f>
        <v>3.871156774741541E-2</v>
      </c>
      <c r="Z18" s="1">
        <f>'3x9'!R10</f>
        <v>5.7689179966047277E-2</v>
      </c>
      <c r="AA18" s="1">
        <f>'3x10'!R10</f>
        <v>7.1147969196691419E-2</v>
      </c>
    </row>
    <row r="19" spans="1:27" x14ac:dyDescent="0.2">
      <c r="A19" s="283">
        <v>5</v>
      </c>
      <c r="B19" s="1">
        <f>'1x2'!R11</f>
        <v>0.81329144720780766</v>
      </c>
      <c r="C19" s="1">
        <f>'1x3'!R11</f>
        <v>0.92361385090535297</v>
      </c>
      <c r="D19" s="1">
        <f>'1x4'!R11</f>
        <v>0.95760355683818343</v>
      </c>
      <c r="E19" s="1">
        <f>'1x5'!R11</f>
        <v>0.97136860952932558</v>
      </c>
      <c r="F19" s="1">
        <f>'1x6'!R11</f>
        <v>0.97807303791719757</v>
      </c>
      <c r="G19" s="1">
        <f>'1x7'!R11</f>
        <v>0.98175965523160669</v>
      </c>
      <c r="H19" s="1">
        <f>'1x8'!R11</f>
        <v>0.98395787808353219</v>
      </c>
      <c r="I19" s="1">
        <f>'1x9'!R11</f>
        <v>0.98534281744092678</v>
      </c>
      <c r="J19" s="1">
        <f>'1x10'!R11</f>
        <v>0.98624914485083315</v>
      </c>
      <c r="K19" s="283">
        <v>5</v>
      </c>
      <c r="L19" s="1">
        <f>'2x3'!R11</f>
        <v>0.26994240872772768</v>
      </c>
      <c r="M19" s="1">
        <f>'2x4'!R11</f>
        <v>0.42849741492166565</v>
      </c>
      <c r="N19" s="1">
        <f>'2x5'!R11</f>
        <v>0.52537980637355175</v>
      </c>
      <c r="O19" s="1">
        <f>'2x6'!R11</f>
        <v>0.5861813333451269</v>
      </c>
      <c r="P19" s="1">
        <f>'2x7'!R11</f>
        <v>0.6254818620840944</v>
      </c>
      <c r="Q19" s="1">
        <f>'2x8'!R11</f>
        <v>0.65154444193295258</v>
      </c>
      <c r="R19" s="1">
        <f>'2x9'!R11</f>
        <v>0.66918311046884016</v>
      </c>
      <c r="S19" s="1">
        <f>'2x10'!R11</f>
        <v>0.68130639190241016</v>
      </c>
      <c r="T19" s="283">
        <v>5</v>
      </c>
      <c r="U19" s="1">
        <f>'3x4'!R11</f>
        <v>-0.14967816842119031</v>
      </c>
      <c r="V19" s="1">
        <f>'3x5'!R11</f>
        <v>-6.7343746105097801E-2</v>
      </c>
      <c r="W19" s="1">
        <f>'3x6'!R11</f>
        <v>-9.5704711797064412E-3</v>
      </c>
      <c r="X19" s="1">
        <f>'3x7'!R11</f>
        <v>3.1090419523758905E-2</v>
      </c>
      <c r="Y19" s="1">
        <f>'3x8'!R11</f>
        <v>5.9808183915856516E-2</v>
      </c>
      <c r="Z19" s="1">
        <f>'3x9'!R11</f>
        <v>8.0157242911769844E-2</v>
      </c>
      <c r="AA19" s="1">
        <f>'3x10'!R11</f>
        <v>9.461601947897974E-2</v>
      </c>
    </row>
    <row r="20" spans="1:27" x14ac:dyDescent="0.2">
      <c r="A20" s="283">
        <v>6</v>
      </c>
      <c r="B20" s="1">
        <f>'1x2'!R12</f>
        <v>0.85892827702471075</v>
      </c>
      <c r="C20" s="1">
        <f>'1x3'!R12</f>
        <v>0.95331903311483202</v>
      </c>
      <c r="D20" s="1">
        <f>'1x4'!R12</f>
        <v>0.97748542785739079</v>
      </c>
      <c r="E20" s="1">
        <f>'1x5'!R12</f>
        <v>0.98613604277235201</v>
      </c>
      <c r="F20" s="1">
        <f>'1x6'!R12</f>
        <v>0.9900206916257811</v>
      </c>
      <c r="G20" s="1">
        <f>'1x7'!R12</f>
        <v>0.99204329141803282</v>
      </c>
      <c r="H20" s="1">
        <f>'1x8'!R12</f>
        <v>0.99320507069031005</v>
      </c>
      <c r="I20" s="1">
        <f>'1x9'!R12</f>
        <v>0.99391828657354186</v>
      </c>
      <c r="J20" s="1">
        <f>'1x10'!R12</f>
        <v>0.99437662533808335</v>
      </c>
      <c r="K20" s="283">
        <v>6</v>
      </c>
      <c r="L20" s="1">
        <f>'2x3'!R12</f>
        <v>0.29270941766581132</v>
      </c>
      <c r="M20" s="1">
        <f>'2x4'!R12</f>
        <v>0.46236931779436985</v>
      </c>
      <c r="N20" s="1">
        <f>'2x5'!R12</f>
        <v>0.56594380484866935</v>
      </c>
      <c r="O20" s="1">
        <f>'2x6'!R12</f>
        <v>0.63038302794130252</v>
      </c>
      <c r="P20" s="1">
        <f>'2x7'!R12</f>
        <v>0.67160537007501686</v>
      </c>
      <c r="Q20" s="1">
        <f>'2x8'!R12</f>
        <v>0.69868591952081205</v>
      </c>
      <c r="R20" s="1">
        <f>'2x9'!R12</f>
        <v>0.7168727465645014</v>
      </c>
      <c r="S20" s="1">
        <f>'2x10'!R12</f>
        <v>0.72929818241792388</v>
      </c>
      <c r="T20" s="283">
        <v>6</v>
      </c>
      <c r="U20" s="1">
        <f>'3x4'!R12</f>
        <v>-0.14558854732945747</v>
      </c>
      <c r="V20" s="1">
        <f>'3x5'!R12</f>
        <v>-6.106266065686361E-2</v>
      </c>
      <c r="W20" s="1">
        <f>'3x6'!R12</f>
        <v>-1.3416686687729995E-3</v>
      </c>
      <c r="X20" s="1">
        <f>'3x7'!R12</f>
        <v>4.0906506487252137E-2</v>
      </c>
      <c r="Y20" s="1">
        <f>'3x8'!R12</f>
        <v>7.0856005002224443E-2</v>
      </c>
      <c r="Z20" s="1">
        <f>'3x9'!R12</f>
        <v>9.2133769622284145E-2</v>
      </c>
      <c r="AA20" s="1">
        <f>'3x10'!R12</f>
        <v>0.10728060492158725</v>
      </c>
    </row>
    <row r="21" spans="1:27" x14ac:dyDescent="0.2">
      <c r="A21" s="283">
        <v>7</v>
      </c>
      <c r="B21" s="1">
        <f>'1x2'!R13</f>
        <v>0.89154023043208019</v>
      </c>
      <c r="C21" s="1">
        <f>'1x3'!R13</f>
        <v>0.9712111031034274</v>
      </c>
      <c r="D21" s="1">
        <f>'1x4'!R13</f>
        <v>0.98798021390191526</v>
      </c>
      <c r="E21" s="1">
        <f>'1x5'!R13</f>
        <v>0.99326267463069684</v>
      </c>
      <c r="F21" s="1">
        <f>'1x6'!R13</f>
        <v>0.99544587673557872</v>
      </c>
      <c r="G21" s="1">
        <f>'1x7'!R13</f>
        <v>0.99652136349062881</v>
      </c>
      <c r="H21" s="1">
        <f>'1x8'!R13</f>
        <v>0.99711623787999848</v>
      </c>
      <c r="I21" s="1">
        <f>'1x9'!R13</f>
        <v>0.99747201347990611</v>
      </c>
      <c r="J21" s="1">
        <f>'1x10'!R13</f>
        <v>0.99769650821809508</v>
      </c>
      <c r="K21" s="283">
        <v>7</v>
      </c>
      <c r="L21" s="1">
        <f>'2x3'!R13</f>
        <v>0.30712505594124656</v>
      </c>
      <c r="M21" s="1">
        <f>'2x4'!R13</f>
        <v>0.4860452717313154</v>
      </c>
      <c r="N21" s="1">
        <f>'2x5'!R13</f>
        <v>0.59553877261791111</v>
      </c>
      <c r="O21" s="1">
        <f>'2x6'!R13</f>
        <v>0.66321516776752598</v>
      </c>
      <c r="P21" s="1">
        <f>'2x7'!R13</f>
        <v>0.70610555503721706</v>
      </c>
      <c r="Q21" s="1">
        <f>'2x8'!R13</f>
        <v>0.73402876594356747</v>
      </c>
      <c r="R21" s="1">
        <f>'2x9'!R13</f>
        <v>0.75263959158588634</v>
      </c>
      <c r="S21" s="1">
        <f>'2x10'!R13</f>
        <v>0.76527875504351939</v>
      </c>
      <c r="T21" s="283">
        <v>7</v>
      </c>
      <c r="U21" s="1">
        <f>'3x4'!R13</f>
        <v>-0.14384409819795463</v>
      </c>
      <c r="V21" s="1">
        <f>'3x5'!R13</f>
        <v>-5.812205997754144E-2</v>
      </c>
      <c r="W21" s="1">
        <f>'3x6'!R13</f>
        <v>2.7504210418695108E-3</v>
      </c>
      <c r="X21" s="1">
        <f>'3x7'!R13</f>
        <v>4.5988251889570286E-2</v>
      </c>
      <c r="Y21" s="1">
        <f>'3x8'!R13</f>
        <v>7.6733896702680437E-2</v>
      </c>
      <c r="Z21" s="1">
        <f>'3x9'!R13</f>
        <v>9.8626979201158038E-2</v>
      </c>
      <c r="AA21" s="1">
        <f>'3x10'!R13</f>
        <v>0.11423758807936368</v>
      </c>
    </row>
    <row r="22" spans="1:27" x14ac:dyDescent="0.2">
      <c r="A22" s="283">
        <v>8</v>
      </c>
      <c r="B22" s="1">
        <f>'1x2'!R14</f>
        <v>0.91555453671228548</v>
      </c>
      <c r="C22" s="1">
        <f>'1x3'!R14</f>
        <v>0.98214692977657303</v>
      </c>
      <c r="D22" s="1">
        <f>'1x4'!R14</f>
        <v>0.99356500632867029</v>
      </c>
      <c r="E22" s="1">
        <f>'1x5'!R14</f>
        <v>0.99672025165532652</v>
      </c>
      <c r="F22" s="1">
        <f>'1x6'!R14</f>
        <v>0.99791911983856119</v>
      </c>
      <c r="G22" s="1">
        <f>'1x7'!R14</f>
        <v>0.99847766586091768</v>
      </c>
      <c r="H22" s="1">
        <f>'1x8'!R14</f>
        <v>0.99877511726236601</v>
      </c>
      <c r="I22" s="1">
        <f>'1x9'!R14</f>
        <v>0.99894841486292152</v>
      </c>
      <c r="J22" s="1">
        <f>'1x10'!R14</f>
        <v>0.99905578321312893</v>
      </c>
      <c r="K22" s="283">
        <v>8</v>
      </c>
      <c r="L22" s="1">
        <f>'2x3'!R14</f>
        <v>0.31642018436098718</v>
      </c>
      <c r="M22" s="1">
        <f>'2x4'!R14</f>
        <v>0.5030548339256099</v>
      </c>
      <c r="N22" s="1">
        <f>'2x5'!R14</f>
        <v>0.61784654152293639</v>
      </c>
      <c r="O22" s="1">
        <f>'2x6'!R14</f>
        <v>0.68847110236741393</v>
      </c>
      <c r="P22" s="1">
        <f>'2x7'!R14</f>
        <v>0.7328571400362085</v>
      </c>
      <c r="Q22" s="1">
        <f>'2x8'!R14</f>
        <v>0.76150586394042519</v>
      </c>
      <c r="R22" s="1">
        <f>'2x9'!R14</f>
        <v>0.78045790922908442</v>
      </c>
      <c r="S22" s="1">
        <f>'2x10'!R14</f>
        <v>0.79325185466646375</v>
      </c>
      <c r="T22" s="283">
        <v>8</v>
      </c>
      <c r="U22" s="1">
        <f>'3x4'!R14</f>
        <v>-0.14309782519365788</v>
      </c>
      <c r="V22" s="1">
        <f>'3x5'!R14</f>
        <v>-5.6739026601595022E-2</v>
      </c>
      <c r="W22" s="1">
        <f>'3x6'!R14</f>
        <v>4.79788107928103E-3</v>
      </c>
      <c r="X22" s="1">
        <f>'3x7'!R14</f>
        <v>4.8638591465562986E-2</v>
      </c>
      <c r="Y22" s="1">
        <f>'3x8'!R14</f>
        <v>7.9887550281691366E-2</v>
      </c>
      <c r="Z22" s="1">
        <f>'3x9'!R14</f>
        <v>0.10217972829157329</v>
      </c>
      <c r="AA22" s="1">
        <f>'3x10'!R14</f>
        <v>0.11809656825225617</v>
      </c>
    </row>
    <row r="23" spans="1:27" x14ac:dyDescent="0.2">
      <c r="A23" s="283">
        <v>9</v>
      </c>
      <c r="B23" s="1">
        <f>'1x2'!R15</f>
        <v>0.93363132904892476</v>
      </c>
      <c r="C23" s="1">
        <f>'1x3'!R15</f>
        <v>0.98889097522931713</v>
      </c>
      <c r="D23" s="1">
        <f>'1x4'!R15</f>
        <v>0.99654976047452548</v>
      </c>
      <c r="E23" s="1">
        <f>'1x5'!R15</f>
        <v>0.99840206478194393</v>
      </c>
      <c r="F23" s="1">
        <f>'1x6'!R15</f>
        <v>0.99904866205067366</v>
      </c>
      <c r="G23" s="1">
        <f>'1x7'!R15</f>
        <v>0.99933350504303153</v>
      </c>
      <c r="H23" s="1">
        <f>'1x8'!R15</f>
        <v>0.99947954566895936</v>
      </c>
      <c r="I23" s="1">
        <f>'1x9'!R15</f>
        <v>0.99956243003317879</v>
      </c>
      <c r="J23" s="1">
        <f>'1x10'!R15</f>
        <v>0.99961285132829714</v>
      </c>
      <c r="K23" s="283">
        <v>9</v>
      </c>
      <c r="L23" s="1">
        <f>'2x3'!R15</f>
        <v>0.32248405905853061</v>
      </c>
      <c r="M23" s="1">
        <f>'2x4'!R15</f>
        <v>0.51551740571698379</v>
      </c>
      <c r="N23" s="1">
        <f>'2x5'!R15</f>
        <v>0.63507813943814373</v>
      </c>
      <c r="O23" s="1">
        <f>'2x6'!R15</f>
        <v>0.7084272055893176</v>
      </c>
      <c r="P23" s="1">
        <f>'2x7'!R15</f>
        <v>0.7541849915055262</v>
      </c>
      <c r="Q23" s="1">
        <f>'2x8'!R15</f>
        <v>0.78347694383346023</v>
      </c>
      <c r="R23" s="1">
        <f>'2x9'!R15</f>
        <v>0.80271225771230836</v>
      </c>
      <c r="S23" s="1">
        <f>'2x10'!R15</f>
        <v>0.81561972888656153</v>
      </c>
      <c r="T23" s="283">
        <v>9</v>
      </c>
      <c r="U23" s="1">
        <f>'3x4'!R15</f>
        <v>-0.14277817312491009</v>
      </c>
      <c r="V23" s="1">
        <f>'3x5'!R15</f>
        <v>-5.6087148274541754E-2</v>
      </c>
      <c r="W23" s="1">
        <f>'3x6'!R15</f>
        <v>5.8254607256805202E-3</v>
      </c>
      <c r="X23" s="1">
        <f>'3x7'!R15</f>
        <v>5.0026188824961126E-2</v>
      </c>
      <c r="Y23" s="1">
        <f>'3x8'!R15</f>
        <v>8.1587200462392095E-2</v>
      </c>
      <c r="Z23" s="1">
        <f>'3x9'!R15</f>
        <v>0.10413335202189899</v>
      </c>
      <c r="AA23" s="1">
        <f>'3x10'!R15</f>
        <v>0.12024865994215517</v>
      </c>
    </row>
    <row r="24" spans="1:27" x14ac:dyDescent="0.2">
      <c r="A24" s="283">
        <v>10</v>
      </c>
      <c r="B24" s="1">
        <f>'1x2'!R16</f>
        <v>0.94746533337197159</v>
      </c>
      <c r="C24" s="1">
        <f>'1x3'!R16</f>
        <v>0.99307290466033071</v>
      </c>
      <c r="D24" s="1">
        <f>'1x4'!R16</f>
        <v>0.998148609569951</v>
      </c>
      <c r="E24" s="1">
        <f>'1x5'!R16</f>
        <v>0.99922114648772176</v>
      </c>
      <c r="F24" s="1">
        <f>'1x6'!R16</f>
        <v>0.99956495445752502</v>
      </c>
      <c r="G24" s="1">
        <f>'1x7'!R16</f>
        <v>0.99970814635582217</v>
      </c>
      <c r="H24" s="1">
        <f>'1x8'!R16</f>
        <v>0.99977882515097305</v>
      </c>
      <c r="I24" s="1">
        <f>'1x9'!R16</f>
        <v>0.99981790163086648</v>
      </c>
      <c r="J24" s="1">
        <f>'1x10'!R16</f>
        <v>0.99984124279982733</v>
      </c>
      <c r="K24" s="283">
        <v>10</v>
      </c>
      <c r="L24" s="1">
        <f>'2x3'!R16</f>
        <v>0.32647015726176731</v>
      </c>
      <c r="M24" s="1">
        <f>'2x4'!R16</f>
        <v>0.52478047061775746</v>
      </c>
      <c r="N24" s="1">
        <f>'2x5'!R16</f>
        <v>0.64864202159259776</v>
      </c>
      <c r="O24" s="1">
        <f>'2x6'!R16</f>
        <v>0.72453239226090949</v>
      </c>
      <c r="P24" s="1">
        <f>'2x7'!R16</f>
        <v>0.7715685991147837</v>
      </c>
      <c r="Q24" s="1">
        <f>'2x8'!R16</f>
        <v>0.80144365280692342</v>
      </c>
      <c r="R24" s="1">
        <f>'2x9'!R16</f>
        <v>0.82092008317493026</v>
      </c>
      <c r="S24" s="1">
        <f>'2x10'!R16</f>
        <v>0.83391108132747005</v>
      </c>
      <c r="T24" s="283">
        <v>10</v>
      </c>
      <c r="U24" s="1">
        <f>'3x4'!R16</f>
        <v>-0.14264118318330898</v>
      </c>
      <c r="V24" s="1">
        <f>'3x5'!R16</f>
        <v>-5.5779579709749783E-2</v>
      </c>
      <c r="W24" s="1">
        <f>'3x6'!R16</f>
        <v>6.3419751214394693E-3</v>
      </c>
      <c r="X24" s="1">
        <f>'3x7'!R16</f>
        <v>5.0754137366238461E-2</v>
      </c>
      <c r="Y24" s="1">
        <f>'3x8'!R16</f>
        <v>8.2505441414793546E-2</v>
      </c>
      <c r="Z24" s="1">
        <f>'3x9'!R16</f>
        <v>0.10521058570321357</v>
      </c>
      <c r="AA24" s="1">
        <f>'3x10'!R16</f>
        <v>0.12145244942068623</v>
      </c>
    </row>
    <row r="25" spans="1:27" x14ac:dyDescent="0.2">
      <c r="B25" s="342" t="s">
        <v>153</v>
      </c>
      <c r="C25" s="342"/>
      <c r="D25" s="342"/>
      <c r="E25" s="342"/>
      <c r="F25" s="342"/>
      <c r="G25" s="342"/>
      <c r="H25" s="342"/>
      <c r="I25" s="342"/>
      <c r="J25" s="342"/>
      <c r="L25" s="342" t="s">
        <v>153</v>
      </c>
      <c r="M25" s="342"/>
      <c r="N25" s="342"/>
      <c r="O25" s="342"/>
      <c r="P25" s="342"/>
      <c r="Q25" s="342"/>
      <c r="R25" s="342"/>
      <c r="S25" s="342"/>
      <c r="U25" s="342" t="s">
        <v>168</v>
      </c>
      <c r="V25" s="342"/>
      <c r="W25" s="342"/>
      <c r="X25" s="342"/>
      <c r="Y25" s="342"/>
      <c r="Z25" s="342"/>
      <c r="AA25" s="342"/>
    </row>
    <row r="26" spans="1:27" x14ac:dyDescent="0.2">
      <c r="A26" s="283" t="s">
        <v>57</v>
      </c>
      <c r="B26" s="259" t="s">
        <v>141</v>
      </c>
      <c r="C26" s="259" t="s">
        <v>142</v>
      </c>
      <c r="D26" s="259" t="s">
        <v>143</v>
      </c>
      <c r="E26" s="259" t="s">
        <v>144</v>
      </c>
      <c r="F26" s="259" t="s">
        <v>145</v>
      </c>
      <c r="G26" s="259" t="s">
        <v>146</v>
      </c>
      <c r="H26" s="259" t="s">
        <v>147</v>
      </c>
      <c r="I26" s="259" t="s">
        <v>148</v>
      </c>
      <c r="J26" s="259" t="s">
        <v>149</v>
      </c>
      <c r="K26" s="283" t="s">
        <v>57</v>
      </c>
      <c r="L26" s="259" t="s">
        <v>158</v>
      </c>
      <c r="M26" s="259" t="s">
        <v>159</v>
      </c>
      <c r="N26" s="259" t="s">
        <v>160</v>
      </c>
      <c r="O26" s="259" t="s">
        <v>161</v>
      </c>
      <c r="P26" s="259" t="s">
        <v>162</v>
      </c>
      <c r="Q26" s="259" t="s">
        <v>163</v>
      </c>
      <c r="R26" s="259" t="s">
        <v>164</v>
      </c>
      <c r="S26" s="259" t="s">
        <v>165</v>
      </c>
      <c r="T26" s="283" t="s">
        <v>57</v>
      </c>
      <c r="U26" s="259" t="s">
        <v>169</v>
      </c>
      <c r="V26" s="259" t="s">
        <v>170</v>
      </c>
      <c r="W26" s="259" t="s">
        <v>171</v>
      </c>
      <c r="X26" s="259" t="s">
        <v>172</v>
      </c>
      <c r="Y26" s="259" t="s">
        <v>173</v>
      </c>
      <c r="Z26" s="259" t="s">
        <v>174</v>
      </c>
      <c r="AA26" s="259" t="s">
        <v>175</v>
      </c>
    </row>
    <row r="27" spans="1:27" x14ac:dyDescent="0.2">
      <c r="A27" s="283">
        <v>1</v>
      </c>
      <c r="B27" s="1">
        <f>'1x2'!S21</f>
        <v>29.070336462975007</v>
      </c>
      <c r="C27" s="1">
        <f>'1x3'!S21</f>
        <v>26.061805505130753</v>
      </c>
      <c r="D27" s="1">
        <f>'1x4'!S21</f>
        <v>33.205394258150598</v>
      </c>
      <c r="E27" s="1">
        <f>'1x5'!S21</f>
        <v>43.548275694720019</v>
      </c>
      <c r="F27" s="1">
        <f>'1x6'!S21</f>
        <v>56.404819308000611</v>
      </c>
      <c r="G27" s="1">
        <f>'1x7'!S21</f>
        <v>71.636533352967589</v>
      </c>
      <c r="H27" s="1">
        <f>'1x8'!S21</f>
        <v>89.219994023601728</v>
      </c>
      <c r="I27" s="1">
        <f>'1x9'!S21</f>
        <v>109.16137678133387</v>
      </c>
      <c r="J27" s="1">
        <f>'1x10'!S21</f>
        <v>131.47239189556083</v>
      </c>
      <c r="K27" s="283">
        <v>1</v>
      </c>
      <c r="L27" s="1">
        <f>'2x3'!S21</f>
        <v>-30.053386067525004</v>
      </c>
      <c r="M27" s="1">
        <f>'2x4'!S21</f>
        <v>-79.78711256998686</v>
      </c>
      <c r="N27" s="1">
        <f>'2x5'!S21</f>
        <v>-193.54076904567609</v>
      </c>
      <c r="O27" s="1">
        <f>'2x6'!S21</f>
        <v>-459.98122768025229</v>
      </c>
      <c r="P27" s="1">
        <f>'2x7'!S21</f>
        <v>-1168.386897521691</v>
      </c>
      <c r="Q27" s="1">
        <f>'2x8'!S21</f>
        <v>-4014.6724926865545</v>
      </c>
      <c r="R27" s="1">
        <f>'2x9'!S21</f>
        <v>29743.751762085631</v>
      </c>
      <c r="S27" s="1">
        <f>'2x10'!S21</f>
        <v>6186.6374531134261</v>
      </c>
      <c r="T27" s="283">
        <v>1</v>
      </c>
      <c r="U27" s="1">
        <f>'3x4'!S21</f>
        <v>-25.009764363656707</v>
      </c>
      <c r="V27" s="1">
        <f>'3x5'!S21</f>
        <v>-41.844854196851792</v>
      </c>
      <c r="W27" s="1">
        <f>'3x6'!S21</f>
        <v>-63.58065318522651</v>
      </c>
      <c r="X27" s="1">
        <f>'3x7'!S21</f>
        <v>-90.088642071452128</v>
      </c>
      <c r="Y27" s="1">
        <f>'3x8'!S21</f>
        <v>-121.13470581699865</v>
      </c>
      <c r="Z27" s="1">
        <f>'3x9'!S21</f>
        <v>-156.46422963271641</v>
      </c>
      <c r="AA27" s="1">
        <f>'3x10'!S21</f>
        <v>-195.85206127010065</v>
      </c>
    </row>
    <row r="28" spans="1:27" x14ac:dyDescent="0.2">
      <c r="A28" s="283">
        <v>2</v>
      </c>
      <c r="B28" s="1">
        <f>'1x2'!S22</f>
        <v>21.471788272576603</v>
      </c>
      <c r="C28" s="1">
        <f>'1x3'!S22</f>
        <v>44.130675793984899</v>
      </c>
      <c r="D28" s="1">
        <f>'1x4'!S22</f>
        <v>81.875473849359054</v>
      </c>
      <c r="E28" s="1">
        <f>'1x5'!S22</f>
        <v>138.04564344396695</v>
      </c>
      <c r="F28" s="1">
        <f>'1x6'!S22</f>
        <v>216.30687156434897</v>
      </c>
      <c r="G28" s="1">
        <f>'1x7'!S22</f>
        <v>320.42039180662857</v>
      </c>
      <c r="H28" s="1">
        <f>'1x8'!S22</f>
        <v>454.19344544302788</v>
      </c>
      <c r="I28" s="1">
        <f>'1x9'!S22</f>
        <v>621.45635615416097</v>
      </c>
      <c r="J28" s="1">
        <f>'1x10'!S22</f>
        <v>826.04783064342951</v>
      </c>
      <c r="K28" s="283">
        <v>2</v>
      </c>
      <c r="L28" s="1">
        <f>'2x3'!S22</f>
        <v>508.01312254749115</v>
      </c>
      <c r="M28" s="1">
        <f>'2x4'!S22</f>
        <v>349.67819454629415</v>
      </c>
      <c r="N28" s="1">
        <f>'2x5'!S22</f>
        <v>439.48682679417868</v>
      </c>
      <c r="O28" s="1">
        <f>'2x6'!S22</f>
        <v>596.51406494332537</v>
      </c>
      <c r="P28" s="1">
        <f>'2x7'!S22</f>
        <v>813.59841025616026</v>
      </c>
      <c r="Q28" s="1">
        <f>'2x8'!S22</f>
        <v>1095.4069108692929</v>
      </c>
      <c r="R28" s="1">
        <f>'2x9'!S22</f>
        <v>1449.2341123401052</v>
      </c>
      <c r="S28" s="1">
        <f>'2x10'!S22</f>
        <v>1883.2315334350715</v>
      </c>
      <c r="T28" s="283">
        <v>2</v>
      </c>
      <c r="U28" s="1">
        <f>'3x4'!S22</f>
        <v>-178.95891306593251</v>
      </c>
      <c r="V28" s="1">
        <f>'3x5'!S22</f>
        <v>-556.30939824172356</v>
      </c>
      <c r="W28" s="1">
        <f>'3x6'!S22</f>
        <v>-1170.658038293682</v>
      </c>
      <c r="X28" s="1">
        <f>'3x7'!S22</f>
        <v>-2232.5570768063753</v>
      </c>
      <c r="Y28" s="1">
        <f>'3x8'!S22</f>
        <v>-3923.3625080778711</v>
      </c>
      <c r="Z28" s="1">
        <f>'3x9'!S22</f>
        <v>-6426.1916260695434</v>
      </c>
      <c r="AA28" s="1">
        <f>'3x10'!S22</f>
        <v>-9899.4345051142318</v>
      </c>
    </row>
    <row r="29" spans="1:27" x14ac:dyDescent="0.2">
      <c r="A29" s="283">
        <v>3</v>
      </c>
      <c r="B29" s="1">
        <f>'1x2'!S23</f>
        <v>38.869856649648177</v>
      </c>
      <c r="C29" s="1">
        <f>'1x3'!S23</f>
        <v>118.71170201913657</v>
      </c>
      <c r="D29" s="1">
        <f>'1x4'!S23</f>
        <v>291.6286790283288</v>
      </c>
      <c r="E29" s="1">
        <f>'1x5'!S23</f>
        <v>612.07429350815653</v>
      </c>
      <c r="F29" s="1">
        <f>'1x6'!S23</f>
        <v>1147.6336719110868</v>
      </c>
      <c r="G29" s="1">
        <f>'1x7'!S23</f>
        <v>1979.0085525725256</v>
      </c>
      <c r="H29" s="1">
        <f>'1x8'!S23</f>
        <v>3200.0490812168882</v>
      </c>
      <c r="I29" s="1">
        <f>'1x9'!S23</f>
        <v>4917.7656996762689</v>
      </c>
      <c r="J29" s="1">
        <f>'1x10'!S23</f>
        <v>7252.3186753606624</v>
      </c>
      <c r="K29" s="283">
        <v>3</v>
      </c>
      <c r="L29" s="1">
        <f>'2x3'!S23</f>
        <v>547.5255223981635</v>
      </c>
      <c r="M29" s="1">
        <f>'2x4'!S23</f>
        <v>824.19649505640518</v>
      </c>
      <c r="N29" s="1">
        <f>'2x5'!S23</f>
        <v>1414.4558527922495</v>
      </c>
      <c r="O29" s="1">
        <f>'2x6'!S23</f>
        <v>2381.6511062631644</v>
      </c>
      <c r="P29" s="1">
        <f>'2x7'!S23</f>
        <v>3851.1926526852449</v>
      </c>
      <c r="Q29" s="1">
        <f>'2x8'!S23</f>
        <v>5977.7623486051752</v>
      </c>
      <c r="R29" s="1">
        <f>'2x9'!S23</f>
        <v>8941.4577887897667</v>
      </c>
      <c r="S29" s="1">
        <f>'2x10'!S23</f>
        <v>12946.769196760502</v>
      </c>
      <c r="T29" s="283">
        <v>3</v>
      </c>
      <c r="U29" s="1">
        <f>'3x4'!S23</f>
        <v>-794.56325800445779</v>
      </c>
      <c r="V29" s="1">
        <f>'3x5'!S23</f>
        <v>-4830.7052280917042</v>
      </c>
      <c r="W29" s="1">
        <f>'3x6'!S23</f>
        <v>-16686.530223822745</v>
      </c>
      <c r="X29" s="1">
        <f>'3x7'!S23</f>
        <v>-66310.402558222995</v>
      </c>
      <c r="Y29" s="1">
        <f>'3x8'!S23</f>
        <v>-1030969.569320643</v>
      </c>
      <c r="Z29" s="1">
        <f>'3x9'!S23</f>
        <v>317021.14817543892</v>
      </c>
      <c r="AA29" s="1">
        <f>'3x10'!S23</f>
        <v>253687.28009199077</v>
      </c>
    </row>
    <row r="30" spans="1:27" x14ac:dyDescent="0.2">
      <c r="A30" s="283">
        <v>4</v>
      </c>
      <c r="B30" s="1">
        <f>'1x2'!S24</f>
        <v>74.999480749018403</v>
      </c>
      <c r="C30" s="1">
        <f>'1x3'!S24</f>
        <v>336.74054845147964</v>
      </c>
      <c r="D30" s="1">
        <f>'1x4'!S24</f>
        <v>1100.7731258992951</v>
      </c>
      <c r="E30" s="1">
        <f>'1x5'!S24</f>
        <v>2892.2986862141352</v>
      </c>
      <c r="F30" s="1">
        <f>'1x6'!S24</f>
        <v>6520.024677120241</v>
      </c>
      <c r="G30" s="1">
        <f>'1x7'!S24</f>
        <v>13138.226399596</v>
      </c>
      <c r="H30" s="1">
        <f>'1x8'!S24</f>
        <v>24308.963642481674</v>
      </c>
      <c r="I30" s="1">
        <f>'1x9'!S24</f>
        <v>42064.315734640266</v>
      </c>
      <c r="J30" s="1">
        <f>'1x10'!S24</f>
        <v>68968.557628282739</v>
      </c>
      <c r="K30" s="283">
        <v>4</v>
      </c>
      <c r="L30" s="1">
        <f>'2x3'!S24</f>
        <v>1262.1650750606912</v>
      </c>
      <c r="M30" s="1">
        <f>'2x4'!S24</f>
        <v>2676.6359250908504</v>
      </c>
      <c r="N30" s="1">
        <f>'2x5'!S24</f>
        <v>5821.618638598954</v>
      </c>
      <c r="O30" s="1">
        <f>'2x6'!S24</f>
        <v>11844.603870492718</v>
      </c>
      <c r="P30" s="1">
        <f>'2x7'!S24</f>
        <v>22444.515716241574</v>
      </c>
      <c r="Q30" s="1">
        <f>'2x8'!S24</f>
        <v>39936.798915243671</v>
      </c>
      <c r="R30" s="1">
        <f>'2x9'!S24</f>
        <v>67348.696032203108</v>
      </c>
      <c r="S30" s="1">
        <f>'2x10'!S24</f>
        <v>108517.1212822638</v>
      </c>
      <c r="T30" s="283">
        <v>4</v>
      </c>
      <c r="U30" s="1">
        <f>'3x4'!S24</f>
        <v>-2849.4051171226606</v>
      </c>
      <c r="V30" s="1">
        <f>'3x5'!S24</f>
        <v>-33624.781553683693</v>
      </c>
      <c r="W30" s="1">
        <f>'3x6'!S24</f>
        <v>-235681.53913097046</v>
      </c>
      <c r="X30" s="1">
        <f>'3x7'!S24</f>
        <v>1061631.1425057652</v>
      </c>
      <c r="Y30" s="1">
        <f>'3x8'!S24</f>
        <v>604057.16845609387</v>
      </c>
      <c r="Z30" s="1">
        <f>'3x9'!S24</f>
        <v>703286.12789917411</v>
      </c>
      <c r="AA30" s="1">
        <f>'3x10'!S24</f>
        <v>936639.52397251199</v>
      </c>
    </row>
    <row r="31" spans="1:27" x14ac:dyDescent="0.2">
      <c r="A31" s="283">
        <v>5</v>
      </c>
      <c r="B31" s="1">
        <f>'1x2'!S25</f>
        <v>146.31901074153777</v>
      </c>
      <c r="C31" s="1">
        <f>'1x3'!S25</f>
        <v>974.43319967299533</v>
      </c>
      <c r="D31" s="1">
        <f>'1x4'!S25</f>
        <v>4262.7243506466839</v>
      </c>
      <c r="E31" s="1">
        <f>'1x5'!S25</f>
        <v>14057.485352153288</v>
      </c>
      <c r="F31" s="1">
        <f>'1x6'!S25</f>
        <v>38141.323350903163</v>
      </c>
      <c r="G31" s="1">
        <f>'1x7'!S25</f>
        <v>89852.948763910506</v>
      </c>
      <c r="H31" s="1">
        <f>'1x8'!S25</f>
        <v>190272.37259856172</v>
      </c>
      <c r="I31" s="1">
        <f>'1x9'!S25</f>
        <v>370771.46505094675</v>
      </c>
      <c r="J31" s="1">
        <f>'1x10'!S25</f>
        <v>675929.61016034777</v>
      </c>
      <c r="K31" s="283">
        <v>5</v>
      </c>
      <c r="L31" s="1">
        <f>'2x3'!S25</f>
        <v>3334.0444883848095</v>
      </c>
      <c r="M31" s="1">
        <f>'2x4'!S25</f>
        <v>9526.3118465866064</v>
      </c>
      <c r="N31" s="1">
        <f>'2x5'!S25</f>
        <v>25990.721063784324</v>
      </c>
      <c r="O31" s="1">
        <f>'2x6'!S25</f>
        <v>63640.716409568566</v>
      </c>
      <c r="P31" s="1">
        <f>'2x7'!S25</f>
        <v>141033.66595807034</v>
      </c>
      <c r="Q31" s="1">
        <f>'2x8'!S25</f>
        <v>287348.0118172291</v>
      </c>
      <c r="R31" s="1">
        <f>'2x9'!S25</f>
        <v>545944.74110985734</v>
      </c>
      <c r="S31" s="1">
        <f>'2x10'!S25</f>
        <v>978465.79442555457</v>
      </c>
      <c r="T31" s="283">
        <v>5</v>
      </c>
      <c r="U31" s="1">
        <f>'3x4'!S25</f>
        <v>-9246.5054496488865</v>
      </c>
      <c r="V31" s="1">
        <f>'3x5'!S25</f>
        <v>-202765.67298008301</v>
      </c>
      <c r="W31" s="1">
        <f>'3x6'!S25</f>
        <v>-3897927.207502888</v>
      </c>
      <c r="X31" s="1">
        <f>'3x7'!S25</f>
        <v>2837337.0752552235</v>
      </c>
      <c r="Y31" s="1">
        <f>'3x8'!S25</f>
        <v>3130340.8286631438</v>
      </c>
      <c r="Z31" s="1">
        <f>'3x9'!S25</f>
        <v>4557754.0684892489</v>
      </c>
      <c r="AA31" s="1">
        <f>'3x10'!S25</f>
        <v>7045688.4962075818</v>
      </c>
    </row>
    <row r="32" spans="1:27" x14ac:dyDescent="0.2">
      <c r="A32" s="283">
        <v>6</v>
      </c>
      <c r="B32" s="1">
        <f>'1x2'!S26</f>
        <v>286.40342457013179</v>
      </c>
      <c r="C32" s="1">
        <f>'1x3'!S26</f>
        <v>2854.2386184292641</v>
      </c>
      <c r="D32" s="1">
        <f>'1x4'!S26</f>
        <v>16745.006660485982</v>
      </c>
      <c r="E32" s="1">
        <f>'1x5'!S26</f>
        <v>69300.783092638856</v>
      </c>
      <c r="F32" s="1">
        <f>'1x6'!S26</f>
        <v>226183.15141704332</v>
      </c>
      <c r="G32" s="1">
        <f>'1x7'!S26</f>
        <v>622584.72522620903</v>
      </c>
      <c r="H32" s="1">
        <f>'1x8'!S26</f>
        <v>1508184.0036910861</v>
      </c>
      <c r="I32" s="1">
        <f>'1x9'!S26</f>
        <v>3308378.6106159901</v>
      </c>
      <c r="J32" s="1">
        <f>'1x10'!S26</f>
        <v>6704330.9648729702</v>
      </c>
      <c r="K32" s="283">
        <v>6</v>
      </c>
      <c r="L32" s="1">
        <f>'2x3'!S26</f>
        <v>9295.9086239807548</v>
      </c>
      <c r="M32" s="1">
        <f>'2x4'!S26</f>
        <v>35400.272834019153</v>
      </c>
      <c r="N32" s="1">
        <f>'2x5'!S26</f>
        <v>120754.03850082569</v>
      </c>
      <c r="O32" s="1">
        <f>'2x6'!S26</f>
        <v>355222.12698412093</v>
      </c>
      <c r="P32" s="1">
        <f>'2x7'!S26</f>
        <v>919633.80211062334</v>
      </c>
      <c r="Q32" s="1">
        <f>'2x8'!S26</f>
        <v>2143933.2869729893</v>
      </c>
      <c r="R32" s="1">
        <f>'2x9'!S26</f>
        <v>4586947.9845041586</v>
      </c>
      <c r="S32" s="1">
        <f>'2x10'!S26</f>
        <v>9141158.1171056479</v>
      </c>
      <c r="T32" s="283">
        <v>6</v>
      </c>
      <c r="U32" s="1">
        <f>'3x4'!S26</f>
        <v>-28690.443559050829</v>
      </c>
      <c r="V32" s="1">
        <f>'3x5'!S26</f>
        <v>-1119178.2222532157</v>
      </c>
      <c r="W32" s="1">
        <f>'3x6'!S26</f>
        <v>-166901117.40090626</v>
      </c>
      <c r="X32" s="1">
        <f>'3x7'!S26</f>
        <v>15098600.517071163</v>
      </c>
      <c r="Y32" s="1">
        <f>'3x8'!S26</f>
        <v>21140565.29087371</v>
      </c>
      <c r="Z32" s="1">
        <f>'3x9'!S26</f>
        <v>35690040.833895043</v>
      </c>
      <c r="AA32" s="1">
        <f>'3x10'!S26</f>
        <v>62141987.406509534</v>
      </c>
    </row>
    <row r="33" spans="1:27" x14ac:dyDescent="0.2">
      <c r="A33" s="283">
        <v>7</v>
      </c>
      <c r="B33" s="1">
        <f>'1x2'!S27</f>
        <v>561.94884190160781</v>
      </c>
      <c r="C33" s="1">
        <f>'1x3'!S27</f>
        <v>8429.6812236177047</v>
      </c>
      <c r="D33" s="1">
        <f>'1x4'!S27</f>
        <v>66315.09323576848</v>
      </c>
      <c r="E33" s="1">
        <f>'1x5'!S27</f>
        <v>344093.26830596419</v>
      </c>
      <c r="F33" s="1">
        <f>'1x6'!S27</f>
        <v>1349814.2203435132</v>
      </c>
      <c r="G33" s="1">
        <f>'1x7'!S27</f>
        <v>4338663.633718133</v>
      </c>
      <c r="H33" s="1">
        <f>'1x8'!S27</f>
        <v>12018350.062655604</v>
      </c>
      <c r="I33" s="1">
        <f>'1x9'!S27</f>
        <v>29669587.316793602</v>
      </c>
      <c r="J33" s="1">
        <f>'1x10'!S27</f>
        <v>66820545.577600405</v>
      </c>
      <c r="K33" s="283">
        <v>7</v>
      </c>
      <c r="L33" s="1">
        <f>'2x3'!S27</f>
        <v>26656.89380148191</v>
      </c>
      <c r="M33" s="1">
        <f>'2x4'!S27</f>
        <v>134798.14291088955</v>
      </c>
      <c r="N33" s="1">
        <f>'2x5'!S27</f>
        <v>573892.10529081337</v>
      </c>
      <c r="O33" s="1">
        <f>'2x6'!S27</f>
        <v>2025989.5510577194</v>
      </c>
      <c r="P33" s="1">
        <f>'2x7'!S27</f>
        <v>6123122.7670657756</v>
      </c>
      <c r="Q33" s="1">
        <f>'2x8'!S27</f>
        <v>16325916.034905521</v>
      </c>
      <c r="R33" s="1">
        <f>'2x9'!S27</f>
        <v>39321055.297717296</v>
      </c>
      <c r="S33" s="1">
        <f>'2x10'!S27</f>
        <v>87114171.876114398</v>
      </c>
      <c r="T33" s="283">
        <v>7</v>
      </c>
      <c r="U33" s="1">
        <f>'3x4'!S27</f>
        <v>-87309.803859429958</v>
      </c>
      <c r="V33" s="1">
        <f>'3x5'!S27</f>
        <v>-5880297.4315098776</v>
      </c>
      <c r="W33" s="1">
        <f>'3x6'!S27</f>
        <v>488531384.66635835</v>
      </c>
      <c r="X33" s="1">
        <f>'3x7'!S27</f>
        <v>94014684.671685606</v>
      </c>
      <c r="Y33" s="1">
        <f>'3x8'!S27</f>
        <v>156172076.68252552</v>
      </c>
      <c r="Z33" s="1">
        <f>'3x9'!S27</f>
        <v>300065795.78635734</v>
      </c>
      <c r="AA33" s="1">
        <f>'3x10'!S27</f>
        <v>583578716.26005483</v>
      </c>
    </row>
    <row r="34" spans="1:27" x14ac:dyDescent="0.2">
      <c r="A34" s="283">
        <v>8</v>
      </c>
      <c r="B34" s="1">
        <f>'1x2'!S28</f>
        <v>1105.3410358644999</v>
      </c>
      <c r="C34" s="1">
        <f>'1x3'!S28</f>
        <v>25034.95073348494</v>
      </c>
      <c r="D34" s="1">
        <f>'1x4'!S28</f>
        <v>263821.69091137417</v>
      </c>
      <c r="E34" s="1">
        <f>'1x5'!S28</f>
        <v>1714583.4020747594</v>
      </c>
      <c r="F34" s="1">
        <f>'1x6'!S28</f>
        <v>8078939.3045242531</v>
      </c>
      <c r="G34" s="1">
        <f>'1x7'!S28</f>
        <v>30311315.951072827</v>
      </c>
      <c r="H34" s="1">
        <f>'1x8'!S28</f>
        <v>95987341.237312973</v>
      </c>
      <c r="I34" s="1">
        <f>'1x9'!S28</f>
        <v>266631930.17484242</v>
      </c>
      <c r="J34" s="1">
        <f>'1x10'!S28</f>
        <v>667296692.73910785</v>
      </c>
      <c r="K34" s="283">
        <v>8</v>
      </c>
      <c r="L34" s="1">
        <f>'2x3'!S28</f>
        <v>77706.80005656289</v>
      </c>
      <c r="M34" s="1">
        <f>'2x4'!S28</f>
        <v>521064.46916433377</v>
      </c>
      <c r="N34" s="1">
        <f>'2x5'!S28</f>
        <v>2765994.2803718974</v>
      </c>
      <c r="O34" s="1">
        <f>'2x6'!S28</f>
        <v>11710190.8450146</v>
      </c>
      <c r="P34" s="1">
        <f>'2x7'!S28</f>
        <v>41297505.811984964</v>
      </c>
      <c r="Q34" s="1">
        <f>'2x8'!S28</f>
        <v>125894983.26896688</v>
      </c>
      <c r="R34" s="1">
        <f>'2x9'!S28</f>
        <v>341275987.91726637</v>
      </c>
      <c r="S34" s="1">
        <f>'2x10'!S28</f>
        <v>840422390.54116213</v>
      </c>
      <c r="T34" s="283">
        <v>8</v>
      </c>
      <c r="U34" s="1">
        <f>'3x4'!S28</f>
        <v>-263512.04114366393</v>
      </c>
      <c r="V34" s="1">
        <f>'3x5'!S28</f>
        <v>-30119656.651846025</v>
      </c>
      <c r="W34" s="1">
        <f>'3x6'!S28</f>
        <v>1680351777.5409563</v>
      </c>
      <c r="X34" s="1">
        <f>'3x7'!S28</f>
        <v>622246061.98615551</v>
      </c>
      <c r="Y34" s="1">
        <f>'3x8'!S28</f>
        <v>1200058928.6059437</v>
      </c>
      <c r="Z34" s="1">
        <f>'3x9'!S28</f>
        <v>2606696538.0839233</v>
      </c>
      <c r="AA34" s="1">
        <f>'3x10'!S28</f>
        <v>5645097312.023406</v>
      </c>
    </row>
    <row r="35" spans="1:27" x14ac:dyDescent="0.2">
      <c r="A35" s="283">
        <v>9</v>
      </c>
      <c r="B35" s="1">
        <f>'1x2'!S29</f>
        <v>2179.6612181737964</v>
      </c>
      <c r="C35" s="1">
        <f>'1x3'!S29</f>
        <v>74622.98862914354</v>
      </c>
      <c r="D35" s="1">
        <f>'1x4'!S29</f>
        <v>1052184.2878179126</v>
      </c>
      <c r="E35" s="1">
        <f>'1x5'!S29</f>
        <v>8558571.042084381</v>
      </c>
      <c r="F35" s="1">
        <f>'1x6'!S29</f>
        <v>48418971.805345789</v>
      </c>
      <c r="G35" s="1">
        <f>'1x7'!S29</f>
        <v>211997695.39486963</v>
      </c>
      <c r="H35" s="1">
        <f>'1x8'!S29</f>
        <v>767357778.67937136</v>
      </c>
      <c r="I35" s="1">
        <f>'1x9'!S29</f>
        <v>2398213615.2520561</v>
      </c>
      <c r="J35" s="1">
        <f>'1x10'!S29</f>
        <v>6669248605.7389679</v>
      </c>
      <c r="K35" s="283">
        <v>9</v>
      </c>
      <c r="L35" s="1">
        <f>'2x3'!S29</f>
        <v>228829.91554818666</v>
      </c>
      <c r="M35" s="1">
        <f>'2x4'!S29</f>
        <v>2033983.6994284736</v>
      </c>
      <c r="N35" s="1">
        <f>'2x5'!S29</f>
        <v>13454871.880111799</v>
      </c>
      <c r="O35" s="1">
        <f>'2x6'!S29</f>
        <v>68282116.52284041</v>
      </c>
      <c r="P35" s="1">
        <f>'2x7'!S29</f>
        <v>280907738.00349176</v>
      </c>
      <c r="Q35" s="1">
        <f>'2x8'!S29</f>
        <v>978916367.6564151</v>
      </c>
      <c r="R35" s="1">
        <f>'2x9'!S29</f>
        <v>2986330663.2837572</v>
      </c>
      <c r="S35" s="1">
        <f>'2x10'!S29</f>
        <v>8173743693.1558294</v>
      </c>
      <c r="T35" s="283">
        <v>9</v>
      </c>
      <c r="U35" s="1">
        <f>'3x4'!S29</f>
        <v>-792544.10897247749</v>
      </c>
      <c r="V35" s="1">
        <f>'3x5'!S29</f>
        <v>-152350320.22261992</v>
      </c>
      <c r="W35" s="1">
        <f>'3x6'!S29</f>
        <v>8303705282.3575878</v>
      </c>
      <c r="X35" s="1">
        <f>'3x7'!S29</f>
        <v>4234909853.7422838</v>
      </c>
      <c r="Y35" s="1">
        <f>'3x8'!S29</f>
        <v>9400474579.9990063</v>
      </c>
      <c r="Z35" s="1">
        <f>'3x9'!S29</f>
        <v>23020138912.803673</v>
      </c>
      <c r="AA35" s="1">
        <f>'3x10'!S29</f>
        <v>55440672837.49321</v>
      </c>
    </row>
    <row r="36" spans="1:27" x14ac:dyDescent="0.2">
      <c r="A36" s="283">
        <v>10</v>
      </c>
      <c r="B36" s="1">
        <f>'1x2'!S30</f>
        <v>4308.3370506785823</v>
      </c>
      <c r="C36" s="1">
        <f>'1x3'!S30</f>
        <v>222959.46144631997</v>
      </c>
      <c r="D36" s="1">
        <f>'1x4'!S30</f>
        <v>4202059.653028111</v>
      </c>
      <c r="E36" s="1">
        <f>'1x5'!S30</f>
        <v>42757882.12667194</v>
      </c>
      <c r="F36" s="1">
        <f>'1x6'!S30</f>
        <v>290363931.53410941</v>
      </c>
      <c r="G36" s="1">
        <f>'1x7'!S30</f>
        <v>1483427960.8562512</v>
      </c>
      <c r="H36" s="1">
        <f>'1x8'!S30</f>
        <v>6137024875.5503244</v>
      </c>
      <c r="I36" s="1">
        <f>'1x9'!S30</f>
        <v>21578407822.873043</v>
      </c>
      <c r="J36" s="1">
        <f>'1x10'!S30</f>
        <v>66677252103.859215</v>
      </c>
      <c r="K36" s="283">
        <v>10</v>
      </c>
      <c r="L36" s="1">
        <f>'2x3'!S30</f>
        <v>678209.0034111971</v>
      </c>
      <c r="M36" s="1">
        <f>'2x4'!S30</f>
        <v>7992446.8131647632</v>
      </c>
      <c r="N36" s="1">
        <f>'2x5'!S30</f>
        <v>65867733.784960762</v>
      </c>
      <c r="O36" s="1">
        <f>'2x6'!S30</f>
        <v>400586106.43246889</v>
      </c>
      <c r="P36" s="1">
        <f>'2x7'!S30</f>
        <v>1922052062.1256902</v>
      </c>
      <c r="Q36" s="1">
        <f>'2x8'!S30</f>
        <v>7655769059.3853264</v>
      </c>
      <c r="R36" s="1">
        <f>'2x9'!S30</f>
        <v>26280851050.153542</v>
      </c>
      <c r="S36" s="1">
        <f>'2x10'!S30</f>
        <v>79944574550.893326</v>
      </c>
      <c r="T36" s="283">
        <v>10</v>
      </c>
      <c r="U36" s="1">
        <f>'3x4'!S30</f>
        <v>-2380175.1529478868</v>
      </c>
      <c r="V36" s="1">
        <f>'3x5'!S30</f>
        <v>-765953781.33571911</v>
      </c>
      <c r="W36" s="1">
        <f>'3x6'!S30</f>
        <v>45764545656.893608</v>
      </c>
      <c r="X36" s="1">
        <f>'3x7'!S30</f>
        <v>29219194610.654243</v>
      </c>
      <c r="Y36" s="1">
        <f>'3x8'!S30</f>
        <v>74366822536.626663</v>
      </c>
      <c r="Z36" s="1">
        <f>'3x9'!S30</f>
        <v>205059959373.85059</v>
      </c>
      <c r="AA36" s="1">
        <f>'3x10'!S30</f>
        <v>548911668130.13727</v>
      </c>
    </row>
    <row r="37" spans="1:27" x14ac:dyDescent="0.2">
      <c r="B37" s="342" t="s">
        <v>154</v>
      </c>
      <c r="C37" s="342"/>
      <c r="D37" s="342"/>
      <c r="E37" s="342"/>
      <c r="F37" s="342"/>
      <c r="G37" s="342"/>
      <c r="H37" s="342"/>
      <c r="I37" s="342"/>
      <c r="J37" s="342"/>
      <c r="L37" s="342" t="s">
        <v>166</v>
      </c>
      <c r="M37" s="342"/>
      <c r="N37" s="342"/>
      <c r="O37" s="342"/>
      <c r="P37" s="342"/>
      <c r="Q37" s="342"/>
      <c r="R37" s="342"/>
      <c r="S37" s="342"/>
      <c r="U37" s="342" t="s">
        <v>166</v>
      </c>
      <c r="V37" s="342"/>
      <c r="W37" s="342"/>
      <c r="X37" s="342"/>
      <c r="Y37" s="342"/>
      <c r="Z37" s="342"/>
      <c r="AA37" s="342"/>
    </row>
    <row r="38" spans="1:27" x14ac:dyDescent="0.2">
      <c r="A38" s="283" t="s">
        <v>57</v>
      </c>
      <c r="B38" s="259" t="s">
        <v>141</v>
      </c>
      <c r="C38" s="259" t="s">
        <v>142</v>
      </c>
      <c r="D38" s="259" t="s">
        <v>143</v>
      </c>
      <c r="E38" s="259" t="s">
        <v>144</v>
      </c>
      <c r="F38" s="259" t="s">
        <v>145</v>
      </c>
      <c r="G38" s="259" t="s">
        <v>146</v>
      </c>
      <c r="H38" s="259" t="s">
        <v>147</v>
      </c>
      <c r="I38" s="259" t="s">
        <v>148</v>
      </c>
      <c r="J38" s="259" t="s">
        <v>149</v>
      </c>
      <c r="K38" s="283" t="s">
        <v>57</v>
      </c>
      <c r="L38" s="259" t="s">
        <v>158</v>
      </c>
      <c r="M38" s="259" t="s">
        <v>159</v>
      </c>
      <c r="N38" s="259" t="s">
        <v>160</v>
      </c>
      <c r="O38" s="259" t="s">
        <v>161</v>
      </c>
      <c r="P38" s="259" t="s">
        <v>162</v>
      </c>
      <c r="Q38" s="259" t="s">
        <v>163</v>
      </c>
      <c r="R38" s="259" t="s">
        <v>164</v>
      </c>
      <c r="S38" s="259" t="s">
        <v>165</v>
      </c>
      <c r="T38" s="283" t="s">
        <v>57</v>
      </c>
      <c r="U38" s="259" t="s">
        <v>169</v>
      </c>
      <c r="V38" s="259" t="s">
        <v>170</v>
      </c>
      <c r="W38" s="259" t="s">
        <v>171</v>
      </c>
      <c r="X38" s="259" t="s">
        <v>172</v>
      </c>
      <c r="Y38" s="259" t="s">
        <v>173</v>
      </c>
      <c r="Z38" s="259" t="s">
        <v>174</v>
      </c>
      <c r="AA38" s="259" t="s">
        <v>175</v>
      </c>
    </row>
    <row r="39" spans="1:27" x14ac:dyDescent="0.2">
      <c r="A39" s="283">
        <v>1</v>
      </c>
      <c r="B39" s="1">
        <f>'1x2'!S33</f>
        <v>29.070336462975007</v>
      </c>
      <c r="C39" s="1">
        <f>'1x3'!S33</f>
        <v>26.061805505130753</v>
      </c>
      <c r="D39" s="1">
        <f>'1x4'!S33</f>
        <v>33.205394258150598</v>
      </c>
      <c r="E39" s="1">
        <f>'1x5'!S33</f>
        <v>43.548275694720019</v>
      </c>
      <c r="F39" s="1">
        <f>'1x6'!S33</f>
        <v>56.404819308000611</v>
      </c>
      <c r="G39" s="1">
        <f>'1x7'!S33</f>
        <v>71.636533352967589</v>
      </c>
      <c r="H39" s="1">
        <f>'1x8'!S33</f>
        <v>89.219994023601728</v>
      </c>
      <c r="I39" s="1">
        <f>'1x9'!S33</f>
        <v>109.16137678133387</v>
      </c>
      <c r="J39" s="1">
        <f>'1x10'!S33</f>
        <v>131.47239189556083</v>
      </c>
      <c r="L39" s="263">
        <f>'2x3'!S21</f>
        <v>-30.053386067525004</v>
      </c>
      <c r="M39" s="263">
        <f>'2x4'!S21</f>
        <v>-79.78711256998686</v>
      </c>
      <c r="N39" s="263">
        <f>'2x5'!S21</f>
        <v>-193.54076904567609</v>
      </c>
      <c r="O39" s="263">
        <f>'2x6'!S21</f>
        <v>-459.98122768025229</v>
      </c>
      <c r="P39" s="263">
        <f>'2x7'!S21</f>
        <v>-1168.386897521691</v>
      </c>
      <c r="Q39" s="263">
        <f>'2x8'!S21</f>
        <v>-4014.6724926865545</v>
      </c>
      <c r="R39" s="263">
        <f>'2x9'!S21</f>
        <v>29743.751762085631</v>
      </c>
      <c r="S39" s="263">
        <f>'2x10'!S21</f>
        <v>6186.6374531134261</v>
      </c>
      <c r="T39" s="283">
        <v>1</v>
      </c>
      <c r="U39" s="263">
        <f>'3x4'!S21</f>
        <v>-25.009764363656707</v>
      </c>
      <c r="V39" s="263">
        <f>'3x5'!S33</f>
        <v>-41.844854196851792</v>
      </c>
      <c r="W39" s="263">
        <f>'3x6'!S33</f>
        <v>-63.58065318522651</v>
      </c>
      <c r="X39" s="263">
        <f>'3x7'!S33</f>
        <v>-90.088642071452128</v>
      </c>
      <c r="Y39" s="263">
        <f>'3x8'!S33</f>
        <v>-121.13470581699865</v>
      </c>
      <c r="Z39" s="263">
        <f>'3x9'!S33</f>
        <v>-156.46422963271641</v>
      </c>
      <c r="AA39" s="263">
        <f>'3x10'!S33</f>
        <v>-195.85206127010065</v>
      </c>
    </row>
    <row r="40" spans="1:27" x14ac:dyDescent="0.2">
      <c r="A40" s="283">
        <v>2</v>
      </c>
      <c r="B40" s="1">
        <f>'1x2'!S34</f>
        <v>25.766145927091923</v>
      </c>
      <c r="C40" s="1">
        <f>'1x3'!S34</f>
        <v>49.034084215538776</v>
      </c>
      <c r="D40" s="1">
        <f>'1x4'!S34</f>
        <v>87.723721981456123</v>
      </c>
      <c r="E40" s="1">
        <f>'1x5'!S34</f>
        <v>144.94792561616529</v>
      </c>
      <c r="F40" s="1">
        <f>'1x6'!S34</f>
        <v>224.31823717784337</v>
      </c>
      <c r="G40" s="1">
        <f>'1x7'!S34</f>
        <v>329.5752601439608</v>
      </c>
      <c r="H40" s="1">
        <f>'1x8'!S34</f>
        <v>464.51602374855128</v>
      </c>
      <c r="I40" s="1">
        <f>'1x9'!S34</f>
        <v>632.96480719405292</v>
      </c>
      <c r="J40" s="1">
        <f>'1x10'!S34</f>
        <v>838.75625880717462</v>
      </c>
      <c r="K40" s="283">
        <v>2</v>
      </c>
      <c r="L40" s="263">
        <f>'2x3'!S22</f>
        <v>508.01312254749115</v>
      </c>
      <c r="M40" s="263">
        <f>'2x4'!S22</f>
        <v>349.67819454629415</v>
      </c>
      <c r="N40" s="263">
        <f>'2x5'!S22</f>
        <v>439.48682679417868</v>
      </c>
      <c r="O40" s="263">
        <f>'2x6'!S22</f>
        <v>596.51406494332537</v>
      </c>
      <c r="P40" s="263">
        <f>'2x7'!S22</f>
        <v>813.59841025616026</v>
      </c>
      <c r="Q40" s="263">
        <f>'2x8'!S22</f>
        <v>1095.4069108692929</v>
      </c>
      <c r="R40" s="263">
        <f>'2x9'!S22</f>
        <v>1449.2341123401052</v>
      </c>
      <c r="S40" s="263">
        <f>'2x10'!S22</f>
        <v>1883.2315334350715</v>
      </c>
      <c r="T40" s="283">
        <v>2</v>
      </c>
      <c r="U40" s="263">
        <f>'3x4'!S22</f>
        <v>-178.95891306593251</v>
      </c>
      <c r="V40" s="263">
        <f>'3x5'!S34</f>
        <v>-584.12486815380976</v>
      </c>
      <c r="W40" s="263">
        <f>'3x6'!S34</f>
        <v>-1214.0157434156702</v>
      </c>
      <c r="X40" s="263">
        <f>'3x7'!S34</f>
        <v>-2296.3444218579862</v>
      </c>
      <c r="Y40" s="263">
        <f>'3x8'!S34</f>
        <v>-4012.5298378069137</v>
      </c>
      <c r="Z40" s="263">
        <f>'3x9'!S34</f>
        <v>-6545.1951747004605</v>
      </c>
      <c r="AA40" s="263">
        <f>'3x10'!S34</f>
        <v>-10051.733497500605</v>
      </c>
    </row>
    <row r="41" spans="1:27" x14ac:dyDescent="0.2">
      <c r="A41" s="283">
        <v>3</v>
      </c>
      <c r="B41" s="1">
        <f>'1x2'!S35</f>
        <v>51.308210777535592</v>
      </c>
      <c r="C41" s="1">
        <f>'1x3'!S35</f>
        <v>137.85875073190053</v>
      </c>
      <c r="D41" s="1">
        <f>'1x4'!S35</f>
        <v>320.08025747011698</v>
      </c>
      <c r="E41" s="1">
        <f>'1x5'!S35</f>
        <v>652.1165370086901</v>
      </c>
      <c r="F41" s="1">
        <f>'1x6'!S35</f>
        <v>1201.481586135654</v>
      </c>
      <c r="G41" s="1">
        <f>'1x7'!S35</f>
        <v>2048.8559132515561</v>
      </c>
      <c r="H41" s="1">
        <f>'1x8'!S35</f>
        <v>3288.0834438363349</v>
      </c>
      <c r="I41" s="1">
        <f>'1x9'!S35</f>
        <v>5026.173360390575</v>
      </c>
      <c r="J41" s="1">
        <f>'1x10'!S35</f>
        <v>7383.2860555026155</v>
      </c>
      <c r="K41" s="283">
        <v>3</v>
      </c>
      <c r="L41" s="263">
        <f>'2x3'!S23</f>
        <v>547.5255223981635</v>
      </c>
      <c r="M41" s="263">
        <f>'2x4'!S23</f>
        <v>824.19649505640518</v>
      </c>
      <c r="N41" s="263">
        <f>'2x5'!S23</f>
        <v>1414.4558527922495</v>
      </c>
      <c r="O41" s="263">
        <f>'2x6'!S23</f>
        <v>2381.6511062631644</v>
      </c>
      <c r="P41" s="263">
        <f>'2x7'!S23</f>
        <v>3851.1926526852449</v>
      </c>
      <c r="Q41" s="263">
        <f>'2x8'!S23</f>
        <v>5977.7623486051752</v>
      </c>
      <c r="R41" s="263">
        <f>'2x9'!S23</f>
        <v>8941.4577887897667</v>
      </c>
      <c r="S41" s="263">
        <f>'2x10'!S23</f>
        <v>12946.769196760502</v>
      </c>
      <c r="T41" s="283">
        <v>3</v>
      </c>
      <c r="U41" s="263">
        <f>'3x4'!S23</f>
        <v>-794.56325800445779</v>
      </c>
      <c r="V41" s="263">
        <f>'3x5'!S35</f>
        <v>-5146.7326729201332</v>
      </c>
      <c r="W41" s="263">
        <f>'3x6'!S35</f>
        <v>-17469.475923474252</v>
      </c>
      <c r="X41" s="263">
        <f>'3x7'!S35</f>
        <v>-68650.769707336745</v>
      </c>
      <c r="Y41" s="263">
        <f>'3x8'!S35</f>
        <v>-1059331.8683390927</v>
      </c>
      <c r="Z41" s="263">
        <f>'3x9'!S35</f>
        <v>324009.59031958692</v>
      </c>
      <c r="AA41" s="263">
        <f>'3x10'!S35</f>
        <v>258268.54022909221</v>
      </c>
    </row>
    <row r="42" spans="1:27" x14ac:dyDescent="0.2">
      <c r="A42" s="283">
        <v>4</v>
      </c>
      <c r="B42" s="1">
        <f>'1x2'!S36</f>
        <v>104.46356247184706</v>
      </c>
      <c r="C42" s="1">
        <f>'1x3'!S36</f>
        <v>398.59085326909832</v>
      </c>
      <c r="D42" s="1">
        <f>'1x4'!S36</f>
        <v>1218.2469377541606</v>
      </c>
      <c r="E42" s="1">
        <f>'1x5'!S36</f>
        <v>3094.3342562070343</v>
      </c>
      <c r="F42" s="1">
        <f>'1x6'!S36</f>
        <v>6841.6119677712395</v>
      </c>
      <c r="G42" s="1">
        <f>'1x7'!S36</f>
        <v>13620.497224052806</v>
      </c>
      <c r="H42" s="1">
        <f>'1x8'!S36</f>
        <v>24999.228432877153</v>
      </c>
      <c r="I42" s="1">
        <f>'1x9'!S36</f>
        <v>43016.081529878349</v>
      </c>
      <c r="J42" s="1">
        <f>'1x10'!S36</f>
        <v>70241.536708156505</v>
      </c>
      <c r="K42" s="283">
        <v>4</v>
      </c>
      <c r="L42" s="263">
        <f>'2x3'!S24</f>
        <v>1262.1650750606912</v>
      </c>
      <c r="M42" s="263">
        <f>'2x4'!S24</f>
        <v>2676.6359250908504</v>
      </c>
      <c r="N42" s="263">
        <f>'2x5'!S24</f>
        <v>5821.618638598954</v>
      </c>
      <c r="O42" s="263">
        <f>'2x6'!S24</f>
        <v>11844.603870492718</v>
      </c>
      <c r="P42" s="263">
        <f>'2x7'!S24</f>
        <v>22444.515716241574</v>
      </c>
      <c r="Q42" s="263">
        <f>'2x8'!S24</f>
        <v>39936.798915243671</v>
      </c>
      <c r="R42" s="263">
        <f>'2x9'!S24</f>
        <v>67348.696032203108</v>
      </c>
      <c r="S42" s="263">
        <f>'2x10'!S24</f>
        <v>108517.1212822638</v>
      </c>
      <c r="T42" s="283">
        <v>4</v>
      </c>
      <c r="U42" s="263">
        <f>'3x4'!S24</f>
        <v>-2849.4051171226606</v>
      </c>
      <c r="V42" s="263">
        <f>'3x5'!S36</f>
        <v>-35973.57144162483</v>
      </c>
      <c r="W42" s="263">
        <f>'3x6'!S36</f>
        <v>-247306.0637883007</v>
      </c>
      <c r="X42" s="263">
        <f>'3x7'!S36</f>
        <v>1100600.9174809491</v>
      </c>
      <c r="Y42" s="263">
        <f>'3x8'!S36</f>
        <v>621209.66417345812</v>
      </c>
      <c r="Z42" s="263">
        <f>'3x9'!S36</f>
        <v>719198.9905978688</v>
      </c>
      <c r="AA42" s="263">
        <f>'3x10'!S36</f>
        <v>953927.43835555809</v>
      </c>
    </row>
    <row r="43" spans="1:27" x14ac:dyDescent="0.2">
      <c r="A43" s="283">
        <v>5</v>
      </c>
      <c r="B43" s="1">
        <f>'1x2'!S37</f>
        <v>210.25672972103325</v>
      </c>
      <c r="C43" s="1">
        <f>'1x3'!S37</f>
        <v>1162.8236182764413</v>
      </c>
      <c r="D43" s="1">
        <f>'1x4'!S37</f>
        <v>4730.5588702668974</v>
      </c>
      <c r="E43" s="1">
        <f>'1x5'!S37</f>
        <v>15056.076402434406</v>
      </c>
      <c r="F43" s="1">
        <f>'1x6'!S37</f>
        <v>40043.021821153256</v>
      </c>
      <c r="G43" s="1">
        <f>'1x7'!S37</f>
        <v>93175.554233199699</v>
      </c>
      <c r="H43" s="1">
        <f>'1x8'!S37</f>
        <v>195703.49939680289</v>
      </c>
      <c r="I43" s="1">
        <f>'1x9'!S37</f>
        <v>379192.89955386531</v>
      </c>
      <c r="J43" s="1">
        <f>'1x10'!S37</f>
        <v>688441.6615668576</v>
      </c>
      <c r="K43" s="283">
        <v>5</v>
      </c>
      <c r="L43" s="263">
        <f>'2x3'!S25</f>
        <v>3334.0444883848095</v>
      </c>
      <c r="M43" s="263">
        <f>'2x4'!S25</f>
        <v>9526.3118465866064</v>
      </c>
      <c r="N43" s="263">
        <f>'2x5'!S25</f>
        <v>25990.721063784324</v>
      </c>
      <c r="O43" s="263">
        <f>'2x6'!S25</f>
        <v>63640.716409568566</v>
      </c>
      <c r="P43" s="263">
        <f>'2x7'!S25</f>
        <v>141033.66595807034</v>
      </c>
      <c r="Q43" s="263">
        <f>'2x8'!S25</f>
        <v>287348.0118172291</v>
      </c>
      <c r="R43" s="263">
        <f>'2x9'!S25</f>
        <v>545944.74110985734</v>
      </c>
      <c r="S43" s="263">
        <f>'2x10'!S25</f>
        <v>978465.79442555457</v>
      </c>
      <c r="T43" s="283">
        <v>5</v>
      </c>
      <c r="U43" s="263">
        <f>'3x4'!S25</f>
        <v>-9246.5054496488865</v>
      </c>
      <c r="V43" s="263">
        <f>'3x5'!S37</f>
        <v>-217169.38611012188</v>
      </c>
      <c r="W43" s="263">
        <f>'3x6'!S37</f>
        <v>-4092275.0055448497</v>
      </c>
      <c r="X43" s="263">
        <f>'3x7'!S37</f>
        <v>2942256.8560097814</v>
      </c>
      <c r="Y43" s="263">
        <f>'3x8'!S37</f>
        <v>3219693.1488659848</v>
      </c>
      <c r="Z43" s="263">
        <f>'3x9'!S37</f>
        <v>4661275.5931646135</v>
      </c>
      <c r="AA43" s="263">
        <f>'3x10'!S37</f>
        <v>7176110.3853121158</v>
      </c>
    </row>
    <row r="44" spans="1:27" x14ac:dyDescent="0.2">
      <c r="A44" s="283">
        <v>6</v>
      </c>
      <c r="B44" s="1">
        <f>'1x2'!S38</f>
        <v>419.1269627855587</v>
      </c>
      <c r="C44" s="1">
        <f>'1x3'!S38</f>
        <v>3417.5337812725256</v>
      </c>
      <c r="D44" s="1">
        <f>'1x4'!S38</f>
        <v>18598.742735070577</v>
      </c>
      <c r="E44" s="1">
        <f>'1x5'!S38</f>
        <v>74244.320077956596</v>
      </c>
      <c r="F44" s="1">
        <f>'1x6'!S38</f>
        <v>237485.94548453309</v>
      </c>
      <c r="G44" s="1">
        <f>'1x7'!S38</f>
        <v>645637.14662539109</v>
      </c>
      <c r="H44" s="1">
        <f>'1x8'!S38</f>
        <v>1551268.7615752339</v>
      </c>
      <c r="I44" s="1">
        <f>'1x9'!S38</f>
        <v>3383562.859672938</v>
      </c>
      <c r="J44" s="1">
        <f>'1x10'!S38</f>
        <v>6828479.0963297281</v>
      </c>
      <c r="K44" s="283">
        <v>6</v>
      </c>
      <c r="L44" s="263">
        <f>'2x3'!S26</f>
        <v>9295.9086239807548</v>
      </c>
      <c r="M44" s="263">
        <f>'2x4'!S26</f>
        <v>35400.272834019153</v>
      </c>
      <c r="N44" s="263">
        <f>'2x5'!S26</f>
        <v>120754.03850082569</v>
      </c>
      <c r="O44" s="263">
        <f>'2x6'!S26</f>
        <v>355222.12698412093</v>
      </c>
      <c r="P44" s="263">
        <f>'2x7'!S26</f>
        <v>919633.80211062334</v>
      </c>
      <c r="Q44" s="263">
        <f>'2x8'!S26</f>
        <v>2143933.2869729893</v>
      </c>
      <c r="R44" s="263">
        <f>'2x9'!S26</f>
        <v>4586947.9845041586</v>
      </c>
      <c r="S44" s="263">
        <f>'2x10'!S26</f>
        <v>9141158.1171056479</v>
      </c>
      <c r="T44" s="283">
        <v>6</v>
      </c>
      <c r="U44" s="263">
        <f>'3x4'!S26</f>
        <v>-28690.443559050829</v>
      </c>
      <c r="V44" s="263">
        <f>'3x5'!S38</f>
        <v>-1199014.2455702254</v>
      </c>
      <c r="W44" s="263">
        <f>'3x6'!S38</f>
        <v>-175241477.62578475</v>
      </c>
      <c r="X44" s="263">
        <f>'3x7'!S38</f>
        <v>15657655.835254513</v>
      </c>
      <c r="Y44" s="263">
        <f>'3x8'!S38</f>
        <v>21744494.343868677</v>
      </c>
      <c r="Z44" s="263">
        <f>'3x9'!S38</f>
        <v>36501111.522811323</v>
      </c>
      <c r="AA44" s="263">
        <f>'3x10'!S38</f>
        <v>63292707.987272769</v>
      </c>
    </row>
    <row r="45" spans="1:27" x14ac:dyDescent="0.2">
      <c r="A45" s="283">
        <v>7</v>
      </c>
      <c r="B45" s="1">
        <f>'1x2'!S39</f>
        <v>831.14589191435402</v>
      </c>
      <c r="C45" s="1">
        <f>'1x3'!S39</f>
        <v>10106.968473315181</v>
      </c>
      <c r="D45" s="1">
        <f>'1x4'!S39</f>
        <v>73675.564526261296</v>
      </c>
      <c r="E45" s="1">
        <f>'1x5'!S39</f>
        <v>368663.80802656128</v>
      </c>
      <c r="F45" s="1">
        <f>'1x6'!S39</f>
        <v>1417297.547734746</v>
      </c>
      <c r="G45" s="1">
        <f>'1x7'!S39</f>
        <v>4499347.594811663</v>
      </c>
      <c r="H45" s="1">
        <f>'1x8'!S39</f>
        <v>12361724.272194056</v>
      </c>
      <c r="I45" s="1">
        <f>'1x9'!S39</f>
        <v>30343888.94221314</v>
      </c>
      <c r="J45" s="1">
        <f>'1x10'!S39</f>
        <v>68057955.942206115</v>
      </c>
      <c r="K45" s="283">
        <v>7</v>
      </c>
      <c r="L45" s="263">
        <f>'2x3'!S27</f>
        <v>26656.89380148191</v>
      </c>
      <c r="M45" s="263">
        <f>'2x4'!S27</f>
        <v>134798.14291088955</v>
      </c>
      <c r="N45" s="263">
        <f>'2x5'!S27</f>
        <v>573892.10529081337</v>
      </c>
      <c r="O45" s="263">
        <f>'2x6'!S27</f>
        <v>2025989.5510577194</v>
      </c>
      <c r="P45" s="263">
        <f>'2x7'!S27</f>
        <v>6123122.7670657756</v>
      </c>
      <c r="Q45" s="263">
        <f>'2x8'!S27</f>
        <v>16325916.034905521</v>
      </c>
      <c r="R45" s="263">
        <f>'2x9'!S27</f>
        <v>39321055.297717296</v>
      </c>
      <c r="S45" s="263">
        <f>'2x10'!S27</f>
        <v>87114171.876114398</v>
      </c>
      <c r="T45" s="283">
        <v>7</v>
      </c>
      <c r="U45" s="263">
        <f>'3x4'!S27</f>
        <v>-87309.803859429958</v>
      </c>
      <c r="V45" s="263">
        <f>'3x5'!S39</f>
        <v>-6300189.6378327468</v>
      </c>
      <c r="W45" s="263">
        <f>'3x6'!S39</f>
        <v>512955281.58155179</v>
      </c>
      <c r="X45" s="263">
        <f>'3x7'!S39</f>
        <v>97496552.179598317</v>
      </c>
      <c r="Y45" s="263">
        <f>'3x8'!S39</f>
        <v>160634042.18554991</v>
      </c>
      <c r="Z45" s="263">
        <f>'3x9'!S39</f>
        <v>306885400.37576872</v>
      </c>
      <c r="AA45" s="263">
        <f>'3x10'!S39</f>
        <v>594385667.11358929</v>
      </c>
    </row>
    <row r="46" spans="1:27" x14ac:dyDescent="0.2">
      <c r="A46" s="283">
        <v>8</v>
      </c>
      <c r="B46" s="1">
        <f>'1x2'!S40</f>
        <v>1644.9047430947994</v>
      </c>
      <c r="C46" s="1">
        <f>'1x3'!S40</f>
        <v>30032.166375259145</v>
      </c>
      <c r="D46" s="1">
        <f>'1x4'!S40</f>
        <v>293126.26566445123</v>
      </c>
      <c r="E46" s="1">
        <f>'1x5'!S40</f>
        <v>1837045.0454468951</v>
      </c>
      <c r="F46" s="1">
        <f>'1x6'!S40</f>
        <v>8482877.8522346243</v>
      </c>
      <c r="G46" s="1">
        <f>'1x7'!S40</f>
        <v>31433948.973648757</v>
      </c>
      <c r="H46" s="1">
        <f>'1x8'!S40</f>
        <v>98729828.462573364</v>
      </c>
      <c r="I46" s="1">
        <f>'1x9'!S40</f>
        <v>272691738.57929409</v>
      </c>
      <c r="J46" s="1">
        <f>'1x10'!S40</f>
        <v>679654030.74509406</v>
      </c>
      <c r="K46" s="283">
        <v>8</v>
      </c>
      <c r="L46" s="263">
        <f>'2x3'!S28</f>
        <v>77706.80005656289</v>
      </c>
      <c r="M46" s="263">
        <f>'2x4'!S28</f>
        <v>521064.46916433377</v>
      </c>
      <c r="N46" s="263">
        <f>'2x5'!S28</f>
        <v>2765994.2803718974</v>
      </c>
      <c r="O46" s="263">
        <f>'2x6'!S28</f>
        <v>11710190.8450146</v>
      </c>
      <c r="P46" s="263">
        <f>'2x7'!S28</f>
        <v>41297505.811984964</v>
      </c>
      <c r="Q46" s="263">
        <f>'2x8'!S28</f>
        <v>125894983.26896688</v>
      </c>
      <c r="R46" s="263">
        <f>'2x9'!S28</f>
        <v>341275987.91726637</v>
      </c>
      <c r="S46" s="263">
        <f>'2x10'!S28</f>
        <v>840422390.54116213</v>
      </c>
      <c r="T46" s="283">
        <v>8</v>
      </c>
      <c r="U46" s="263">
        <f>'3x4'!S28</f>
        <v>-263512.04114366393</v>
      </c>
      <c r="V46" s="263">
        <f>'3x5'!S40</f>
        <v>-32270909.630806517</v>
      </c>
      <c r="W46" s="263">
        <f>'3x6'!S40</f>
        <v>1764367615.6451397</v>
      </c>
      <c r="X46" s="263">
        <f>'3x7'!S40</f>
        <v>645292041.85984564</v>
      </c>
      <c r="Y46" s="263">
        <f>'3x8'!S40</f>
        <v>1234346223.564189</v>
      </c>
      <c r="Z46" s="263">
        <f>'3x9'!S40</f>
        <v>2665939561.1493821</v>
      </c>
      <c r="AA46" s="263">
        <f>'3x10'!S40</f>
        <v>5749636082.1393118</v>
      </c>
    </row>
    <row r="47" spans="1:27" x14ac:dyDescent="0.2">
      <c r="A47" s="283">
        <v>9</v>
      </c>
      <c r="B47" s="1">
        <f>'1x2'!S41</f>
        <v>3255.0321582457827</v>
      </c>
      <c r="C47" s="1">
        <f>'1x3'!S41</f>
        <v>89536.665029699259</v>
      </c>
      <c r="D47" s="1">
        <f>'1x4'!S41</f>
        <v>1169083.618509165</v>
      </c>
      <c r="E47" s="1">
        <f>'1x5'!S41</f>
        <v>9169887.8867999427</v>
      </c>
      <c r="F47" s="1">
        <f>'1x6'!S41</f>
        <v>50839910.936614372</v>
      </c>
      <c r="G47" s="1">
        <f>'1x7'!S41</f>
        <v>219849452.5514178</v>
      </c>
      <c r="H47" s="1">
        <f>'1x8'!S41</f>
        <v>789282277.37967587</v>
      </c>
      <c r="I47" s="1">
        <f>'1x9'!S41</f>
        <v>2452718460.9355731</v>
      </c>
      <c r="J47" s="1">
        <f>'1x10'!S41</f>
        <v>6792753200.3787317</v>
      </c>
      <c r="K47" s="283">
        <v>9</v>
      </c>
      <c r="L47" s="263">
        <f>'2x3'!S29</f>
        <v>228829.91554818666</v>
      </c>
      <c r="M47" s="263">
        <f>'2x4'!S29</f>
        <v>2033983.6994284736</v>
      </c>
      <c r="N47" s="263">
        <f>'2x5'!S29</f>
        <v>13454871.880111799</v>
      </c>
      <c r="O47" s="263">
        <f>'2x6'!S29</f>
        <v>68282116.52284041</v>
      </c>
      <c r="P47" s="263">
        <f>'2x7'!S29</f>
        <v>280907738.00349176</v>
      </c>
      <c r="Q47" s="263">
        <f>'2x8'!S29</f>
        <v>978916367.6564151</v>
      </c>
      <c r="R47" s="263">
        <f>'2x9'!S29</f>
        <v>2986330663.2837572</v>
      </c>
      <c r="S47" s="263">
        <f>'2x10'!S29</f>
        <v>8173743693.1558294</v>
      </c>
      <c r="T47" s="283">
        <v>9</v>
      </c>
      <c r="U47" s="263">
        <f>'3x4'!S29</f>
        <v>-792544.10897247749</v>
      </c>
      <c r="V47" s="263">
        <f>'3x5'!S41</f>
        <v>-163232314.02648455</v>
      </c>
      <c r="W47" s="263">
        <f>'3x6'!S41</f>
        <v>8718888924.2861767</v>
      </c>
      <c r="X47" s="263">
        <f>'3x7'!S41</f>
        <v>4391758180.2749033</v>
      </c>
      <c r="Y47" s="263">
        <f>'3x8'!S41</f>
        <v>9669059454.5358009</v>
      </c>
      <c r="Z47" s="263">
        <f>'3x9'!S41</f>
        <v>23543323799.702759</v>
      </c>
      <c r="AA47" s="263">
        <f>'3x10'!S41</f>
        <v>56467351887.88253</v>
      </c>
    </row>
    <row r="48" spans="1:27" x14ac:dyDescent="0.2">
      <c r="A48" s="283">
        <v>10</v>
      </c>
      <c r="B48" s="1">
        <f>'1x2'!S42</f>
        <v>6446.6738622108724</v>
      </c>
      <c r="C48" s="1">
        <f>'1x3'!S42</f>
        <v>267539.27003060753</v>
      </c>
      <c r="D48" s="1">
        <f>'1x4'!S42</f>
        <v>4668944.0383109637</v>
      </c>
      <c r="E48" s="1">
        <f>'1x5'!S42</f>
        <v>45812005.841654286</v>
      </c>
      <c r="F48" s="1">
        <f>'1x6'!S42</f>
        <v>304882117.60624492</v>
      </c>
      <c r="G48" s="1">
        <f>'1x7'!S42</f>
        <v>1538369726.8108625</v>
      </c>
      <c r="H48" s="1">
        <f>'1x8'!S42</f>
        <v>6312368433.1352015</v>
      </c>
      <c r="I48" s="1">
        <f>'1x9'!S42</f>
        <v>22068826172.254658</v>
      </c>
      <c r="J48" s="1">
        <f>'1x10'!S42</f>
        <v>67912016021.52166</v>
      </c>
      <c r="K48" s="283">
        <v>10</v>
      </c>
      <c r="L48" s="263">
        <f>'2x3'!S30</f>
        <v>678209.0034111971</v>
      </c>
      <c r="M48" s="263">
        <f>'2x4'!S30</f>
        <v>7992446.8131647632</v>
      </c>
      <c r="N48" s="263">
        <f>'2x5'!S30</f>
        <v>65867733.784960762</v>
      </c>
      <c r="O48" s="263">
        <f>'2x6'!S30</f>
        <v>400586106.43246889</v>
      </c>
      <c r="P48" s="263">
        <f>'2x7'!S30</f>
        <v>1922052062.1256902</v>
      </c>
      <c r="Q48" s="263">
        <f>'2x8'!S30</f>
        <v>7655769059.3853264</v>
      </c>
      <c r="R48" s="263">
        <f>'2x9'!S30</f>
        <v>26280851050.153542</v>
      </c>
      <c r="S48" s="263">
        <f>'2x10'!S30</f>
        <v>79944574550.893326</v>
      </c>
      <c r="T48" s="283">
        <v>10</v>
      </c>
      <c r="U48" s="263">
        <f>'3x4'!S30</f>
        <v>-2380175.1529478868</v>
      </c>
      <c r="V48" s="263">
        <f>'3x5'!S42</f>
        <v>-820664573.63425958</v>
      </c>
      <c r="W48" s="263">
        <f>'3x6'!S42</f>
        <v>48052771284.102661</v>
      </c>
      <c r="X48" s="263">
        <f>'3x7'!S42</f>
        <v>30301386799.315823</v>
      </c>
      <c r="Y48" s="263">
        <f>'3x8'!S42</f>
        <v>76491588770.148895</v>
      </c>
      <c r="Z48" s="263">
        <f>'3x9'!S42</f>
        <v>209720412898.77591</v>
      </c>
      <c r="AA48" s="263">
        <f>'3x10'!S42</f>
        <v>559076698937.57458</v>
      </c>
    </row>
    <row r="49" spans="1:27" x14ac:dyDescent="0.2">
      <c r="B49" s="342" t="s">
        <v>156</v>
      </c>
      <c r="C49" s="342"/>
      <c r="D49" s="342"/>
      <c r="E49" s="342"/>
      <c r="F49" s="342"/>
      <c r="G49" s="342"/>
      <c r="H49" s="342"/>
      <c r="I49" s="342"/>
      <c r="J49" s="342"/>
      <c r="L49" s="342" t="s">
        <v>167</v>
      </c>
      <c r="M49" s="342"/>
      <c r="N49" s="342"/>
      <c r="O49" s="342"/>
      <c r="P49" s="342"/>
      <c r="Q49" s="342"/>
      <c r="R49" s="342"/>
      <c r="S49" s="342"/>
      <c r="U49" s="342" t="s">
        <v>156</v>
      </c>
      <c r="V49" s="342"/>
      <c r="W49" s="342"/>
      <c r="X49" s="342"/>
      <c r="Y49" s="342"/>
      <c r="Z49" s="342"/>
      <c r="AA49" s="342"/>
    </row>
    <row r="50" spans="1:27" x14ac:dyDescent="0.2">
      <c r="A50" s="283" t="s">
        <v>57</v>
      </c>
      <c r="B50" s="259" t="s">
        <v>141</v>
      </c>
      <c r="C50" s="259" t="s">
        <v>142</v>
      </c>
      <c r="D50" s="259" t="s">
        <v>143</v>
      </c>
      <c r="E50" s="259" t="s">
        <v>144</v>
      </c>
      <c r="F50" s="259" t="s">
        <v>145</v>
      </c>
      <c r="G50" s="259" t="s">
        <v>146</v>
      </c>
      <c r="H50" s="259" t="s">
        <v>147</v>
      </c>
      <c r="I50" s="259" t="s">
        <v>148</v>
      </c>
      <c r="J50" s="259" t="s">
        <v>149</v>
      </c>
      <c r="K50" s="283" t="s">
        <v>57</v>
      </c>
      <c r="L50" s="259" t="s">
        <v>158</v>
      </c>
      <c r="M50" s="259" t="s">
        <v>159</v>
      </c>
      <c r="N50" s="259" t="s">
        <v>160</v>
      </c>
      <c r="O50" s="259" t="s">
        <v>161</v>
      </c>
      <c r="P50" s="259" t="s">
        <v>162</v>
      </c>
      <c r="Q50" s="259" t="s">
        <v>163</v>
      </c>
      <c r="R50" s="259" t="s">
        <v>164</v>
      </c>
      <c r="S50" s="259" t="s">
        <v>165</v>
      </c>
      <c r="T50" s="283" t="s">
        <v>57</v>
      </c>
      <c r="U50" s="259" t="s">
        <v>169</v>
      </c>
      <c r="V50" s="259" t="s">
        <v>170</v>
      </c>
      <c r="W50" s="259" t="s">
        <v>171</v>
      </c>
      <c r="X50" s="259" t="s">
        <v>172</v>
      </c>
      <c r="Y50" s="259" t="s">
        <v>173</v>
      </c>
      <c r="Z50" s="259" t="s">
        <v>174</v>
      </c>
      <c r="AA50" s="259" t="s">
        <v>175</v>
      </c>
    </row>
    <row r="51" spans="1:27" x14ac:dyDescent="0.2">
      <c r="A51" s="283">
        <v>1</v>
      </c>
      <c r="B51" s="1">
        <f>'1x2'!S45</f>
        <v>29.070336462975007</v>
      </c>
      <c r="C51" s="1">
        <f>'1x3'!S45</f>
        <v>26.061805505130753</v>
      </c>
      <c r="D51" s="1">
        <f>'1x4'!S45</f>
        <v>33.205394258150598</v>
      </c>
      <c r="E51" s="1">
        <f>'1x5'!S45</f>
        <v>43.548275694720019</v>
      </c>
      <c r="F51" s="1">
        <f>'1x6'!S45</f>
        <v>56.404819308000611</v>
      </c>
      <c r="G51" s="1">
        <f>'1x7'!S45</f>
        <v>71.636533352967589</v>
      </c>
      <c r="H51" s="1">
        <f>'1x8'!S45</f>
        <v>89.219994023601728</v>
      </c>
      <c r="I51" s="1">
        <f>'1x9'!S45</f>
        <v>109.16137678133387</v>
      </c>
      <c r="J51" s="1">
        <f>'1x10'!S45</f>
        <v>131.47239189556083</v>
      </c>
      <c r="K51" s="283">
        <v>1</v>
      </c>
      <c r="L51" s="1">
        <f>'2x3'!S45</f>
        <v>-30.053386067525004</v>
      </c>
      <c r="M51" s="1">
        <f>'2x4'!S45</f>
        <v>-79.78711256998686</v>
      </c>
      <c r="N51" s="1">
        <f>'2x5'!S45</f>
        <v>-193.54076904567609</v>
      </c>
      <c r="O51" s="1">
        <f>'2x6'!S45</f>
        <v>-459.98122768025229</v>
      </c>
      <c r="P51" s="1">
        <f>'2x7'!S45</f>
        <v>-1168.386897521691</v>
      </c>
      <c r="Q51" s="1">
        <f>'2x8'!S45</f>
        <v>-4014.6724926865545</v>
      </c>
      <c r="R51" s="1">
        <f>'2x9'!S45</f>
        <v>29743.751762085631</v>
      </c>
      <c r="S51" s="1">
        <f>'2x10'!S45</f>
        <v>6186.6374531134261</v>
      </c>
      <c r="T51" s="283">
        <v>1</v>
      </c>
      <c r="U51" s="263">
        <f>'3x4'!S45</f>
        <v>-25.009764363656707</v>
      </c>
      <c r="V51" s="263">
        <f>'3x5'!S45</f>
        <v>-41.844854196851792</v>
      </c>
      <c r="W51" s="263">
        <f>'3x6'!S45</f>
        <v>-63.58065318522651</v>
      </c>
      <c r="X51" s="263">
        <f>'3x7'!S45</f>
        <v>-90.088642071452128</v>
      </c>
      <c r="Y51" s="263">
        <f>'3x8'!S45</f>
        <v>-121.13470581699865</v>
      </c>
      <c r="Z51" s="263">
        <f>'3x9'!S45</f>
        <v>-156.46422963271641</v>
      </c>
      <c r="AA51" s="263">
        <f>'3x10'!S21</f>
        <v>-195.85206127010065</v>
      </c>
    </row>
    <row r="52" spans="1:27" x14ac:dyDescent="0.2">
      <c r="A52" s="283">
        <v>2</v>
      </c>
      <c r="B52" s="1">
        <f>'1x2'!S46</f>
        <v>34.354861236122559</v>
      </c>
      <c r="C52" s="1">
        <f>'1x3'!S46</f>
        <v>73.551126323308168</v>
      </c>
      <c r="D52" s="1">
        <f>'1x4'!S46</f>
        <v>140.3579551703298</v>
      </c>
      <c r="E52" s="1">
        <f>'1x5'!S46</f>
        <v>241.57987602694215</v>
      </c>
      <c r="F52" s="1">
        <f>'1x6'!S46</f>
        <v>384.5455494477315</v>
      </c>
      <c r="G52" s="1">
        <f>'1x7'!S46</f>
        <v>576.75670525193141</v>
      </c>
      <c r="H52" s="1">
        <f>'1x8'!S46</f>
        <v>825.80626444186896</v>
      </c>
      <c r="I52" s="1">
        <f>'1x9'!S46</f>
        <v>1139.3366529492953</v>
      </c>
      <c r="J52" s="1">
        <f>'1x10'!S46</f>
        <v>1525.0113796494084</v>
      </c>
      <c r="K52" s="283">
        <v>2</v>
      </c>
      <c r="L52" s="1">
        <f>'2x3'!S46</f>
        <v>846.6885375791519</v>
      </c>
      <c r="M52" s="1">
        <f>'2x4'!S46</f>
        <v>599.44833350793283</v>
      </c>
      <c r="N52" s="1">
        <f>'2x5'!S46</f>
        <v>769.10194688981267</v>
      </c>
      <c r="O52" s="1">
        <f>'2x6'!S46</f>
        <v>1060.4694487881341</v>
      </c>
      <c r="P52" s="1">
        <f>'2x7'!S46</f>
        <v>1464.4771384610883</v>
      </c>
      <c r="Q52" s="1">
        <f>'2x8'!S46</f>
        <v>1991.6489288532596</v>
      </c>
      <c r="R52" s="1">
        <f>'2x9'!S46</f>
        <v>2656.9292059568593</v>
      </c>
      <c r="S52" s="1">
        <f>'2x10'!S46</f>
        <v>3476.7351386493624</v>
      </c>
      <c r="T52" s="283">
        <v>2</v>
      </c>
      <c r="U52" s="263">
        <f>'3x4'!S46</f>
        <v>-399.5361780076633</v>
      </c>
      <c r="V52" s="263">
        <f>'3x5'!S46</f>
        <v>-973.54144692301622</v>
      </c>
      <c r="W52" s="263">
        <f>'3x6'!S46</f>
        <v>-2081.1698458554347</v>
      </c>
      <c r="X52" s="263">
        <f>'3x7'!S46</f>
        <v>-4018.6027382514758</v>
      </c>
      <c r="Y52" s="263">
        <f>'3x8'!S46</f>
        <v>-7133.3863783234019</v>
      </c>
      <c r="Z52" s="263">
        <f>'3x9'!S46</f>
        <v>-11781.35131446083</v>
      </c>
      <c r="AA52" s="263">
        <f>'3x10'!S22</f>
        <v>-9899.4345051142318</v>
      </c>
    </row>
    <row r="53" spans="1:27" x14ac:dyDescent="0.2">
      <c r="A53" s="283">
        <v>3</v>
      </c>
      <c r="B53" s="1">
        <f>'1x2'!S47</f>
        <v>107.28080435302897</v>
      </c>
      <c r="C53" s="1">
        <f>'1x3'!S47</f>
        <v>359.9645157999625</v>
      </c>
      <c r="D53" s="1">
        <f>'1x4'!S47</f>
        <v>936.53112370886083</v>
      </c>
      <c r="E53" s="1">
        <f>'1x5'!S47</f>
        <v>2042.1544185272139</v>
      </c>
      <c r="F53" s="1">
        <f>'1x6'!S47</f>
        <v>3934.2632330324359</v>
      </c>
      <c r="G53" s="1">
        <f>'1x7'!S47</f>
        <v>6922.6495250772268</v>
      </c>
      <c r="H53" s="1">
        <f>'1x8'!S47</f>
        <v>11369.637932301544</v>
      </c>
      <c r="I53" s="1">
        <f>'1x9'!S47</f>
        <v>17690.159180198199</v>
      </c>
      <c r="J53" s="1">
        <f>'1x10'!S47</f>
        <v>26351.728279395513</v>
      </c>
      <c r="K53" s="283">
        <v>3</v>
      </c>
      <c r="L53" s="1">
        <f>'2x3'!S47</f>
        <v>1660.2386808202377</v>
      </c>
      <c r="M53" s="1">
        <f>'2x4'!S47</f>
        <v>2646.8098824982117</v>
      </c>
      <c r="N53" s="1">
        <f>'2x5'!S47</f>
        <v>4719.2592471666649</v>
      </c>
      <c r="O53" s="1">
        <f>'2x6'!S47</f>
        <v>8164.6631766030478</v>
      </c>
      <c r="P53" s="1">
        <f>'2x7'!S47</f>
        <v>13471.622926255837</v>
      </c>
      <c r="Q53" s="1">
        <f>'2x8'!S47</f>
        <v>21238.73472688744</v>
      </c>
      <c r="R53" s="1">
        <f>'2x9'!S47</f>
        <v>32164.161785325912</v>
      </c>
      <c r="S53" s="1">
        <f>'2x10'!S47</f>
        <v>47042.85060282654</v>
      </c>
      <c r="T53" s="283">
        <v>3</v>
      </c>
      <c r="U53" s="263">
        <f>'3x4'!S47</f>
        <v>-4328.9998194725631</v>
      </c>
      <c r="V53" s="263">
        <f>'3x5'!S47</f>
        <v>-16117.39968624989</v>
      </c>
      <c r="W53" s="263">
        <f>'3x6'!S47</f>
        <v>-57203.97018078823</v>
      </c>
      <c r="X53" s="263">
        <f>'3x7'!S47</f>
        <v>-231956.38855660748</v>
      </c>
      <c r="Y53" s="263">
        <f>'3x8'!S47</f>
        <v>-3662990.918232766</v>
      </c>
      <c r="Z53" s="263">
        <f>'3x9'!S47</f>
        <v>1140386.6953405067</v>
      </c>
      <c r="AA53" s="263">
        <f>'3x10'!S23</f>
        <v>253687.28009199077</v>
      </c>
    </row>
    <row r="54" spans="1:27" x14ac:dyDescent="0.2">
      <c r="A54" s="283">
        <v>4</v>
      </c>
      <c r="B54" s="1">
        <f>'1x2'!S48</f>
        <v>377.67595662898549</v>
      </c>
      <c r="C54" s="1">
        <f>'1x3'!S48</f>
        <v>1955.1568578458357</v>
      </c>
      <c r="D54" s="1">
        <f>'1x4'!S48</f>
        <v>6904.8496079137612</v>
      </c>
      <c r="E54" s="1">
        <f>'1x5'!S48</f>
        <v>19028.560658015424</v>
      </c>
      <c r="F54" s="1">
        <f>'1x6'!S48</f>
        <v>44297.07287888752</v>
      </c>
      <c r="G54" s="1">
        <f>'1x7'!S48</f>
        <v>91346.478432341275</v>
      </c>
      <c r="H54" s="1">
        <f>'1x8'!S48</f>
        <v>171975.73012756708</v>
      </c>
      <c r="I54" s="1">
        <f>'1x9'!S48</f>
        <v>301644.43983001681</v>
      </c>
      <c r="J54" s="1">
        <f>'1x10'!S48</f>
        <v>499970.29568798182</v>
      </c>
      <c r="K54" s="283">
        <v>4</v>
      </c>
      <c r="L54" s="1">
        <f>'2x3'!S48</f>
        <v>7328.2849766278905</v>
      </c>
      <c r="M54" s="1">
        <f>'2x4'!S48</f>
        <v>16789.807166478971</v>
      </c>
      <c r="N54" s="1">
        <f>'2x5'!S48</f>
        <v>38300.685859458928</v>
      </c>
      <c r="O54" s="1">
        <f>'2x6'!S48</f>
        <v>80472.284516645392</v>
      </c>
      <c r="P54" s="1">
        <f>'2x7'!S48</f>
        <v>156050.55115057615</v>
      </c>
      <c r="Q54" s="1">
        <f>'2x8'!S48</f>
        <v>282536.11521324801</v>
      </c>
      <c r="R54" s="1">
        <f>'2x9'!S48</f>
        <v>482959.47130280163</v>
      </c>
      <c r="S54" s="1">
        <f>'2x10'!S48</f>
        <v>786667.70888728718</v>
      </c>
      <c r="T54" s="283">
        <v>4</v>
      </c>
      <c r="U54" s="263">
        <f>'3x4'!S48</f>
        <v>-39841.461857917726</v>
      </c>
      <c r="V54" s="263">
        <f>'3x5'!S48</f>
        <v>-221218.92128793002</v>
      </c>
      <c r="W54" s="263">
        <f>'3x6'!S48</f>
        <v>-1601221.2885832374</v>
      </c>
      <c r="X54" s="263">
        <f>'3x7'!S48</f>
        <v>7381229.6509814076</v>
      </c>
      <c r="Y54" s="263">
        <f>'3x8'!S48</f>
        <v>4273451.3125226013</v>
      </c>
      <c r="Z54" s="263">
        <f>'3x9'!S48</f>
        <v>5043285.4162814114</v>
      </c>
      <c r="AA54" s="263">
        <f>'3x10'!S24</f>
        <v>936639.52397251199</v>
      </c>
    </row>
    <row r="55" spans="1:27" x14ac:dyDescent="0.2">
      <c r="A55" s="283">
        <v>5</v>
      </c>
      <c r="B55" s="1">
        <f>'1x2'!S49</f>
        <v>1395.5636738793728</v>
      </c>
      <c r="C55" s="1">
        <f>'1x3'!S49</f>
        <v>11108.538476272148</v>
      </c>
      <c r="D55" s="1">
        <f>'1x4'!S49</f>
        <v>53067.889772455455</v>
      </c>
      <c r="E55" s="1">
        <f>'1x5'!S49</f>
        <v>184281.2277892493</v>
      </c>
      <c r="F55" s="1">
        <f>'1x6'!S49</f>
        <v>517222.10958526313</v>
      </c>
      <c r="G55" s="1">
        <f>'1x7'!S49</f>
        <v>1247973.4662868795</v>
      </c>
      <c r="H55" s="1">
        <f>'1x8'!S49</f>
        <v>2690216.7856572415</v>
      </c>
      <c r="I55" s="1">
        <f>'1x9'!S49</f>
        <v>5315066.9059542604</v>
      </c>
      <c r="J55" s="1">
        <f>'1x10'!S49</f>
        <v>9796748.6719203703</v>
      </c>
      <c r="K55" s="283">
        <v>5</v>
      </c>
      <c r="L55" s="1">
        <f>'2x3'!S49</f>
        <v>38008.10716758683</v>
      </c>
      <c r="M55" s="1">
        <f>'2x4'!S49</f>
        <v>118595.81465454143</v>
      </c>
      <c r="N55" s="1">
        <f>'2x5'!S49</f>
        <v>340715.41735794308</v>
      </c>
      <c r="O55" s="1">
        <f>'2x6'!S49</f>
        <v>863011.10462374904</v>
      </c>
      <c r="P55" s="1">
        <f>'2x7'!S49</f>
        <v>1958825.7857991632</v>
      </c>
      <c r="Q55" s="1">
        <f>'2x8'!S49</f>
        <v>4062746.6518583191</v>
      </c>
      <c r="R55" s="1">
        <f>'2x9'!S49</f>
        <v>7826203.1991972448</v>
      </c>
      <c r="S55" s="1">
        <f>'2x10'!S49</f>
        <v>14181629.755477155</v>
      </c>
      <c r="T55" s="283">
        <v>5</v>
      </c>
      <c r="U55" s="263">
        <f>'3x4'!S49</f>
        <v>-339515.11122850946</v>
      </c>
      <c r="V55" s="263">
        <f>'3x5'!S49</f>
        <v>-2658079.0400439221</v>
      </c>
      <c r="W55" s="263">
        <f>'3x6'!S49</f>
        <v>-52858526.032938443</v>
      </c>
      <c r="X55" s="263">
        <f>'3x7'!S49</f>
        <v>39407959.711309463</v>
      </c>
      <c r="Y55" s="263">
        <f>'3x8'!S49</f>
        <v>44259160.313647375</v>
      </c>
      <c r="Z55" s="263">
        <f>'3x9'!S49</f>
        <v>65336116.984021217</v>
      </c>
      <c r="AA55" s="263">
        <f>'3x10'!S25</f>
        <v>7045688.4962075818</v>
      </c>
    </row>
    <row r="56" spans="1:27" x14ac:dyDescent="0.2">
      <c r="A56" s="283">
        <v>6</v>
      </c>
      <c r="B56" s="1">
        <f>'1x2'!S50</f>
        <v>5294.9706298575584</v>
      </c>
      <c r="C56" s="1">
        <f>'1x3'!S50</f>
        <v>64596.42350661246</v>
      </c>
      <c r="D56" s="1">
        <f>'1x4'!S50</f>
        <v>415948.91178195464</v>
      </c>
      <c r="E56" s="1">
        <f>'1x5'!S50</f>
        <v>1815281.9918917064</v>
      </c>
      <c r="F56" s="1">
        <f>'1x6'!S50</f>
        <v>6131859.7190437894</v>
      </c>
      <c r="G56" s="1">
        <f>'1x7'!S50</f>
        <v>17290649.660541821</v>
      </c>
      <c r="H56" s="1">
        <f>'1x8'!S50</f>
        <v>42642891.432846978</v>
      </c>
      <c r="I56" s="1">
        <f>'1x9'!S50</f>
        <v>94845985.101034611</v>
      </c>
      <c r="J56" s="1">
        <f>'1x10'!S50</f>
        <v>194333791.7203142</v>
      </c>
      <c r="K56" s="283">
        <v>6</v>
      </c>
      <c r="L56" s="1">
        <f>'2x3'!S50</f>
        <v>210382.70818572541</v>
      </c>
      <c r="M56" s="1">
        <f>'2x4'!S50</f>
        <v>879349.00598404475</v>
      </c>
      <c r="N56" s="1">
        <f>'2x5'!S50</f>
        <v>3163061.3934870586</v>
      </c>
      <c r="O56" s="1">
        <f>'2x6'!S50</f>
        <v>9630126.0200889539</v>
      </c>
      <c r="P56" s="1">
        <f>'2x7'!S50</f>
        <v>25540404.773839194</v>
      </c>
      <c r="Q56" s="1">
        <f>'2x8'!S50</f>
        <v>60618276.133355528</v>
      </c>
      <c r="R56" s="1">
        <f>'2x9'!S50</f>
        <v>131500547.97280264</v>
      </c>
      <c r="S56" s="1">
        <f>'2x10'!S50</f>
        <v>264968410.25892395</v>
      </c>
      <c r="T56" s="283">
        <v>6</v>
      </c>
      <c r="U56" s="263">
        <f>'3x4'!S50</f>
        <v>-2792692.1963162851</v>
      </c>
      <c r="V56" s="263">
        <f>'3x5'!S50</f>
        <v>-29316033.411308393</v>
      </c>
      <c r="W56" s="263">
        <f>'3x6'!S50</f>
        <v>-4524714738.6633301</v>
      </c>
      <c r="X56" s="263">
        <f>'3x7'!S50</f>
        <v>419323830.68071294</v>
      </c>
      <c r="Y56" s="263">
        <f>'3x8'!S50</f>
        <v>597735308.37182212</v>
      </c>
      <c r="Z56" s="263">
        <f>'3x9'!S50</f>
        <v>1023177054.2600199</v>
      </c>
      <c r="AA56" s="263">
        <f>'3x10'!S26</f>
        <v>62141987.406509534</v>
      </c>
    </row>
    <row r="57" spans="1:27" x14ac:dyDescent="0.2">
      <c r="A57" s="283">
        <v>7</v>
      </c>
      <c r="B57" s="1">
        <f>'1x2'!S51</f>
        <v>20415.231280341643</v>
      </c>
      <c r="C57" s="1">
        <f>'1x3'!S51</f>
        <v>380463.1133429801</v>
      </c>
      <c r="D57" s="1">
        <f>'1x4'!S51</f>
        <v>3292290.6291349307</v>
      </c>
      <c r="E57" s="1">
        <f>'1x5'!S51</f>
        <v>18022649.453384344</v>
      </c>
      <c r="F57" s="1">
        <f>'1x6'!S51</f>
        <v>73181404.135094658</v>
      </c>
      <c r="G57" s="1">
        <f>'1x7'!S51</f>
        <v>240981462.91497773</v>
      </c>
      <c r="H57" s="1">
        <f>'1x8'!S51</f>
        <v>679610214.1920532</v>
      </c>
      <c r="I57" s="1">
        <f>'1x9'!S51</f>
        <v>1701145596.1357481</v>
      </c>
      <c r="J57" s="1">
        <f>'1x10'!S51</f>
        <v>3873743060.3046231</v>
      </c>
      <c r="K57" s="283">
        <v>7</v>
      </c>
      <c r="L57" s="1">
        <f>'2x3'!S51</f>
        <v>1203125.5439826041</v>
      </c>
      <c r="M57" s="1">
        <f>'2x4'!S51</f>
        <v>6692211.999951507</v>
      </c>
      <c r="N57" s="1">
        <f>'2x5'!S51</f>
        <v>30058874.120501909</v>
      </c>
      <c r="O57" s="1">
        <f>'2x6'!S51</f>
        <v>109840863.93140988</v>
      </c>
      <c r="P57" s="1">
        <f>'2x7'!S51</f>
        <v>340095293.52497822</v>
      </c>
      <c r="Q57" s="1">
        <f>'2x8'!S51</f>
        <v>923193219.99445748</v>
      </c>
      <c r="R57" s="1">
        <f>'2x9'!S51</f>
        <v>2254525462.0801687</v>
      </c>
      <c r="S57" s="1">
        <f>'2x10'!S51</f>
        <v>5050211964.6327019</v>
      </c>
      <c r="T57" s="283">
        <v>7</v>
      </c>
      <c r="U57" s="263">
        <f>'3x4'!S51</f>
        <v>-22612801.225419004</v>
      </c>
      <c r="V57" s="263">
        <f>'3x5'!S51</f>
        <v>-307993643.152309</v>
      </c>
      <c r="W57" s="263">
        <f>'3x6'!S51</f>
        <v>26486172804.467716</v>
      </c>
      <c r="X57" s="263">
        <f>'3x7'!S51</f>
        <v>5221837450.5003147</v>
      </c>
      <c r="Y57" s="263">
        <f>'3x8'!S51</f>
        <v>8831173824.3358173</v>
      </c>
      <c r="Z57" s="263">
        <f>'3x9'!S51</f>
        <v>17204674996.069191</v>
      </c>
      <c r="AA57" s="263">
        <f>'3x10'!S27</f>
        <v>583578716.26005483</v>
      </c>
    </row>
    <row r="58" spans="1:27" x14ac:dyDescent="0.2">
      <c r="A58" s="283">
        <v>8</v>
      </c>
      <c r="B58" s="1">
        <f>'1x2'!S52</f>
        <v>79529.942870985877</v>
      </c>
      <c r="C58" s="1">
        <f>'1x3'!S52</f>
        <v>2257388.3120566914</v>
      </c>
      <c r="D58" s="1">
        <f>'1x4'!S52</f>
        <v>26190330.611736558</v>
      </c>
      <c r="E58" s="1">
        <f>'1x5'!S52</f>
        <v>179601382.33641893</v>
      </c>
      <c r="F58" s="1">
        <f>'1x6'!S52</f>
        <v>876000502.06615996</v>
      </c>
      <c r="G58" s="1">
        <f>'1x7'!S52</f>
        <v>3367130536.7668667</v>
      </c>
      <c r="H58" s="1">
        <f>'1x8'!S52</f>
        <v>10855703275.547094</v>
      </c>
      <c r="I58" s="1">
        <f>'1x9'!S52</f>
        <v>30575365110.51096</v>
      </c>
      <c r="J58" s="1">
        <f>'1x10'!S52</f>
        <v>77369452405.752533</v>
      </c>
      <c r="K58" s="283">
        <v>8</v>
      </c>
      <c r="L58" s="1">
        <f>'2x3'!S52</f>
        <v>7006781.202904053</v>
      </c>
      <c r="M58" s="1">
        <f>'2x4'!S52</f>
        <v>51727553.827358745</v>
      </c>
      <c r="N58" s="1">
        <f>'2x5'!S52</f>
        <v>289735918.17597723</v>
      </c>
      <c r="O58" s="1">
        <f>'2x6'!S52</f>
        <v>1269737606.9874327</v>
      </c>
      <c r="P58" s="1">
        <f>'2x7'!S52</f>
        <v>4587530714.1496801</v>
      </c>
      <c r="Q58" s="1">
        <f>'2x8'!S52</f>
        <v>14238112699.350445</v>
      </c>
      <c r="R58" s="1">
        <f>'2x9'!S52</f>
        <v>39134990048.559792</v>
      </c>
      <c r="S58" s="1">
        <f>'2x10'!S52</f>
        <v>97442443298.793915</v>
      </c>
      <c r="T58" s="283">
        <v>8</v>
      </c>
      <c r="U58" s="263">
        <f>'3x4'!S52</f>
        <v>-181846201.81881905</v>
      </c>
      <c r="V58" s="263">
        <f>'3x5'!S52</f>
        <v>-3155012444.2030468</v>
      </c>
      <c r="W58" s="263">
        <f>'3x6'!S52</f>
        <v>182200774790.9827</v>
      </c>
      <c r="X58" s="263">
        <f>'3x7'!S52</f>
        <v>69122162827.851639</v>
      </c>
      <c r="Y58" s="263">
        <f>'3x8'!S52</f>
        <v>135720851043.35542</v>
      </c>
      <c r="Z58" s="263">
        <f>'3x9'!S52</f>
        <v>298916556362.76422</v>
      </c>
      <c r="AA58" s="263">
        <f>'3x10'!S28</f>
        <v>5645097312.023406</v>
      </c>
    </row>
    <row r="59" spans="1:27" x14ac:dyDescent="0.2">
      <c r="A59" s="283">
        <v>9</v>
      </c>
      <c r="B59" s="1">
        <f>'1x2'!S53</f>
        <v>311972.17888640158</v>
      </c>
      <c r="C59" s="1">
        <f>'1x3'!S53</f>
        <v>13451990.495630955</v>
      </c>
      <c r="D59" s="1">
        <f>'1x4'!S53</f>
        <v>208895164.35273027</v>
      </c>
      <c r="E59" s="1">
        <f>'1x5'!S53</f>
        <v>1792988524.5088832</v>
      </c>
      <c r="F59" s="1">
        <f>'1x6'!S53</f>
        <v>10500121104.679403</v>
      </c>
      <c r="G59" s="1">
        <f>'1x7'!S53</f>
        <v>47099456692.361412</v>
      </c>
      <c r="H59" s="1">
        <f>'1x8'!S53</f>
        <v>173568835904.38013</v>
      </c>
      <c r="I59" s="1">
        <f>'1x9'!S53</f>
        <v>550018497106.52991</v>
      </c>
      <c r="J59" s="1">
        <f>'1x10'!S53</f>
        <v>1546526713577.9148</v>
      </c>
      <c r="K59" s="283">
        <v>9</v>
      </c>
      <c r="L59" s="1">
        <f>'2x3'!S53</f>
        <v>41250262.226405419</v>
      </c>
      <c r="M59" s="1">
        <f>'2x4'!S53</f>
        <v>403816483.57822204</v>
      </c>
      <c r="N59" s="1">
        <f>'2x5'!S53</f>
        <v>2818745180.8429899</v>
      </c>
      <c r="O59" s="1">
        <f>'2x6'!S53</f>
        <v>14807635644.47472</v>
      </c>
      <c r="P59" s="1">
        <f>'2x7'!S53</f>
        <v>62409177684.696892</v>
      </c>
      <c r="Q59" s="1">
        <f>'2x8'!S53</f>
        <v>221421322755.44724</v>
      </c>
      <c r="R59" s="1">
        <f>'2x9'!S53</f>
        <v>684900249434.13794</v>
      </c>
      <c r="S59" s="1">
        <f>'2x10'!S53</f>
        <v>1895402873500.1475</v>
      </c>
      <c r="T59" s="283">
        <v>9</v>
      </c>
      <c r="U59" s="263">
        <f>'3x4'!S53</f>
        <v>-1458026961.9914362</v>
      </c>
      <c r="V59" s="263">
        <f>'3x5'!S53</f>
        <v>-31916820520.763512</v>
      </c>
      <c r="W59" s="263">
        <f>'3x6'!S53</f>
        <v>1800738591328.2527</v>
      </c>
      <c r="X59" s="263">
        <f>'3x7'!S53</f>
        <v>940868498031.87207</v>
      </c>
      <c r="Y59" s="263">
        <f>'3x8'!S53</f>
        <v>2126295549655.0654</v>
      </c>
      <c r="Z59" s="263">
        <f>'3x9'!S53</f>
        <v>5279555635694.7295</v>
      </c>
      <c r="AA59" s="263">
        <f>'3x10'!S29</f>
        <v>55440672837.49321</v>
      </c>
    </row>
    <row r="60" spans="1:27" x14ac:dyDescent="0.2">
      <c r="A60" s="283">
        <v>10</v>
      </c>
      <c r="B60" s="1">
        <f>'1x2'!S54</f>
        <v>1229680.8748173942</v>
      </c>
      <c r="C60" s="1">
        <f>'1x3'!S54</f>
        <v>80372090.130985826</v>
      </c>
      <c r="D60" s="1">
        <f>'1x4'!S54</f>
        <v>1668484488.214165</v>
      </c>
      <c r="E60" s="1">
        <f>'1x5'!S54</f>
        <v>17915187861.989433</v>
      </c>
      <c r="F60" s="1">
        <f>'1x6'!S54</f>
        <v>125936371505.05875</v>
      </c>
      <c r="G60" s="1">
        <f>'1x7'!S54</f>
        <v>659145286158.80811</v>
      </c>
      <c r="H60" s="1">
        <f>'1x8'!S54</f>
        <v>2776270061431.6953</v>
      </c>
      <c r="I60" s="1">
        <f>'1x9'!S54</f>
        <v>9897803233753.8711</v>
      </c>
      <c r="J60" s="1">
        <f>'1x10'!S54</f>
        <v>30923468880099.031</v>
      </c>
      <c r="K60" s="283">
        <v>10</v>
      </c>
      <c r="L60" s="1">
        <f>'2x3'!S54</f>
        <v>244479757.8726413</v>
      </c>
      <c r="M60" s="1">
        <f>'2x4'!S54</f>
        <v>3173508857.9793019</v>
      </c>
      <c r="N60" s="1">
        <f>'2x5'!S54</f>
        <v>27598018566.616234</v>
      </c>
      <c r="O60" s="1">
        <f>'2x6'!S54</f>
        <v>173741829616.73453</v>
      </c>
      <c r="P60" s="1">
        <f>'2x7'!S54</f>
        <v>854043195849.35535</v>
      </c>
      <c r="Q60" s="1">
        <f>'2x8'!S54</f>
        <v>3463320235426.0654</v>
      </c>
      <c r="R60" s="1">
        <f>'2x9'!S54</f>
        <v>12054767647605.785</v>
      </c>
      <c r="S60" s="1">
        <f>'2x10'!S54</f>
        <v>37076566373889.609</v>
      </c>
      <c r="T60" s="283">
        <v>10</v>
      </c>
      <c r="U60" s="263">
        <f>'3x4'!S54</f>
        <v>-11675418240.605806</v>
      </c>
      <c r="V60" s="263">
        <f>'3x5'!S54</f>
        <v>-320928100357.68378</v>
      </c>
      <c r="W60" s="263">
        <f>'3x6'!S54</f>
        <v>19848955733435.301</v>
      </c>
      <c r="X60" s="263">
        <f>'3x7'!S54</f>
        <v>12983235385325.139</v>
      </c>
      <c r="Y60" s="263">
        <f>'3x8'!S54</f>
        <v>33642096481436.605</v>
      </c>
      <c r="Z60" s="263">
        <f>'3x9'!S54</f>
        <v>94058984595356.5</v>
      </c>
      <c r="AA60" s="263">
        <f>'3x10'!S30</f>
        <v>548911668130.13727</v>
      </c>
    </row>
    <row r="61" spans="1:27" x14ac:dyDescent="0.2">
      <c r="B61" s="342" t="s">
        <v>157</v>
      </c>
      <c r="C61" s="342"/>
      <c r="D61" s="342"/>
      <c r="E61" s="342"/>
      <c r="F61" s="342"/>
      <c r="G61" s="342"/>
      <c r="H61" s="342"/>
      <c r="I61" s="342"/>
      <c r="J61" s="342"/>
      <c r="L61" s="342" t="s">
        <v>157</v>
      </c>
      <c r="M61" s="342"/>
      <c r="N61" s="342"/>
      <c r="O61" s="342"/>
      <c r="P61" s="342"/>
      <c r="Q61" s="342"/>
      <c r="R61" s="342"/>
      <c r="S61" s="342"/>
      <c r="U61" s="342" t="s">
        <v>176</v>
      </c>
      <c r="V61" s="342"/>
      <c r="W61" s="342"/>
      <c r="X61" s="342"/>
      <c r="Y61" s="342"/>
      <c r="Z61" s="342"/>
      <c r="AA61" s="342"/>
    </row>
    <row r="62" spans="1:27" x14ac:dyDescent="0.2">
      <c r="A62" s="283" t="s">
        <v>57</v>
      </c>
      <c r="B62" s="259" t="s">
        <v>141</v>
      </c>
      <c r="C62" s="259" t="s">
        <v>142</v>
      </c>
      <c r="D62" s="259" t="s">
        <v>143</v>
      </c>
      <c r="E62" s="259" t="s">
        <v>144</v>
      </c>
      <c r="F62" s="259" t="s">
        <v>145</v>
      </c>
      <c r="G62" s="259" t="s">
        <v>146</v>
      </c>
      <c r="H62" s="259" t="s">
        <v>147</v>
      </c>
      <c r="I62" s="259" t="s">
        <v>148</v>
      </c>
      <c r="J62" s="259" t="s">
        <v>149</v>
      </c>
      <c r="K62" s="283" t="s">
        <v>57</v>
      </c>
      <c r="L62" s="259" t="s">
        <v>158</v>
      </c>
      <c r="M62" s="259" t="s">
        <v>159</v>
      </c>
      <c r="N62" s="259" t="s">
        <v>160</v>
      </c>
      <c r="O62" s="259" t="s">
        <v>161</v>
      </c>
      <c r="P62" s="259" t="s">
        <v>162</v>
      </c>
      <c r="Q62" s="259" t="s">
        <v>163</v>
      </c>
      <c r="R62" s="259" t="s">
        <v>164</v>
      </c>
      <c r="S62" s="259" t="s">
        <v>165</v>
      </c>
      <c r="T62" s="283" t="s">
        <v>57</v>
      </c>
      <c r="U62" s="259" t="s">
        <v>169</v>
      </c>
      <c r="V62" s="259" t="s">
        <v>170</v>
      </c>
      <c r="W62" s="259" t="s">
        <v>171</v>
      </c>
      <c r="X62" s="259" t="s">
        <v>172</v>
      </c>
      <c r="Y62" s="259" t="s">
        <v>173</v>
      </c>
      <c r="Z62" s="259" t="s">
        <v>174</v>
      </c>
      <c r="AA62" s="259" t="s">
        <v>175</v>
      </c>
    </row>
    <row r="63" spans="1:27" x14ac:dyDescent="0.2">
      <c r="A63" s="283">
        <v>1</v>
      </c>
      <c r="B63" s="1">
        <f t="shared" ref="B63:J63" si="0">B3/B27</f>
        <v>-1.0181064096827501E-3</v>
      </c>
      <c r="C63" s="1">
        <f t="shared" si="0"/>
        <v>-1.4834802922987964E-4</v>
      </c>
      <c r="D63" s="1">
        <f t="shared" si="0"/>
        <v>8.2598730279862236E-4</v>
      </c>
      <c r="E63" s="165">
        <f t="shared" si="0"/>
        <v>1.4092778508017225E-3</v>
      </c>
      <c r="F63" s="165">
        <f t="shared" si="0"/>
        <v>1.7129573820747273E-3</v>
      </c>
      <c r="G63" s="1">
        <f t="shared" si="0"/>
        <v>1.8489062502372426E-3</v>
      </c>
      <c r="H63" s="1">
        <f t="shared" si="0"/>
        <v>1.8880451053666942E-3</v>
      </c>
      <c r="I63" s="1">
        <f t="shared" si="0"/>
        <v>1.8723626805010941E-3</v>
      </c>
      <c r="J63" s="1">
        <f t="shared" si="0"/>
        <v>1.8265087464716383E-3</v>
      </c>
      <c r="K63" s="283">
        <v>1</v>
      </c>
      <c r="L63" s="1">
        <f t="shared" ref="L63:S72" si="1">L3/L27</f>
        <v>9.0778415400348603E-3</v>
      </c>
      <c r="M63" s="1">
        <f t="shared" si="1"/>
        <v>3.9164874668727555E-3</v>
      </c>
      <c r="N63" s="1">
        <f t="shared" si="1"/>
        <v>1.8075945792219567E-3</v>
      </c>
      <c r="O63" s="1">
        <f t="shared" si="1"/>
        <v>8.4371264450413858E-4</v>
      </c>
      <c r="P63" s="1">
        <f t="shared" si="1"/>
        <v>3.6692840246797142E-4</v>
      </c>
      <c r="Q63" s="1">
        <f t="shared" si="1"/>
        <v>1.1764529542178136E-4</v>
      </c>
      <c r="R63" s="1">
        <f t="shared" si="1"/>
        <v>-1.7448565134778566E-5</v>
      </c>
      <c r="S63" s="1">
        <f t="shared" si="1"/>
        <v>-9.1908138305829125E-5</v>
      </c>
      <c r="T63" s="283">
        <v>1</v>
      </c>
      <c r="U63" s="1">
        <f t="shared" ref="U63:AA72" si="2">U3/U27</f>
        <v>3.0143711528642928E-2</v>
      </c>
      <c r="V63" s="1">
        <f t="shared" si="2"/>
        <v>2.1596501387809861E-2</v>
      </c>
      <c r="W63" s="1">
        <f t="shared" si="2"/>
        <v>1.6620975372911826E-2</v>
      </c>
      <c r="X63" s="1">
        <f t="shared" si="2"/>
        <v>1.3484957505163844E-2</v>
      </c>
      <c r="Y63" s="1">
        <f t="shared" si="2"/>
        <v>1.1379522577611715E-2</v>
      </c>
      <c r="Z63" s="1">
        <f t="shared" si="2"/>
        <v>9.8904981666349933E-3</v>
      </c>
      <c r="AA63" s="1">
        <f t="shared" si="2"/>
        <v>8.7901190128776181E-3</v>
      </c>
    </row>
    <row r="64" spans="1:27" x14ac:dyDescent="0.2">
      <c r="A64" s="283">
        <v>2</v>
      </c>
      <c r="B64" s="1">
        <f t="shared" ref="B64:J64" si="3">B4/B28</f>
        <v>-4.030949209854898E-3</v>
      </c>
      <c r="C64" s="1">
        <f t="shared" si="3"/>
        <v>-2.4657047735099108E-4</v>
      </c>
      <c r="D64" s="1">
        <f t="shared" si="3"/>
        <v>9.2001948748408663E-4</v>
      </c>
      <c r="E64" s="165">
        <f t="shared" si="3"/>
        <v>1.2016945031395776E-3</v>
      </c>
      <c r="F64" s="165">
        <f t="shared" si="3"/>
        <v>1.1946023652095843E-3</v>
      </c>
      <c r="G64" s="1">
        <f t="shared" si="3"/>
        <v>1.0975301871807511E-3</v>
      </c>
      <c r="H64" s="1">
        <f t="shared" si="3"/>
        <v>9.7982715609455672E-4</v>
      </c>
      <c r="I64" s="1">
        <f t="shared" si="3"/>
        <v>8.6586168884365496E-4</v>
      </c>
      <c r="J64" s="1">
        <f t="shared" si="3"/>
        <v>7.6345854391991427E-4</v>
      </c>
      <c r="K64" s="283">
        <v>2</v>
      </c>
      <c r="L64" s="1">
        <f t="shared" si="1"/>
        <v>-1.6675564668130729E-3</v>
      </c>
      <c r="M64" s="1">
        <f t="shared" si="1"/>
        <v>-2.7458795112832524E-3</v>
      </c>
      <c r="N64" s="1">
        <f t="shared" si="1"/>
        <v>-2.4259462494570522E-3</v>
      </c>
      <c r="O64" s="1">
        <f t="shared" si="1"/>
        <v>-1.9706841620733702E-3</v>
      </c>
      <c r="P64" s="1">
        <f t="shared" si="1"/>
        <v>-1.5890234122441654E-3</v>
      </c>
      <c r="Q64" s="1">
        <f t="shared" si="1"/>
        <v>-1.2960663966645788E-3</v>
      </c>
      <c r="R64" s="1">
        <f t="shared" si="1"/>
        <v>-1.0739694216161499E-3</v>
      </c>
      <c r="S64" s="1">
        <f t="shared" si="1"/>
        <v>-9.039818667629985E-4</v>
      </c>
      <c r="T64" s="283">
        <v>2</v>
      </c>
      <c r="U64" s="1">
        <f t="shared" si="2"/>
        <v>1.3277715189429128E-2</v>
      </c>
      <c r="V64" s="1">
        <f t="shared" si="2"/>
        <v>5.1122007922320134E-3</v>
      </c>
      <c r="W64" s="1">
        <f t="shared" si="2"/>
        <v>2.836598551447354E-3</v>
      </c>
      <c r="X64" s="1">
        <f t="shared" si="2"/>
        <v>1.7077262186318608E-3</v>
      </c>
      <c r="Y64" s="1">
        <f t="shared" si="2"/>
        <v>1.1015600766631176E-3</v>
      </c>
      <c r="Z64" s="1">
        <f t="shared" si="2"/>
        <v>7.5444898816395768E-4</v>
      </c>
      <c r="AA64" s="1">
        <f t="shared" si="2"/>
        <v>5.4453060906451117E-4</v>
      </c>
    </row>
    <row r="65" spans="1:27" x14ac:dyDescent="0.2">
      <c r="A65" s="283">
        <v>3</v>
      </c>
      <c r="B65" s="1">
        <f t="shared" ref="B65:J65" si="4">B5/B29</f>
        <v>-4.3394487614811543E-3</v>
      </c>
      <c r="C65" s="1">
        <f t="shared" si="4"/>
        <v>-1.7184653776563402E-4</v>
      </c>
      <c r="D65" s="1">
        <f t="shared" si="4"/>
        <v>4.7286614499067909E-4</v>
      </c>
      <c r="E65" s="165">
        <f t="shared" si="4"/>
        <v>4.8881509743798224E-4</v>
      </c>
      <c r="F65" s="165">
        <f t="shared" si="4"/>
        <v>4.0217314831761587E-4</v>
      </c>
      <c r="G65" s="1">
        <f t="shared" si="4"/>
        <v>3.1535768126136069E-4</v>
      </c>
      <c r="H65" s="1">
        <f t="shared" si="4"/>
        <v>2.4571754685684313E-4</v>
      </c>
      <c r="I65" s="1">
        <f t="shared" si="4"/>
        <v>1.9274042352501893E-4</v>
      </c>
      <c r="J65" s="1">
        <f t="shared" si="4"/>
        <v>1.5285265815316077E-4</v>
      </c>
      <c r="K65" s="283">
        <v>3</v>
      </c>
      <c r="L65" s="1">
        <f t="shared" si="1"/>
        <v>-3.1951831386588139E-3</v>
      </c>
      <c r="M65" s="1">
        <f t="shared" si="1"/>
        <v>-2.3842405355725084E-3</v>
      </c>
      <c r="N65" s="1">
        <f t="shared" si="1"/>
        <v>-1.5309261665182351E-3</v>
      </c>
      <c r="O65" s="1">
        <f t="shared" si="1"/>
        <v>-9.9660464356310157E-4</v>
      </c>
      <c r="P65" s="1">
        <f t="shared" si="1"/>
        <v>-6.7485951059909695E-4</v>
      </c>
      <c r="Q65" s="1">
        <f t="shared" si="1"/>
        <v>-4.7593660420117384E-4</v>
      </c>
      <c r="R65" s="1">
        <f t="shared" si="1"/>
        <v>-3.4802129828604783E-4</v>
      </c>
      <c r="S65" s="1">
        <f t="shared" si="1"/>
        <v>-2.6246047412733283E-4</v>
      </c>
      <c r="T65" s="283">
        <v>3</v>
      </c>
      <c r="U65" s="1">
        <f t="shared" si="2"/>
        <v>6.2295519569334993E-3</v>
      </c>
      <c r="V65" s="1">
        <f t="shared" si="2"/>
        <v>1.2261957931368676E-3</v>
      </c>
      <c r="W65" s="1">
        <f t="shared" si="2"/>
        <v>4.1425819386627717E-4</v>
      </c>
      <c r="X65" s="1">
        <f t="shared" si="2"/>
        <v>1.1961509344073338E-4</v>
      </c>
      <c r="Y65" s="1">
        <f t="shared" si="2"/>
        <v>8.7163428777308237E-6</v>
      </c>
      <c r="Z65" s="1">
        <f t="shared" si="2"/>
        <v>-3.1784785142576421E-5</v>
      </c>
      <c r="AA65" s="1">
        <f t="shared" si="2"/>
        <v>-4.4147990885238949E-5</v>
      </c>
    </row>
    <row r="66" spans="1:27" x14ac:dyDescent="0.2">
      <c r="A66" s="283">
        <v>4</v>
      </c>
      <c r="B66" s="1">
        <f t="shared" ref="B66:J66" si="5">B6/B30</f>
        <v>-3.6511684161078068E-3</v>
      </c>
      <c r="C66" s="1">
        <f t="shared" si="5"/>
        <v>-9.4627432611750067E-5</v>
      </c>
      <c r="D66" s="1">
        <f t="shared" si="5"/>
        <v>1.9133168690740407E-4</v>
      </c>
      <c r="E66" s="1">
        <f t="shared" si="5"/>
        <v>1.5587288542571738E-4</v>
      </c>
      <c r="F66" s="1">
        <f t="shared" si="5"/>
        <v>1.0576867173251614E-4</v>
      </c>
      <c r="G66" s="1">
        <f t="shared" si="5"/>
        <v>7.0584266399989959E-5</v>
      </c>
      <c r="H66" s="1">
        <f t="shared" si="5"/>
        <v>4.7886609752391884E-5</v>
      </c>
      <c r="I66" s="1">
        <f t="shared" si="5"/>
        <v>3.3274945475660932E-5</v>
      </c>
      <c r="J66" s="1">
        <f t="shared" si="5"/>
        <v>2.369350099885297E-5</v>
      </c>
      <c r="K66" s="283">
        <v>4</v>
      </c>
      <c r="L66" s="1">
        <f t="shared" si="1"/>
        <v>-2.3796105383104556E-3</v>
      </c>
      <c r="M66" s="1">
        <f t="shared" si="1"/>
        <v>-1.250930543566318E-3</v>
      </c>
      <c r="N66" s="1">
        <f t="shared" si="1"/>
        <v>-6.2934058333343086E-4</v>
      </c>
      <c r="O66" s="1">
        <f t="shared" si="1"/>
        <v>-3.3714221476740044E-4</v>
      </c>
      <c r="P66" s="1">
        <f t="shared" si="1"/>
        <v>-1.939868565090601E-4</v>
      </c>
      <c r="Q66" s="1">
        <f t="shared" si="1"/>
        <v>-1.1896426227230062E-4</v>
      </c>
      <c r="R66" s="1">
        <f t="shared" si="1"/>
        <v>-7.6981674970734958E-5</v>
      </c>
      <c r="S66" s="1">
        <f t="shared" si="1"/>
        <v>-5.2084203786987663E-5</v>
      </c>
      <c r="T66" s="283">
        <v>4</v>
      </c>
      <c r="U66" s="1">
        <f t="shared" si="2"/>
        <v>2.9932509285850516E-3</v>
      </c>
      <c r="V66" s="1">
        <f t="shared" si="2"/>
        <v>3.0378637596080639E-4</v>
      </c>
      <c r="W66" s="1">
        <f t="shared" si="2"/>
        <v>5.0586892472958159E-5</v>
      </c>
      <c r="X66" s="1">
        <f t="shared" si="2"/>
        <v>-1.2884812498332924E-5</v>
      </c>
      <c r="Y66" s="1">
        <f t="shared" si="2"/>
        <v>-2.56512854615966E-5</v>
      </c>
      <c r="Z66" s="1">
        <f t="shared" si="2"/>
        <v>-2.4700371135070431E-5</v>
      </c>
      <c r="AA66" s="1">
        <f t="shared" si="2"/>
        <v>-2.0610876432659487E-5</v>
      </c>
    </row>
    <row r="67" spans="1:27" x14ac:dyDescent="0.2">
      <c r="A67" s="283">
        <v>5</v>
      </c>
      <c r="B67" s="1">
        <f t="shared" ref="B67:J67" si="6">B7/B31</f>
        <v>-2.7336818926294E-3</v>
      </c>
      <c r="C67" s="1">
        <f t="shared" si="6"/>
        <v>-4.5985677460479067E-5</v>
      </c>
      <c r="D67" s="1">
        <f t="shared" si="6"/>
        <v>6.805564386250972E-5</v>
      </c>
      <c r="E67" s="1">
        <f t="shared" si="6"/>
        <v>4.3656595049520715E-5</v>
      </c>
      <c r="F67" s="1">
        <f t="shared" si="6"/>
        <v>2.4436925380254355E-5</v>
      </c>
      <c r="G67" s="1">
        <f t="shared" si="6"/>
        <v>1.3885726684699313E-5</v>
      </c>
      <c r="H67" s="1">
        <f t="shared" si="6"/>
        <v>8.2064502058066327E-6</v>
      </c>
      <c r="I67" s="1">
        <f t="shared" si="6"/>
        <v>5.0535077889180252E-6</v>
      </c>
      <c r="J67" s="1">
        <f t="shared" si="6"/>
        <v>3.231768873849243E-6</v>
      </c>
      <c r="K67" s="283">
        <v>5</v>
      </c>
      <c r="L67" s="1">
        <f t="shared" si="1"/>
        <v>-1.388663041623347E-3</v>
      </c>
      <c r="M67" s="1">
        <f t="shared" si="1"/>
        <v>-5.3847884181787171E-4</v>
      </c>
      <c r="N67" s="1">
        <f t="shared" si="1"/>
        <v>-2.1457878379701941E-4</v>
      </c>
      <c r="O67" s="1">
        <f t="shared" si="1"/>
        <v>-9.499994772330549E-5</v>
      </c>
      <c r="P67" s="1">
        <f t="shared" si="1"/>
        <v>-4.6543921363452904E-5</v>
      </c>
      <c r="Q67" s="1">
        <f t="shared" si="1"/>
        <v>-2.4849881402449106E-5</v>
      </c>
      <c r="R67" s="1">
        <f t="shared" si="1"/>
        <v>-1.4240089400761687E-5</v>
      </c>
      <c r="S67" s="1">
        <f t="shared" si="1"/>
        <v>-8.6472594739707947E-6</v>
      </c>
      <c r="T67" s="283">
        <v>5</v>
      </c>
      <c r="U67" s="1">
        <f t="shared" si="2"/>
        <v>1.4217832146331418E-3</v>
      </c>
      <c r="V67" s="1">
        <f t="shared" si="2"/>
        <v>7.7755345367062236E-5</v>
      </c>
      <c r="W67" s="1">
        <f t="shared" si="2"/>
        <v>4.7238785128715907E-6</v>
      </c>
      <c r="X67" s="1">
        <f t="shared" si="2"/>
        <v>-7.4477357329712269E-6</v>
      </c>
      <c r="Y67" s="1">
        <f t="shared" si="2"/>
        <v>-7.6474789872538585E-6</v>
      </c>
      <c r="Z67" s="1">
        <f t="shared" si="2"/>
        <v>-5.8886145423869198E-6</v>
      </c>
      <c r="AA67" s="1">
        <f t="shared" si="2"/>
        <v>-4.2331772663991489E-6</v>
      </c>
    </row>
    <row r="68" spans="1:27" x14ac:dyDescent="0.2">
      <c r="A68" s="283">
        <v>6</v>
      </c>
      <c r="B68" s="1">
        <f t="shared" ref="B68:J68" si="7">B8/B32</f>
        <v>-1.9035367939905269E-3</v>
      </c>
      <c r="C68" s="1">
        <f t="shared" si="7"/>
        <v>-2.062183481974886E-5</v>
      </c>
      <c r="D68" s="1">
        <f t="shared" si="7"/>
        <v>2.2334956888731473E-5</v>
      </c>
      <c r="E68" s="1">
        <f t="shared" si="7"/>
        <v>1.1301912896619839E-5</v>
      </c>
      <c r="F68" s="1">
        <f t="shared" si="7"/>
        <v>5.2280898591936458E-6</v>
      </c>
      <c r="G68" s="1">
        <f t="shared" si="7"/>
        <v>2.533150900303649E-6</v>
      </c>
      <c r="H68" s="1">
        <f t="shared" si="7"/>
        <v>1.3055507744261175E-6</v>
      </c>
      <c r="I68" s="1">
        <f t="shared" si="7"/>
        <v>7.1302386032075787E-7</v>
      </c>
      <c r="J68" s="1">
        <f t="shared" si="7"/>
        <v>4.0976080283959455E-7</v>
      </c>
      <c r="K68" s="283">
        <v>6</v>
      </c>
      <c r="L68" s="1">
        <f t="shared" si="1"/>
        <v>-7.1495948087899801E-4</v>
      </c>
      <c r="M68" s="1">
        <f t="shared" si="1"/>
        <v>-2.0700451038449178E-4</v>
      </c>
      <c r="N68" s="1">
        <f t="shared" si="1"/>
        <v>-6.559345119144756E-5</v>
      </c>
      <c r="O68" s="1">
        <f t="shared" si="1"/>
        <v>-2.4047431455524291E-5</v>
      </c>
      <c r="P68" s="1">
        <f t="shared" si="1"/>
        <v>-1.0043786315842403E-5</v>
      </c>
      <c r="Q68" s="1">
        <f t="shared" si="1"/>
        <v>-4.6719586716791773E-6</v>
      </c>
      <c r="R68" s="1">
        <f t="shared" si="1"/>
        <v>-2.3720244992345476E-6</v>
      </c>
      <c r="S68" s="1">
        <f t="shared" si="1"/>
        <v>-1.2932363588398596E-6</v>
      </c>
      <c r="T68" s="283">
        <v>6</v>
      </c>
      <c r="U68" s="1">
        <f t="shared" si="2"/>
        <v>6.5599936683969988E-4</v>
      </c>
      <c r="V68" s="1">
        <f t="shared" si="2"/>
        <v>2.0200049160463762E-5</v>
      </c>
      <c r="W68" s="1">
        <f t="shared" si="2"/>
        <v>1.5834047630674391E-7</v>
      </c>
      <c r="X68" s="1">
        <f t="shared" si="2"/>
        <v>-2.0097129058903588E-6</v>
      </c>
      <c r="Y68" s="1">
        <f t="shared" si="2"/>
        <v>-1.6264788817168753E-6</v>
      </c>
      <c r="Z68" s="1">
        <f t="shared" si="2"/>
        <v>-1.0802851613923737E-6</v>
      </c>
      <c r="AA68" s="1">
        <f t="shared" si="2"/>
        <v>-6.8954632747448101E-7</v>
      </c>
    </row>
    <row r="69" spans="1:27" x14ac:dyDescent="0.2">
      <c r="A69" s="283">
        <v>7</v>
      </c>
      <c r="B69" s="1">
        <f t="shared" ref="B69:J69" si="8">B9/B33</f>
        <v>-1.259103492448514E-3</v>
      </c>
      <c r="C69" s="1">
        <f t="shared" si="8"/>
        <v>-8.7451959592727006E-6</v>
      </c>
      <c r="D69" s="1">
        <f t="shared" si="8"/>
        <v>6.9470382872428217E-6</v>
      </c>
      <c r="E69" s="1">
        <f t="shared" si="8"/>
        <v>2.7800745348461004E-6</v>
      </c>
      <c r="F69" s="1">
        <f t="shared" si="8"/>
        <v>1.0648070941990236E-6</v>
      </c>
      <c r="G69" s="1">
        <f t="shared" si="8"/>
        <v>4.4051590582343905E-7</v>
      </c>
      <c r="H69" s="1">
        <f t="shared" si="8"/>
        <v>1.9816977956475167E-7</v>
      </c>
      <c r="I69" s="1">
        <f t="shared" si="8"/>
        <v>9.6049515900560418E-8</v>
      </c>
      <c r="J69" s="1">
        <f t="shared" si="8"/>
        <v>4.9624027187520449E-8</v>
      </c>
      <c r="K69" s="283">
        <v>7</v>
      </c>
      <c r="L69" s="1">
        <f t="shared" si="1"/>
        <v>-3.4013715450143195E-4</v>
      </c>
      <c r="M69" s="1">
        <f t="shared" si="1"/>
        <v>-7.3891336176417678E-5</v>
      </c>
      <c r="N69" s="1">
        <f t="shared" si="1"/>
        <v>-1.8661316140298838E-5</v>
      </c>
      <c r="O69" s="1">
        <f t="shared" si="1"/>
        <v>-5.6728389353263563E-6</v>
      </c>
      <c r="P69" s="1">
        <f t="shared" si="1"/>
        <v>-2.0214510418716183E-6</v>
      </c>
      <c r="Q69" s="1">
        <f t="shared" si="1"/>
        <v>-8.1963284198397528E-7</v>
      </c>
      <c r="R69" s="1">
        <f t="shared" si="1"/>
        <v>-3.6881625670981728E-7</v>
      </c>
      <c r="S69" s="1">
        <f t="shared" si="1"/>
        <v>-1.8057365182515368E-7</v>
      </c>
      <c r="T69" s="283">
        <v>7</v>
      </c>
      <c r="U69" s="1">
        <f t="shared" si="2"/>
        <v>2.9277491353406056E-4</v>
      </c>
      <c r="V69" s="1">
        <f t="shared" si="2"/>
        <v>5.2304534582316539E-6</v>
      </c>
      <c r="W69" s="1">
        <f t="shared" si="2"/>
        <v>-7.367103782932841E-8</v>
      </c>
      <c r="X69" s="1">
        <f t="shared" si="2"/>
        <v>-4.3983466454042282E-7</v>
      </c>
      <c r="Y69" s="1">
        <f t="shared" si="2"/>
        <v>-3.0015558044315389E-7</v>
      </c>
      <c r="Z69" s="1">
        <f t="shared" si="2"/>
        <v>-1.7521056010052011E-7</v>
      </c>
      <c r="AA69" s="1">
        <f t="shared" si="2"/>
        <v>-1.0014017449972501E-7</v>
      </c>
    </row>
    <row r="70" spans="1:27" x14ac:dyDescent="0.2">
      <c r="A70" s="283">
        <v>8</v>
      </c>
      <c r="B70" s="1">
        <f t="shared" ref="B70:J70" si="9">B10/B34</f>
        <v>-8.0098674830028779E-4</v>
      </c>
      <c r="C70" s="1">
        <f t="shared" si="9"/>
        <v>-3.5615602024904052E-6</v>
      </c>
      <c r="D70" s="1">
        <f t="shared" si="9"/>
        <v>2.0814416429074867E-6</v>
      </c>
      <c r="E70" s="1">
        <f t="shared" si="9"/>
        <v>6.6030645304825934E-7</v>
      </c>
      <c r="F70" s="1">
        <f t="shared" si="9"/>
        <v>2.0972741116998262E-7</v>
      </c>
      <c r="G70" s="1">
        <f t="shared" si="9"/>
        <v>7.4156904980287167E-8</v>
      </c>
      <c r="H70" s="1">
        <f t="shared" si="9"/>
        <v>2.9137709627137353E-8</v>
      </c>
      <c r="I70" s="1">
        <f t="shared" si="9"/>
        <v>1.2538683844763581E-8</v>
      </c>
      <c r="J70" s="1">
        <f t="shared" si="9"/>
        <v>5.8257251334232679E-9</v>
      </c>
      <c r="K70" s="283">
        <v>8</v>
      </c>
      <c r="L70" s="1">
        <f t="shared" si="1"/>
        <v>-1.531919846493167E-4</v>
      </c>
      <c r="M70" s="1">
        <f t="shared" si="1"/>
        <v>-2.5030833226414422E-5</v>
      </c>
      <c r="N70" s="1">
        <f t="shared" si="1"/>
        <v>-5.046363979507684E-6</v>
      </c>
      <c r="O70" s="1">
        <f t="shared" si="1"/>
        <v>-1.2731970354480466E-6</v>
      </c>
      <c r="P70" s="1">
        <f t="shared" si="1"/>
        <v>-3.8728282897727178E-7</v>
      </c>
      <c r="Q70" s="1">
        <f t="shared" si="1"/>
        <v>-1.3692383926265418E-7</v>
      </c>
      <c r="R70" s="1">
        <f t="shared" si="1"/>
        <v>-5.4616945369650132E-8</v>
      </c>
      <c r="S70" s="1">
        <f t="shared" si="1"/>
        <v>-2.4016723914200172E-8</v>
      </c>
      <c r="T70" s="283">
        <v>8</v>
      </c>
      <c r="U70" s="1">
        <f t="shared" si="2"/>
        <v>1.2665580095147082E-4</v>
      </c>
      <c r="V70" s="1">
        <f t="shared" si="2"/>
        <v>1.335469153131923E-6</v>
      </c>
      <c r="W70" s="1">
        <f t="shared" si="2"/>
        <v>-2.8041696930465487E-8</v>
      </c>
      <c r="X70" s="1">
        <f t="shared" si="2"/>
        <v>-8.7064970372699092E-8</v>
      </c>
      <c r="Y70" s="1">
        <f t="shared" si="2"/>
        <v>-5.119959033809824E-8</v>
      </c>
      <c r="Z70" s="1">
        <f t="shared" si="2"/>
        <v>-2.6444558966710068E-8</v>
      </c>
      <c r="AA70" s="1">
        <f t="shared" si="2"/>
        <v>-1.3576054553919683E-8</v>
      </c>
    </row>
    <row r="71" spans="1:27" x14ac:dyDescent="0.2">
      <c r="A71" s="283">
        <v>9</v>
      </c>
      <c r="B71" s="1">
        <f t="shared" ref="B71:J71" si="10">B11/B35</f>
        <v>-4.9410784589056888E-4</v>
      </c>
      <c r="C71" s="1">
        <f t="shared" si="10"/>
        <v>-1.4073963990429342E-6</v>
      </c>
      <c r="D71" s="1">
        <f t="shared" si="10"/>
        <v>6.0695787910656232E-7</v>
      </c>
      <c r="E71" s="1">
        <f t="shared" si="10"/>
        <v>1.5293465839633078E-7</v>
      </c>
      <c r="F71" s="1">
        <f t="shared" si="10"/>
        <v>4.0328281838247762E-8</v>
      </c>
      <c r="G71" s="1">
        <f t="shared" si="10"/>
        <v>1.2196021956594008E-8</v>
      </c>
      <c r="H71" s="1">
        <f t="shared" si="10"/>
        <v>4.1874124406753465E-9</v>
      </c>
      <c r="I71" s="1">
        <f t="shared" si="10"/>
        <v>1.6003323929330243E-9</v>
      </c>
      <c r="J71" s="1">
        <f t="shared" si="10"/>
        <v>6.6880060514340025E-10</v>
      </c>
      <c r="K71" s="283">
        <v>9</v>
      </c>
      <c r="L71" s="1">
        <f t="shared" si="1"/>
        <v>-6.6279579957098439E-5</v>
      </c>
      <c r="M71" s="1">
        <f t="shared" si="1"/>
        <v>-8.1559550661915317E-6</v>
      </c>
      <c r="N71" s="1">
        <f t="shared" si="1"/>
        <v>-1.3140549883834618E-6</v>
      </c>
      <c r="O71" s="1">
        <f t="shared" si="1"/>
        <v>-2.7535103725988945E-7</v>
      </c>
      <c r="P71" s="1">
        <f t="shared" si="1"/>
        <v>-7.1524687758383395E-8</v>
      </c>
      <c r="Q71" s="1">
        <f t="shared" si="1"/>
        <v>-2.2054449271726063E-8</v>
      </c>
      <c r="R71" s="1">
        <f t="shared" si="1"/>
        <v>-7.7993544923124611E-9</v>
      </c>
      <c r="S71" s="1">
        <f t="shared" si="1"/>
        <v>-3.0805090744359731E-9</v>
      </c>
      <c r="T71" s="283">
        <v>9</v>
      </c>
      <c r="U71" s="1">
        <f t="shared" si="2"/>
        <v>5.3325931270210532E-5</v>
      </c>
      <c r="V71" s="1">
        <f t="shared" si="2"/>
        <v>3.3485282891281098E-7</v>
      </c>
      <c r="W71" s="1">
        <f t="shared" si="2"/>
        <v>-7.2045994744059296E-9</v>
      </c>
      <c r="X71" s="1">
        <f t="shared" si="2"/>
        <v>-1.625369291553119E-8</v>
      </c>
      <c r="Y71" s="1">
        <f t="shared" si="2"/>
        <v>-8.3084732428610295E-9</v>
      </c>
      <c r="Z71" s="1">
        <f t="shared" si="2"/>
        <v>-3.8077120199195341E-9</v>
      </c>
      <c r="AA71" s="1">
        <f t="shared" si="2"/>
        <v>-1.7581652675187214E-9</v>
      </c>
    </row>
    <row r="72" spans="1:27" x14ac:dyDescent="0.2">
      <c r="A72" s="283">
        <v>10</v>
      </c>
      <c r="B72" s="1">
        <f t="shared" ref="B72:J72" si="11">B12/B36</f>
        <v>-2.9731104388748786E-4</v>
      </c>
      <c r="C72" s="1">
        <f t="shared" si="11"/>
        <v>-5.4349676801097733E-7</v>
      </c>
      <c r="D72" s="1">
        <f t="shared" si="11"/>
        <v>1.734333754192249E-7</v>
      </c>
      <c r="E72" s="1">
        <f t="shared" si="11"/>
        <v>3.4761172276610532E-8</v>
      </c>
      <c r="F72" s="1">
        <f t="shared" si="11"/>
        <v>7.6164636541500329E-9</v>
      </c>
      <c r="G72" s="1">
        <f t="shared" si="11"/>
        <v>1.9710084409689989E-9</v>
      </c>
      <c r="H72" s="1">
        <f t="shared" si="11"/>
        <v>5.9152673495554913E-10</v>
      </c>
      <c r="I72" s="1">
        <f t="shared" si="11"/>
        <v>2.0081428674140085E-10</v>
      </c>
      <c r="J72" s="1">
        <f t="shared" si="11"/>
        <v>7.5496780036183879E-11</v>
      </c>
      <c r="K72" s="283">
        <v>10</v>
      </c>
      <c r="L72" s="1">
        <f t="shared" si="1"/>
        <v>-2.7812083158347539E-5</v>
      </c>
      <c r="M72" s="1">
        <f t="shared" si="1"/>
        <v>-2.5789877481680389E-6</v>
      </c>
      <c r="N72" s="1">
        <f t="shared" si="1"/>
        <v>-3.3232568224766647E-7</v>
      </c>
      <c r="O72" s="1">
        <f t="shared" si="1"/>
        <v>-5.7865288910379803E-8</v>
      </c>
      <c r="P72" s="1">
        <f t="shared" si="1"/>
        <v>-1.2839507262154075E-8</v>
      </c>
      <c r="Q72" s="1">
        <f t="shared" si="1"/>
        <v>-3.4533901138021221E-9</v>
      </c>
      <c r="R72" s="1">
        <f t="shared" si="1"/>
        <v>-1.0828309413014909E-9</v>
      </c>
      <c r="S72" s="1">
        <f t="shared" si="1"/>
        <v>-3.8417155961609286E-10</v>
      </c>
      <c r="T72" s="283">
        <v>10</v>
      </c>
      <c r="U72" s="1">
        <f t="shared" si="2"/>
        <v>2.1942454060212028E-5</v>
      </c>
      <c r="V72" s="1">
        <f t="shared" si="2"/>
        <v>8.2423958590416948E-8</v>
      </c>
      <c r="W72" s="1">
        <f t="shared" si="2"/>
        <v>-1.619401766516824E-9</v>
      </c>
      <c r="X72" s="1">
        <f t="shared" si="2"/>
        <v>-2.9203728492784466E-9</v>
      </c>
      <c r="Y72" s="1">
        <f t="shared" si="2"/>
        <v>-1.3026127211549456E-9</v>
      </c>
      <c r="Z72" s="1">
        <f t="shared" si="2"/>
        <v>-5.3034965115283306E-10</v>
      </c>
      <c r="AA72" s="1">
        <f t="shared" si="2"/>
        <v>-2.2037353431945379E-10</v>
      </c>
    </row>
  </sheetData>
  <sheetProtection sheet="1" objects="1" scenarios="1"/>
  <mergeCells count="18">
    <mergeCell ref="B49:J49"/>
    <mergeCell ref="L49:S49"/>
    <mergeCell ref="U49:AA49"/>
    <mergeCell ref="B61:J61"/>
    <mergeCell ref="L61:S61"/>
    <mergeCell ref="U61:AA61"/>
    <mergeCell ref="B25:J25"/>
    <mergeCell ref="L25:S25"/>
    <mergeCell ref="U25:AA25"/>
    <mergeCell ref="B37:J37"/>
    <mergeCell ref="L37:S37"/>
    <mergeCell ref="U37:AA37"/>
    <mergeCell ref="B1:J1"/>
    <mergeCell ref="L1:S1"/>
    <mergeCell ref="U1:AA1"/>
    <mergeCell ref="B13:J13"/>
    <mergeCell ref="L13:S13"/>
    <mergeCell ref="U13:AA13"/>
  </mergeCells>
  <conditionalFormatting sqref="B15:J24">
    <cfRule type="colorScale" priority="1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27:J36">
    <cfRule type="colorScale" priority="1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1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1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6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7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18" priority="10" operator="lessThanOrEqual">
      <formula>0</formula>
    </cfRule>
    <cfRule type="colorScale" priority="1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17" priority="8" operator="lessThanOrEqual">
      <formula>0</formula>
    </cfRule>
    <cfRule type="colorScale" priority="1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16" priority="6" operator="lessThanOrEqual">
      <formula>0</formula>
    </cfRule>
    <cfRule type="colorScale" priority="2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2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2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15" priority="9" operator="lessThanOrEqual">
      <formula>0</formula>
    </cfRule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14" priority="7" operator="lessThanOrEqual">
      <formula>0</formula>
    </cfRule>
    <cfRule type="colorScale" priority="2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2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113" priority="3" operator="equal">
      <formula>MAX($B$63:$J$72)</formula>
    </cfRule>
    <cfRule type="colorScale" priority="26">
      <colorScale>
        <cfvo type="num" val="0"/>
        <cfvo type="percentile" val="50"/>
        <cfvo type="num" val="MAX($B$64:$J$72)"/>
        <color rgb="FFFF0000"/>
        <color rgb="FFFFEB84"/>
        <color rgb="FF00B050"/>
      </colorScale>
    </cfRule>
  </conditionalFormatting>
  <conditionalFormatting sqref="L63:S72">
    <cfRule type="colorScale" priority="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ellIs" dxfId="112" priority="1" stopIfTrue="1" operator="lessThan">
      <formula>0</formula>
    </cfRule>
    <cfRule type="colorScale" priority="2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6"/>
  <sheetViews>
    <sheetView tabSelected="1" view="pageLayout" zoomScale="90" zoomScaleNormal="70" zoomScaleSheetLayoutView="75" zoomScalePageLayoutView="90" workbookViewId="0">
      <selection sqref="A1:S1"/>
    </sheetView>
  </sheetViews>
  <sheetFormatPr baseColWidth="10" defaultColWidth="11" defaultRowHeight="16" x14ac:dyDescent="0.2"/>
  <cols>
    <col min="1" max="1" width="5.83203125" style="31" bestFit="1" customWidth="1"/>
    <col min="2" max="11" width="3.6640625" customWidth="1"/>
    <col min="12" max="12" width="4.83203125" customWidth="1"/>
    <col min="13" max="13" width="6.83203125" customWidth="1"/>
    <col min="14" max="22" width="7.83203125" customWidth="1"/>
    <col min="23" max="23" width="5.33203125" customWidth="1"/>
    <col min="24" max="34" width="6.5" customWidth="1"/>
  </cols>
  <sheetData>
    <row r="1" spans="1:34" ht="21" x14ac:dyDescent="0.25">
      <c r="A1" s="346" t="str">
        <f>Rules!B18</f>
        <v>20191125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 t="str">
        <f>Rules!B19</f>
        <v>Best Methods</v>
      </c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</row>
    <row r="2" spans="1:34" ht="21" x14ac:dyDescent="0.25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</row>
    <row r="3" spans="1:34" ht="21" x14ac:dyDescent="0.25">
      <c r="A3" s="344" t="s">
        <v>197</v>
      </c>
      <c r="B3" s="344"/>
      <c r="C3" s="344"/>
      <c r="D3" s="344"/>
      <c r="E3" s="345">
        <f>'WL Prob'!P15</f>
        <v>0.41745743785701095</v>
      </c>
      <c r="F3" s="345"/>
      <c r="G3" s="345"/>
      <c r="H3" s="344" t="s">
        <v>198</v>
      </c>
      <c r="I3" s="344"/>
      <c r="J3" s="344"/>
      <c r="K3" s="344"/>
      <c r="L3" s="344"/>
      <c r="M3" s="345">
        <f>'WL Prob'!R15</f>
        <v>0.58254256214298905</v>
      </c>
      <c r="N3" s="345"/>
      <c r="O3" s="344" t="s">
        <v>199</v>
      </c>
      <c r="P3" s="344"/>
      <c r="Q3" s="344"/>
      <c r="R3" s="343">
        <f>Analysis!K2</f>
        <v>-3.2215330709750023E-2</v>
      </c>
      <c r="S3" s="343"/>
      <c r="T3" s="344" t="s">
        <v>209</v>
      </c>
      <c r="U3" s="344"/>
      <c r="V3" s="365">
        <f>Analysis!I2</f>
        <v>-0.2176774987560795</v>
      </c>
      <c r="W3" s="366"/>
      <c r="X3" s="367"/>
      <c r="Y3" s="347" t="s">
        <v>208</v>
      </c>
      <c r="Z3" s="364"/>
      <c r="AA3" s="348"/>
      <c r="AB3" s="343">
        <f>Analysis!G2</f>
        <v>0.18546216804632948</v>
      </c>
      <c r="AC3" s="343"/>
      <c r="AD3" s="344" t="s">
        <v>185</v>
      </c>
      <c r="AE3" s="344"/>
      <c r="AF3" s="344"/>
      <c r="AG3" s="343" t="s">
        <v>207</v>
      </c>
      <c r="AH3" s="343"/>
    </row>
    <row r="4" spans="1:34" ht="21" x14ac:dyDescent="0.25">
      <c r="A4" s="344" t="s">
        <v>63</v>
      </c>
      <c r="B4" s="344"/>
      <c r="C4" s="344"/>
      <c r="D4" s="344"/>
      <c r="E4" s="343" t="str">
        <f>Rules!B3</f>
        <v>Pay 3 to 2</v>
      </c>
      <c r="F4" s="343"/>
      <c r="G4" s="343"/>
      <c r="H4" s="343"/>
      <c r="I4" s="344" t="s">
        <v>186</v>
      </c>
      <c r="J4" s="344"/>
      <c r="K4" s="344"/>
      <c r="L4" s="343" t="str">
        <f>Rules!B4</f>
        <v>Stand</v>
      </c>
      <c r="M4" s="343"/>
      <c r="N4" s="349" t="s">
        <v>54</v>
      </c>
      <c r="O4" s="349"/>
      <c r="P4" s="343" t="str">
        <f>Rules!B6</f>
        <v>9,10,11</v>
      </c>
      <c r="Q4" s="343"/>
      <c r="R4" s="344" t="s">
        <v>187</v>
      </c>
      <c r="S4" s="344"/>
      <c r="T4" s="344"/>
      <c r="U4" s="239" t="str">
        <f>Rules!B7</f>
        <v>No</v>
      </c>
      <c r="V4" s="344" t="s">
        <v>73</v>
      </c>
      <c r="W4" s="344"/>
      <c r="X4" s="344"/>
      <c r="Y4" s="344"/>
      <c r="Z4" s="239" t="str">
        <f>Rules!B9</f>
        <v>No</v>
      </c>
      <c r="AA4" s="238" t="s">
        <v>50</v>
      </c>
      <c r="AB4" s="343" t="str">
        <f>Rules!B10</f>
        <v>European</v>
      </c>
      <c r="AC4" s="343"/>
      <c r="AD4" s="344" t="s">
        <v>188</v>
      </c>
      <c r="AE4" s="344"/>
      <c r="AF4" s="239">
        <f>Rules!B11</f>
        <v>2</v>
      </c>
      <c r="AG4" s="347"/>
      <c r="AH4" s="348"/>
    </row>
    <row r="5" spans="1:34" ht="21" x14ac:dyDescent="0.25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2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</row>
    <row r="6" spans="1:34" x14ac:dyDescent="0.2">
      <c r="A6" s="350" t="str">
        <f>Rules!L2</f>
        <v>My Basic Strategy</v>
      </c>
      <c r="B6" s="350"/>
      <c r="C6" s="350"/>
      <c r="D6" s="350"/>
      <c r="E6" s="350"/>
      <c r="F6" s="350"/>
      <c r="G6" s="350"/>
      <c r="H6" s="350"/>
      <c r="I6" s="350"/>
      <c r="J6" s="350"/>
      <c r="K6" s="350"/>
      <c r="M6" s="292" t="s">
        <v>177</v>
      </c>
      <c r="N6" s="293"/>
      <c r="O6" s="293"/>
      <c r="P6" s="293"/>
      <c r="Q6" s="293"/>
      <c r="R6" s="293"/>
      <c r="S6" s="293"/>
      <c r="T6" s="293"/>
      <c r="U6" s="293"/>
      <c r="V6" s="294"/>
      <c r="X6" s="292" t="s">
        <v>152</v>
      </c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160" t="str">
        <f>Rules!L3</f>
        <v>Hard</v>
      </c>
      <c r="B7" s="48" t="str">
        <f>Rules!M3</f>
        <v>A</v>
      </c>
      <c r="C7" s="48">
        <f>Rules!N3</f>
        <v>2</v>
      </c>
      <c r="D7" s="48">
        <f>Rules!O3</f>
        <v>3</v>
      </c>
      <c r="E7" s="48">
        <f>Rules!P3</f>
        <v>4</v>
      </c>
      <c r="F7" s="48">
        <f>Rules!Q3</f>
        <v>5</v>
      </c>
      <c r="G7" s="48">
        <f>Rules!R3</f>
        <v>6</v>
      </c>
      <c r="H7" s="48">
        <f>Rules!S3</f>
        <v>7</v>
      </c>
      <c r="I7" s="48">
        <f>Rules!T3</f>
        <v>8</v>
      </c>
      <c r="J7" s="48">
        <f>Rules!U3</f>
        <v>9</v>
      </c>
      <c r="K7" s="48">
        <f>Rules!V3</f>
        <v>10</v>
      </c>
      <c r="M7" s="163" t="s">
        <v>134</v>
      </c>
      <c r="N7" s="163" t="str">
        <f>'Strategy Summary'!B2</f>
        <v>1x2</v>
      </c>
      <c r="O7" s="163" t="str">
        <f>'Strategy Summary'!C2</f>
        <v>1x3</v>
      </c>
      <c r="P7" s="163" t="str">
        <f>'Strategy Summary'!D2</f>
        <v>1x4</v>
      </c>
      <c r="Q7" s="163" t="str">
        <f>'Strategy Summary'!E2</f>
        <v>1x5</v>
      </c>
      <c r="R7" s="163" t="str">
        <f>'Strategy Summary'!F2</f>
        <v>1x6</v>
      </c>
      <c r="S7" s="163" t="str">
        <f>'Strategy Summary'!G2</f>
        <v>1x7</v>
      </c>
      <c r="T7" s="163" t="str">
        <f>'Strategy Summary'!H2</f>
        <v>1x8</v>
      </c>
      <c r="U7" s="163" t="str">
        <f>'Strategy Summary'!I2</f>
        <v>1x9</v>
      </c>
      <c r="V7" s="163" t="str">
        <f>'Strategy Summary'!J2</f>
        <v>1x10</v>
      </c>
      <c r="X7" s="234" t="str">
        <f>ER!A2</f>
        <v>Hard</v>
      </c>
      <c r="Y7" s="235" t="str">
        <f>ER!B2</f>
        <v>Ace</v>
      </c>
      <c r="Z7" s="235">
        <f>ER!C2</f>
        <v>2</v>
      </c>
      <c r="AA7" s="235">
        <f>ER!D2</f>
        <v>3</v>
      </c>
      <c r="AB7" s="235">
        <f>ER!E2</f>
        <v>4</v>
      </c>
      <c r="AC7" s="235">
        <f>ER!F2</f>
        <v>5</v>
      </c>
      <c r="AD7" s="235">
        <f>ER!G2</f>
        <v>6</v>
      </c>
      <c r="AE7" s="235">
        <f>ER!H2</f>
        <v>7</v>
      </c>
      <c r="AF7" s="235">
        <f>ER!I2</f>
        <v>8</v>
      </c>
      <c r="AG7" s="236">
        <f>ER!J2</f>
        <v>9</v>
      </c>
      <c r="AH7" s="164">
        <f>ER!K2</f>
        <v>10</v>
      </c>
    </row>
    <row r="8" spans="1:34" x14ac:dyDescent="0.2">
      <c r="A8" s="160" t="str">
        <f>Rules!L4</f>
        <v>5-8</v>
      </c>
      <c r="B8" s="49" t="str">
        <f>Rules!M4</f>
        <v>H</v>
      </c>
      <c r="C8" s="49" t="str">
        <f>Rules!N4</f>
        <v>H</v>
      </c>
      <c r="D8" s="49" t="str">
        <f>Rules!O4</f>
        <v>H</v>
      </c>
      <c r="E8" s="49" t="str">
        <f>Rules!P4</f>
        <v>H</v>
      </c>
      <c r="F8" s="49" t="str">
        <f>Rules!Q4</f>
        <v>H</v>
      </c>
      <c r="G8" s="49" t="str">
        <f>Rules!R4</f>
        <v>H</v>
      </c>
      <c r="H8" s="49" t="str">
        <f>Rules!S4</f>
        <v>H</v>
      </c>
      <c r="I8" s="49" t="str">
        <f>Rules!T4</f>
        <v>H</v>
      </c>
      <c r="J8" s="49" t="str">
        <f>Rules!U4</f>
        <v>H</v>
      </c>
      <c r="K8" s="49" t="str">
        <f>Rules!V4</f>
        <v>H</v>
      </c>
      <c r="M8" s="163">
        <v>1</v>
      </c>
      <c r="N8" s="1">
        <f>'Strategy Summary'!B3</f>
        <v>-2.9596695884589019E-2</v>
      </c>
      <c r="O8" s="1">
        <f>'Strategy Summary'!C3</f>
        <v>-3.8662174848585751E-3</v>
      </c>
      <c r="P8" s="1">
        <f>'Strategy Summary'!D3</f>
        <v>2.7427234041654674E-2</v>
      </c>
      <c r="Q8" s="1">
        <f>'Strategy Summary'!E3</f>
        <v>6.1371620377175917E-2</v>
      </c>
      <c r="R8" s="1">
        <f>'Strategy Summary'!F3</f>
        <v>9.6619051618230756E-2</v>
      </c>
      <c r="S8" s="1">
        <f>'Strategy Summary'!G3</f>
        <v>0.13244923426163047</v>
      </c>
      <c r="T8" s="1">
        <f>'Strategy Summary'!H3</f>
        <v>0.16845137301710694</v>
      </c>
      <c r="U8" s="1">
        <f>'Strategy Summary'!I3</f>
        <v>0.20438968803748819</v>
      </c>
      <c r="V8" s="1">
        <f>'Strategy Summary'!J3</f>
        <v>0.24013547371678878</v>
      </c>
      <c r="X8" s="164">
        <f>ER!A3</f>
        <v>5</v>
      </c>
      <c r="Y8" s="34">
        <f>ER!B3</f>
        <v>-0.40632230211141912</v>
      </c>
      <c r="Z8" s="34">
        <f>ER!C3</f>
        <v>-0.12821556706374745</v>
      </c>
      <c r="AA8" s="34">
        <f>ER!D3</f>
        <v>-9.5310227261489883E-2</v>
      </c>
      <c r="AB8" s="34">
        <f>ER!E3</f>
        <v>-6.1479464199694238E-2</v>
      </c>
      <c r="AC8" s="34">
        <f>ER!F3</f>
        <v>-2.397897039185962E-2</v>
      </c>
      <c r="AD8" s="34">
        <f>ER!G3</f>
        <v>-1.1863378384401623E-3</v>
      </c>
      <c r="AE8" s="34">
        <f>ER!H3</f>
        <v>-0.11944744188414852</v>
      </c>
      <c r="AF8" s="34">
        <f>ER!I3</f>
        <v>-0.18809330390318518</v>
      </c>
      <c r="AG8" s="34">
        <f>ER!J3</f>
        <v>-0.26661505335795899</v>
      </c>
      <c r="AH8" s="34">
        <f>ER!K3</f>
        <v>-0.3577434525808979</v>
      </c>
    </row>
    <row r="9" spans="1:34" x14ac:dyDescent="0.2">
      <c r="A9" s="160">
        <f>Rules!L5</f>
        <v>9</v>
      </c>
      <c r="B9" s="49" t="str">
        <f>Rules!M5</f>
        <v>H</v>
      </c>
      <c r="C9" s="49" t="str">
        <f>Rules!N5</f>
        <v>H</v>
      </c>
      <c r="D9" s="49" t="str">
        <f>Rules!O5</f>
        <v>D</v>
      </c>
      <c r="E9" s="49" t="str">
        <f>Rules!P5</f>
        <v>D</v>
      </c>
      <c r="F9" s="49" t="str">
        <f>Rules!Q5</f>
        <v>D</v>
      </c>
      <c r="G9" s="49" t="str">
        <f>Rules!R5</f>
        <v>D</v>
      </c>
      <c r="H9" s="49" t="str">
        <f>Rules!S5</f>
        <v>H</v>
      </c>
      <c r="I9" s="49" t="str">
        <f>Rules!T5</f>
        <v>H</v>
      </c>
      <c r="J9" s="49" t="str">
        <f>Rules!U5</f>
        <v>H</v>
      </c>
      <c r="K9" s="49" t="str">
        <f>Rules!V5</f>
        <v>H</v>
      </c>
      <c r="M9" s="163">
        <f>'Strategy Summary'!A4</f>
        <v>2</v>
      </c>
      <c r="N9" s="1">
        <f>'Strategy Summary'!B4</f>
        <v>-8.6551687971514329E-2</v>
      </c>
      <c r="O9" s="1">
        <f>'Strategy Summary'!C4</f>
        <v>-1.0881321796344684E-2</v>
      </c>
      <c r="P9" s="1">
        <f>'Strategy Summary'!D4</f>
        <v>7.5327031488404056E-2</v>
      </c>
      <c r="Q9" s="1">
        <f>'Strategy Summary'!E4</f>
        <v>0.16588869090898117</v>
      </c>
      <c r="R9" s="1">
        <f>'Strategy Summary'!F4</f>
        <v>0.25840070038185703</v>
      </c>
      <c r="S9" s="1">
        <f>'Strategy Summary'!G4</f>
        <v>0.35167105259605869</v>
      </c>
      <c r="T9" s="1">
        <f>'Strategy Summary'!H4</f>
        <v>0.44503107196523023</v>
      </c>
      <c r="U9" s="1">
        <f>'Strategy Summary'!I4</f>
        <v>0.53809525008226577</v>
      </c>
      <c r="V9" s="1">
        <f>'Strategy Summary'!J4</f>
        <v>0.63065327399123661</v>
      </c>
      <c r="X9" s="164">
        <f>ER!A4</f>
        <v>6</v>
      </c>
      <c r="Y9" s="34">
        <f>ER!B4</f>
        <v>-0.41968690347101079</v>
      </c>
      <c r="Z9" s="34">
        <f>ER!C4</f>
        <v>-0.14075911746001987</v>
      </c>
      <c r="AA9" s="34">
        <f>ER!D4</f>
        <v>-0.10729107800860835</v>
      </c>
      <c r="AB9" s="34">
        <f>ER!E4</f>
        <v>-7.2917141926387305E-2</v>
      </c>
      <c r="AC9" s="34">
        <f>ER!F4</f>
        <v>-3.4915973330102178E-2</v>
      </c>
      <c r="AD9" s="34">
        <f>ER!G4</f>
        <v>-1.3005835529874294E-2</v>
      </c>
      <c r="AE9" s="34">
        <f>ER!H4</f>
        <v>-0.15193270723669944</v>
      </c>
      <c r="AF9" s="34">
        <f>ER!I4</f>
        <v>-0.21724188132078476</v>
      </c>
      <c r="AG9" s="34">
        <f>ER!J4</f>
        <v>-0.29264070019772598</v>
      </c>
      <c r="AH9" s="34">
        <f>ER!K4</f>
        <v>-0.38050766229289529</v>
      </c>
    </row>
    <row r="10" spans="1:34" x14ac:dyDescent="0.2">
      <c r="A10" s="160">
        <f>Rules!L6</f>
        <v>10</v>
      </c>
      <c r="B10" s="49" t="str">
        <f>Rules!M6</f>
        <v>H</v>
      </c>
      <c r="C10" s="49" t="str">
        <f>Rules!N6</f>
        <v>D</v>
      </c>
      <c r="D10" s="49" t="str">
        <f>Rules!O6</f>
        <v>D</v>
      </c>
      <c r="E10" s="49" t="str">
        <f>Rules!P6</f>
        <v>D</v>
      </c>
      <c r="F10" s="49" t="str">
        <f>Rules!Q6</f>
        <v>D</v>
      </c>
      <c r="G10" s="49" t="str">
        <f>Rules!R6</f>
        <v>D</v>
      </c>
      <c r="H10" s="49" t="str">
        <f>Rules!S6</f>
        <v>D</v>
      </c>
      <c r="I10" s="49" t="str">
        <f>Rules!T6</f>
        <v>D</v>
      </c>
      <c r="J10" s="49" t="str">
        <f>Rules!U6</f>
        <v>D</v>
      </c>
      <c r="K10" s="49" t="str">
        <f>Rules!V6</f>
        <v>H</v>
      </c>
      <c r="M10" s="163">
        <f>'Strategy Summary'!A5</f>
        <v>3</v>
      </c>
      <c r="N10" s="1">
        <f>'Strategy Summary'!B5</f>
        <v>-0.16867375129726578</v>
      </c>
      <c r="O10" s="1">
        <f>'Strategy Summary'!C5</f>
        <v>-2.0400194984254244E-2</v>
      </c>
      <c r="P10" s="1">
        <f>'Strategy Summary'!D5</f>
        <v>0.13790132922084994</v>
      </c>
      <c r="Q10" s="1">
        <f>'Strategy Summary'!E5</f>
        <v>0.2991911554204737</v>
      </c>
      <c r="R10" s="1">
        <f>'Strategy Summary'!F5</f>
        <v>0.4615474469477876</v>
      </c>
      <c r="S10" s="1">
        <f>'Strategy Summary'!G5</f>
        <v>0.62409554833567327</v>
      </c>
      <c r="T10" s="1">
        <f>'Strategy Summary'!H5</f>
        <v>0.78630821005810847</v>
      </c>
      <c r="U10" s="1">
        <f>'Strategy Summary'!I5</f>
        <v>0.94785224375241506</v>
      </c>
      <c r="V10" s="1">
        <f>'Strategy Summary'!J5</f>
        <v>1.1085361873026871</v>
      </c>
      <c r="X10" s="164">
        <f>ER!A5</f>
        <v>7</v>
      </c>
      <c r="Y10" s="34">
        <f>ER!B5</f>
        <v>-0.39971038372569095</v>
      </c>
      <c r="Z10" s="34">
        <f>ER!C5</f>
        <v>-0.10918342786661633</v>
      </c>
      <c r="AA10" s="34">
        <f>ER!D5</f>
        <v>-7.6582981904463582E-2</v>
      </c>
      <c r="AB10" s="34">
        <f>ER!E5</f>
        <v>-4.3021794004341876E-2</v>
      </c>
      <c r="AC10" s="34">
        <f>ER!F5</f>
        <v>-7.2713609029408845E-3</v>
      </c>
      <c r="AD10" s="34">
        <f>ER!G5</f>
        <v>2.9185342353860864E-2</v>
      </c>
      <c r="AE10" s="34">
        <f>ER!H5</f>
        <v>-6.8807799580427764E-2</v>
      </c>
      <c r="AF10" s="34">
        <f>ER!I5</f>
        <v>-0.21060476872434966</v>
      </c>
      <c r="AG10" s="34">
        <f>ER!J5</f>
        <v>-0.28536544048687662</v>
      </c>
      <c r="AH10" s="34">
        <f>ER!K5</f>
        <v>-0.36507789921394679</v>
      </c>
    </row>
    <row r="11" spans="1:34" x14ac:dyDescent="0.2">
      <c r="A11" s="160">
        <f>Rules!L7</f>
        <v>11</v>
      </c>
      <c r="B11" s="49" t="str">
        <f>Rules!M7</f>
        <v>H</v>
      </c>
      <c r="C11" s="49" t="str">
        <f>Rules!N7</f>
        <v>D</v>
      </c>
      <c r="D11" s="49" t="str">
        <f>Rules!O7</f>
        <v>D</v>
      </c>
      <c r="E11" s="49" t="str">
        <f>Rules!P7</f>
        <v>D</v>
      </c>
      <c r="F11" s="49" t="str">
        <f>Rules!Q7</f>
        <v>D</v>
      </c>
      <c r="G11" s="49" t="str">
        <f>Rules!R7</f>
        <v>D</v>
      </c>
      <c r="H11" s="49" t="str">
        <f>Rules!S7</f>
        <v>D</v>
      </c>
      <c r="I11" s="49" t="str">
        <f>Rules!T7</f>
        <v>D</v>
      </c>
      <c r="J11" s="49" t="str">
        <f>Rules!U7</f>
        <v>D</v>
      </c>
      <c r="K11" s="49" t="str">
        <f>Rules!V7</f>
        <v>H</v>
      </c>
      <c r="M11" s="163">
        <f>'Strategy Summary'!A6</f>
        <v>4</v>
      </c>
      <c r="N11" s="1">
        <f>'Strategy Summary'!B6</f>
        <v>-0.27383573533530148</v>
      </c>
      <c r="O11" s="1">
        <f>'Strategy Summary'!C6</f>
        <v>-3.1864893556236146E-2</v>
      </c>
      <c r="P11" s="1">
        <f>'Strategy Summary'!D6</f>
        <v>0.21061277908064843</v>
      </c>
      <c r="Q11" s="1">
        <f>'Strategy Summary'!E6</f>
        <v>0.45083094173320881</v>
      </c>
      <c r="R11" s="1">
        <f>'Strategy Summary'!F6</f>
        <v>0.68961434976223523</v>
      </c>
      <c r="S11" s="1">
        <f>'Strategy Summary'!G6</f>
        <v>0.92735207221246507</v>
      </c>
      <c r="T11" s="1">
        <f>'Strategy Summary'!H6</f>
        <v>1.1640738554326027</v>
      </c>
      <c r="U11" s="1">
        <f>'Strategy Summary'!I6</f>
        <v>1.3996878125411412</v>
      </c>
      <c r="V11" s="1">
        <f>'Strategy Summary'!J6</f>
        <v>1.6341065890551658</v>
      </c>
      <c r="X11" s="164">
        <f>ER!A6</f>
        <v>8</v>
      </c>
      <c r="Y11" s="34">
        <f>ER!B6</f>
        <v>-0.33034033459070061</v>
      </c>
      <c r="Z11" s="34">
        <f>ER!C6</f>
        <v>-2.1798188008805671E-2</v>
      </c>
      <c r="AA11" s="34">
        <f>ER!D6</f>
        <v>8.0052625306546912E-3</v>
      </c>
      <c r="AB11" s="34">
        <f>ER!E6</f>
        <v>3.8784473277208804E-2</v>
      </c>
      <c r="AC11" s="34">
        <f>ER!F6</f>
        <v>7.0804635983033826E-2</v>
      </c>
      <c r="AD11" s="34">
        <f>ER!G6</f>
        <v>0.11496015009622321</v>
      </c>
      <c r="AE11" s="34">
        <f>ER!H6</f>
        <v>8.2207439363742862E-2</v>
      </c>
      <c r="AF11" s="34">
        <f>ER!I6</f>
        <v>-5.989827565865629E-2</v>
      </c>
      <c r="AG11" s="34">
        <f>ER!J6</f>
        <v>-0.2101863319982176</v>
      </c>
      <c r="AH11" s="34">
        <f>ER!K6</f>
        <v>-0.30177738614031369</v>
      </c>
    </row>
    <row r="12" spans="1:34" x14ac:dyDescent="0.2">
      <c r="A12" s="160">
        <f>Rules!L8</f>
        <v>12</v>
      </c>
      <c r="B12" s="49" t="str">
        <f>Rules!M8</f>
        <v>H</v>
      </c>
      <c r="C12" s="49" t="str">
        <f>Rules!N8</f>
        <v>H</v>
      </c>
      <c r="D12" s="49" t="str">
        <f>Rules!O8</f>
        <v>H</v>
      </c>
      <c r="E12" s="49" t="str">
        <f>Rules!P8</f>
        <v>S</v>
      </c>
      <c r="F12" s="49" t="str">
        <f>Rules!Q8</f>
        <v>S</v>
      </c>
      <c r="G12" s="49" t="str">
        <f>Rules!R8</f>
        <v>S</v>
      </c>
      <c r="H12" s="49" t="str">
        <f>Rules!S8</f>
        <v>H</v>
      </c>
      <c r="I12" s="49" t="str">
        <f>Rules!T8</f>
        <v>H</v>
      </c>
      <c r="J12" s="49" t="str">
        <f>Rules!U8</f>
        <v>H</v>
      </c>
      <c r="K12" s="49" t="str">
        <f>Rules!V8</f>
        <v>H</v>
      </c>
      <c r="M12" s="292" t="s">
        <v>178</v>
      </c>
      <c r="N12" s="293"/>
      <c r="O12" s="293"/>
      <c r="P12" s="293"/>
      <c r="Q12" s="293"/>
      <c r="R12" s="293"/>
      <c r="S12" s="293"/>
      <c r="T12" s="293"/>
      <c r="U12" s="293"/>
      <c r="V12" s="294"/>
      <c r="X12" s="164">
        <f>ER!A7</f>
        <v>9</v>
      </c>
      <c r="Y12" s="34">
        <f>ER!B7</f>
        <v>-0.25192476177072076</v>
      </c>
      <c r="Z12" s="34">
        <f>ER!C7</f>
        <v>7.444603757634051E-2</v>
      </c>
      <c r="AA12" s="34">
        <f>ER!D7</f>
        <v>0.12081635332999656</v>
      </c>
      <c r="AB12" s="34">
        <f>ER!E7</f>
        <v>0.1819489340524216</v>
      </c>
      <c r="AC12" s="34">
        <f>ER!F7</f>
        <v>0.24305722487303633</v>
      </c>
      <c r="AD12" s="34">
        <f>ER!G7</f>
        <v>0.31705474570166692</v>
      </c>
      <c r="AE12" s="34">
        <f>ER!H7</f>
        <v>0.17186785993695267</v>
      </c>
      <c r="AF12" s="34">
        <f>ER!I7</f>
        <v>9.8376217435392585E-2</v>
      </c>
      <c r="AG12" s="34">
        <f>ER!J7</f>
        <v>-5.217805346265169E-2</v>
      </c>
      <c r="AH12" s="34">
        <f>ER!K7</f>
        <v>-0.21343169035706566</v>
      </c>
    </row>
    <row r="13" spans="1:34" x14ac:dyDescent="0.2">
      <c r="A13" s="160">
        <f>Rules!L9</f>
        <v>13</v>
      </c>
      <c r="B13" s="49" t="str">
        <f>Rules!M9</f>
        <v>H</v>
      </c>
      <c r="C13" s="49" t="str">
        <f>Rules!N9</f>
        <v>S</v>
      </c>
      <c r="D13" s="49" t="str">
        <f>Rules!O9</f>
        <v>S</v>
      </c>
      <c r="E13" s="49" t="str">
        <f>Rules!P9</f>
        <v>S</v>
      </c>
      <c r="F13" s="49" t="str">
        <f>Rules!Q9</f>
        <v>S</v>
      </c>
      <c r="G13" s="49" t="str">
        <f>Rules!R9</f>
        <v>S</v>
      </c>
      <c r="H13" s="49" t="str">
        <f>Rules!S9</f>
        <v>H</v>
      </c>
      <c r="I13" s="49" t="str">
        <f>Rules!T9</f>
        <v>H</v>
      </c>
      <c r="J13" s="49" t="str">
        <f>Rules!U9</f>
        <v>H</v>
      </c>
      <c r="K13" s="49" t="str">
        <f>Rules!V9</f>
        <v>H</v>
      </c>
      <c r="M13" s="163" t="s">
        <v>134</v>
      </c>
      <c r="N13" s="163" t="str">
        <f>'Strategy Summary'!B14</f>
        <v>1x2</v>
      </c>
      <c r="O13" s="163" t="str">
        <f>'Strategy Summary'!C14</f>
        <v>1x3</v>
      </c>
      <c r="P13" s="163" t="str">
        <f>'Strategy Summary'!D14</f>
        <v>1x4</v>
      </c>
      <c r="Q13" s="163" t="str">
        <f>'Strategy Summary'!E14</f>
        <v>1x5</v>
      </c>
      <c r="R13" s="163" t="str">
        <f>'Strategy Summary'!F14</f>
        <v>1x6</v>
      </c>
      <c r="S13" s="163" t="str">
        <f>'Strategy Summary'!G14</f>
        <v>1x7</v>
      </c>
      <c r="T13" s="163" t="str">
        <f>'Strategy Summary'!H14</f>
        <v>1x8</v>
      </c>
      <c r="U13" s="163" t="str">
        <f>'Strategy Summary'!I14</f>
        <v>1x9</v>
      </c>
      <c r="V13" s="163" t="str">
        <f>'Strategy Summary'!J14</f>
        <v>1x10</v>
      </c>
      <c r="X13" s="164">
        <f>ER!A8</f>
        <v>10</v>
      </c>
      <c r="Y13" s="34">
        <f>ER!B8</f>
        <v>-0.14666789263035868</v>
      </c>
      <c r="Z13" s="34">
        <f>ER!C8</f>
        <v>0.3589394124422991</v>
      </c>
      <c r="AA13" s="34">
        <f>ER!D8</f>
        <v>0.40932067017593915</v>
      </c>
      <c r="AB13" s="34">
        <f>ER!E8</f>
        <v>0.460940243794354</v>
      </c>
      <c r="AC13" s="34">
        <f>ER!F8</f>
        <v>0.51251710900326775</v>
      </c>
      <c r="AD13" s="34">
        <f>ER!G8</f>
        <v>0.57559016859776857</v>
      </c>
      <c r="AE13" s="34">
        <f>ER!H8</f>
        <v>0.39241245528243773</v>
      </c>
      <c r="AF13" s="34">
        <f>ER!I8</f>
        <v>0.28663571688628381</v>
      </c>
      <c r="AG13" s="34">
        <f>ER!J8</f>
        <v>0.1443283683807712</v>
      </c>
      <c r="AH13" s="34">
        <f>ER!K8</f>
        <v>-4.4990260383613007E-2</v>
      </c>
    </row>
    <row r="14" spans="1:34" x14ac:dyDescent="0.2">
      <c r="A14" s="160">
        <f>Rules!L10</f>
        <v>14</v>
      </c>
      <c r="B14" s="49" t="str">
        <f>Rules!M10</f>
        <v>H</v>
      </c>
      <c r="C14" s="49" t="str">
        <f>Rules!N10</f>
        <v>S</v>
      </c>
      <c r="D14" s="49" t="str">
        <f>Rules!O10</f>
        <v>S</v>
      </c>
      <c r="E14" s="49" t="str">
        <f>Rules!P10</f>
        <v>S</v>
      </c>
      <c r="F14" s="49" t="str">
        <f>Rules!Q10</f>
        <v>S</v>
      </c>
      <c r="G14" s="49" t="str">
        <f>Rules!R10</f>
        <v>S</v>
      </c>
      <c r="H14" s="49" t="str">
        <f>Rules!S10</f>
        <v>H</v>
      </c>
      <c r="I14" s="49" t="str">
        <f>Rules!T10</f>
        <v>H</v>
      </c>
      <c r="J14" s="49" t="str">
        <f>Rules!U10</f>
        <v>H</v>
      </c>
      <c r="K14" s="49" t="str">
        <f>Rules!V10</f>
        <v>H</v>
      </c>
      <c r="M14" s="163">
        <f>'Strategy Summary'!A16</f>
        <v>2</v>
      </c>
      <c r="N14" s="1">
        <f>'Strategy Summary'!B16</f>
        <v>0.46572739415337044</v>
      </c>
      <c r="O14" s="1">
        <f>'Strategy Summary'!C16</f>
        <v>0.61181931874426798</v>
      </c>
      <c r="P14" s="1">
        <f>'Strategy Summary'!D16</f>
        <v>0.68396550721688909</v>
      </c>
      <c r="Q14" s="1">
        <f>'Strategy Summary'!E16</f>
        <v>0.72439808678634787</v>
      </c>
      <c r="R14" s="1">
        <f>'Strategy Summary'!F16</f>
        <v>0.74893598538226158</v>
      </c>
      <c r="S14" s="1">
        <f>'Strategy Summary'!G16</f>
        <v>0.76462049939647958</v>
      </c>
      <c r="T14" s="1">
        <f>'Strategy Summary'!H16</f>
        <v>0.7750001756556687</v>
      </c>
      <c r="U14" s="1">
        <f>'Strategy Summary'!I16</f>
        <v>0.78203399995387746</v>
      </c>
      <c r="V14" s="1">
        <f>'Strategy Summary'!J16</f>
        <v>0.78687937415645604</v>
      </c>
      <c r="X14" s="164">
        <f>ER!A9</f>
        <v>11</v>
      </c>
      <c r="Y14" s="34">
        <f>ER!B9</f>
        <v>-4.1986836980868178E-2</v>
      </c>
      <c r="Z14" s="34">
        <f>ER!C9</f>
        <v>0.47064092333946889</v>
      </c>
      <c r="AA14" s="34">
        <f>ER!D9</f>
        <v>0.51779525312221675</v>
      </c>
      <c r="AB14" s="34">
        <f>ER!E9</f>
        <v>0.56604055041797607</v>
      </c>
      <c r="AC14" s="34">
        <f>ER!F9</f>
        <v>0.61469901790902803</v>
      </c>
      <c r="AD14" s="34">
        <f>ER!G9</f>
        <v>0.66738009490756944</v>
      </c>
      <c r="AE14" s="34">
        <f>ER!H9</f>
        <v>0.46288894886429077</v>
      </c>
      <c r="AF14" s="34">
        <f>ER!I9</f>
        <v>0.35069259087031512</v>
      </c>
      <c r="AG14" s="34">
        <f>ER!J9</f>
        <v>0.22778342315245487</v>
      </c>
      <c r="AH14" s="34">
        <f>ER!K9</f>
        <v>5.9690795265877464E-2</v>
      </c>
    </row>
    <row r="15" spans="1:34" x14ac:dyDescent="0.2">
      <c r="A15" s="160">
        <f>Rules!L11</f>
        <v>15</v>
      </c>
      <c r="B15" s="49" t="str">
        <f>Rules!M11</f>
        <v>H</v>
      </c>
      <c r="C15" s="49" t="str">
        <f>Rules!N11</f>
        <v>S</v>
      </c>
      <c r="D15" s="49" t="str">
        <f>Rules!O11</f>
        <v>S</v>
      </c>
      <c r="E15" s="49" t="str">
        <f>Rules!P11</f>
        <v>S</v>
      </c>
      <c r="F15" s="49" t="str">
        <f>Rules!Q11</f>
        <v>S</v>
      </c>
      <c r="G15" s="49" t="str">
        <f>Rules!R11</f>
        <v>S</v>
      </c>
      <c r="H15" s="49" t="str">
        <f>Rules!S11</f>
        <v>H</v>
      </c>
      <c r="I15" s="49" t="str">
        <f>Rules!T11</f>
        <v>H</v>
      </c>
      <c r="J15" s="49" t="str">
        <f>Rules!U11</f>
        <v>H</v>
      </c>
      <c r="K15" s="49" t="str">
        <f>Rules!V11</f>
        <v>H</v>
      </c>
      <c r="M15" s="163">
        <f>'Strategy Summary'!A17</f>
        <v>3</v>
      </c>
      <c r="N15" s="1">
        <f>'Strategy Summary'!B17</f>
        <v>0.64317191147208108</v>
      </c>
      <c r="O15" s="1">
        <f>'Strategy Summary'!C17</f>
        <v>0.78341055193537878</v>
      </c>
      <c r="P15" s="1">
        <f>'Strategy Summary'!D17</f>
        <v>0.84353843668476636</v>
      </c>
      <c r="Q15" s="1">
        <f>'Strategy Summary'!E17</f>
        <v>0.87407689830200419</v>
      </c>
      <c r="R15" s="1">
        <f>'Strategy Summary'!F17</f>
        <v>0.8913994291370505</v>
      </c>
      <c r="S15" s="1">
        <f>'Strategy Summary'!G17</f>
        <v>0.90196679427164039</v>
      </c>
      <c r="T15" s="1">
        <f>'Strategy Summary'!H17</f>
        <v>0.90873606191507839</v>
      </c>
      <c r="U15" s="1">
        <f>'Strategy Summary'!I17</f>
        <v>0.91321959488546556</v>
      </c>
      <c r="V15" s="1">
        <f>'Strategy Summary'!J17</f>
        <v>0.91625868876611938</v>
      </c>
      <c r="X15" s="164">
        <f>ER!A10</f>
        <v>12</v>
      </c>
      <c r="Y15" s="34">
        <f>ER!B10</f>
        <v>-0.46566058377683939</v>
      </c>
      <c r="Z15" s="34">
        <f>ER!C10</f>
        <v>-0.25338998596663809</v>
      </c>
      <c r="AA15" s="34">
        <f>ER!D10</f>
        <v>-0.2336908997980866</v>
      </c>
      <c r="AB15" s="34">
        <f>ER!E10</f>
        <v>-0.21106310899491437</v>
      </c>
      <c r="AC15" s="34">
        <f>ER!F10</f>
        <v>-0.16719266083547524</v>
      </c>
      <c r="AD15" s="34">
        <f>ER!G10</f>
        <v>-0.1536990158300045</v>
      </c>
      <c r="AE15" s="34">
        <f>ER!H10</f>
        <v>-0.21284771451731424</v>
      </c>
      <c r="AF15" s="34">
        <f>ER!I10</f>
        <v>-0.27157480502428616</v>
      </c>
      <c r="AG15" s="34">
        <f>ER!J10</f>
        <v>-0.3400132806089356</v>
      </c>
      <c r="AH15" s="34">
        <f>ER!K10</f>
        <v>-0.42069618899826788</v>
      </c>
    </row>
    <row r="16" spans="1:34" x14ac:dyDescent="0.2">
      <c r="A16" s="160">
        <f>Rules!L12</f>
        <v>16</v>
      </c>
      <c r="B16" s="49" t="str">
        <f>Rules!M12</f>
        <v>S</v>
      </c>
      <c r="C16" s="49" t="str">
        <f>Rules!N12</f>
        <v>S</v>
      </c>
      <c r="D16" s="49" t="str">
        <f>Rules!O12</f>
        <v>S</v>
      </c>
      <c r="E16" s="49" t="str">
        <f>Rules!P12</f>
        <v>S</v>
      </c>
      <c r="F16" s="49" t="str">
        <f>Rules!Q12</f>
        <v>S</v>
      </c>
      <c r="G16" s="49" t="str">
        <f>Rules!R12</f>
        <v>S</v>
      </c>
      <c r="H16" s="49" t="str">
        <f>Rules!S12</f>
        <v>H</v>
      </c>
      <c r="I16" s="49" t="str">
        <f>Rules!T12</f>
        <v>H</v>
      </c>
      <c r="J16" s="49" t="str">
        <f>Rules!U12</f>
        <v>H</v>
      </c>
      <c r="K16" s="49" t="str">
        <f>Rules!V12</f>
        <v>H</v>
      </c>
      <c r="M16" s="163">
        <f>'Strategy Summary'!A18</f>
        <v>4</v>
      </c>
      <c r="N16" s="1">
        <f>'Strategy Summary'!B18</f>
        <v>0.74667183613445132</v>
      </c>
      <c r="O16" s="1">
        <f>'Strategy Summary'!C18</f>
        <v>0.87307572952522516</v>
      </c>
      <c r="P16" s="1">
        <f>'Strategy Summary'!D18</f>
        <v>0.91935383975987739</v>
      </c>
      <c r="Q16" s="1">
        <f>'Strategy Summary'!E18</f>
        <v>0.94042846022944293</v>
      </c>
      <c r="R16" s="1">
        <f>'Strategy Summary'!F18</f>
        <v>0.95153014094728505</v>
      </c>
      <c r="S16" s="1">
        <f>'Strategy Summary'!G18</f>
        <v>0.95796796441162091</v>
      </c>
      <c r="T16" s="1">
        <f>'Strategy Summary'!H18</f>
        <v>0.96194968835013461</v>
      </c>
      <c r="U16" s="1">
        <f>'Strategy Summary'!I18</f>
        <v>0.96452299987346923</v>
      </c>
      <c r="V16" s="1">
        <f>'Strategy Summary'!J18</f>
        <v>0.96623740283459492</v>
      </c>
      <c r="X16" s="164">
        <f>ER!A11</f>
        <v>13</v>
      </c>
      <c r="Y16" s="34">
        <f>ER!B11</f>
        <v>-0.50382768493563657</v>
      </c>
      <c r="Z16" s="34">
        <f>ER!C11</f>
        <v>-0.29278372720927726</v>
      </c>
      <c r="AA16" s="34">
        <f>ER!D11</f>
        <v>-0.2522502292357135</v>
      </c>
      <c r="AB16" s="34">
        <f>ER!E11</f>
        <v>-0.21106310899491437</v>
      </c>
      <c r="AC16" s="34">
        <f>ER!F11</f>
        <v>-0.16719266083547524</v>
      </c>
      <c r="AD16" s="34">
        <f>ER!G11</f>
        <v>-0.1536990158300045</v>
      </c>
      <c r="AE16" s="34">
        <f>ER!H11</f>
        <v>-0.26907287776607752</v>
      </c>
      <c r="AF16" s="34">
        <f>ER!I11</f>
        <v>-0.32360517609397998</v>
      </c>
      <c r="AG16" s="34">
        <f>ER!J11</f>
        <v>-0.38715518913686875</v>
      </c>
      <c r="AH16" s="34">
        <f>ER!K11</f>
        <v>-0.46207503264124877</v>
      </c>
    </row>
    <row r="17" spans="1:34" x14ac:dyDescent="0.2">
      <c r="A17" s="160" t="str">
        <f>Rules!L13</f>
        <v>17-21</v>
      </c>
      <c r="B17" s="49" t="str">
        <f>Rules!M13</f>
        <v>S</v>
      </c>
      <c r="C17" s="49" t="str">
        <f>Rules!N13</f>
        <v>S</v>
      </c>
      <c r="D17" s="49" t="str">
        <f>Rules!O13</f>
        <v>S</v>
      </c>
      <c r="E17" s="49" t="str">
        <f>Rules!P13</f>
        <v>S</v>
      </c>
      <c r="F17" s="49" t="str">
        <f>Rules!Q13</f>
        <v>S</v>
      </c>
      <c r="G17" s="49" t="str">
        <f>Rules!R13</f>
        <v>S</v>
      </c>
      <c r="H17" s="49" t="str">
        <f>Rules!S13</f>
        <v>S</v>
      </c>
      <c r="I17" s="49" t="str">
        <f>Rules!T13</f>
        <v>S</v>
      </c>
      <c r="J17" s="49" t="str">
        <f>Rules!U13</f>
        <v>S</v>
      </c>
      <c r="K17" s="49" t="str">
        <f>Rules!V13</f>
        <v>S</v>
      </c>
      <c r="M17" s="292" t="s">
        <v>191</v>
      </c>
      <c r="N17" s="293"/>
      <c r="O17" s="293"/>
      <c r="P17" s="293"/>
      <c r="Q17" s="293"/>
      <c r="R17" s="293"/>
      <c r="S17" s="293"/>
      <c r="T17" s="293"/>
      <c r="U17" s="293"/>
      <c r="V17" s="294"/>
      <c r="X17" s="164">
        <f>ER!A12</f>
        <v>14</v>
      </c>
      <c r="Y17" s="34">
        <f>ER!B12</f>
        <v>-0.53926856458309114</v>
      </c>
      <c r="Z17" s="34">
        <f>ER!C12</f>
        <v>-0.29278372720927726</v>
      </c>
      <c r="AA17" s="34">
        <f>ER!D12</f>
        <v>-0.2522502292357135</v>
      </c>
      <c r="AB17" s="34">
        <f>ER!E12</f>
        <v>-0.21106310899491437</v>
      </c>
      <c r="AC17" s="34">
        <f>ER!F12</f>
        <v>-0.16719266083547524</v>
      </c>
      <c r="AD17" s="34">
        <f>ER!G12</f>
        <v>-0.1536990158300045</v>
      </c>
      <c r="AE17" s="34">
        <f>ER!H12</f>
        <v>-0.3212819579256434</v>
      </c>
      <c r="AF17" s="34">
        <f>ER!I12</f>
        <v>-0.37191909208726714</v>
      </c>
      <c r="AG17" s="34">
        <f>ER!J12</f>
        <v>-0.43092981848423528</v>
      </c>
      <c r="AH17" s="34">
        <f>ER!K12</f>
        <v>-0.50049824459544523</v>
      </c>
    </row>
    <row r="18" spans="1:34" x14ac:dyDescent="0.2">
      <c r="A18" s="160" t="str">
        <f>Rules!L14</f>
        <v>Soft</v>
      </c>
      <c r="B18" s="160" t="str">
        <f>Rules!M14</f>
        <v>A</v>
      </c>
      <c r="C18" s="160">
        <f>Rules!N14</f>
        <v>2</v>
      </c>
      <c r="D18" s="160">
        <f>Rules!O14</f>
        <v>3</v>
      </c>
      <c r="E18" s="160">
        <f>Rules!P14</f>
        <v>4</v>
      </c>
      <c r="F18" s="160">
        <f>Rules!Q14</f>
        <v>5</v>
      </c>
      <c r="G18" s="160">
        <f>Rules!R14</f>
        <v>6</v>
      </c>
      <c r="H18" s="160">
        <f>Rules!S14</f>
        <v>7</v>
      </c>
      <c r="I18" s="160">
        <f>Rules!T14</f>
        <v>8</v>
      </c>
      <c r="J18" s="160">
        <f>Rules!U14</f>
        <v>9</v>
      </c>
      <c r="K18" s="160">
        <f>Rules!V14</f>
        <v>10</v>
      </c>
      <c r="M18" s="163" t="s">
        <v>134</v>
      </c>
      <c r="N18" s="163" t="str">
        <f>'Strategy Summary'!B26</f>
        <v>1x2</v>
      </c>
      <c r="O18" s="163" t="str">
        <f>'Strategy Summary'!C26</f>
        <v>1x3</v>
      </c>
      <c r="P18" s="163" t="str">
        <f>'Strategy Summary'!D26</f>
        <v>1x4</v>
      </c>
      <c r="Q18" s="163" t="str">
        <f>'Strategy Summary'!E26</f>
        <v>1x5</v>
      </c>
      <c r="R18" s="163" t="str">
        <f>'Strategy Summary'!F26</f>
        <v>1x6</v>
      </c>
      <c r="S18" s="163" t="str">
        <f>'Strategy Summary'!G26</f>
        <v>1x7</v>
      </c>
      <c r="T18" s="163" t="str">
        <f>'Strategy Summary'!H26</f>
        <v>1x8</v>
      </c>
      <c r="U18" s="163" t="str">
        <f>'Strategy Summary'!I26</f>
        <v>1x9</v>
      </c>
      <c r="V18" s="163" t="str">
        <f>'Strategy Summary'!J26</f>
        <v>1x10</v>
      </c>
      <c r="X18" s="164">
        <f>ER!A13</f>
        <v>15</v>
      </c>
      <c r="Y18" s="34">
        <f>ER!B13</f>
        <v>-0.572177952827156</v>
      </c>
      <c r="Z18" s="34">
        <f>ER!C13</f>
        <v>-0.29278372720927726</v>
      </c>
      <c r="AA18" s="34">
        <f>ER!D13</f>
        <v>-0.2522502292357135</v>
      </c>
      <c r="AB18" s="34">
        <f>ER!E13</f>
        <v>-0.21106310899491437</v>
      </c>
      <c r="AC18" s="34">
        <f>ER!F13</f>
        <v>-0.16719266083547524</v>
      </c>
      <c r="AD18" s="34">
        <f>ER!G13</f>
        <v>-0.1536990158300045</v>
      </c>
      <c r="AE18" s="34">
        <f>ER!H13</f>
        <v>-0.36976181807381175</v>
      </c>
      <c r="AF18" s="34">
        <f>ER!I13</f>
        <v>-0.41678201408103371</v>
      </c>
      <c r="AG18" s="34">
        <f>ER!J13</f>
        <v>-0.47157768859250415</v>
      </c>
      <c r="AH18" s="34">
        <f>ER!K13</f>
        <v>-0.53617694141005634</v>
      </c>
    </row>
    <row r="19" spans="1:34" x14ac:dyDescent="0.2">
      <c r="A19" s="160">
        <f>Rules!L15</f>
        <v>13</v>
      </c>
      <c r="B19" s="49" t="str">
        <f>Rules!M15</f>
        <v>H</v>
      </c>
      <c r="C19" s="49" t="str">
        <f>Rules!N15</f>
        <v>H</v>
      </c>
      <c r="D19" s="49" t="str">
        <f>Rules!O15</f>
        <v>H</v>
      </c>
      <c r="E19" s="49" t="str">
        <f>Rules!P15</f>
        <v>H</v>
      </c>
      <c r="F19" s="49" t="str">
        <f>Rules!Q15</f>
        <v>H</v>
      </c>
      <c r="G19" s="49" t="str">
        <f>Rules!R15</f>
        <v>H</v>
      </c>
      <c r="H19" s="49" t="str">
        <f>Rules!S15</f>
        <v>H</v>
      </c>
      <c r="I19" s="49" t="str">
        <f>Rules!T15</f>
        <v>H</v>
      </c>
      <c r="J19" s="49" t="str">
        <f>Rules!U15</f>
        <v>H</v>
      </c>
      <c r="K19" s="49" t="str">
        <f>Rules!V15</f>
        <v>H</v>
      </c>
      <c r="M19" s="163">
        <f>'Strategy Summary'!A28</f>
        <v>2</v>
      </c>
      <c r="N19" s="1">
        <f>'Strategy Summary'!B28</f>
        <v>12.883072963545962</v>
      </c>
      <c r="O19" s="1">
        <f>'Strategy Summary'!C28</f>
        <v>19.613633686215511</v>
      </c>
      <c r="P19" s="1">
        <f>'Strategy Summary'!D28</f>
        <v>29.241240660485374</v>
      </c>
      <c r="Q19" s="1">
        <f>'Strategy Summary'!E28</f>
        <v>41.413693033190086</v>
      </c>
      <c r="R19" s="1">
        <f>'Strategy Summary'!F28</f>
        <v>56.079559294460843</v>
      </c>
      <c r="S19" s="1">
        <f>'Strategy Summary'!G28</f>
        <v>73.238946698657955</v>
      </c>
      <c r="T19" s="1">
        <f>'Strategy Summary'!H28</f>
        <v>92.903204749710255</v>
      </c>
      <c r="U19" s="1">
        <f>'Strategy Summary'!I28</f>
        <v>115.08451039891871</v>
      </c>
      <c r="V19" s="1">
        <f>'Strategy Summary'!J28</f>
        <v>139.79270980119577</v>
      </c>
      <c r="X19" s="164">
        <f>ER!A14</f>
        <v>16</v>
      </c>
      <c r="Y19" s="34">
        <f>ER!B14</f>
        <v>-0.57578184676460165</v>
      </c>
      <c r="Z19" s="34">
        <f>ER!C14</f>
        <v>-0.29278372720927726</v>
      </c>
      <c r="AA19" s="34">
        <f>ER!D14</f>
        <v>-0.2522502292357135</v>
      </c>
      <c r="AB19" s="34">
        <f>ER!E14</f>
        <v>-0.21106310899491437</v>
      </c>
      <c r="AC19" s="34">
        <f>ER!F14</f>
        <v>-0.16719266083547524</v>
      </c>
      <c r="AD19" s="34">
        <f>ER!G14</f>
        <v>-0.1536990158300045</v>
      </c>
      <c r="AE19" s="34">
        <f>ER!H14</f>
        <v>-0.41477883106853947</v>
      </c>
      <c r="AF19" s="34">
        <f>ER!I14</f>
        <v>-0.45844044164667419</v>
      </c>
      <c r="AG19" s="34">
        <f>ER!J14</f>
        <v>-0.50932213940732529</v>
      </c>
      <c r="AH19" s="34">
        <f>ER!K14</f>
        <v>-0.56930715988076652</v>
      </c>
    </row>
    <row r="20" spans="1:34" x14ac:dyDescent="0.2">
      <c r="A20" s="160">
        <f>Rules!L16</f>
        <v>14</v>
      </c>
      <c r="B20" s="49" t="str">
        <f>Rules!M16</f>
        <v>H</v>
      </c>
      <c r="C20" s="49" t="str">
        <f>Rules!N16</f>
        <v>H</v>
      </c>
      <c r="D20" s="49" t="str">
        <f>Rules!O16</f>
        <v>H</v>
      </c>
      <c r="E20" s="49" t="str">
        <f>Rules!P16</f>
        <v>H</v>
      </c>
      <c r="F20" s="49" t="str">
        <f>Rules!Q16</f>
        <v>H</v>
      </c>
      <c r="G20" s="49" t="str">
        <f>Rules!R16</f>
        <v>H</v>
      </c>
      <c r="H20" s="49" t="str">
        <f>Rules!S16</f>
        <v>H</v>
      </c>
      <c r="I20" s="49" t="str">
        <f>Rules!T16</f>
        <v>H</v>
      </c>
      <c r="J20" s="49" t="str">
        <f>Rules!U16</f>
        <v>H</v>
      </c>
      <c r="K20" s="49" t="str">
        <f>Rules!V16</f>
        <v>H</v>
      </c>
      <c r="M20" s="163">
        <f>'Strategy Summary'!A29</f>
        <v>3</v>
      </c>
      <c r="N20" s="1">
        <f>'Strategy Summary'!B29</f>
        <v>21.767119723802981</v>
      </c>
      <c r="O20" s="1">
        <f>'Strategy Summary'!C29</f>
        <v>49.782326653186303</v>
      </c>
      <c r="P20" s="1">
        <f>'Strategy Summary'!D29</f>
        <v>99.580524546258616</v>
      </c>
      <c r="Q20" s="1">
        <f>'Strategy Summary'!E29</f>
        <v>177.3299355023631</v>
      </c>
      <c r="R20" s="1">
        <f>'Strategy Summary'!F29</f>
        <v>289.43253895704834</v>
      </c>
      <c r="S20" s="1">
        <f>'Strategy Summary'!G29</f>
        <v>442.36661763385865</v>
      </c>
      <c r="T20" s="1">
        <f>'Strategy Summary'!H29</f>
        <v>642.65084712196108</v>
      </c>
      <c r="U20" s="1">
        <f>'Strategy Summary'!I29</f>
        <v>896.82701136380854</v>
      </c>
      <c r="V20" s="1">
        <f>'Strategy Summary'!J29</f>
        <v>1211.4482663130677</v>
      </c>
      <c r="X20" s="164">
        <f>ER!A15</f>
        <v>17</v>
      </c>
      <c r="Y20" s="34">
        <f>ER!B15</f>
        <v>-0.46435750824198752</v>
      </c>
      <c r="Z20" s="34">
        <f>ER!C15</f>
        <v>-0.15297458768154204</v>
      </c>
      <c r="AA20" s="34">
        <f>ER!D15</f>
        <v>-0.11721624142457365</v>
      </c>
      <c r="AB20" s="34">
        <f>ER!E15</f>
        <v>-8.0573373145316152E-2</v>
      </c>
      <c r="AC20" s="34">
        <f>ER!F15</f>
        <v>-4.4941375564924446E-2</v>
      </c>
      <c r="AD20" s="34">
        <f>ER!G15</f>
        <v>1.1739160673341853E-2</v>
      </c>
      <c r="AE20" s="34">
        <f>ER!H15</f>
        <v>-0.10680898948269468</v>
      </c>
      <c r="AF20" s="34">
        <f>ER!I15</f>
        <v>-0.38195097104844711</v>
      </c>
      <c r="AG20" s="34">
        <f>ER!J15</f>
        <v>-0.42315423964521737</v>
      </c>
      <c r="AH20" s="34">
        <f>ER!K15</f>
        <v>-0.46435750824198763</v>
      </c>
    </row>
    <row r="21" spans="1:34" x14ac:dyDescent="0.2">
      <c r="A21" s="160">
        <f>Rules!L17</f>
        <v>15</v>
      </c>
      <c r="B21" s="49" t="str">
        <f>Rules!M17</f>
        <v>H</v>
      </c>
      <c r="C21" s="49" t="str">
        <f>Rules!N17</f>
        <v>H</v>
      </c>
      <c r="D21" s="49" t="str">
        <f>Rules!O17</f>
        <v>H</v>
      </c>
      <c r="E21" s="49" t="str">
        <f>Rules!P17</f>
        <v>H</v>
      </c>
      <c r="F21" s="49" t="str">
        <f>Rules!Q17</f>
        <v>H</v>
      </c>
      <c r="G21" s="49" t="str">
        <f>Rules!R17</f>
        <v>H</v>
      </c>
      <c r="H21" s="49" t="str">
        <f>Rules!S17</f>
        <v>H</v>
      </c>
      <c r="I21" s="49" t="str">
        <f>Rules!T17</f>
        <v>H</v>
      </c>
      <c r="J21" s="49" t="str">
        <f>Rules!U17</f>
        <v>H</v>
      </c>
      <c r="K21" s="49" t="str">
        <f>Rules!V17</f>
        <v>H</v>
      </c>
      <c r="M21" s="163">
        <f>'Strategy Summary'!A30</f>
        <v>4</v>
      </c>
      <c r="N21" s="1">
        <f>'Strategy Summary'!B30</f>
        <v>40.178293258402711</v>
      </c>
      <c r="O21" s="1">
        <f>'Strategy Summary'!C30</f>
        <v>137.44512181693045</v>
      </c>
      <c r="P21" s="1">
        <f>'Strategy Summary'!D30</f>
        <v>369.8249632467988</v>
      </c>
      <c r="Q21" s="1">
        <f>'Strategy Summary'!E30</f>
        <v>829.4091820761123</v>
      </c>
      <c r="R21" s="1">
        <f>'Strategy Summary'!F30</f>
        <v>1633.1589858550701</v>
      </c>
      <c r="S21" s="1">
        <f>'Strategy Summary'!G30</f>
        <v>2922.8534815563962</v>
      </c>
      <c r="T21" s="1">
        <f>'Strategy Summary'!H30</f>
        <v>4865.119305799446</v>
      </c>
      <c r="U21" s="1">
        <f>'Strategy Summary'!I30</f>
        <v>7651.4505107375808</v>
      </c>
      <c r="V21" s="1">
        <f>'Strategy Summary'!J30</f>
        <v>11498.209412518325</v>
      </c>
      <c r="X21" s="164">
        <f>ER!A16</f>
        <v>18</v>
      </c>
      <c r="Y21" s="34">
        <f>ER!B16</f>
        <v>-0.24150883119675959</v>
      </c>
      <c r="Z21" s="34">
        <f>ER!C16</f>
        <v>0.12174190222088771</v>
      </c>
      <c r="AA21" s="34">
        <f>ER!D16</f>
        <v>0.14830007284131119</v>
      </c>
      <c r="AB21" s="34">
        <f>ER!E16</f>
        <v>0.17585443719748528</v>
      </c>
      <c r="AC21" s="34">
        <f>ER!F16</f>
        <v>0.19956119497617719</v>
      </c>
      <c r="AD21" s="34">
        <f>ER!G16</f>
        <v>0.28344391604689856</v>
      </c>
      <c r="AE21" s="34">
        <f>ER!H16</f>
        <v>0.3995541673365518</v>
      </c>
      <c r="AF21" s="34">
        <f>ER!I16</f>
        <v>0.10595134861912359</v>
      </c>
      <c r="AG21" s="34">
        <f>ER!J16</f>
        <v>-0.18316335667343331</v>
      </c>
      <c r="AH21" s="34">
        <f>ER!K16</f>
        <v>-0.24150883119675959</v>
      </c>
    </row>
    <row r="22" spans="1:34" x14ac:dyDescent="0.2">
      <c r="A22" s="160">
        <f>Rules!L18</f>
        <v>16</v>
      </c>
      <c r="B22" s="49" t="str">
        <f>Rules!M18</f>
        <v>H</v>
      </c>
      <c r="C22" s="49" t="str">
        <f>Rules!N18</f>
        <v>H</v>
      </c>
      <c r="D22" s="49" t="str">
        <f>Rules!O18</f>
        <v>H</v>
      </c>
      <c r="E22" s="49" t="str">
        <f>Rules!P18</f>
        <v>H</v>
      </c>
      <c r="F22" s="49" t="str">
        <f>Rules!Q18</f>
        <v>H</v>
      </c>
      <c r="G22" s="49" t="str">
        <f>Rules!R18</f>
        <v>H</v>
      </c>
      <c r="H22" s="49" t="str">
        <f>Rules!S18</f>
        <v>H</v>
      </c>
      <c r="I22" s="49" t="str">
        <f>Rules!T18</f>
        <v>H</v>
      </c>
      <c r="J22" s="49" t="str">
        <f>Rules!U18</f>
        <v>H</v>
      </c>
      <c r="K22" s="49" t="str">
        <f>Rules!V18</f>
        <v>H</v>
      </c>
      <c r="M22" s="292" t="s">
        <v>192</v>
      </c>
      <c r="N22" s="293"/>
      <c r="O22" s="293"/>
      <c r="P22" s="293"/>
      <c r="Q22" s="293"/>
      <c r="R22" s="293"/>
      <c r="S22" s="293"/>
      <c r="T22" s="293"/>
      <c r="U22" s="293"/>
      <c r="V22" s="294"/>
      <c r="X22" s="164">
        <f>ER!A17</f>
        <v>19</v>
      </c>
      <c r="Y22" s="34">
        <f>ER!B17</f>
        <v>-1.8660154151531549E-2</v>
      </c>
      <c r="Z22" s="34">
        <f>ER!C17</f>
        <v>0.38630468602058987</v>
      </c>
      <c r="AA22" s="34">
        <f>ER!D17</f>
        <v>0.40436293659776001</v>
      </c>
      <c r="AB22" s="34">
        <f>ER!E17</f>
        <v>0.42317892482749647</v>
      </c>
      <c r="AC22" s="34">
        <f>ER!F17</f>
        <v>0.43951210416088371</v>
      </c>
      <c r="AD22" s="34">
        <f>ER!G17</f>
        <v>0.49597707378731909</v>
      </c>
      <c r="AE22" s="34">
        <f>ER!H17</f>
        <v>0.6159764957534315</v>
      </c>
      <c r="AF22" s="34">
        <f>ER!I17</f>
        <v>0.5938536682866945</v>
      </c>
      <c r="AG22" s="34">
        <f>ER!J17</f>
        <v>0.28759675706758142</v>
      </c>
      <c r="AH22" s="34">
        <f>ER!K17</f>
        <v>-1.8660154151531536E-2</v>
      </c>
    </row>
    <row r="23" spans="1:34" x14ac:dyDescent="0.2">
      <c r="A23" s="160">
        <f>Rules!L19</f>
        <v>17</v>
      </c>
      <c r="B23" s="49" t="str">
        <f>Rules!M19</f>
        <v>H</v>
      </c>
      <c r="C23" s="49" t="str">
        <f>Rules!N19</f>
        <v>H</v>
      </c>
      <c r="D23" s="49" t="str">
        <f>Rules!O19</f>
        <v>H</v>
      </c>
      <c r="E23" s="49" t="str">
        <f>Rules!P19</f>
        <v>H</v>
      </c>
      <c r="F23" s="49" t="str">
        <f>Rules!Q19</f>
        <v>H</v>
      </c>
      <c r="G23" s="49" t="str">
        <f>Rules!R19</f>
        <v>H</v>
      </c>
      <c r="H23" s="49" t="str">
        <f>Rules!S19</f>
        <v>H</v>
      </c>
      <c r="I23" s="49" t="str">
        <f>Rules!T19</f>
        <v>H</v>
      </c>
      <c r="J23" s="49" t="str">
        <f>Rules!U19</f>
        <v>H</v>
      </c>
      <c r="K23" s="49" t="str">
        <f>Rules!V19</f>
        <v>H</v>
      </c>
      <c r="M23" s="163" t="s">
        <v>134</v>
      </c>
      <c r="N23" s="163" t="str">
        <f>'Strategy Summary'!B50</f>
        <v>1x2</v>
      </c>
      <c r="O23" s="163" t="str">
        <f>'Strategy Summary'!C50</f>
        <v>1x3</v>
      </c>
      <c r="P23" s="163" t="str">
        <f>'Strategy Summary'!D50</f>
        <v>1x4</v>
      </c>
      <c r="Q23" s="163" t="str">
        <f>'Strategy Summary'!E50</f>
        <v>1x5</v>
      </c>
      <c r="R23" s="163" t="str">
        <f>'Strategy Summary'!F50</f>
        <v>1x6</v>
      </c>
      <c r="S23" s="163" t="str">
        <f>'Strategy Summary'!G50</f>
        <v>1x7</v>
      </c>
      <c r="T23" s="163" t="str">
        <f>'Strategy Summary'!H50</f>
        <v>1x8</v>
      </c>
      <c r="U23" s="163" t="str">
        <f>'Strategy Summary'!I50</f>
        <v>1x9</v>
      </c>
      <c r="V23" s="163" t="str">
        <f>'Strategy Summary'!J50</f>
        <v>1x10</v>
      </c>
      <c r="X23" s="164" t="str">
        <f>ER!A18</f>
        <v>Soft</v>
      </c>
      <c r="Y23" s="164" t="str">
        <f>ER!B18</f>
        <v>Ace</v>
      </c>
      <c r="Z23" s="164">
        <f>ER!C18</f>
        <v>2</v>
      </c>
      <c r="AA23" s="164">
        <f>ER!D18</f>
        <v>3</v>
      </c>
      <c r="AB23" s="164">
        <f>ER!E18</f>
        <v>4</v>
      </c>
      <c r="AC23" s="164">
        <f>ER!F18</f>
        <v>5</v>
      </c>
      <c r="AD23" s="164">
        <f>ER!G18</f>
        <v>6</v>
      </c>
      <c r="AE23" s="164">
        <f>ER!H18</f>
        <v>7</v>
      </c>
      <c r="AF23" s="164">
        <f>ER!I18</f>
        <v>8</v>
      </c>
      <c r="AG23" s="164">
        <f>ER!J18</f>
        <v>9</v>
      </c>
      <c r="AH23" s="164">
        <f>ER!K18</f>
        <v>10</v>
      </c>
    </row>
    <row r="24" spans="1:34" x14ac:dyDescent="0.2">
      <c r="A24" s="160">
        <f>Rules!L20</f>
        <v>18</v>
      </c>
      <c r="B24" s="49" t="str">
        <f>Rules!M20</f>
        <v>S</v>
      </c>
      <c r="C24" s="49" t="str">
        <f>Rules!N20</f>
        <v>S</v>
      </c>
      <c r="D24" s="49" t="str">
        <f>Rules!O20</f>
        <v>S</v>
      </c>
      <c r="E24" s="49" t="str">
        <f>Rules!P20</f>
        <v>S</v>
      </c>
      <c r="F24" s="49" t="str">
        <f>Rules!Q20</f>
        <v>S</v>
      </c>
      <c r="G24" s="49" t="str">
        <f>Rules!R20</f>
        <v>S</v>
      </c>
      <c r="H24" s="49" t="str">
        <f>Rules!S20</f>
        <v>S</v>
      </c>
      <c r="I24" s="49" t="str">
        <f>Rules!T20</f>
        <v>S</v>
      </c>
      <c r="J24" s="49" t="str">
        <f>Rules!U20</f>
        <v>H</v>
      </c>
      <c r="K24" s="49" t="str">
        <f>Rules!V20</f>
        <v>H</v>
      </c>
      <c r="M24" s="163">
        <v>1</v>
      </c>
      <c r="N24" s="1">
        <f>'Strategy Summary (2)'!B27</f>
        <v>29.070336462975007</v>
      </c>
      <c r="O24" s="1">
        <f>'Strategy Summary (2)'!C27</f>
        <v>26.061805505130753</v>
      </c>
      <c r="P24" s="1">
        <f>'Strategy Summary (2)'!D27</f>
        <v>33.205394258150598</v>
      </c>
      <c r="Q24" s="1">
        <f>'Strategy Summary (2)'!E27</f>
        <v>43.548275694720019</v>
      </c>
      <c r="R24" s="1">
        <f>'Strategy Summary (2)'!F27</f>
        <v>56.404819308000611</v>
      </c>
      <c r="S24" s="1">
        <f>'Strategy Summary (2)'!G27</f>
        <v>71.636533352967589</v>
      </c>
      <c r="T24" s="1">
        <f>'Strategy Summary (2)'!H27</f>
        <v>89.219994023601728</v>
      </c>
      <c r="U24" s="1">
        <f>'Strategy Summary (2)'!I27</f>
        <v>109.16137678133387</v>
      </c>
      <c r="V24" s="1">
        <f>'Strategy Summary (2)'!J27</f>
        <v>131.47239189556083</v>
      </c>
      <c r="X24" s="164">
        <f>ER!A19</f>
        <v>13</v>
      </c>
      <c r="Y24" s="34">
        <f>ER!B19</f>
        <v>-0.23472177802444921</v>
      </c>
      <c r="Z24" s="34">
        <f>ER!C19</f>
        <v>4.6636132695309543E-2</v>
      </c>
      <c r="AA24" s="34">
        <f>ER!D19</f>
        <v>7.4118813392744051E-2</v>
      </c>
      <c r="AB24" s="34">
        <f>ER!E19</f>
        <v>0.10247714687203523</v>
      </c>
      <c r="AC24" s="34">
        <f>ER!F19</f>
        <v>0.13336273848321728</v>
      </c>
      <c r="AD24" s="34">
        <f>ER!G19</f>
        <v>0.16169271124923693</v>
      </c>
      <c r="AE24" s="34">
        <f>ER!H19</f>
        <v>0.12238569517899196</v>
      </c>
      <c r="AF24" s="34">
        <f>ER!I19</f>
        <v>5.4057070196311334E-2</v>
      </c>
      <c r="AG24" s="34">
        <f>ER!J19</f>
        <v>-3.7694688127479885E-2</v>
      </c>
      <c r="AH24" s="34">
        <f>ER!K19</f>
        <v>-0.16080628455762785</v>
      </c>
    </row>
    <row r="25" spans="1:34" x14ac:dyDescent="0.2">
      <c r="A25" s="160">
        <f>Rules!L21</f>
        <v>19</v>
      </c>
      <c r="B25" s="49" t="str">
        <f>Rules!M21</f>
        <v>S</v>
      </c>
      <c r="C25" s="49" t="str">
        <f>Rules!N21</f>
        <v>S</v>
      </c>
      <c r="D25" s="49" t="str">
        <f>Rules!O21</f>
        <v>S</v>
      </c>
      <c r="E25" s="49" t="str">
        <f>Rules!P21</f>
        <v>S</v>
      </c>
      <c r="F25" s="49" t="str">
        <f>Rules!Q21</f>
        <v>S</v>
      </c>
      <c r="G25" s="49" t="str">
        <f>Rules!R21</f>
        <v>S</v>
      </c>
      <c r="H25" s="49" t="str">
        <f>Rules!S21</f>
        <v>S</v>
      </c>
      <c r="I25" s="49" t="str">
        <f>Rules!T21</f>
        <v>S</v>
      </c>
      <c r="J25" s="49" t="str">
        <f>Rules!U21</f>
        <v>S</v>
      </c>
      <c r="K25" s="49" t="str">
        <f>Rules!V21</f>
        <v>S</v>
      </c>
      <c r="M25" s="163">
        <v>2</v>
      </c>
      <c r="N25" s="1">
        <f>'Strategy Summary (2)'!B28</f>
        <v>21.471788272576603</v>
      </c>
      <c r="O25" s="1">
        <f>'Strategy Summary (2)'!C28</f>
        <v>44.130675793984899</v>
      </c>
      <c r="P25" s="1">
        <f>'Strategy Summary (2)'!D28</f>
        <v>81.875473849359054</v>
      </c>
      <c r="Q25" s="1">
        <f>'Strategy Summary (2)'!E28</f>
        <v>138.04564344396695</v>
      </c>
      <c r="R25" s="1">
        <f>'Strategy Summary (2)'!F28</f>
        <v>216.30687156434897</v>
      </c>
      <c r="S25" s="1">
        <f>'Strategy Summary (2)'!G28</f>
        <v>320.42039180662857</v>
      </c>
      <c r="T25" s="1">
        <f>'Strategy Summary (2)'!H28</f>
        <v>454.19344544302788</v>
      </c>
      <c r="U25" s="1">
        <f>'Strategy Summary (2)'!I28</f>
        <v>621.45635615416097</v>
      </c>
      <c r="V25" s="1">
        <f>'Strategy Summary (2)'!J28</f>
        <v>826.04783064342951</v>
      </c>
      <c r="X25" s="164">
        <f>ER!A20</f>
        <v>14</v>
      </c>
      <c r="Y25" s="34">
        <f>ER!B20</f>
        <v>-0.26406959413166387</v>
      </c>
      <c r="Z25" s="34">
        <f>ER!C20</f>
        <v>2.2391856987839083E-2</v>
      </c>
      <c r="AA25" s="34">
        <f>ER!D20</f>
        <v>5.0806738919282814E-2</v>
      </c>
      <c r="AB25" s="34">
        <f>ER!E20</f>
        <v>8.0081414310110233E-2</v>
      </c>
      <c r="AC25" s="34">
        <f>ER!F20</f>
        <v>0.11189449567473925</v>
      </c>
      <c r="AD25" s="34">
        <f>ER!G20</f>
        <v>0.1391647307435768</v>
      </c>
      <c r="AE25" s="34">
        <f>ER!H20</f>
        <v>7.9507488494468148E-2</v>
      </c>
      <c r="AF25" s="34">
        <f>ER!I20</f>
        <v>1.3277219463208478E-2</v>
      </c>
      <c r="AG25" s="34">
        <f>ER!J20</f>
        <v>-7.516318944168382E-2</v>
      </c>
      <c r="AH25" s="34">
        <f>ER!K20</f>
        <v>-0.1933035414076569</v>
      </c>
    </row>
    <row r="26" spans="1:34" x14ac:dyDescent="0.2">
      <c r="A26" s="160" t="str">
        <f>Rules!L22</f>
        <v>Pair</v>
      </c>
      <c r="B26" s="160" t="str">
        <f>Rules!M22</f>
        <v>A</v>
      </c>
      <c r="C26" s="160">
        <f>Rules!N22</f>
        <v>2</v>
      </c>
      <c r="D26" s="160">
        <f>Rules!O22</f>
        <v>3</v>
      </c>
      <c r="E26" s="160">
        <f>Rules!P22</f>
        <v>4</v>
      </c>
      <c r="F26" s="160">
        <f>Rules!Q22</f>
        <v>5</v>
      </c>
      <c r="G26" s="160">
        <f>Rules!R22</f>
        <v>6</v>
      </c>
      <c r="H26" s="160">
        <f>Rules!S22</f>
        <v>7</v>
      </c>
      <c r="I26" s="160">
        <f>Rules!T22</f>
        <v>8</v>
      </c>
      <c r="J26" s="160">
        <f>Rules!U22</f>
        <v>9</v>
      </c>
      <c r="K26" s="160">
        <f>Rules!V22</f>
        <v>10</v>
      </c>
      <c r="M26" s="163">
        <v>3</v>
      </c>
      <c r="N26" s="1">
        <f>'Strategy Summary (2)'!B29</f>
        <v>38.869856649648177</v>
      </c>
      <c r="O26" s="1">
        <f>'Strategy Summary (2)'!C29</f>
        <v>118.71170201913657</v>
      </c>
      <c r="P26" s="1">
        <f>'Strategy Summary (2)'!D29</f>
        <v>291.6286790283288</v>
      </c>
      <c r="Q26" s="1">
        <f>'Strategy Summary (2)'!E29</f>
        <v>612.07429350815653</v>
      </c>
      <c r="R26" s="1">
        <f>'Strategy Summary (2)'!F29</f>
        <v>1147.6336719110868</v>
      </c>
      <c r="S26" s="1">
        <f>'Strategy Summary (2)'!G29</f>
        <v>1979.0085525725256</v>
      </c>
      <c r="T26" s="1">
        <f>'Strategy Summary (2)'!H29</f>
        <v>3200.0490812168882</v>
      </c>
      <c r="U26" s="1">
        <f>'Strategy Summary (2)'!I29</f>
        <v>4917.7656996762689</v>
      </c>
      <c r="V26" s="1">
        <f>'Strategy Summary (2)'!J29</f>
        <v>7252.3186753606624</v>
      </c>
      <c r="X26" s="164">
        <f>ER!A21</f>
        <v>15</v>
      </c>
      <c r="Y26" s="34">
        <f>ER!B21</f>
        <v>-0.29312934580507005</v>
      </c>
      <c r="Z26" s="34">
        <f>ER!C21</f>
        <v>-1.2068474052636583E-4</v>
      </c>
      <c r="AA26" s="34">
        <f>ER!D21</f>
        <v>2.9159812622497363E-2</v>
      </c>
      <c r="AB26" s="34">
        <f>ER!E21</f>
        <v>5.9285376931179926E-2</v>
      </c>
      <c r="AC26" s="34">
        <f>ER!F21</f>
        <v>9.1959698781152482E-2</v>
      </c>
      <c r="AD26" s="34">
        <f>ER!G21</f>
        <v>0.11824589170260671</v>
      </c>
      <c r="AE26" s="34">
        <f>ER!H21</f>
        <v>3.7028282279269235E-2</v>
      </c>
      <c r="AF26" s="34">
        <f>ER!I21</f>
        <v>-2.7054780502901672E-2</v>
      </c>
      <c r="AG26" s="34">
        <f>ER!J21</f>
        <v>-0.11218876868994289</v>
      </c>
      <c r="AH26" s="34">
        <f>ER!K21</f>
        <v>-0.22543993358238781</v>
      </c>
    </row>
    <row r="27" spans="1:34" x14ac:dyDescent="0.2">
      <c r="A27" s="160" t="str">
        <f>Rules!L23</f>
        <v>A</v>
      </c>
      <c r="B27" s="49" t="str">
        <f>Rules!M23</f>
        <v>P</v>
      </c>
      <c r="C27" s="49" t="str">
        <f>Rules!N23</f>
        <v>P</v>
      </c>
      <c r="D27" s="49" t="str">
        <f>Rules!O23</f>
        <v>P</v>
      </c>
      <c r="E27" s="49" t="str">
        <f>Rules!P23</f>
        <v>P</v>
      </c>
      <c r="F27" s="49" t="str">
        <f>Rules!Q23</f>
        <v>P</v>
      </c>
      <c r="G27" s="49" t="str">
        <f>Rules!R23</f>
        <v>P</v>
      </c>
      <c r="H27" s="49" t="str">
        <f>Rules!S23</f>
        <v>P</v>
      </c>
      <c r="I27" s="49" t="str">
        <f>Rules!T23</f>
        <v>P</v>
      </c>
      <c r="J27" s="49" t="str">
        <f>Rules!U23</f>
        <v>P</v>
      </c>
      <c r="K27" s="49" t="str">
        <f>Rules!V23</f>
        <v>P</v>
      </c>
      <c r="M27" s="292" t="s">
        <v>193</v>
      </c>
      <c r="N27" s="293"/>
      <c r="O27" s="293"/>
      <c r="P27" s="293"/>
      <c r="Q27" s="293"/>
      <c r="R27" s="293"/>
      <c r="S27" s="293"/>
      <c r="T27" s="293"/>
      <c r="U27" s="293"/>
      <c r="V27" s="294"/>
      <c r="X27" s="164">
        <f>ER!A22</f>
        <v>16</v>
      </c>
      <c r="Y27" s="34">
        <f>ER!B22</f>
        <v>-0.31409107314591783</v>
      </c>
      <c r="Z27" s="34">
        <f>ER!C22</f>
        <v>-2.1025187774008566E-2</v>
      </c>
      <c r="AA27" s="34">
        <f>ER!D22</f>
        <v>9.0590953469108244E-3</v>
      </c>
      <c r="AB27" s="34">
        <f>ER!E22</f>
        <v>3.9974770793601705E-2</v>
      </c>
      <c r="AC27" s="34">
        <f>ER!F22</f>
        <v>7.3448815951393354E-2</v>
      </c>
      <c r="AD27" s="34">
        <f>ER!G22</f>
        <v>9.8821255450277368E-2</v>
      </c>
      <c r="AE27" s="34">
        <f>ER!H22</f>
        <v>-4.8901571730158942E-3</v>
      </c>
      <c r="AF27" s="34">
        <f>ER!I22</f>
        <v>-6.6794847920094103E-2</v>
      </c>
      <c r="AG27" s="34">
        <f>ER!J22</f>
        <v>-0.14864353463007471</v>
      </c>
      <c r="AH27" s="34">
        <f>ER!K22</f>
        <v>-0.25710121084742421</v>
      </c>
    </row>
    <row r="28" spans="1:34" x14ac:dyDescent="0.2">
      <c r="A28" s="160">
        <f>Rules!L24</f>
        <v>2</v>
      </c>
      <c r="B28" s="49" t="str">
        <f>Rules!M24</f>
        <v>H</v>
      </c>
      <c r="C28" s="49" t="str">
        <f>Rules!N24</f>
        <v>H</v>
      </c>
      <c r="D28" s="49" t="str">
        <f>Rules!O24</f>
        <v>H</v>
      </c>
      <c r="E28" s="49" t="str">
        <f>Rules!P24</f>
        <v>P</v>
      </c>
      <c r="F28" s="49" t="str">
        <f>Rules!Q24</f>
        <v>P</v>
      </c>
      <c r="G28" s="49" t="str">
        <f>Rules!R24</f>
        <v>P</v>
      </c>
      <c r="H28" s="49" t="str">
        <f>Rules!S24</f>
        <v>P</v>
      </c>
      <c r="I28" s="49" t="str">
        <f>Rules!T24</f>
        <v>H</v>
      </c>
      <c r="J28" s="49" t="str">
        <f>Rules!U24</f>
        <v>H</v>
      </c>
      <c r="K28" s="49" t="str">
        <f>Rules!V24</f>
        <v>H</v>
      </c>
      <c r="M28" s="163" t="s">
        <v>134</v>
      </c>
      <c r="N28" s="163" t="str">
        <f>'Strategy Summary'!B62</f>
        <v>1x2</v>
      </c>
      <c r="O28" s="163" t="str">
        <f>'Strategy Summary'!C62</f>
        <v>1x3</v>
      </c>
      <c r="P28" s="163" t="str">
        <f>'Strategy Summary'!D62</f>
        <v>1x4</v>
      </c>
      <c r="Q28" s="163" t="str">
        <f>'Strategy Summary'!E62</f>
        <v>1x5</v>
      </c>
      <c r="R28" s="163" t="str">
        <f>'Strategy Summary'!F62</f>
        <v>1x6</v>
      </c>
      <c r="S28" s="163" t="str">
        <f>'Strategy Summary'!G62</f>
        <v>1x7</v>
      </c>
      <c r="T28" s="163" t="str">
        <f>'Strategy Summary'!H62</f>
        <v>1x8</v>
      </c>
      <c r="U28" s="163" t="str">
        <f>'Strategy Summary'!I62</f>
        <v>1x9</v>
      </c>
      <c r="V28" s="163" t="str">
        <f>'Strategy Summary'!J62</f>
        <v>1x10</v>
      </c>
      <c r="X28" s="164">
        <f>ER!A23</f>
        <v>17</v>
      </c>
      <c r="Y28" s="34">
        <f>ER!B23</f>
        <v>-0.30094774596936263</v>
      </c>
      <c r="Z28" s="34">
        <f>ER!C23</f>
        <v>-4.9104358288916297E-4</v>
      </c>
      <c r="AA28" s="34">
        <f>ER!D23</f>
        <v>2.8975282965620523E-2</v>
      </c>
      <c r="AB28" s="34">
        <f>ER!E23</f>
        <v>5.9326275337164343E-2</v>
      </c>
      <c r="AC28" s="34">
        <f>ER!F23</f>
        <v>9.1189077686774395E-2</v>
      </c>
      <c r="AD28" s="34">
        <f>ER!G23</f>
        <v>0.12805214364549905</v>
      </c>
      <c r="AE28" s="34">
        <f>ER!H23</f>
        <v>5.3823463716116654E-2</v>
      </c>
      <c r="AF28" s="34">
        <f>ER!I23</f>
        <v>-7.2915398729642075E-2</v>
      </c>
      <c r="AG28" s="34">
        <f>ER!J23</f>
        <v>-0.14978689218213323</v>
      </c>
      <c r="AH28" s="34">
        <f>ER!K23</f>
        <v>-0.24941602102444038</v>
      </c>
    </row>
    <row r="29" spans="1:34" x14ac:dyDescent="0.2">
      <c r="A29" s="160">
        <f>Rules!L25</f>
        <v>3</v>
      </c>
      <c r="B29" s="49" t="str">
        <f>Rules!M25</f>
        <v>H</v>
      </c>
      <c r="C29" s="49" t="str">
        <f>Rules!N25</f>
        <v>H</v>
      </c>
      <c r="D29" s="49" t="str">
        <f>Rules!O25</f>
        <v>H</v>
      </c>
      <c r="E29" s="49" t="str">
        <f>Rules!P25</f>
        <v>P</v>
      </c>
      <c r="F29" s="49" t="str">
        <f>Rules!Q25</f>
        <v>P</v>
      </c>
      <c r="G29" s="49" t="str">
        <f>Rules!R25</f>
        <v>P</v>
      </c>
      <c r="H29" s="49" t="str">
        <f>Rules!S25</f>
        <v>P</v>
      </c>
      <c r="I29" s="49" t="str">
        <f>Rules!T25</f>
        <v>H</v>
      </c>
      <c r="J29" s="49" t="str">
        <f>Rules!U25</f>
        <v>H</v>
      </c>
      <c r="K29" s="49" t="str">
        <f>Rules!V25</f>
        <v>H</v>
      </c>
      <c r="M29" s="163">
        <f>'Strategy Summary'!A63</f>
        <v>2</v>
      </c>
      <c r="N29" s="1">
        <f>'Strategy Summary'!B63</f>
        <v>-6.718248683091497E-3</v>
      </c>
      <c r="O29" s="1">
        <f>'Strategy Summary'!C63</f>
        <v>-5.5478357403972991E-4</v>
      </c>
      <c r="P29" s="1">
        <f>'Strategy Summary'!D63</f>
        <v>2.5760545649554426E-3</v>
      </c>
      <c r="Q29" s="1">
        <f>'Strategy Summary'!E63</f>
        <v>4.0056483437985926E-3</v>
      </c>
      <c r="R29" s="1">
        <f>'Strategy Summary'!F63</f>
        <v>4.6077519800941102E-3</v>
      </c>
      <c r="S29" s="1">
        <f>'Strategy Summary'!G63</f>
        <v>4.8016945689157865E-3</v>
      </c>
      <c r="T29" s="1">
        <f>'Strategy Summary'!H63</f>
        <v>4.790266096462277E-3</v>
      </c>
      <c r="U29" s="1">
        <f>'Strategy Summary'!I63</f>
        <v>4.6756531197557367E-3</v>
      </c>
      <c r="V29" s="1">
        <f>'Strategy Summary'!J63</f>
        <v>4.5113459413449472E-3</v>
      </c>
      <c r="X29" s="164">
        <f>ER!A24</f>
        <v>18</v>
      </c>
      <c r="Y29" s="34">
        <f>ER!B24</f>
        <v>-0.24150883119675959</v>
      </c>
      <c r="Z29" s="34">
        <f>ER!C24</f>
        <v>0.12174190222088771</v>
      </c>
      <c r="AA29" s="34">
        <f>ER!D24</f>
        <v>0.14830007284131119</v>
      </c>
      <c r="AB29" s="34">
        <f>ER!E24</f>
        <v>0.17585443719748528</v>
      </c>
      <c r="AC29" s="34">
        <f>ER!F24</f>
        <v>0.19956119497617719</v>
      </c>
      <c r="AD29" s="34">
        <f>ER!G24</f>
        <v>0.28344391604689856</v>
      </c>
      <c r="AE29" s="34">
        <f>ER!H24</f>
        <v>0.3995541673365518</v>
      </c>
      <c r="AF29" s="34">
        <f>ER!I24</f>
        <v>0.10595134861912359</v>
      </c>
      <c r="AG29" s="34">
        <f>ER!J24</f>
        <v>-0.10074430758041522</v>
      </c>
      <c r="AH29" s="34">
        <f>ER!K24</f>
        <v>-0.20109793381277147</v>
      </c>
    </row>
    <row r="30" spans="1:34" x14ac:dyDescent="0.2">
      <c r="A30" s="160">
        <f>Rules!L26</f>
        <v>4</v>
      </c>
      <c r="B30" s="49" t="str">
        <f>Rules!M26</f>
        <v>H</v>
      </c>
      <c r="C30" s="49" t="str">
        <f>Rules!N26</f>
        <v>H</v>
      </c>
      <c r="D30" s="49" t="str">
        <f>Rules!O26</f>
        <v>H</v>
      </c>
      <c r="E30" s="49" t="str">
        <f>Rules!P26</f>
        <v>H</v>
      </c>
      <c r="F30" s="49" t="str">
        <f>Rules!Q26</f>
        <v>H</v>
      </c>
      <c r="G30" s="49" t="str">
        <f>Rules!R26</f>
        <v>H</v>
      </c>
      <c r="H30" s="49" t="str">
        <f>Rules!S26</f>
        <v>H</v>
      </c>
      <c r="I30" s="49" t="str">
        <f>Rules!T26</f>
        <v>H</v>
      </c>
      <c r="J30" s="49" t="str">
        <f>Rules!U26</f>
        <v>H</v>
      </c>
      <c r="K30" s="49" t="str">
        <f>Rules!V26</f>
        <v>H</v>
      </c>
      <c r="M30" s="163">
        <f>'Strategy Summary'!A64</f>
        <v>3</v>
      </c>
      <c r="N30" s="1">
        <f>'Strategy Summary'!B64</f>
        <v>-7.7490156455020595E-3</v>
      </c>
      <c r="O30" s="1">
        <f>'Strategy Summary'!C64</f>
        <v>-4.0978789774881956E-4</v>
      </c>
      <c r="P30" s="1">
        <f>'Strategy Summary'!D64</f>
        <v>1.3848222817584173E-3</v>
      </c>
      <c r="Q30" s="1">
        <f>'Strategy Summary'!E64</f>
        <v>1.6872004976085195E-3</v>
      </c>
      <c r="R30" s="1">
        <f>'Strategy Summary'!F64</f>
        <v>1.5946632973989183E-3</v>
      </c>
      <c r="S30" s="1">
        <f>'Strategy Summary'!G64</f>
        <v>1.4108106793271399E-3</v>
      </c>
      <c r="T30" s="1">
        <f>'Strategy Summary'!H64</f>
        <v>1.2235387435953762E-3</v>
      </c>
      <c r="U30" s="1">
        <f>'Strategy Summary'!I64</f>
        <v>1.0568952894393895E-3</v>
      </c>
      <c r="V30" s="1">
        <f>'Strategy Summary'!J64</f>
        <v>9.1505037245743549E-4</v>
      </c>
      <c r="X30" s="164">
        <f>ER!A25</f>
        <v>19</v>
      </c>
      <c r="Y30" s="34">
        <f>ER!B25</f>
        <v>-1.8660154151531549E-2</v>
      </c>
      <c r="Z30" s="34">
        <f>ER!C25</f>
        <v>0.38630468602058987</v>
      </c>
      <c r="AA30" s="34">
        <f>ER!D25</f>
        <v>0.40436293659776001</v>
      </c>
      <c r="AB30" s="34">
        <f>ER!E25</f>
        <v>0.42317892482749647</v>
      </c>
      <c r="AC30" s="34">
        <f>ER!F25</f>
        <v>0.43951210416088371</v>
      </c>
      <c r="AD30" s="34">
        <f>ER!G25</f>
        <v>0.49597707378731909</v>
      </c>
      <c r="AE30" s="34">
        <f>ER!H25</f>
        <v>0.6159764957534315</v>
      </c>
      <c r="AF30" s="34">
        <f>ER!I25</f>
        <v>0.5938536682866945</v>
      </c>
      <c r="AG30" s="34">
        <f>ER!J25</f>
        <v>0.28759675706758142</v>
      </c>
      <c r="AH30" s="34">
        <f>ER!K25</f>
        <v>-1.8660154151531536E-2</v>
      </c>
    </row>
    <row r="31" spans="1:34" x14ac:dyDescent="0.2">
      <c r="A31" s="160">
        <f>Rules!L27</f>
        <v>5</v>
      </c>
      <c r="B31" s="49" t="str">
        <f>Rules!M27</f>
        <v>H</v>
      </c>
      <c r="C31" s="49" t="str">
        <f>Rules!N27</f>
        <v>D</v>
      </c>
      <c r="D31" s="49" t="str">
        <f>Rules!O27</f>
        <v>D</v>
      </c>
      <c r="E31" s="49" t="str">
        <f>Rules!P27</f>
        <v>D</v>
      </c>
      <c r="F31" s="49" t="str">
        <f>Rules!Q27</f>
        <v>D</v>
      </c>
      <c r="G31" s="49" t="str">
        <f>Rules!R27</f>
        <v>D</v>
      </c>
      <c r="H31" s="49" t="str">
        <f>Rules!S27</f>
        <v>D</v>
      </c>
      <c r="I31" s="49" t="str">
        <f>Rules!T27</f>
        <v>D</v>
      </c>
      <c r="J31" s="49" t="str">
        <f>Rules!U27</f>
        <v>D</v>
      </c>
      <c r="K31" s="49" t="str">
        <f>Rules!V27</f>
        <v>H</v>
      </c>
      <c r="M31" s="163">
        <f>'Strategy Summary'!A65</f>
        <v>4</v>
      </c>
      <c r="N31" s="1">
        <f>'Strategy Summary'!B65</f>
        <v>-6.815514376734574E-3</v>
      </c>
      <c r="O31" s="1">
        <f>'Strategy Summary'!C65</f>
        <v>-2.3183720989878768E-4</v>
      </c>
      <c r="P31" s="1">
        <f>'Strategy Summary'!D65</f>
        <v>5.6949313867733211E-4</v>
      </c>
      <c r="Q31" s="1">
        <f>'Strategy Summary'!E65</f>
        <v>5.4355672866404007E-4</v>
      </c>
      <c r="R31" s="1">
        <f>'Strategy Summary'!F65</f>
        <v>4.2225794043019953E-4</v>
      </c>
      <c r="S31" s="1">
        <f>'Strategy Summary'!G65</f>
        <v>3.1727627746795488E-4</v>
      </c>
      <c r="T31" s="1">
        <f>'Strategy Summary'!H65</f>
        <v>2.3926933385682301E-4</v>
      </c>
      <c r="U31" s="1">
        <f>'Strategy Summary'!I65</f>
        <v>1.8293104171253599E-4</v>
      </c>
      <c r="V31" s="1">
        <f>'Strategy Summary'!J65</f>
        <v>1.4211835342606321E-4</v>
      </c>
      <c r="X31" s="164">
        <f>ER!A26</f>
        <v>20</v>
      </c>
      <c r="Y31" s="34">
        <f>ER!B26</f>
        <v>0.20418852289369649</v>
      </c>
      <c r="Z31" s="34">
        <f>ER!C26</f>
        <v>0.63998657521683877</v>
      </c>
      <c r="AA31" s="34">
        <f>ER!D26</f>
        <v>0.65027209425148136</v>
      </c>
      <c r="AB31" s="34">
        <f>ER!E26</f>
        <v>0.66104996194807186</v>
      </c>
      <c r="AC31" s="34">
        <f>ER!F26</f>
        <v>0.67035969063279999</v>
      </c>
      <c r="AD31" s="34">
        <f>ER!G26</f>
        <v>0.70395857017134467</v>
      </c>
      <c r="AE31" s="34">
        <f>ER!H26</f>
        <v>0.77322722653717491</v>
      </c>
      <c r="AF31" s="34">
        <f>ER!I26</f>
        <v>0.79181515955189841</v>
      </c>
      <c r="AG31" s="34">
        <f>ER!J26</f>
        <v>0.75835687080859626</v>
      </c>
      <c r="AH31" s="34">
        <f>ER!K26</f>
        <v>0.43495775366292722</v>
      </c>
    </row>
    <row r="32" spans="1:34" x14ac:dyDescent="0.2">
      <c r="A32" s="160">
        <f>Rules!L28</f>
        <v>6</v>
      </c>
      <c r="B32" s="49" t="str">
        <f>Rules!M28</f>
        <v>H</v>
      </c>
      <c r="C32" s="49" t="str">
        <f>Rules!N28</f>
        <v>H</v>
      </c>
      <c r="D32" s="49" t="str">
        <f>Rules!O28</f>
        <v>P</v>
      </c>
      <c r="E32" s="49" t="str">
        <f>Rules!P28</f>
        <v>P</v>
      </c>
      <c r="F32" s="49" t="str">
        <f>Rules!Q28</f>
        <v>P</v>
      </c>
      <c r="G32" s="49" t="str">
        <f>Rules!R28</f>
        <v>P</v>
      </c>
      <c r="H32" s="49" t="str">
        <f>Rules!S28</f>
        <v>H</v>
      </c>
      <c r="I32" s="49" t="str">
        <f>Rules!T28</f>
        <v>H</v>
      </c>
      <c r="J32" s="49" t="str">
        <f>Rules!U28</f>
        <v>H</v>
      </c>
      <c r="K32" s="49" t="str">
        <f>Rules!V28</f>
        <v>H</v>
      </c>
      <c r="M32" s="292" t="s">
        <v>194</v>
      </c>
      <c r="N32" s="293"/>
      <c r="O32" s="293"/>
      <c r="P32" s="293"/>
      <c r="Q32" s="293"/>
      <c r="R32" s="293"/>
      <c r="S32" s="293"/>
      <c r="T32" s="293"/>
      <c r="U32" s="293"/>
      <c r="V32" s="294"/>
      <c r="X32" s="164">
        <f>ER!A27</f>
        <v>21</v>
      </c>
      <c r="Y32" s="34">
        <f>ER!B27</f>
        <v>1.5</v>
      </c>
      <c r="Z32" s="34">
        <f>ER!C27</f>
        <v>1.5</v>
      </c>
      <c r="AA32" s="34">
        <f>ER!D27</f>
        <v>1.5</v>
      </c>
      <c r="AB32" s="34">
        <f>ER!E27</f>
        <v>1.5</v>
      </c>
      <c r="AC32" s="34">
        <f>ER!F27</f>
        <v>1.5</v>
      </c>
      <c r="AD32" s="34">
        <f>ER!G27</f>
        <v>1.5</v>
      </c>
      <c r="AE32" s="34">
        <f>ER!H27</f>
        <v>1.5</v>
      </c>
      <c r="AF32" s="34">
        <f>ER!I27</f>
        <v>1.5</v>
      </c>
      <c r="AG32" s="34">
        <f>ER!J27</f>
        <v>1.5</v>
      </c>
      <c r="AH32" s="34">
        <f>ER!K27</f>
        <v>1.5</v>
      </c>
    </row>
    <row r="33" spans="1:34" x14ac:dyDescent="0.2">
      <c r="A33" s="160">
        <f>Rules!L29</f>
        <v>7</v>
      </c>
      <c r="B33" s="49" t="str">
        <f>Rules!M29</f>
        <v>H</v>
      </c>
      <c r="C33" s="49" t="str">
        <f>Rules!N29</f>
        <v>P</v>
      </c>
      <c r="D33" s="49" t="str">
        <f>Rules!O29</f>
        <v>P</v>
      </c>
      <c r="E33" s="49" t="str">
        <f>Rules!P29</f>
        <v>P</v>
      </c>
      <c r="F33" s="49" t="str">
        <f>Rules!Q29</f>
        <v>P</v>
      </c>
      <c r="G33" s="49" t="str">
        <f>Rules!R29</f>
        <v>P</v>
      </c>
      <c r="H33" s="49" t="str">
        <f>Rules!S29</f>
        <v>P</v>
      </c>
      <c r="I33" s="49" t="str">
        <f>Rules!T29</f>
        <v>H</v>
      </c>
      <c r="J33" s="49" t="str">
        <f>Rules!U29</f>
        <v>H</v>
      </c>
      <c r="K33" s="49" t="str">
        <f>Rules!V29</f>
        <v>H</v>
      </c>
      <c r="M33" s="163" t="s">
        <v>134</v>
      </c>
      <c r="N33" s="163" t="str">
        <f>N23</f>
        <v>1x2</v>
      </c>
      <c r="O33" s="163" t="str">
        <f t="shared" ref="O33:V33" si="0">O23</f>
        <v>1x3</v>
      </c>
      <c r="P33" s="163" t="str">
        <f t="shared" si="0"/>
        <v>1x4</v>
      </c>
      <c r="Q33" s="163" t="str">
        <f t="shared" si="0"/>
        <v>1x5</v>
      </c>
      <c r="R33" s="163" t="str">
        <f t="shared" si="0"/>
        <v>1x6</v>
      </c>
      <c r="S33" s="163" t="str">
        <f t="shared" si="0"/>
        <v>1x7</v>
      </c>
      <c r="T33" s="163" t="str">
        <f t="shared" si="0"/>
        <v>1x8</v>
      </c>
      <c r="U33" s="163" t="str">
        <f t="shared" si="0"/>
        <v>1x9</v>
      </c>
      <c r="V33" s="163" t="str">
        <f t="shared" si="0"/>
        <v>1x10</v>
      </c>
      <c r="X33" s="164" t="str">
        <f>ER!A28</f>
        <v>Pair</v>
      </c>
      <c r="Y33" s="164" t="str">
        <f>ER!B28</f>
        <v>Ace</v>
      </c>
      <c r="Z33" s="164">
        <f>ER!C28</f>
        <v>2</v>
      </c>
      <c r="AA33" s="164">
        <f>ER!D28</f>
        <v>3</v>
      </c>
      <c r="AB33" s="164">
        <f>ER!E28</f>
        <v>4</v>
      </c>
      <c r="AC33" s="164">
        <f>ER!F28</f>
        <v>5</v>
      </c>
      <c r="AD33" s="164">
        <f>ER!G28</f>
        <v>6</v>
      </c>
      <c r="AE33" s="164">
        <f>ER!H28</f>
        <v>7</v>
      </c>
      <c r="AF33" s="164">
        <f>ER!I28</f>
        <v>8</v>
      </c>
      <c r="AG33" s="164">
        <f>ER!J28</f>
        <v>9</v>
      </c>
      <c r="AH33" s="164">
        <f>ER!K28</f>
        <v>10</v>
      </c>
    </row>
    <row r="34" spans="1:34" x14ac:dyDescent="0.2">
      <c r="A34" s="160">
        <f>Rules!L30</f>
        <v>8</v>
      </c>
      <c r="B34" s="49" t="str">
        <f>Rules!M30</f>
        <v>S</v>
      </c>
      <c r="C34" s="49" t="str">
        <f>Rules!N30</f>
        <v>P</v>
      </c>
      <c r="D34" s="49" t="str">
        <f>Rules!O30</f>
        <v>P</v>
      </c>
      <c r="E34" s="49" t="str">
        <f>Rules!P30</f>
        <v>P</v>
      </c>
      <c r="F34" s="49" t="str">
        <f>Rules!Q30</f>
        <v>P</v>
      </c>
      <c r="G34" s="49" t="str">
        <f>Rules!R30</f>
        <v>P</v>
      </c>
      <c r="H34" s="49" t="str">
        <f>Rules!S30</f>
        <v>P</v>
      </c>
      <c r="I34" s="49" t="str">
        <f>Rules!T30</f>
        <v>P</v>
      </c>
      <c r="J34" s="49" t="str">
        <f>Rules!U30</f>
        <v>P</v>
      </c>
      <c r="K34" s="49" t="str">
        <f>Rules!V30</f>
        <v>H</v>
      </c>
      <c r="M34" s="163">
        <v>1</v>
      </c>
      <c r="N34" s="1">
        <f>'Strategy Summary (2)'!B63</f>
        <v>-1.0181064096827501E-3</v>
      </c>
      <c r="O34" s="1">
        <f>'Strategy Summary (2)'!C63</f>
        <v>-1.4834802922987964E-4</v>
      </c>
      <c r="P34" s="1">
        <f>'Strategy Summary (2)'!D63</f>
        <v>8.2598730279862236E-4</v>
      </c>
      <c r="Q34" s="1">
        <f>'Strategy Summary (2)'!E63</f>
        <v>1.4092778508017225E-3</v>
      </c>
      <c r="R34" s="1">
        <f>'Strategy Summary (2)'!F63</f>
        <v>1.7129573820747273E-3</v>
      </c>
      <c r="S34" s="1">
        <f>'Strategy Summary (2)'!G63</f>
        <v>1.8489062502372426E-3</v>
      </c>
      <c r="T34" s="1">
        <f>'Strategy Summary (2)'!H63</f>
        <v>1.8880451053666942E-3</v>
      </c>
      <c r="U34" s="1">
        <f>'Strategy Summary (2)'!I63</f>
        <v>1.8723626805010941E-3</v>
      </c>
      <c r="V34" s="1">
        <f>'Strategy Summary (2)'!J63</f>
        <v>1.8265087464716383E-3</v>
      </c>
      <c r="X34" s="164" t="str">
        <f>ER!A29</f>
        <v>Ace</v>
      </c>
      <c r="Y34" s="34">
        <f>ER!B29</f>
        <v>-0.11815715102876453</v>
      </c>
      <c r="Z34" s="34">
        <f>ER!C29</f>
        <v>0.47064092333946894</v>
      </c>
      <c r="AA34" s="34">
        <f>ER!D29</f>
        <v>0.51779525312221664</v>
      </c>
      <c r="AB34" s="34">
        <f>ER!E29</f>
        <v>0.56604055041797596</v>
      </c>
      <c r="AC34" s="34">
        <f>ER!F29</f>
        <v>0.61469901790902803</v>
      </c>
      <c r="AD34" s="34">
        <f>ER!G29</f>
        <v>0.66738009490756944</v>
      </c>
      <c r="AE34" s="34">
        <f>ER!H29</f>
        <v>0.46288894886429088</v>
      </c>
      <c r="AF34" s="34">
        <f>ER!I29</f>
        <v>0.35069259087031512</v>
      </c>
      <c r="AG34" s="34">
        <f>ER!J29</f>
        <v>0.22778342315245487</v>
      </c>
      <c r="AH34" s="34">
        <f>ER!K29</f>
        <v>5.9357641870643733E-2</v>
      </c>
    </row>
    <row r="35" spans="1:34" x14ac:dyDescent="0.2">
      <c r="A35" s="160">
        <f>Rules!L31</f>
        <v>9</v>
      </c>
      <c r="B35" s="49" t="str">
        <f>Rules!M31</f>
        <v>S</v>
      </c>
      <c r="C35" s="49" t="str">
        <f>Rules!N31</f>
        <v>P</v>
      </c>
      <c r="D35" s="49" t="str">
        <f>Rules!O31</f>
        <v>P</v>
      </c>
      <c r="E35" s="49" t="str">
        <f>Rules!P31</f>
        <v>P</v>
      </c>
      <c r="F35" s="49" t="str">
        <f>Rules!Q31</f>
        <v>P</v>
      </c>
      <c r="G35" s="49" t="str">
        <f>Rules!R31</f>
        <v>P</v>
      </c>
      <c r="H35" s="49" t="str">
        <f>Rules!S31</f>
        <v>S</v>
      </c>
      <c r="I35" s="49" t="str">
        <f>Rules!T31</f>
        <v>P</v>
      </c>
      <c r="J35" s="49" t="str">
        <f>Rules!U31</f>
        <v>P</v>
      </c>
      <c r="K35" s="49" t="str">
        <f>Rules!V31</f>
        <v>S</v>
      </c>
      <c r="M35" s="163">
        <v>2</v>
      </c>
      <c r="N35" s="1">
        <f>'Strategy Summary (2)'!B64</f>
        <v>-4.030949209854898E-3</v>
      </c>
      <c r="O35" s="1">
        <f>'Strategy Summary (2)'!C64</f>
        <v>-2.4657047735099108E-4</v>
      </c>
      <c r="P35" s="1">
        <f>'Strategy Summary (2)'!D64</f>
        <v>9.2001948748408663E-4</v>
      </c>
      <c r="Q35" s="1">
        <f>'Strategy Summary (2)'!E64</f>
        <v>1.2016945031395776E-3</v>
      </c>
      <c r="R35" s="1">
        <f>'Strategy Summary (2)'!F64</f>
        <v>1.1946023652095843E-3</v>
      </c>
      <c r="S35" s="1">
        <f>'Strategy Summary (2)'!G64</f>
        <v>1.0975301871807511E-3</v>
      </c>
      <c r="T35" s="1">
        <f>'Strategy Summary (2)'!H64</f>
        <v>9.7982715609455672E-4</v>
      </c>
      <c r="U35" s="1">
        <f>'Strategy Summary (2)'!I64</f>
        <v>8.6586168884365496E-4</v>
      </c>
      <c r="V35" s="1">
        <f>'Strategy Summary (2)'!J64</f>
        <v>7.6345854391991427E-4</v>
      </c>
      <c r="X35" s="164">
        <f>ER!A30</f>
        <v>2</v>
      </c>
      <c r="Y35" s="34">
        <f>ER!B30</f>
        <v>-0.38538530661686615</v>
      </c>
      <c r="Z35" s="34">
        <f>ER!C30</f>
        <v>-0.11491332761892134</v>
      </c>
      <c r="AA35" s="34">
        <f>ER!D30</f>
        <v>-8.2613314299744348E-2</v>
      </c>
      <c r="AB35" s="34">
        <f>ER!E30</f>
        <v>-4.4200824271668777E-2</v>
      </c>
      <c r="AC35" s="34">
        <f>ER!F30</f>
        <v>2.7460064569567143E-2</v>
      </c>
      <c r="AD35" s="34">
        <f>ER!G30</f>
        <v>7.7766823892602463E-2</v>
      </c>
      <c r="AE35" s="34">
        <f>ER!H30</f>
        <v>-5.4514042751724494E-2</v>
      </c>
      <c r="AF35" s="34">
        <f>ER!I30</f>
        <v>-0.15933415266020512</v>
      </c>
      <c r="AG35" s="34">
        <f>ER!J30</f>
        <v>-0.24066617915336547</v>
      </c>
      <c r="AH35" s="34">
        <f>ER!K30</f>
        <v>-0.33509986436351097</v>
      </c>
    </row>
    <row r="36" spans="1:34" x14ac:dyDescent="0.2">
      <c r="A36" s="160">
        <f>Rules!L32</f>
        <v>10</v>
      </c>
      <c r="B36" s="49" t="str">
        <f>Rules!M32</f>
        <v>S</v>
      </c>
      <c r="C36" s="49" t="str">
        <f>Rules!N32</f>
        <v>S</v>
      </c>
      <c r="D36" s="49" t="str">
        <f>Rules!O32</f>
        <v>S</v>
      </c>
      <c r="E36" s="49" t="str">
        <f>Rules!P32</f>
        <v>S</v>
      </c>
      <c r="F36" s="49" t="str">
        <f>Rules!Q32</f>
        <v>S</v>
      </c>
      <c r="G36" s="49" t="str">
        <f>Rules!R32</f>
        <v>S</v>
      </c>
      <c r="H36" s="49" t="str">
        <f>Rules!S32</f>
        <v>S</v>
      </c>
      <c r="I36" s="49" t="str">
        <f>Rules!T32</f>
        <v>S</v>
      </c>
      <c r="J36" s="49" t="str">
        <f>Rules!U32</f>
        <v>S</v>
      </c>
      <c r="K36" s="49" t="str">
        <f>Rules!V32</f>
        <v>S</v>
      </c>
      <c r="M36" s="163">
        <v>3</v>
      </c>
      <c r="N36" s="1">
        <f>'Strategy Summary (2)'!B65</f>
        <v>-4.3394487614811543E-3</v>
      </c>
      <c r="O36" s="1">
        <f>'Strategy Summary (2)'!C65</f>
        <v>-1.7184653776563402E-4</v>
      </c>
      <c r="P36" s="1">
        <f>'Strategy Summary (2)'!D65</f>
        <v>4.7286614499067909E-4</v>
      </c>
      <c r="Q36" s="1">
        <f>'Strategy Summary (2)'!E65</f>
        <v>4.8881509743798224E-4</v>
      </c>
      <c r="R36" s="1">
        <f>'Strategy Summary (2)'!F65</f>
        <v>4.0217314831761587E-4</v>
      </c>
      <c r="S36" s="1">
        <f>'Strategy Summary (2)'!G65</f>
        <v>3.1535768126136069E-4</v>
      </c>
      <c r="T36" s="1">
        <f>'Strategy Summary (2)'!H65</f>
        <v>2.4571754685684313E-4</v>
      </c>
      <c r="U36" s="1">
        <f>'Strategy Summary (2)'!I65</f>
        <v>1.9274042352501893E-4</v>
      </c>
      <c r="V36" s="1">
        <f>'Strategy Summary (2)'!J65</f>
        <v>1.5285265815316077E-4</v>
      </c>
      <c r="X36" s="164">
        <f>ER!A31</f>
        <v>3</v>
      </c>
      <c r="Y36" s="34">
        <f>ER!B31</f>
        <v>-0.41968690347101079</v>
      </c>
      <c r="Z36" s="34">
        <f>ER!C31</f>
        <v>-0.14075911746001987</v>
      </c>
      <c r="AA36" s="34">
        <f>ER!D31</f>
        <v>-0.10729107800860835</v>
      </c>
      <c r="AB36" s="34">
        <f>ER!E31</f>
        <v>-7.2522581417810678E-2</v>
      </c>
      <c r="AC36" s="34">
        <f>ER!F31</f>
        <v>3.3991424279375615E-4</v>
      </c>
      <c r="AD36" s="34">
        <f>ER!G31</f>
        <v>4.8942606413118719E-2</v>
      </c>
      <c r="AE36" s="34">
        <f>ER!H31</f>
        <v>-0.11487517708071333</v>
      </c>
      <c r="AF36" s="34">
        <f>ER!I31</f>
        <v>-0.21724188132078476</v>
      </c>
      <c r="AG36" s="34">
        <f>ER!J31</f>
        <v>-0.29264070019772598</v>
      </c>
      <c r="AH36" s="34">
        <f>ER!K31</f>
        <v>-0.38050766229289529</v>
      </c>
    </row>
    <row r="37" spans="1:34" x14ac:dyDescent="0.2">
      <c r="A37" s="284" t="str">
        <f>Summary!B32</f>
        <v>EV = -0.0322153307097501</v>
      </c>
      <c r="B37" s="284"/>
      <c r="C37" s="284"/>
      <c r="D37" s="284"/>
      <c r="E37" s="284"/>
      <c r="F37" s="284"/>
      <c r="G37" s="284"/>
      <c r="H37" s="284"/>
      <c r="I37" s="284"/>
      <c r="J37" s="284"/>
      <c r="K37" s="284"/>
      <c r="M37" s="292" t="s">
        <v>195</v>
      </c>
      <c r="N37" s="293"/>
      <c r="O37" s="293"/>
      <c r="P37" s="293"/>
      <c r="Q37" s="293"/>
      <c r="R37" s="293"/>
      <c r="S37" s="293"/>
      <c r="T37" s="293"/>
      <c r="U37" s="293"/>
      <c r="V37" s="294"/>
      <c r="X37" s="164">
        <f>ER!A32</f>
        <v>4</v>
      </c>
      <c r="Y37" s="34">
        <f>ER!B32</f>
        <v>-0.33034033459070061</v>
      </c>
      <c r="Z37" s="34">
        <f>ER!C32</f>
        <v>-2.1798188008805671E-2</v>
      </c>
      <c r="AA37" s="34">
        <f>ER!D32</f>
        <v>8.0052625306546912E-3</v>
      </c>
      <c r="AB37" s="34">
        <f>ER!E32</f>
        <v>3.8784473277208804E-2</v>
      </c>
      <c r="AC37" s="34">
        <f>ER!F32</f>
        <v>7.0804635983033826E-2</v>
      </c>
      <c r="AD37" s="34">
        <f>ER!G32</f>
        <v>0.11496015009622321</v>
      </c>
      <c r="AE37" s="34">
        <f>ER!H32</f>
        <v>8.2207439363742862E-2</v>
      </c>
      <c r="AF37" s="34">
        <f>ER!I32</f>
        <v>-5.989827565865629E-2</v>
      </c>
      <c r="AG37" s="34">
        <f>ER!J32</f>
        <v>-0.2101863319982176</v>
      </c>
      <c r="AH37" s="34">
        <f>ER!K32</f>
        <v>-0.30177738614031369</v>
      </c>
    </row>
    <row r="38" spans="1:34" x14ac:dyDescent="0.2">
      <c r="A38" s="284" t="str">
        <f>Summary!B33</f>
        <v>EV = -3.22153307097501 %</v>
      </c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M38" s="163" t="s">
        <v>134</v>
      </c>
      <c r="N38" s="163" t="str">
        <f>N28</f>
        <v>1x2</v>
      </c>
      <c r="O38" s="163" t="str">
        <f t="shared" ref="O38:V38" si="1">O28</f>
        <v>1x3</v>
      </c>
      <c r="P38" s="163" t="str">
        <f t="shared" si="1"/>
        <v>1x4</v>
      </c>
      <c r="Q38" s="163" t="str">
        <f t="shared" si="1"/>
        <v>1x5</v>
      </c>
      <c r="R38" s="163" t="str">
        <f t="shared" si="1"/>
        <v>1x6</v>
      </c>
      <c r="S38" s="163" t="str">
        <f t="shared" si="1"/>
        <v>1x7</v>
      </c>
      <c r="T38" s="163" t="str">
        <f t="shared" si="1"/>
        <v>1x8</v>
      </c>
      <c r="U38" s="163" t="str">
        <f t="shared" si="1"/>
        <v>1x9</v>
      </c>
      <c r="V38" s="163" t="str">
        <f t="shared" si="1"/>
        <v>1x10</v>
      </c>
      <c r="X38" s="164">
        <f>ER!A33</f>
        <v>5</v>
      </c>
      <c r="Y38" s="34">
        <f>ER!B33</f>
        <v>-0.14666789263035868</v>
      </c>
      <c r="Z38" s="34">
        <f>ER!C33</f>
        <v>0.3589394124422991</v>
      </c>
      <c r="AA38" s="34">
        <f>ER!D33</f>
        <v>0.40932067017593915</v>
      </c>
      <c r="AB38" s="34">
        <f>ER!E33</f>
        <v>0.460940243794354</v>
      </c>
      <c r="AC38" s="34">
        <f>ER!F33</f>
        <v>0.51251710900326775</v>
      </c>
      <c r="AD38" s="34">
        <f>ER!G33</f>
        <v>0.57559016859776857</v>
      </c>
      <c r="AE38" s="34">
        <f>ER!H33</f>
        <v>0.39241245528243773</v>
      </c>
      <c r="AF38" s="34">
        <f>ER!I33</f>
        <v>0.28663571688628381</v>
      </c>
      <c r="AG38" s="34">
        <f>ER!J33</f>
        <v>0.1443283683807712</v>
      </c>
      <c r="AH38" s="34">
        <f>ER!K33</f>
        <v>-4.4990260383613007E-2</v>
      </c>
    </row>
    <row r="39" spans="1:34" x14ac:dyDescent="0.2">
      <c r="A39" s="288" t="str">
        <f>Summary!B34</f>
        <v>H = Hit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M39" s="163">
        <v>2</v>
      </c>
      <c r="N39" s="1">
        <f>N9*N19</f>
        <v>-1.1150517112550824</v>
      </c>
      <c r="O39" s="1">
        <f t="shared" ref="O39:V39" si="2">O9*O19</f>
        <v>-0.21342225973533718</v>
      </c>
      <c r="P39" s="1">
        <f t="shared" si="2"/>
        <v>2.2026558559923828</v>
      </c>
      <c r="Q39" s="1">
        <f t="shared" si="2"/>
        <v>6.8700633229822969</v>
      </c>
      <c r="R39" s="1">
        <f t="shared" si="2"/>
        <v>14.490997398794562</v>
      </c>
      <c r="S39" s="1">
        <f t="shared" si="2"/>
        <v>25.756017476543679</v>
      </c>
      <c r="T39" s="1">
        <f t="shared" si="2"/>
        <v>41.344812798768821</v>
      </c>
      <c r="U39" s="1">
        <f t="shared" si="2"/>
        <v>61.92642840370128</v>
      </c>
      <c r="V39" s="1">
        <f t="shared" si="2"/>
        <v>88.160730116230937</v>
      </c>
      <c r="X39" s="164">
        <f>ER!A34</f>
        <v>6</v>
      </c>
      <c r="Y39" s="34">
        <f>ER!B34</f>
        <v>-0.46566058377683939</v>
      </c>
      <c r="Z39" s="34">
        <f>ER!C34</f>
        <v>-0.25338998596663809</v>
      </c>
      <c r="AA39" s="34">
        <f>ER!D34</f>
        <v>-0.2145821560172167</v>
      </c>
      <c r="AB39" s="34">
        <f>ER!E34</f>
        <v>-0.14583428385277461</v>
      </c>
      <c r="AC39" s="34">
        <f>ER!F34</f>
        <v>-6.9831946660204355E-2</v>
      </c>
      <c r="AD39" s="34">
        <f>ER!G34</f>
        <v>-2.6011671059748588E-2</v>
      </c>
      <c r="AE39" s="34">
        <f>ER!H34</f>
        <v>-0.21284771451731424</v>
      </c>
      <c r="AF39" s="34">
        <f>ER!I34</f>
        <v>-0.27157480502428616</v>
      </c>
      <c r="AG39" s="34">
        <f>ER!J34</f>
        <v>-0.3400132806089356</v>
      </c>
      <c r="AH39" s="34">
        <f>ER!K34</f>
        <v>-0.42069618899826788</v>
      </c>
    </row>
    <row r="40" spans="1:34" x14ac:dyDescent="0.2">
      <c r="A40" s="289" t="str">
        <f>Summary!B35</f>
        <v>D = Double</v>
      </c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M40" s="163">
        <v>3</v>
      </c>
      <c r="N40" s="1">
        <f t="shared" ref="N40:V40" si="3">N10*N20</f>
        <v>-3.6715417387505527</v>
      </c>
      <c r="O40" s="1">
        <f t="shared" si="3"/>
        <v>-1.0155691704948375</v>
      </c>
      <c r="P40" s="1">
        <f t="shared" si="3"/>
        <v>13.732286699438538</v>
      </c>
      <c r="Q40" s="1">
        <f t="shared" si="3"/>
        <v>53.055548293590093</v>
      </c>
      <c r="R40" s="1">
        <f t="shared" si="3"/>
        <v>133.58684941924173</v>
      </c>
      <c r="S40" s="1">
        <f t="shared" si="3"/>
        <v>276.07903679760011</v>
      </c>
      <c r="T40" s="1">
        <f t="shared" si="3"/>
        <v>505.32163729279631</v>
      </c>
      <c r="U40" s="1">
        <f t="shared" si="3"/>
        <v>850.05949497895858</v>
      </c>
      <c r="V40" s="1">
        <f t="shared" si="3"/>
        <v>1342.9342422531383</v>
      </c>
      <c r="X40" s="164">
        <f>ER!A35</f>
        <v>7</v>
      </c>
      <c r="Y40" s="34">
        <f>ER!B35</f>
        <v>-0.53926856458309114</v>
      </c>
      <c r="Z40" s="34">
        <f>ER!C35</f>
        <v>-0.21836685573323267</v>
      </c>
      <c r="AA40" s="34">
        <f>ER!D35</f>
        <v>-0.15316596380892716</v>
      </c>
      <c r="AB40" s="34">
        <f>ER!E35</f>
        <v>-8.6043588008683752E-2</v>
      </c>
      <c r="AC40" s="34">
        <f>ER!F35</f>
        <v>-1.4542721805881769E-2</v>
      </c>
      <c r="AD40" s="34">
        <f>ER!G35</f>
        <v>5.8370684707721728E-2</v>
      </c>
      <c r="AE40" s="34">
        <f>ER!H35</f>
        <v>-0.13761559916085553</v>
      </c>
      <c r="AF40" s="34">
        <f>ER!I35</f>
        <v>-0.37191909208726714</v>
      </c>
      <c r="AG40" s="34">
        <f>ER!J35</f>
        <v>-0.43092981848423528</v>
      </c>
      <c r="AH40" s="34">
        <f>ER!K35</f>
        <v>-0.50049824459544523</v>
      </c>
    </row>
    <row r="41" spans="1:34" x14ac:dyDescent="0.2">
      <c r="A41" s="285" t="str">
        <f>Summary!B36</f>
        <v>S = Stand</v>
      </c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M41" s="163">
        <v>4</v>
      </c>
      <c r="N41" s="1">
        <f t="shared" ref="N41:V41" si="4">N11*N21</f>
        <v>-11.002252478932093</v>
      </c>
      <c r="O41" s="1">
        <f t="shared" si="4"/>
        <v>-4.3796741765203997</v>
      </c>
      <c r="P41" s="1">
        <f t="shared" si="4"/>
        <v>77.889863282806957</v>
      </c>
      <c r="Q41" s="1">
        <f t="shared" si="4"/>
        <v>373.92332263754417</v>
      </c>
      <c r="R41" s="1">
        <f t="shared" si="4"/>
        <v>1126.2498720887957</v>
      </c>
      <c r="S41" s="1">
        <f t="shared" si="4"/>
        <v>2710.5142328947422</v>
      </c>
      <c r="T41" s="1">
        <f t="shared" si="4"/>
        <v>5663.3581874415486</v>
      </c>
      <c r="U41" s="1">
        <f t="shared" si="4"/>
        <v>10709.642028141081</v>
      </c>
      <c r="V41" s="1">
        <f t="shared" si="4"/>
        <v>18789.299763332321</v>
      </c>
      <c r="X41" s="164">
        <f>ER!A36</f>
        <v>8</v>
      </c>
      <c r="Y41" s="34">
        <f>ER!B36</f>
        <v>-0.57578184676460165</v>
      </c>
      <c r="Z41" s="34">
        <f>ER!C36</f>
        <v>-4.3596376017611342E-2</v>
      </c>
      <c r="AA41" s="34">
        <f>ER!D36</f>
        <v>1.6010525061309382E-2</v>
      </c>
      <c r="AB41" s="34">
        <f>ER!E36</f>
        <v>7.7568946554417609E-2</v>
      </c>
      <c r="AC41" s="34">
        <f>ER!F36</f>
        <v>0.14160927196606765</v>
      </c>
      <c r="AD41" s="34">
        <f>ER!G36</f>
        <v>0.22992030019244641</v>
      </c>
      <c r="AE41" s="34">
        <f>ER!H36</f>
        <v>0.16441487872748572</v>
      </c>
      <c r="AF41" s="34">
        <f>ER!I36</f>
        <v>-0.11979655131731258</v>
      </c>
      <c r="AG41" s="34">
        <f>ER!J36</f>
        <v>-0.42037266399643519</v>
      </c>
      <c r="AH41" s="34">
        <f>ER!K36</f>
        <v>-0.56930715988076652</v>
      </c>
    </row>
    <row r="42" spans="1:34" x14ac:dyDescent="0.2">
      <c r="A42" s="286" t="str">
        <f>Summary!B37</f>
        <v>P = Split</v>
      </c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M42" s="292" t="s">
        <v>196</v>
      </c>
      <c r="N42" s="293"/>
      <c r="O42" s="293"/>
      <c r="P42" s="293"/>
      <c r="Q42" s="293"/>
      <c r="R42" s="293"/>
      <c r="S42" s="293"/>
      <c r="T42" s="293"/>
      <c r="U42" s="293"/>
      <c r="V42" s="294"/>
      <c r="X42" s="164">
        <f>ER!A37</f>
        <v>9</v>
      </c>
      <c r="Y42" s="34">
        <f>ER!B37</f>
        <v>-0.24150883119675959</v>
      </c>
      <c r="Z42" s="34">
        <f>ER!C37</f>
        <v>0.14889207515268102</v>
      </c>
      <c r="AA42" s="34">
        <f>ER!D37</f>
        <v>0.20252940347775356</v>
      </c>
      <c r="AB42" s="34">
        <f>ER!E37</f>
        <v>0.25796176239148355</v>
      </c>
      <c r="AC42" s="34">
        <f>ER!F37</f>
        <v>0.31606371253303472</v>
      </c>
      <c r="AD42" s="34">
        <f>ER!G37</f>
        <v>0.39203767851455751</v>
      </c>
      <c r="AE42" s="34">
        <f>ER!H37</f>
        <v>0.3995541673365518</v>
      </c>
      <c r="AF42" s="34">
        <f>ER!I37</f>
        <v>0.19675243487078517</v>
      </c>
      <c r="AG42" s="34">
        <f>ER!J37</f>
        <v>-0.10435610692530338</v>
      </c>
      <c r="AH42" s="34">
        <f>ER!K37</f>
        <v>-0.24150883119675959</v>
      </c>
    </row>
    <row r="43" spans="1:34" x14ac:dyDescent="0.2">
      <c r="A43" s="284" t="str">
        <f>Summary!B38</f>
        <v>R = Surrender</v>
      </c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M43" s="163" t="s">
        <v>134</v>
      </c>
      <c r="N43" s="163" t="str">
        <f>N33</f>
        <v>1x2</v>
      </c>
      <c r="O43" s="163" t="str">
        <f t="shared" ref="O43:V43" si="5">O33</f>
        <v>1x3</v>
      </c>
      <c r="P43" s="163" t="str">
        <f t="shared" si="5"/>
        <v>1x4</v>
      </c>
      <c r="Q43" s="163" t="str">
        <f t="shared" si="5"/>
        <v>1x5</v>
      </c>
      <c r="R43" s="163" t="str">
        <f t="shared" si="5"/>
        <v>1x6</v>
      </c>
      <c r="S43" s="163" t="str">
        <f t="shared" si="5"/>
        <v>1x7</v>
      </c>
      <c r="T43" s="163" t="str">
        <f t="shared" si="5"/>
        <v>1x8</v>
      </c>
      <c r="U43" s="163" t="str">
        <f t="shared" si="5"/>
        <v>1x9</v>
      </c>
      <c r="V43" s="163" t="str">
        <f t="shared" si="5"/>
        <v>1x10</v>
      </c>
      <c r="X43" s="164">
        <f>ER!A38</f>
        <v>10</v>
      </c>
      <c r="Y43" s="34">
        <f>ER!B38</f>
        <v>0.20418852289369649</v>
      </c>
      <c r="Z43" s="34">
        <f>ER!C38</f>
        <v>0.63998657521683877</v>
      </c>
      <c r="AA43" s="34">
        <f>ER!D38</f>
        <v>0.65027209425148136</v>
      </c>
      <c r="AB43" s="34">
        <f>ER!E38</f>
        <v>0.66104996194807186</v>
      </c>
      <c r="AC43" s="34">
        <f>ER!F38</f>
        <v>0.67035969063279999</v>
      </c>
      <c r="AD43" s="34">
        <f>ER!G38</f>
        <v>0.70395857017134467</v>
      </c>
      <c r="AE43" s="34">
        <f>ER!H38</f>
        <v>0.77322722653717491</v>
      </c>
      <c r="AF43" s="34">
        <f>ER!I38</f>
        <v>0.79181515955189841</v>
      </c>
      <c r="AG43" s="34">
        <f>ER!J38</f>
        <v>0.75835687080859626</v>
      </c>
      <c r="AH43" s="34">
        <f>ER!K38</f>
        <v>0.43495775366292722</v>
      </c>
    </row>
    <row r="44" spans="1:34" x14ac:dyDescent="0.2">
      <c r="M44" s="163">
        <v>1</v>
      </c>
      <c r="N44" s="1">
        <f>N8*N24</f>
        <v>-0.86038590755735045</v>
      </c>
      <c r="O44" s="1">
        <f t="shared" ref="O44:V44" si="6">O8*O24</f>
        <v>-0.10076060813091998</v>
      </c>
      <c r="P44" s="1">
        <f t="shared" si="6"/>
        <v>0.91073211976371271</v>
      </c>
      <c r="Q44" s="1">
        <f t="shared" si="6"/>
        <v>2.6726282440169538</v>
      </c>
      <c r="R44" s="1">
        <f t="shared" si="6"/>
        <v>5.4497801482366901</v>
      </c>
      <c r="S44" s="1">
        <f t="shared" si="6"/>
        <v>9.4882039877583093</v>
      </c>
      <c r="T44" s="1">
        <f t="shared" si="6"/>
        <v>15.029230493853786</v>
      </c>
      <c r="U44" s="1">
        <f t="shared" si="6"/>
        <v>22.311459746079535</v>
      </c>
      <c r="V44" s="1">
        <f t="shared" si="6"/>
        <v>31.571185108519803</v>
      </c>
      <c r="X44" s="163" t="s">
        <v>203</v>
      </c>
      <c r="Y44" s="163">
        <v>1</v>
      </c>
      <c r="Z44" s="163">
        <v>1.5</v>
      </c>
      <c r="AA44" s="163">
        <v>2</v>
      </c>
      <c r="AB44" s="163">
        <v>2.5</v>
      </c>
      <c r="AC44" s="163">
        <v>3</v>
      </c>
      <c r="AD44" s="163">
        <v>3.5</v>
      </c>
      <c r="AE44" s="163">
        <v>4</v>
      </c>
      <c r="AF44" s="163">
        <v>4.5</v>
      </c>
      <c r="AG44" s="163">
        <v>5</v>
      </c>
      <c r="AH44" s="163">
        <v>5.5</v>
      </c>
    </row>
    <row r="45" spans="1:34" x14ac:dyDescent="0.2">
      <c r="M45" s="163">
        <v>2</v>
      </c>
      <c r="N45" s="1">
        <f t="shared" ref="N45:V45" si="7">N9*N25</f>
        <v>-1.8584195187584709</v>
      </c>
      <c r="O45" s="1">
        <f t="shared" si="7"/>
        <v>-0.48020008440450862</v>
      </c>
      <c r="P45" s="1">
        <f t="shared" si="7"/>
        <v>6.1674363967786725</v>
      </c>
      <c r="Q45" s="1">
        <f t="shared" si="7"/>
        <v>22.900211076607658</v>
      </c>
      <c r="R45" s="1">
        <f t="shared" si="7"/>
        <v>55.89384710963617</v>
      </c>
      <c r="S45" s="1">
        <f t="shared" si="7"/>
        <v>112.6825764598786</v>
      </c>
      <c r="T45" s="1">
        <f t="shared" si="7"/>
        <v>202.13019590509202</v>
      </c>
      <c r="U45" s="1">
        <f t="shared" si="7"/>
        <v>334.40271337998689</v>
      </c>
      <c r="V45" s="1">
        <f t="shared" si="7"/>
        <v>520.94976886863731</v>
      </c>
      <c r="X45" s="163">
        <v>0</v>
      </c>
      <c r="Y45" s="1">
        <f>Y44*120</f>
        <v>120</v>
      </c>
      <c r="Z45" s="1">
        <f t="shared" ref="Z45:AC45" si="8">Z44*120</f>
        <v>180</v>
      </c>
      <c r="AA45" s="1">
        <f t="shared" si="8"/>
        <v>240</v>
      </c>
      <c r="AB45" s="1">
        <f t="shared" si="8"/>
        <v>300</v>
      </c>
      <c r="AC45" s="1">
        <f t="shared" si="8"/>
        <v>360</v>
      </c>
      <c r="AD45" s="1">
        <f>AD44*120</f>
        <v>420</v>
      </c>
      <c r="AE45" s="1">
        <f t="shared" ref="AE45" si="9">AE44*120</f>
        <v>480</v>
      </c>
      <c r="AF45" s="1">
        <f t="shared" ref="AF45" si="10">AF44*120</f>
        <v>540</v>
      </c>
      <c r="AG45" s="1">
        <f t="shared" ref="AG45:AH45" si="11">AG44*120</f>
        <v>600</v>
      </c>
      <c r="AH45" s="1">
        <f t="shared" si="11"/>
        <v>660</v>
      </c>
    </row>
    <row r="46" spans="1:34" x14ac:dyDescent="0.2">
      <c r="M46" s="163">
        <v>3</v>
      </c>
      <c r="N46" s="1">
        <f t="shared" ref="N46:V46" si="12">N10*N26</f>
        <v>-6.5563245334831288</v>
      </c>
      <c r="O46" s="1">
        <f t="shared" si="12"/>
        <v>-2.4217418681030742</v>
      </c>
      <c r="P46" s="1">
        <f t="shared" si="12"/>
        <v>40.215982476927145</v>
      </c>
      <c r="Q46" s="1">
        <f t="shared" si="12"/>
        <v>183.12721507787549</v>
      </c>
      <c r="R46" s="1">
        <f t="shared" si="12"/>
        <v>529.68739130187703</v>
      </c>
      <c r="S46" s="1">
        <f t="shared" si="12"/>
        <v>1235.0904277787374</v>
      </c>
      <c r="T46" s="1">
        <f t="shared" si="12"/>
        <v>2516.2248651497462</v>
      </c>
      <c r="U46" s="1">
        <f t="shared" si="12"/>
        <v>4661.3152526868171</v>
      </c>
      <c r="V46" s="1">
        <f t="shared" si="12"/>
        <v>8039.4576934883826</v>
      </c>
      <c r="X46" s="163">
        <v>5</v>
      </c>
      <c r="Y46" s="1">
        <f>(5+Y44)*120</f>
        <v>720</v>
      </c>
      <c r="Z46" s="1">
        <f t="shared" ref="Z46:AG46" si="13">(5+Z44)*120</f>
        <v>780</v>
      </c>
      <c r="AA46" s="1">
        <f t="shared" si="13"/>
        <v>840</v>
      </c>
      <c r="AB46" s="1">
        <f t="shared" si="13"/>
        <v>900</v>
      </c>
      <c r="AC46" s="1">
        <f t="shared" si="13"/>
        <v>960</v>
      </c>
      <c r="AD46" s="1">
        <f t="shared" si="13"/>
        <v>1020</v>
      </c>
      <c r="AE46" s="1">
        <f t="shared" si="13"/>
        <v>1080</v>
      </c>
      <c r="AF46" s="1">
        <f t="shared" si="13"/>
        <v>1140</v>
      </c>
      <c r="AG46" s="1">
        <f t="shared" si="13"/>
        <v>1200</v>
      </c>
      <c r="AH46" s="1"/>
    </row>
  </sheetData>
  <sheetProtection sheet="1" objects="1" scenarios="1"/>
  <mergeCells count="42">
    <mergeCell ref="A1:S1"/>
    <mergeCell ref="T1:AH1"/>
    <mergeCell ref="AG4:AH4"/>
    <mergeCell ref="M32:V32"/>
    <mergeCell ref="M22:V22"/>
    <mergeCell ref="M27:V27"/>
    <mergeCell ref="T3:U3"/>
    <mergeCell ref="AB3:AC3"/>
    <mergeCell ref="AD3:AF3"/>
    <mergeCell ref="V4:Y4"/>
    <mergeCell ref="AB4:AC4"/>
    <mergeCell ref="AD4:AE4"/>
    <mergeCell ref="L4:M4"/>
    <mergeCell ref="N4:O4"/>
    <mergeCell ref="A6:K6"/>
    <mergeCell ref="X6:AH6"/>
    <mergeCell ref="M6:V6"/>
    <mergeCell ref="M12:V12"/>
    <mergeCell ref="A3:D3"/>
    <mergeCell ref="E3:G3"/>
    <mergeCell ref="H3:L3"/>
    <mergeCell ref="M3:N3"/>
    <mergeCell ref="O3:Q3"/>
    <mergeCell ref="R3:S3"/>
    <mergeCell ref="A4:D4"/>
    <mergeCell ref="E4:H4"/>
    <mergeCell ref="I4:K4"/>
    <mergeCell ref="R4:T4"/>
    <mergeCell ref="AG3:AH3"/>
    <mergeCell ref="Y3:AA3"/>
    <mergeCell ref="V3:X3"/>
    <mergeCell ref="M37:V37"/>
    <mergeCell ref="M17:V17"/>
    <mergeCell ref="P4:Q4"/>
    <mergeCell ref="A43:K43"/>
    <mergeCell ref="A37:K37"/>
    <mergeCell ref="A38:K38"/>
    <mergeCell ref="A39:K39"/>
    <mergeCell ref="A40:K40"/>
    <mergeCell ref="A42:K42"/>
    <mergeCell ref="A41:K41"/>
    <mergeCell ref="M42:V42"/>
  </mergeCells>
  <phoneticPr fontId="16" type="noConversion"/>
  <conditionalFormatting sqref="B7:K7 M7:M11">
    <cfRule type="containsText" dxfId="111" priority="365" operator="containsText" text="S">
      <formula>NOT(ISERROR(SEARCH("S",B7)))</formula>
    </cfRule>
    <cfRule type="containsText" dxfId="110" priority="366" operator="containsText" text="H">
      <formula>NOT(ISERROR(SEARCH("H",B7)))</formula>
    </cfRule>
  </conditionalFormatting>
  <conditionalFormatting sqref="B7:K7 M7:M11">
    <cfRule type="containsText" dxfId="109" priority="364" operator="containsText" text="D">
      <formula>NOT(ISERROR(SEARCH("D",B7)))</formula>
    </cfRule>
  </conditionalFormatting>
  <conditionalFormatting sqref="B7:K7 M7:M11">
    <cfRule type="containsText" dxfId="108" priority="363" operator="containsText" text="R">
      <formula>NOT(ISERROR(SEARCH("R",B7)))</formula>
    </cfRule>
  </conditionalFormatting>
  <conditionalFormatting sqref="B7:K7 M7:M11">
    <cfRule type="containsText" dxfId="107" priority="362" operator="containsText" text="P">
      <formula>NOT(ISERROR(SEARCH("P",B7)))</formula>
    </cfRule>
  </conditionalFormatting>
  <conditionalFormatting sqref="B8:K17 B19:K25 B27:K36">
    <cfRule type="containsText" dxfId="106" priority="355" operator="containsText" text="S">
      <formula>NOT(ISERROR(SEARCH("S",B8)))</formula>
    </cfRule>
    <cfRule type="containsText" dxfId="105" priority="356" operator="containsText" text="H">
      <formula>NOT(ISERROR(SEARCH("H",B8)))</formula>
    </cfRule>
  </conditionalFormatting>
  <conditionalFormatting sqref="B8:K17 B19:K25 B27:K36">
    <cfRule type="containsText" dxfId="104" priority="354" operator="containsText" text="D">
      <formula>NOT(ISERROR(SEARCH("D",B8)))</formula>
    </cfRule>
  </conditionalFormatting>
  <conditionalFormatting sqref="B8:K17 B19:K25 B27:K36">
    <cfRule type="containsText" dxfId="103" priority="353" operator="containsText" text="R">
      <formula>NOT(ISERROR(SEARCH("R",B8)))</formula>
    </cfRule>
  </conditionalFormatting>
  <conditionalFormatting sqref="B8:K17 B19:K25 B27:K36">
    <cfRule type="containsText" dxfId="102" priority="352" operator="containsText" text="P">
      <formula>NOT(ISERROR(SEARCH("P",B8)))</formula>
    </cfRule>
  </conditionalFormatting>
  <conditionalFormatting sqref="Y8:AH22">
    <cfRule type="colorScale" priority="28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101" priority="290" operator="containsText" text="R">
      <formula>NOT(ISERROR(SEARCH("R",Y8)))</formula>
    </cfRule>
    <cfRule type="containsText" dxfId="100" priority="291" operator="containsText" text="D">
      <formula>NOT(ISERROR(SEARCH("D",Y8)))</formula>
    </cfRule>
    <cfRule type="containsText" dxfId="99" priority="292" operator="containsText" text="S">
      <formula>NOT(ISERROR(SEARCH("S",Y8)))</formula>
    </cfRule>
    <cfRule type="containsText" dxfId="98" priority="293" operator="containsText" text="H">
      <formula>NOT(ISERROR(SEARCH("H",Y8)))</formula>
    </cfRule>
  </conditionalFormatting>
  <conditionalFormatting sqref="Y8:AH22">
    <cfRule type="containsText" dxfId="97" priority="289" operator="containsText" text="P">
      <formula>NOT(ISERROR(SEARCH("P",Y8)))</formula>
    </cfRule>
  </conditionalFormatting>
  <conditionalFormatting sqref="Y24:AH32">
    <cfRule type="colorScale" priority="260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96" priority="262" operator="containsText" text="R">
      <formula>NOT(ISERROR(SEARCH("R",Y24)))</formula>
    </cfRule>
    <cfRule type="containsText" dxfId="95" priority="263" operator="containsText" text="D">
      <formula>NOT(ISERROR(SEARCH("D",Y24)))</formula>
    </cfRule>
    <cfRule type="containsText" dxfId="94" priority="264" operator="containsText" text="S">
      <formula>NOT(ISERROR(SEARCH("S",Y24)))</formula>
    </cfRule>
    <cfRule type="containsText" dxfId="93" priority="265" operator="containsText" text="H">
      <formula>NOT(ISERROR(SEARCH("H",Y24)))</formula>
    </cfRule>
  </conditionalFormatting>
  <conditionalFormatting sqref="Y24:AH32">
    <cfRule type="containsText" dxfId="92" priority="261" operator="containsText" text="P">
      <formula>NOT(ISERROR(SEARCH("P",Y24)))</formula>
    </cfRule>
  </conditionalFormatting>
  <conditionalFormatting sqref="Y34:AH43">
    <cfRule type="colorScale" priority="25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91" priority="256" operator="containsText" text="R">
      <formula>NOT(ISERROR(SEARCH("R",Y34)))</formula>
    </cfRule>
    <cfRule type="containsText" dxfId="90" priority="257" operator="containsText" text="D">
      <formula>NOT(ISERROR(SEARCH("D",Y34)))</formula>
    </cfRule>
    <cfRule type="containsText" dxfId="89" priority="258" operator="containsText" text="S">
      <formula>NOT(ISERROR(SEARCH("S",Y34)))</formula>
    </cfRule>
    <cfRule type="containsText" dxfId="88" priority="259" operator="containsText" text="H">
      <formula>NOT(ISERROR(SEARCH("H",Y34)))</formula>
    </cfRule>
  </conditionalFormatting>
  <conditionalFormatting sqref="Y34:AH43">
    <cfRule type="containsText" dxfId="87" priority="255" operator="containsText" text="P">
      <formula>NOT(ISERROR(SEARCH("P",Y34)))</formula>
    </cfRule>
  </conditionalFormatting>
  <conditionalFormatting sqref="N7:V7">
    <cfRule type="containsText" dxfId="86" priority="200" operator="containsText" text="S">
      <formula>NOT(ISERROR(SEARCH("S",N7)))</formula>
    </cfRule>
    <cfRule type="containsText" dxfId="85" priority="201" operator="containsText" text="H">
      <formula>NOT(ISERROR(SEARCH("H",N7)))</formula>
    </cfRule>
  </conditionalFormatting>
  <conditionalFormatting sqref="N7:V7">
    <cfRule type="containsText" dxfId="84" priority="199" operator="containsText" text="D">
      <formula>NOT(ISERROR(SEARCH("D",N7)))</formula>
    </cfRule>
  </conditionalFormatting>
  <conditionalFormatting sqref="N7:V7">
    <cfRule type="containsText" dxfId="83" priority="198" operator="containsText" text="R">
      <formula>NOT(ISERROR(SEARCH("R",N7)))</formula>
    </cfRule>
  </conditionalFormatting>
  <conditionalFormatting sqref="N7:V7">
    <cfRule type="containsText" dxfId="82" priority="197" operator="containsText" text="P">
      <formula>NOT(ISERROR(SEARCH("P",N7)))</formula>
    </cfRule>
  </conditionalFormatting>
  <conditionalFormatting sqref="N8:V11">
    <cfRule type="colorScale" priority="19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3:M16">
    <cfRule type="containsText" dxfId="81" priority="194" operator="containsText" text="S">
      <formula>NOT(ISERROR(SEARCH("S",M13)))</formula>
    </cfRule>
    <cfRule type="containsText" dxfId="80" priority="195" operator="containsText" text="H">
      <formula>NOT(ISERROR(SEARCH("H",M13)))</formula>
    </cfRule>
  </conditionalFormatting>
  <conditionalFormatting sqref="M13:M16">
    <cfRule type="containsText" dxfId="79" priority="193" operator="containsText" text="D">
      <formula>NOT(ISERROR(SEARCH("D",M13)))</formula>
    </cfRule>
  </conditionalFormatting>
  <conditionalFormatting sqref="M13:M16">
    <cfRule type="containsText" dxfId="78" priority="192" operator="containsText" text="R">
      <formula>NOT(ISERROR(SEARCH("R",M13)))</formula>
    </cfRule>
  </conditionalFormatting>
  <conditionalFormatting sqref="M13:M16">
    <cfRule type="containsText" dxfId="77" priority="191" operator="containsText" text="P">
      <formula>NOT(ISERROR(SEARCH("P",M13)))</formula>
    </cfRule>
  </conditionalFormatting>
  <conditionalFormatting sqref="N13:V13">
    <cfRule type="containsText" dxfId="76" priority="189" operator="containsText" text="S">
      <formula>NOT(ISERROR(SEARCH("S",N13)))</formula>
    </cfRule>
    <cfRule type="containsText" dxfId="75" priority="190" operator="containsText" text="H">
      <formula>NOT(ISERROR(SEARCH("H",N13)))</formula>
    </cfRule>
  </conditionalFormatting>
  <conditionalFormatting sqref="N13:V13">
    <cfRule type="containsText" dxfId="74" priority="188" operator="containsText" text="D">
      <formula>NOT(ISERROR(SEARCH("D",N13)))</formula>
    </cfRule>
  </conditionalFormatting>
  <conditionalFormatting sqref="N13:V13">
    <cfRule type="containsText" dxfId="73" priority="187" operator="containsText" text="R">
      <formula>NOT(ISERROR(SEARCH("R",N13)))</formula>
    </cfRule>
  </conditionalFormatting>
  <conditionalFormatting sqref="N13:V13">
    <cfRule type="containsText" dxfId="72" priority="186" operator="containsText" text="P">
      <formula>NOT(ISERROR(SEARCH("P",N13)))</formula>
    </cfRule>
  </conditionalFormatting>
  <conditionalFormatting sqref="N14:V16">
    <cfRule type="colorScale" priority="185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8:M21">
    <cfRule type="containsText" dxfId="71" priority="183" operator="containsText" text="S">
      <formula>NOT(ISERROR(SEARCH("S",M18)))</formula>
    </cfRule>
    <cfRule type="containsText" dxfId="70" priority="184" operator="containsText" text="H">
      <formula>NOT(ISERROR(SEARCH("H",M18)))</formula>
    </cfRule>
  </conditionalFormatting>
  <conditionalFormatting sqref="M18:M21">
    <cfRule type="containsText" dxfId="69" priority="182" operator="containsText" text="D">
      <formula>NOT(ISERROR(SEARCH("D",M18)))</formula>
    </cfRule>
  </conditionalFormatting>
  <conditionalFormatting sqref="M18:M21">
    <cfRule type="containsText" dxfId="68" priority="181" operator="containsText" text="R">
      <formula>NOT(ISERROR(SEARCH("R",M18)))</formula>
    </cfRule>
  </conditionalFormatting>
  <conditionalFormatting sqref="M18:M21">
    <cfRule type="containsText" dxfId="67" priority="180" operator="containsText" text="P">
      <formula>NOT(ISERROR(SEARCH("P",M18)))</formula>
    </cfRule>
  </conditionalFormatting>
  <conditionalFormatting sqref="N18:V18">
    <cfRule type="containsText" dxfId="66" priority="178" operator="containsText" text="S">
      <formula>NOT(ISERROR(SEARCH("S",N18)))</formula>
    </cfRule>
    <cfRule type="containsText" dxfId="65" priority="179" operator="containsText" text="H">
      <formula>NOT(ISERROR(SEARCH("H",N18)))</formula>
    </cfRule>
  </conditionalFormatting>
  <conditionalFormatting sqref="N18:V18">
    <cfRule type="containsText" dxfId="64" priority="177" operator="containsText" text="D">
      <formula>NOT(ISERROR(SEARCH("D",N18)))</formula>
    </cfRule>
  </conditionalFormatting>
  <conditionalFormatting sqref="N18:V18">
    <cfRule type="containsText" dxfId="63" priority="176" operator="containsText" text="R">
      <formula>NOT(ISERROR(SEARCH("R",N18)))</formula>
    </cfRule>
  </conditionalFormatting>
  <conditionalFormatting sqref="N18:V18">
    <cfRule type="containsText" dxfId="62" priority="175" operator="containsText" text="P">
      <formula>NOT(ISERROR(SEARCH("P",N18)))</formula>
    </cfRule>
  </conditionalFormatting>
  <conditionalFormatting sqref="N19:V21">
    <cfRule type="colorScale" priority="174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8:M31">
    <cfRule type="containsText" dxfId="61" priority="172" operator="containsText" text="S">
      <formula>NOT(ISERROR(SEARCH("S",M28)))</formula>
    </cfRule>
    <cfRule type="containsText" dxfId="60" priority="173" operator="containsText" text="H">
      <formula>NOT(ISERROR(SEARCH("H",M28)))</formula>
    </cfRule>
  </conditionalFormatting>
  <conditionalFormatting sqref="M28:M31">
    <cfRule type="containsText" dxfId="59" priority="171" operator="containsText" text="D">
      <formula>NOT(ISERROR(SEARCH("D",M28)))</formula>
    </cfRule>
  </conditionalFormatting>
  <conditionalFormatting sqref="M28:M31">
    <cfRule type="containsText" dxfId="58" priority="170" operator="containsText" text="R">
      <formula>NOT(ISERROR(SEARCH("R",M28)))</formula>
    </cfRule>
  </conditionalFormatting>
  <conditionalFormatting sqref="M28:M31">
    <cfRule type="containsText" dxfId="57" priority="169" operator="containsText" text="P">
      <formula>NOT(ISERROR(SEARCH("P",M28)))</formula>
    </cfRule>
  </conditionalFormatting>
  <conditionalFormatting sqref="N28:V28">
    <cfRule type="containsText" dxfId="56" priority="167" operator="containsText" text="S">
      <formula>NOT(ISERROR(SEARCH("S",N28)))</formula>
    </cfRule>
    <cfRule type="containsText" dxfId="55" priority="168" operator="containsText" text="H">
      <formula>NOT(ISERROR(SEARCH("H",N28)))</formula>
    </cfRule>
  </conditionalFormatting>
  <conditionalFormatting sqref="N28:V28">
    <cfRule type="containsText" dxfId="54" priority="166" operator="containsText" text="D">
      <formula>NOT(ISERROR(SEARCH("D",N28)))</formula>
    </cfRule>
  </conditionalFormatting>
  <conditionalFormatting sqref="N28:V28">
    <cfRule type="containsText" dxfId="53" priority="165" operator="containsText" text="R">
      <formula>NOT(ISERROR(SEARCH("R",N28)))</formula>
    </cfRule>
  </conditionalFormatting>
  <conditionalFormatting sqref="N28:V28">
    <cfRule type="containsText" dxfId="52" priority="164" operator="containsText" text="P">
      <formula>NOT(ISERROR(SEARCH("P",N28)))</formula>
    </cfRule>
  </conditionalFormatting>
  <conditionalFormatting sqref="N29:V31">
    <cfRule type="colorScale" priority="15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51" priority="163" operator="equal">
      <formula>MAX($N$29:$V$31)</formula>
    </cfRule>
  </conditionalFormatting>
  <conditionalFormatting sqref="M33:M36">
    <cfRule type="containsText" dxfId="50" priority="150" operator="containsText" text="S">
      <formula>NOT(ISERROR(SEARCH("S",M33)))</formula>
    </cfRule>
    <cfRule type="containsText" dxfId="49" priority="151" operator="containsText" text="H">
      <formula>NOT(ISERROR(SEARCH("H",M33)))</formula>
    </cfRule>
  </conditionalFormatting>
  <conditionalFormatting sqref="M33:M36">
    <cfRule type="containsText" dxfId="48" priority="149" operator="containsText" text="D">
      <formula>NOT(ISERROR(SEARCH("D",M33)))</formula>
    </cfRule>
  </conditionalFormatting>
  <conditionalFormatting sqref="M33:M36">
    <cfRule type="containsText" dxfId="47" priority="148" operator="containsText" text="R">
      <formula>NOT(ISERROR(SEARCH("R",M33)))</formula>
    </cfRule>
  </conditionalFormatting>
  <conditionalFormatting sqref="M33:M36">
    <cfRule type="containsText" dxfId="46" priority="147" operator="containsText" text="P">
      <formula>NOT(ISERROR(SEARCH("P",M33)))</formula>
    </cfRule>
  </conditionalFormatting>
  <conditionalFormatting sqref="M23:M26">
    <cfRule type="containsText" dxfId="45" priority="138" operator="containsText" text="S">
      <formula>NOT(ISERROR(SEARCH("S",M23)))</formula>
    </cfRule>
    <cfRule type="containsText" dxfId="44" priority="139" operator="containsText" text="H">
      <formula>NOT(ISERROR(SEARCH("H",M23)))</formula>
    </cfRule>
  </conditionalFormatting>
  <conditionalFormatting sqref="M23:M26">
    <cfRule type="containsText" dxfId="43" priority="137" operator="containsText" text="D">
      <formula>NOT(ISERROR(SEARCH("D",M23)))</formula>
    </cfRule>
  </conditionalFormatting>
  <conditionalFormatting sqref="M23:M26">
    <cfRule type="containsText" dxfId="42" priority="136" operator="containsText" text="R">
      <formula>NOT(ISERROR(SEARCH("R",M23)))</formula>
    </cfRule>
  </conditionalFormatting>
  <conditionalFormatting sqref="M23:M26">
    <cfRule type="containsText" dxfId="41" priority="135" operator="containsText" text="P">
      <formula>NOT(ISERROR(SEARCH("P",M23)))</formula>
    </cfRule>
  </conditionalFormatting>
  <conditionalFormatting sqref="N24:V26">
    <cfRule type="colorScale" priority="129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3:V23">
    <cfRule type="containsText" dxfId="40" priority="127" operator="containsText" text="S">
      <formula>NOT(ISERROR(SEARCH("S",N23)))</formula>
    </cfRule>
    <cfRule type="containsText" dxfId="39" priority="128" operator="containsText" text="H">
      <formula>NOT(ISERROR(SEARCH("H",N23)))</formula>
    </cfRule>
  </conditionalFormatting>
  <conditionalFormatting sqref="N23:V23">
    <cfRule type="containsText" dxfId="38" priority="126" operator="containsText" text="D">
      <formula>NOT(ISERROR(SEARCH("D",N23)))</formula>
    </cfRule>
  </conditionalFormatting>
  <conditionalFormatting sqref="N23:V23">
    <cfRule type="containsText" dxfId="37" priority="125" operator="containsText" text="R">
      <formula>NOT(ISERROR(SEARCH("R",N23)))</formula>
    </cfRule>
  </conditionalFormatting>
  <conditionalFormatting sqref="N23:V23">
    <cfRule type="containsText" dxfId="36" priority="124" operator="containsText" text="P">
      <formula>NOT(ISERROR(SEARCH("P",N23)))</formula>
    </cfRule>
  </conditionalFormatting>
  <conditionalFormatting sqref="N33:V33">
    <cfRule type="containsText" dxfId="35" priority="117" operator="containsText" text="S">
      <formula>NOT(ISERROR(SEARCH("S",N33)))</formula>
    </cfRule>
    <cfRule type="containsText" dxfId="34" priority="118" operator="containsText" text="H">
      <formula>NOT(ISERROR(SEARCH("H",N33)))</formula>
    </cfRule>
  </conditionalFormatting>
  <conditionalFormatting sqref="N33:V33">
    <cfRule type="containsText" dxfId="33" priority="116" operator="containsText" text="D">
      <formula>NOT(ISERROR(SEARCH("D",N33)))</formula>
    </cfRule>
  </conditionalFormatting>
  <conditionalFormatting sqref="N33:V33">
    <cfRule type="containsText" dxfId="32" priority="115" operator="containsText" text="R">
      <formula>NOT(ISERROR(SEARCH("R",N33)))</formula>
    </cfRule>
  </conditionalFormatting>
  <conditionalFormatting sqref="N33:V33">
    <cfRule type="containsText" dxfId="31" priority="114" operator="containsText" text="P">
      <formula>NOT(ISERROR(SEARCH("P",N33)))</formula>
    </cfRule>
  </conditionalFormatting>
  <conditionalFormatting sqref="N34:V36">
    <cfRule type="cellIs" dxfId="30" priority="51" operator="equal">
      <formula>MAX($N$34:$V$36)</formula>
    </cfRule>
    <cfRule type="colorScale" priority="5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38:M41">
    <cfRule type="containsText" dxfId="29" priority="49" operator="containsText" text="S">
      <formula>NOT(ISERROR(SEARCH("S",M38)))</formula>
    </cfRule>
    <cfRule type="containsText" dxfId="28" priority="50" operator="containsText" text="H">
      <formula>NOT(ISERROR(SEARCH("H",M38)))</formula>
    </cfRule>
  </conditionalFormatting>
  <conditionalFormatting sqref="M38:M41">
    <cfRule type="containsText" dxfId="27" priority="48" operator="containsText" text="D">
      <formula>NOT(ISERROR(SEARCH("D",M38)))</formula>
    </cfRule>
  </conditionalFormatting>
  <conditionalFormatting sqref="M38:M41">
    <cfRule type="containsText" dxfId="26" priority="47" operator="containsText" text="R">
      <formula>NOT(ISERROR(SEARCH("R",M38)))</formula>
    </cfRule>
  </conditionalFormatting>
  <conditionalFormatting sqref="M38:M41">
    <cfRule type="containsText" dxfId="25" priority="46" operator="containsText" text="P">
      <formula>NOT(ISERROR(SEARCH("P",M38)))</formula>
    </cfRule>
  </conditionalFormatting>
  <conditionalFormatting sqref="N39:V41">
    <cfRule type="colorScale" priority="1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43:M46">
    <cfRule type="containsText" dxfId="24" priority="37" operator="containsText" text="S">
      <formula>NOT(ISERROR(SEARCH("S",M43)))</formula>
    </cfRule>
    <cfRule type="containsText" dxfId="23" priority="38" operator="containsText" text="H">
      <formula>NOT(ISERROR(SEARCH("H",M43)))</formula>
    </cfRule>
  </conditionalFormatting>
  <conditionalFormatting sqref="M43:M46">
    <cfRule type="containsText" dxfId="22" priority="36" operator="containsText" text="D">
      <formula>NOT(ISERROR(SEARCH("D",M43)))</formula>
    </cfRule>
  </conditionalFormatting>
  <conditionalFormatting sqref="M43:M46">
    <cfRule type="containsText" dxfId="21" priority="35" operator="containsText" text="R">
      <formula>NOT(ISERROR(SEARCH("R",M43)))</formula>
    </cfRule>
  </conditionalFormatting>
  <conditionalFormatting sqref="M43:M46">
    <cfRule type="containsText" dxfId="20" priority="34" operator="containsText" text="P">
      <formula>NOT(ISERROR(SEARCH("P",M43)))</formula>
    </cfRule>
  </conditionalFormatting>
  <conditionalFormatting sqref="N43:V43">
    <cfRule type="containsText" dxfId="19" priority="32" operator="containsText" text="S">
      <formula>NOT(ISERROR(SEARCH("S",N43)))</formula>
    </cfRule>
    <cfRule type="containsText" dxfId="18" priority="33" operator="containsText" text="H">
      <formula>NOT(ISERROR(SEARCH("H",N43)))</formula>
    </cfRule>
  </conditionalFormatting>
  <conditionalFormatting sqref="N43:V43">
    <cfRule type="containsText" dxfId="17" priority="31" operator="containsText" text="D">
      <formula>NOT(ISERROR(SEARCH("D",N43)))</formula>
    </cfRule>
  </conditionalFormatting>
  <conditionalFormatting sqref="N43:V43">
    <cfRule type="containsText" dxfId="16" priority="30" operator="containsText" text="R">
      <formula>NOT(ISERROR(SEARCH("R",N43)))</formula>
    </cfRule>
  </conditionalFormatting>
  <conditionalFormatting sqref="N43:V43">
    <cfRule type="containsText" dxfId="15" priority="29" operator="containsText" text="P">
      <formula>NOT(ISERROR(SEARCH("P",N43)))</formula>
    </cfRule>
  </conditionalFormatting>
  <conditionalFormatting sqref="N44:V46">
    <cfRule type="colorScale" priority="1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38:V38">
    <cfRule type="containsText" dxfId="14" priority="25" operator="containsText" text="S">
      <formula>NOT(ISERROR(SEARCH("S",N38)))</formula>
    </cfRule>
    <cfRule type="containsText" dxfId="13" priority="26" operator="containsText" text="H">
      <formula>NOT(ISERROR(SEARCH("H",N38)))</formula>
    </cfRule>
  </conditionalFormatting>
  <conditionalFormatting sqref="N38:V38">
    <cfRule type="containsText" dxfId="12" priority="24" operator="containsText" text="D">
      <formula>NOT(ISERROR(SEARCH("D",N38)))</formula>
    </cfRule>
  </conditionalFormatting>
  <conditionalFormatting sqref="N38:V38">
    <cfRule type="containsText" dxfId="11" priority="23" operator="containsText" text="R">
      <formula>NOT(ISERROR(SEARCH("R",N38)))</formula>
    </cfRule>
  </conditionalFormatting>
  <conditionalFormatting sqref="N38:V38">
    <cfRule type="containsText" dxfId="10" priority="22" operator="containsText" text="P">
      <formula>NOT(ISERROR(SEARCH("P",N38)))</formula>
    </cfRule>
  </conditionalFormatting>
  <conditionalFormatting sqref="X44:AH44">
    <cfRule type="containsText" dxfId="9" priority="9" operator="containsText" text="S">
      <formula>NOT(ISERROR(SEARCH("S",X44)))</formula>
    </cfRule>
    <cfRule type="containsText" dxfId="8" priority="10" operator="containsText" text="H">
      <formula>NOT(ISERROR(SEARCH("H",X44)))</formula>
    </cfRule>
  </conditionalFormatting>
  <conditionalFormatting sqref="X44:AH44">
    <cfRule type="containsText" dxfId="7" priority="8" operator="containsText" text="D">
      <formula>NOT(ISERROR(SEARCH("D",X44)))</formula>
    </cfRule>
  </conditionalFormatting>
  <conditionalFormatting sqref="X44:AH44">
    <cfRule type="containsText" dxfId="6" priority="7" operator="containsText" text="R">
      <formula>NOT(ISERROR(SEARCH("R",X44)))</formula>
    </cfRule>
  </conditionalFormatting>
  <conditionalFormatting sqref="X44:AH44">
    <cfRule type="containsText" dxfId="5" priority="6" operator="containsText" text="P">
      <formula>NOT(ISERROR(SEARCH("P",X44)))</formula>
    </cfRule>
  </conditionalFormatting>
  <conditionalFormatting sqref="X45:X46">
    <cfRule type="containsText" dxfId="4" priority="4" operator="containsText" text="S">
      <formula>NOT(ISERROR(SEARCH("S",X45)))</formula>
    </cfRule>
    <cfRule type="containsText" dxfId="3" priority="5" operator="containsText" text="H">
      <formula>NOT(ISERROR(SEARCH("H",X45)))</formula>
    </cfRule>
  </conditionalFormatting>
  <conditionalFormatting sqref="X45:X46">
    <cfRule type="containsText" dxfId="2" priority="3" operator="containsText" text="D">
      <formula>NOT(ISERROR(SEARCH("D",X45)))</formula>
    </cfRule>
  </conditionalFormatting>
  <conditionalFormatting sqref="X45:X46">
    <cfRule type="containsText" dxfId="1" priority="2" operator="containsText" text="R">
      <formula>NOT(ISERROR(SEARCH("R",X45)))</formula>
    </cfRule>
  </conditionalFormatting>
  <conditionalFormatting sqref="X45:X46">
    <cfRule type="containsText" dxfId="0" priority="1" operator="containsText" text="P">
      <formula>NOT(ISERROR(SEARCH("P",X45)))</formula>
    </cfRule>
  </conditionalFormatting>
  <pageMargins left="0.25" right="0.25" top="0.75" bottom="0.75" header="0.3" footer="0.3"/>
  <pageSetup paperSize="9" scale="66" orientation="landscape" r:id="rId1"/>
  <headerFooter>
    <oddHeader xml:space="preserve">&amp;C&amp;"System Font,Bold"&amp;22&amp;K000000Atipat's Blackjack Strategy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-0.34456837192534162</v>
      </c>
      <c r="C2">
        <f>IF(Rules!$B$6=Rules!$E$6,2*(SUM(Stand!C4:C11)+Rules!$B$5*Stand!C12+Stand!C36)/(9+Rules!$B$5),HS!C2)</f>
        <v>-7.5884358318949102E-2</v>
      </c>
      <c r="D2">
        <f>IF(Rules!$B$6=Rules!$E$6,2*(SUM(Stand!D4:D11)+Rules!$B$5*Stand!D12+Stand!D36)/(9+Rules!$B$5),HS!D2)</f>
        <v>-4.9750706146412041E-2</v>
      </c>
      <c r="E2">
        <f>IF(Rules!$B$6=Rules!$E$6,2*(SUM(Stand!E4:E11)+Rules!$B$5*Stand!E12+Stand!E36)/(9+Rules!$B$5),HS!E2)</f>
        <v>-2.2100412135834389E-2</v>
      </c>
      <c r="F2">
        <f>IF(Rules!$B$6=Rules!$E$6,2*(SUM(Stand!F4:F11)+Rules!$B$5*Stand!F12+Stand!F36)/(9+Rules!$B$5),HS!F2)</f>
        <v>1.3730032284783571E-2</v>
      </c>
      <c r="G2">
        <f>IF(Rules!$B$6=Rules!$E$6,2*(SUM(Stand!G4:G11)+Rules!$B$5*Stand!G12+Stand!G36)/(9+Rules!$B$5),HS!G2)</f>
        <v>3.8883411946301231E-2</v>
      </c>
      <c r="H2">
        <f>IF(Rules!$B$6=Rules!$E$6,2*(SUM(Stand!H4:H11)+Rules!$B$5*Stand!H12+Stand!H36)/(9+Rules!$B$5),HS!H2)</f>
        <v>-2.7257021375862247E-2</v>
      </c>
      <c r="I2">
        <f>IF(Rules!$B$6=Rules!$E$6,2*(SUM(Stand!I4:I11)+Rules!$B$5*Stand!I12+Stand!I36)/(9+Rules!$B$5),HS!I2)</f>
        <v>-0.10316172777512723</v>
      </c>
      <c r="J2">
        <f>IF(Rules!$B$6=Rules!$E$6,2*(SUM(Stand!J4:J11)+Rules!$B$5*Stand!J12+Stand!J36)/(9+Rules!$B$5),HS!J2)</f>
        <v>-0.19004714305350842</v>
      </c>
      <c r="K2">
        <f>IF(Rules!$B$6=Rules!$E$6,2*(SUM(Stand!K4:K11)+Rules!$B$5*Stand!K12+Stand!K36)/(9+Rules!$B$5),HS!K2)</f>
        <v>-0.29096372773977425</v>
      </c>
    </row>
    <row r="3" spans="1:11" x14ac:dyDescent="0.2">
      <c r="A3">
        <v>3</v>
      </c>
      <c r="B3">
        <f>IF(Rules!$B$6=Rules!$E$6,2*(SUM(Stand!B5:B12)+Rules!$B$5*Stand!B13+Stand!B37)/(9+Rules!$B$5),HS!B3)</f>
        <v>-0.36474464099475529</v>
      </c>
      <c r="C3">
        <f>IF(Rules!$B$6=Rules!$E$6,2*(SUM(Stand!C5:C12)+Rules!$B$5*Stand!C13+Stand!C37)/(9+Rules!$B$5),HS!C3)</f>
        <v>-0.10052250439785246</v>
      </c>
      <c r="D3">
        <f>IF(Rules!$B$6=Rules!$E$6,2*(SUM(Stand!D5:D12)+Rules!$B$5*Stand!D13+Stand!D37)/(9+Rules!$B$5),HS!D3)</f>
        <v>-6.8875858278897514E-2</v>
      </c>
      <c r="E3">
        <f>IF(Rules!$B$6=Rules!$E$6,2*(SUM(Stand!E5:E12)+Rules!$B$5*Stand!E13+Stand!E37)/(9+Rules!$B$5),HS!E3)</f>
        <v>-3.6261290708905339E-2</v>
      </c>
      <c r="F3">
        <f>IF(Rules!$B$6=Rules!$E$6,2*(SUM(Stand!F5:F12)+Rules!$B$5*Stand!F13+Stand!F37)/(9+Rules!$B$5),HS!F3)</f>
        <v>1.6995712139687808E-4</v>
      </c>
      <c r="G3">
        <f>IF(Rules!$B$6=Rules!$E$6,2*(SUM(Stand!G5:G12)+Rules!$B$5*Stand!G13+Stand!G37)/(9+Rules!$B$5),HS!G3)</f>
        <v>2.447130320655936E-2</v>
      </c>
      <c r="H3">
        <f>IF(Rules!$B$6=Rules!$E$6,2*(SUM(Stand!H5:H12)+Rules!$B$5*Stand!H13+Stand!H37)/(9+Rules!$B$5),HS!H3)</f>
        <v>-5.7437588540356667E-2</v>
      </c>
      <c r="I3">
        <f>IF(Rules!$B$6=Rules!$E$6,2*(SUM(Stand!I5:I12)+Rules!$B$5*Stand!I13+Stand!I37)/(9+Rules!$B$5),HS!I3)</f>
        <v>-0.13094188065020099</v>
      </c>
      <c r="J3">
        <f>IF(Rules!$B$6=Rules!$E$6,2*(SUM(Stand!J5:J12)+Rules!$B$5*Stand!J13+Stand!J37)/(9+Rules!$B$5),HS!J3)</f>
        <v>-0.21507662281362433</v>
      </c>
      <c r="K3">
        <f>IF(Rules!$B$6=Rules!$E$6,2*(SUM(Stand!K5:K12)+Rules!$B$5*Stand!K13+Stand!K37)/(9+Rules!$B$5),HS!K3)</f>
        <v>-0.31277980128259808</v>
      </c>
    </row>
    <row r="4" spans="1:11" x14ac:dyDescent="0.2">
      <c r="A4">
        <v>4</v>
      </c>
      <c r="B4">
        <f>IF(Rules!$B$6=Rules!$E$6,2*(SUM(Stand!B6:B13)+Rules!$B$5*Stand!B14+Stand!B38)/(9+Rules!$B$5),HS!B4)</f>
        <v>-0.38538530661686615</v>
      </c>
      <c r="C4">
        <f>IF(Rules!$B$6=Rules!$E$6,2*(SUM(Stand!C6:C13)+Rules!$B$5*Stand!C14+Stand!C38)/(9+Rules!$B$5),HS!C4)</f>
        <v>-0.11491332761892134</v>
      </c>
      <c r="D4">
        <f>IF(Rules!$B$6=Rules!$E$6,2*(SUM(Stand!D6:D13)+Rules!$B$5*Stand!D14+Stand!D38)/(9+Rules!$B$5),HS!D4)</f>
        <v>-8.2613314299744348E-2</v>
      </c>
      <c r="E4">
        <f>IF(Rules!$B$6=Rules!$E$6,2*(SUM(Stand!E6:E13)+Rules!$B$5*Stand!E14+Stand!E38)/(9+Rules!$B$5),HS!E4)</f>
        <v>-4.9367420106916922E-2</v>
      </c>
      <c r="F4">
        <f>IF(Rules!$B$6=Rules!$E$6,2*(SUM(Stand!F6:F13)+Rules!$B$5*Stand!F14+Stand!F38)/(9+Rules!$B$5),HS!F4)</f>
        <v>-1.2379926519926384E-2</v>
      </c>
      <c r="G4">
        <f>IF(Rules!$B$6=Rules!$E$6,2*(SUM(Stand!G6:G13)+Rules!$B$5*Stand!G14+Stand!G38)/(9+Rules!$B$5),HS!G4)</f>
        <v>1.1130417280979797E-2</v>
      </c>
      <c r="H4">
        <f>IF(Rules!$B$6=Rules!$E$6,2*(SUM(Stand!H6:H13)+Rules!$B$5*Stand!H14+Stand!H38)/(9+Rules!$B$5),HS!H4)</f>
        <v>-8.8279201058463722E-2</v>
      </c>
      <c r="I4">
        <f>IF(Rules!$B$6=Rules!$E$6,2*(SUM(Stand!I6:I13)+Rules!$B$5*Stand!I14+Stand!I38)/(9+Rules!$B$5),HS!I4)</f>
        <v>-0.15933415266020512</v>
      </c>
      <c r="J4">
        <f>IF(Rules!$B$6=Rules!$E$6,2*(SUM(Stand!J6:J13)+Rules!$B$5*Stand!J14+Stand!J38)/(9+Rules!$B$5),HS!J4)</f>
        <v>-0.24066617915336547</v>
      </c>
      <c r="K4">
        <f>IF(Rules!$B$6=Rules!$E$6,2*(SUM(Stand!K6:K13)+Rules!$B$5*Stand!K14+Stand!K38)/(9+Rules!$B$5),HS!K4)</f>
        <v>-0.33509986436351097</v>
      </c>
    </row>
    <row r="5" spans="1:11" x14ac:dyDescent="0.2">
      <c r="A5">
        <v>5</v>
      </c>
      <c r="B5">
        <f>IF(Rules!$B$6=Rules!$E$6,2*(SUM(Stand!B7:B14)+Rules!$B$5*Stand!B15+Stand!B39)/(9+Rules!$B$5),HS!B5)</f>
        <v>-0.40632230211141912</v>
      </c>
      <c r="C5">
        <f>IF(Rules!$B$6=Rules!$E$6,2*(SUM(Stand!C7:C14)+Rules!$B$5*Stand!C15+Stand!C39)/(9+Rules!$B$5),HS!C5)</f>
        <v>-0.12821556706374745</v>
      </c>
      <c r="D5">
        <f>IF(Rules!$B$6=Rules!$E$6,2*(SUM(Stand!D7:D14)+Rules!$B$5*Stand!D15+Stand!D39)/(9+Rules!$B$5),HS!D5)</f>
        <v>-9.5310227261489883E-2</v>
      </c>
      <c r="E5">
        <f>IF(Rules!$B$6=Rules!$E$6,2*(SUM(Stand!E7:E14)+Rules!$B$5*Stand!E15+Stand!E39)/(9+Rules!$B$5),HS!E5)</f>
        <v>-6.1479464199694238E-2</v>
      </c>
      <c r="F5">
        <f>IF(Rules!$B$6=Rules!$E$6,2*(SUM(Stand!F7:F14)+Rules!$B$5*Stand!F15+Stand!F39)/(9+Rules!$B$5),HS!F5)</f>
        <v>-2.397897039185962E-2</v>
      </c>
      <c r="G5">
        <f>IF(Rules!$B$6=Rules!$E$6,2*(SUM(Stand!G7:G14)+Rules!$B$5*Stand!G15+Stand!G39)/(9+Rules!$B$5),HS!G5)</f>
        <v>-1.1863378384401623E-3</v>
      </c>
      <c r="H5">
        <f>IF(Rules!$B$6=Rules!$E$6,2*(SUM(Stand!H7:H14)+Rules!$B$5*Stand!H15+Stand!H39)/(9+Rules!$B$5),HS!H5)</f>
        <v>-0.11944744188414852</v>
      </c>
      <c r="I5">
        <f>IF(Rules!$B$6=Rules!$E$6,2*(SUM(Stand!I7:I14)+Rules!$B$5*Stand!I15+Stand!I39)/(9+Rules!$B$5),HS!I5)</f>
        <v>-0.18809330390318518</v>
      </c>
      <c r="J5">
        <f>IF(Rules!$B$6=Rules!$E$6,2*(SUM(Stand!J7:J14)+Rules!$B$5*Stand!J15+Stand!J39)/(9+Rules!$B$5),HS!J5)</f>
        <v>-0.26661505335795899</v>
      </c>
      <c r="K5">
        <f>IF(Rules!$B$6=Rules!$E$6,2*(SUM(Stand!K7:K14)+Rules!$B$5*Stand!K15+Stand!K39)/(9+Rules!$B$5),HS!K5)</f>
        <v>-0.3577434525808979</v>
      </c>
    </row>
    <row r="6" spans="1:11" x14ac:dyDescent="0.2">
      <c r="A6">
        <v>6</v>
      </c>
      <c r="B6">
        <f>IF(Rules!$B$6=Rules!$E$6,2*(SUM(Stand!B8:B15)+Rules!$B$5*Stand!B16+Stand!B40)/(9+Rules!$B$5),HS!B6)</f>
        <v>-0.41968690347101079</v>
      </c>
      <c r="C6">
        <f>IF(Rules!$B$6=Rules!$E$6,2*(SUM(Stand!C8:C15)+Rules!$B$5*Stand!C16+Stand!C40)/(9+Rules!$B$5),HS!C6)</f>
        <v>-0.14075911746001987</v>
      </c>
      <c r="D6">
        <f>IF(Rules!$B$6=Rules!$E$6,2*(SUM(Stand!D8:D15)+Rules!$B$5*Stand!D16+Stand!D40)/(9+Rules!$B$5),HS!D6)</f>
        <v>-0.10729107800860835</v>
      </c>
      <c r="E6">
        <f>IF(Rules!$B$6=Rules!$E$6,2*(SUM(Stand!E8:E15)+Rules!$B$5*Stand!E16+Stand!E40)/(9+Rules!$B$5),HS!E6)</f>
        <v>-7.2917141926387305E-2</v>
      </c>
      <c r="F6">
        <f>IF(Rules!$B$6=Rules!$E$6,2*(SUM(Stand!F8:F15)+Rules!$B$5*Stand!F16+Stand!F40)/(9+Rules!$B$5),HS!F6)</f>
        <v>-3.4915973330102178E-2</v>
      </c>
      <c r="G6">
        <f>IF(Rules!$B$6=Rules!$E$6,2*(SUM(Stand!G8:G15)+Rules!$B$5*Stand!G16+Stand!G40)/(9+Rules!$B$5),HS!G6)</f>
        <v>-1.3005835529874294E-2</v>
      </c>
      <c r="H6">
        <f>IF(Rules!$B$6=Rules!$E$6,2*(SUM(Stand!H8:H15)+Rules!$B$5*Stand!H16+Stand!H40)/(9+Rules!$B$5),HS!H6)</f>
        <v>-0.15193270723669944</v>
      </c>
      <c r="I6">
        <f>IF(Rules!$B$6=Rules!$E$6,2*(SUM(Stand!I8:I15)+Rules!$B$5*Stand!I16+Stand!I40)/(9+Rules!$B$5),HS!I6)</f>
        <v>-0.21724188132078476</v>
      </c>
      <c r="J6">
        <f>IF(Rules!$B$6=Rules!$E$6,2*(SUM(Stand!J8:J15)+Rules!$B$5*Stand!J16+Stand!J40)/(9+Rules!$B$5),HS!J6)</f>
        <v>-0.29264070019772598</v>
      </c>
      <c r="K6">
        <f>IF(Rules!$B$6=Rules!$E$6,2*(SUM(Stand!K8:K15)+Rules!$B$5*Stand!K16+Stand!K40)/(9+Rules!$B$5),HS!K6)</f>
        <v>-0.38050766229289529</v>
      </c>
    </row>
    <row r="7" spans="1:11" x14ac:dyDescent="0.2">
      <c r="A7">
        <v>7</v>
      </c>
      <c r="B7">
        <f>IF(Rules!$B$6=Rules!$E$6,2*(SUM(Stand!B9:B16)+Rules!$B$5*Stand!B17+Stand!B41)/(9+Rules!$B$5),HS!B7)</f>
        <v>-0.39971038372569095</v>
      </c>
      <c r="C7">
        <f>IF(Rules!$B$6=Rules!$E$6,2*(SUM(Stand!C9:C16)+Rules!$B$5*Stand!C17+Stand!C41)/(9+Rules!$B$5),HS!C7)</f>
        <v>-0.10918342786661633</v>
      </c>
      <c r="D7">
        <f>IF(Rules!$B$6=Rules!$E$6,2*(SUM(Stand!D9:D16)+Rules!$B$5*Stand!D17+Stand!D41)/(9+Rules!$B$5),HS!D7)</f>
        <v>-7.6582981904463582E-2</v>
      </c>
      <c r="E7">
        <f>IF(Rules!$B$6=Rules!$E$6,2*(SUM(Stand!E9:E16)+Rules!$B$5*Stand!E17+Stand!E41)/(9+Rules!$B$5),HS!E7)</f>
        <v>-4.3021794004341876E-2</v>
      </c>
      <c r="F7">
        <f>IF(Rules!$B$6=Rules!$E$6,2*(SUM(Stand!F9:F16)+Rules!$B$5*Stand!F17+Stand!F41)/(9+Rules!$B$5),HS!F7)</f>
        <v>-7.2713609029408845E-3</v>
      </c>
      <c r="G7">
        <f>IF(Rules!$B$6=Rules!$E$6,2*(SUM(Stand!G9:G16)+Rules!$B$5*Stand!G17+Stand!G41)/(9+Rules!$B$5),HS!G7)</f>
        <v>2.9185342353860864E-2</v>
      </c>
      <c r="H7">
        <f>IF(Rules!$B$6=Rules!$E$6,2*(SUM(Stand!H9:H16)+Rules!$B$5*Stand!H17+Stand!H41)/(9+Rules!$B$5),HS!H7)</f>
        <v>-6.8807799580427764E-2</v>
      </c>
      <c r="I7">
        <f>IF(Rules!$B$6=Rules!$E$6,2*(SUM(Stand!I9:I16)+Rules!$B$5*Stand!I17+Stand!I41)/(9+Rules!$B$5),HS!I7)</f>
        <v>-0.21060476872434966</v>
      </c>
      <c r="J7">
        <f>IF(Rules!$B$6=Rules!$E$6,2*(SUM(Stand!J9:J16)+Rules!$B$5*Stand!J17+Stand!J41)/(9+Rules!$B$5),HS!J7)</f>
        <v>-0.28536544048687662</v>
      </c>
      <c r="K7">
        <f>IF(Rules!$B$6=Rules!$E$6,2*(SUM(Stand!K9:K16)+Rules!$B$5*Stand!K17+Stand!K41)/(9+Rules!$B$5),HS!K7)</f>
        <v>-0.36507789921394679</v>
      </c>
    </row>
    <row r="8" spans="1:11" x14ac:dyDescent="0.2">
      <c r="A8">
        <v>8</v>
      </c>
      <c r="B8">
        <f>IF(Rules!$B$6=Rules!$E$6,2*(SUM(Stand!B10:B17)+Rules!$B$5*Stand!B18+Stand!B42)/(9+Rules!$B$5),HS!B8)</f>
        <v>-0.33034033459070061</v>
      </c>
      <c r="C8">
        <f>IF(Rules!$B$6=Rules!$E$6,2*(SUM(Stand!C10:C17)+Rules!$B$5*Stand!C18+Stand!C42)/(9+Rules!$B$5),HS!C8)</f>
        <v>-2.1798188008805671E-2</v>
      </c>
      <c r="D8">
        <f>IF(Rules!$B$6=Rules!$E$6,2*(SUM(Stand!D10:D17)+Rules!$B$5*Stand!D18+Stand!D42)/(9+Rules!$B$5),HS!D8)</f>
        <v>8.0052625306546912E-3</v>
      </c>
      <c r="E8">
        <f>IF(Rules!$B$6=Rules!$E$6,2*(SUM(Stand!E10:E17)+Rules!$B$5*Stand!E18+Stand!E42)/(9+Rules!$B$5),HS!E8)</f>
        <v>3.8784473277208804E-2</v>
      </c>
      <c r="F8">
        <f>IF(Rules!$B$6=Rules!$E$6,2*(SUM(Stand!F10:F17)+Rules!$B$5*Stand!F18+Stand!F42)/(9+Rules!$B$5),HS!F8)</f>
        <v>7.0804635983033826E-2</v>
      </c>
      <c r="G8">
        <f>IF(Rules!$B$6=Rules!$E$6,2*(SUM(Stand!G10:G17)+Rules!$B$5*Stand!G18+Stand!G42)/(9+Rules!$B$5),HS!G8)</f>
        <v>0.11496015009622321</v>
      </c>
      <c r="H8">
        <f>IF(Rules!$B$6=Rules!$E$6,2*(SUM(Stand!H10:H17)+Rules!$B$5*Stand!H18+Stand!H42)/(9+Rules!$B$5),HS!H8)</f>
        <v>8.2207439363742862E-2</v>
      </c>
      <c r="I8">
        <f>IF(Rules!$B$6=Rules!$E$6,2*(SUM(Stand!I10:I17)+Rules!$B$5*Stand!I18+Stand!I42)/(9+Rules!$B$5),HS!I8)</f>
        <v>-5.989827565865629E-2</v>
      </c>
      <c r="J8">
        <f>IF(Rules!$B$6=Rules!$E$6,2*(SUM(Stand!J10:J17)+Rules!$B$5*Stand!J18+Stand!J42)/(9+Rules!$B$5),HS!J8)</f>
        <v>-0.2101863319982176</v>
      </c>
      <c r="K8">
        <f>IF(Rules!$B$6=Rules!$E$6,2*(SUM(Stand!K10:K17)+Rules!$B$5*Stand!K18+Stand!K42)/(9+Rules!$B$5),HS!K8)</f>
        <v>-0.30177738614031369</v>
      </c>
    </row>
    <row r="9" spans="1:11" x14ac:dyDescent="0.2">
      <c r="A9">
        <v>9</v>
      </c>
      <c r="B9">
        <f>2*(SUM(Stand!B11:B18)+Rules!$B$5*Stand!B19+Stand!B43)/(9+Rules!$B$5)</f>
        <v>-0.62015530980596734</v>
      </c>
      <c r="C9">
        <f>2*(SUM(Stand!C11:C18)+Rules!$B$5*Stand!C19+Stand!C43)/(9+Rules!$B$5)</f>
        <v>6.1118503166596977E-2</v>
      </c>
      <c r="D9">
        <f>2*(SUM(Stand!D11:D18)+Rules!$B$5*Stand!D19+Stand!D43)/(9+Rules!$B$5)</f>
        <v>0.12081635332999656</v>
      </c>
      <c r="E9">
        <f>2*(SUM(Stand!E11:E18)+Rules!$B$5*Stand!E19+Stand!E43)/(9+Rules!$B$5)</f>
        <v>0.1819489340524216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-2.6442289648669261E-2</v>
      </c>
      <c r="J9">
        <f>2*(SUM(Stand!J11:J18)+Rules!$B$5*Stand!J19+Stand!J43)/(9+Rules!$B$5)</f>
        <v>-0.30099565908098236</v>
      </c>
      <c r="K9">
        <f>2*(SUM(Stand!K11:K18)+Rules!$B$5*Stand!K19+Stand!K43)/(9+Rules!$B$5)</f>
        <v>-0.58465235122608539</v>
      </c>
    </row>
    <row r="10" spans="1:11" x14ac:dyDescent="0.2">
      <c r="A10">
        <v>10</v>
      </c>
      <c r="B10">
        <f>2*(SUM(Stand!B12:B19)+Rules!$B$5*Stand!B20+Stand!B44)/(9+Rules!$B$5)</f>
        <v>-0.32751926232774553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-0.1500044694283372</v>
      </c>
    </row>
    <row r="11" spans="1:11" x14ac:dyDescent="0.2">
      <c r="A11">
        <v>11</v>
      </c>
      <c r="B11">
        <f>2*(SUM(Stand!B13:B20)+Rules!$B$5*Stand!B21+Stand!B45)/(9+Rules!$B$5)</f>
        <v>-0.11815715102876453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0.35069259087031512</v>
      </c>
      <c r="J11">
        <f>2*(SUM(Stand!J13:J20)+Rules!$B$5*Stand!J21+Stand!J45)/(9+Rules!$B$5)</f>
        <v>0.22778342315245487</v>
      </c>
      <c r="K11">
        <f>2*(SUM(Stand!K13:K20)+Rules!$B$5*Stand!K21+Stand!K45)/(9+Rules!$B$5)</f>
        <v>5.9357641870643747E-2</v>
      </c>
    </row>
    <row r="12" spans="1:11" x14ac:dyDescent="0.2">
      <c r="A12">
        <v>12</v>
      </c>
      <c r="B12">
        <f>IF(Rules!$B$6=Rules!$E$6,2*(SUM(Stand!B14:B21)+Rules!$B$5*Stand!B22+Stand!B46)/(9+Rules!$B$5),HS!B12)</f>
        <v>-0.46566058377683939</v>
      </c>
      <c r="C12">
        <f>IF(Rules!$B$6=Rules!$E$6,2*(SUM(Stand!C14:C21)+Rules!$B$5*Stand!C22+Stand!C46)/(9+Rules!$B$5),HS!C12)</f>
        <v>-0.25338998596663809</v>
      </c>
      <c r="D12">
        <f>IF(Rules!$B$6=Rules!$E$6,2*(SUM(Stand!D14:D21)+Rules!$B$5*Stand!D22+Stand!D46)/(9+Rules!$B$5),HS!D12)</f>
        <v>-0.2336908997980866</v>
      </c>
      <c r="E12">
        <f>IF(Rules!$B$6=Rules!$E$6,2*(SUM(Stand!E14:E21)+Rules!$B$5*Stand!E22+Stand!E46)/(9+Rules!$B$5),HS!E12)</f>
        <v>-0.21106310899491437</v>
      </c>
      <c r="F12">
        <f>IF(Rules!$B$6=Rules!$E$6,2*(SUM(Stand!F14:F21)+Rules!$B$5*Stand!F22+Stand!F46)/(9+Rules!$B$5),HS!F12)</f>
        <v>-0.16719266083547524</v>
      </c>
      <c r="G12">
        <f>IF(Rules!$B$6=Rules!$E$6,2*(SUM(Stand!G14:G21)+Rules!$B$5*Stand!G22+Stand!G46)/(9+Rules!$B$5),HS!G12)</f>
        <v>-0.1536990158300045</v>
      </c>
      <c r="H12">
        <f>IF(Rules!$B$6=Rules!$E$6,2*(SUM(Stand!H14:H21)+Rules!$B$5*Stand!H22+Stand!H46)/(9+Rules!$B$5),HS!H12)</f>
        <v>-0.21284771451731424</v>
      </c>
      <c r="I12">
        <f>IF(Rules!$B$6=Rules!$E$6,2*(SUM(Stand!I14:I21)+Rules!$B$5*Stand!I22+Stand!I46)/(9+Rules!$B$5),HS!I12)</f>
        <v>-0.27157480502428616</v>
      </c>
      <c r="J12">
        <f>IF(Rules!$B$6=Rules!$E$6,2*(SUM(Stand!J14:J21)+Rules!$B$5*Stand!J22+Stand!J46)/(9+Rules!$B$5),HS!J12)</f>
        <v>-0.3400132806089356</v>
      </c>
      <c r="K12">
        <f>IF(Rules!$B$6=Rules!$E$6,2*(SUM(Stand!K14:K21)+Rules!$B$5*Stand!K22+Stand!K46)/(9+Rules!$B$5),HS!K12)</f>
        <v>-0.42069618899826788</v>
      </c>
    </row>
    <row r="13" spans="1:11" x14ac:dyDescent="0.2">
      <c r="A13">
        <v>13</v>
      </c>
      <c r="B13">
        <f>IF(Rules!$B$6=Rules!$E$6,2*(SUM(Stand!B15:B22)+Rules!$B$5*Stand!B23+Stand!B47)/(9+Rules!$B$5),HS!B13)</f>
        <v>-0.50382768493563657</v>
      </c>
      <c r="C13">
        <f>IF(Rules!$B$6=Rules!$E$6,2*(SUM(Stand!C15:C22)+Rules!$B$5*Stand!C23+Stand!C47)/(9+Rules!$B$5),HS!C13)</f>
        <v>-0.29278372720927726</v>
      </c>
      <c r="D13">
        <f>IF(Rules!$B$6=Rules!$E$6,2*(SUM(Stand!D15:D22)+Rules!$B$5*Stand!D23+Stand!D47)/(9+Rules!$B$5),HS!D13)</f>
        <v>-0.2522502292357135</v>
      </c>
      <c r="E13">
        <f>IF(Rules!$B$6=Rules!$E$6,2*(SUM(Stand!E15:E22)+Rules!$B$5*Stand!E23+Stand!E47)/(9+Rules!$B$5),HS!E13)</f>
        <v>-0.21106310899491437</v>
      </c>
      <c r="F13">
        <f>IF(Rules!$B$6=Rules!$E$6,2*(SUM(Stand!F15:F22)+Rules!$B$5*Stand!F23+Stand!F47)/(9+Rules!$B$5),HS!F13)</f>
        <v>-0.16719266083547524</v>
      </c>
      <c r="G13">
        <f>IF(Rules!$B$6=Rules!$E$6,2*(SUM(Stand!G15:G22)+Rules!$B$5*Stand!G23+Stand!G47)/(9+Rules!$B$5),HS!G13)</f>
        <v>-0.1536990158300045</v>
      </c>
      <c r="H13">
        <f>IF(Rules!$B$6=Rules!$E$6,2*(SUM(Stand!H15:H22)+Rules!$B$5*Stand!H23+Stand!H47)/(9+Rules!$B$5),HS!H13)</f>
        <v>-0.26907287776607752</v>
      </c>
      <c r="I13">
        <f>IF(Rules!$B$6=Rules!$E$6,2*(SUM(Stand!I15:I22)+Rules!$B$5*Stand!I23+Stand!I47)/(9+Rules!$B$5),HS!I13)</f>
        <v>-0.32360517609397998</v>
      </c>
      <c r="J13">
        <f>IF(Rules!$B$6=Rules!$E$6,2*(SUM(Stand!J15:J22)+Rules!$B$5*Stand!J23+Stand!J47)/(9+Rules!$B$5),HS!J13)</f>
        <v>-0.38715518913686875</v>
      </c>
      <c r="K13">
        <f>IF(Rules!$B$6=Rules!$E$6,2*(SUM(Stand!K15:K22)+Rules!$B$5*Stand!K23+Stand!K47)/(9+Rules!$B$5),HS!K13)</f>
        <v>-0.46207503264124877</v>
      </c>
    </row>
    <row r="14" spans="1:11" x14ac:dyDescent="0.2">
      <c r="A14">
        <v>14</v>
      </c>
      <c r="B14">
        <f>IF(Rules!$B$6=Rules!$E$6,2*(SUM(Stand!B16:B23)+Rules!$B$5*Stand!B24+Stand!B48)/(9+Rules!$B$5),HS!B14)</f>
        <v>-0.53926856458309114</v>
      </c>
      <c r="C14">
        <f>IF(Rules!$B$6=Rules!$E$6,2*(SUM(Stand!C16:C23)+Rules!$B$5*Stand!C24+Stand!C48)/(9+Rules!$B$5),HS!C14)</f>
        <v>-0.29278372720927726</v>
      </c>
      <c r="D14">
        <f>IF(Rules!$B$6=Rules!$E$6,2*(SUM(Stand!D16:D23)+Rules!$B$5*Stand!D24+Stand!D48)/(9+Rules!$B$5),HS!D14)</f>
        <v>-0.2522502292357135</v>
      </c>
      <c r="E14">
        <f>IF(Rules!$B$6=Rules!$E$6,2*(SUM(Stand!E16:E23)+Rules!$B$5*Stand!E24+Stand!E48)/(9+Rules!$B$5),HS!E14)</f>
        <v>-0.21106310899491437</v>
      </c>
      <c r="F14">
        <f>IF(Rules!$B$6=Rules!$E$6,2*(SUM(Stand!F16:F23)+Rules!$B$5*Stand!F24+Stand!F48)/(9+Rules!$B$5),HS!F14)</f>
        <v>-0.16719266083547524</v>
      </c>
      <c r="G14">
        <f>IF(Rules!$B$6=Rules!$E$6,2*(SUM(Stand!G16:G23)+Rules!$B$5*Stand!G24+Stand!G48)/(9+Rules!$B$5),HS!G14)</f>
        <v>-0.1536990158300045</v>
      </c>
      <c r="H14">
        <f>IF(Rules!$B$6=Rules!$E$6,2*(SUM(Stand!H16:H23)+Rules!$B$5*Stand!H24+Stand!H48)/(9+Rules!$B$5),HS!H14)</f>
        <v>-0.3212819579256434</v>
      </c>
      <c r="I14">
        <f>IF(Rules!$B$6=Rules!$E$6,2*(SUM(Stand!I16:I23)+Rules!$B$5*Stand!I24+Stand!I48)/(9+Rules!$B$5),HS!I14)</f>
        <v>-0.37191909208726714</v>
      </c>
      <c r="J14">
        <f>IF(Rules!$B$6=Rules!$E$6,2*(SUM(Stand!J16:J23)+Rules!$B$5*Stand!J24+Stand!J48)/(9+Rules!$B$5),HS!J14)</f>
        <v>-0.43092981848423528</v>
      </c>
      <c r="K14">
        <f>IF(Rules!$B$6=Rules!$E$6,2*(SUM(Stand!K16:K23)+Rules!$B$5*Stand!K24+Stand!K48)/(9+Rules!$B$5),HS!K14)</f>
        <v>-0.50049824459544523</v>
      </c>
    </row>
    <row r="15" spans="1:11" x14ac:dyDescent="0.2">
      <c r="A15">
        <v>15</v>
      </c>
      <c r="B15">
        <f>IF(Rules!$B$6=Rules!$E$6,2*(SUM(Stand!B17:B24)+Rules!$B$5*Stand!B25+Stand!B49)/(9+Rules!$B$5),HS!B15)</f>
        <v>-0.572177952827156</v>
      </c>
      <c r="C15">
        <f>IF(Rules!$B$6=Rules!$E$6,2*(SUM(Stand!C17:C24)+Rules!$B$5*Stand!C25+Stand!C49)/(9+Rules!$B$5),HS!C15)</f>
        <v>-0.29278372720927726</v>
      </c>
      <c r="D15">
        <f>IF(Rules!$B$6=Rules!$E$6,2*(SUM(Stand!D17:D24)+Rules!$B$5*Stand!D25+Stand!D49)/(9+Rules!$B$5),HS!D15)</f>
        <v>-0.2522502292357135</v>
      </c>
      <c r="E15">
        <f>IF(Rules!$B$6=Rules!$E$6,2*(SUM(Stand!E17:E24)+Rules!$B$5*Stand!E25+Stand!E49)/(9+Rules!$B$5),HS!E15)</f>
        <v>-0.21106310899491437</v>
      </c>
      <c r="F15">
        <f>IF(Rules!$B$6=Rules!$E$6,2*(SUM(Stand!F17:F24)+Rules!$B$5*Stand!F25+Stand!F49)/(9+Rules!$B$5),HS!F15)</f>
        <v>-0.16719266083547524</v>
      </c>
      <c r="G15">
        <f>IF(Rules!$B$6=Rules!$E$6,2*(SUM(Stand!G17:G24)+Rules!$B$5*Stand!G25+Stand!G49)/(9+Rules!$B$5),HS!G15)</f>
        <v>-0.1536990158300045</v>
      </c>
      <c r="H15">
        <f>IF(Rules!$B$6=Rules!$E$6,2*(SUM(Stand!H17:H24)+Rules!$B$5*Stand!H25+Stand!H49)/(9+Rules!$B$5),HS!H15)</f>
        <v>-0.36976181807381175</v>
      </c>
      <c r="I15">
        <f>IF(Rules!$B$6=Rules!$E$6,2*(SUM(Stand!I17:I24)+Rules!$B$5*Stand!I25+Stand!I49)/(9+Rules!$B$5),HS!I15)</f>
        <v>-0.41678201408103371</v>
      </c>
      <c r="J15">
        <f>IF(Rules!$B$6=Rules!$E$6,2*(SUM(Stand!J17:J24)+Rules!$B$5*Stand!J25+Stand!J49)/(9+Rules!$B$5),HS!J15)</f>
        <v>-0.47157768859250415</v>
      </c>
      <c r="K15">
        <f>IF(Rules!$B$6=Rules!$E$6,2*(SUM(Stand!K17:K24)+Rules!$B$5*Stand!K25+Stand!K49)/(9+Rules!$B$5),HS!K15)</f>
        <v>-0.53617694141005634</v>
      </c>
    </row>
    <row r="16" spans="1:11" x14ac:dyDescent="0.2">
      <c r="A16">
        <v>16</v>
      </c>
      <c r="B16">
        <f>IF(Rules!$B$6=Rules!$E$6,2*(SUM(Stand!B18:B25)+Rules!$B$5*Stand!B26+Stand!B50)/(9+Rules!$B$5),HS!B16)</f>
        <v>-0.57578184676460165</v>
      </c>
      <c r="C16">
        <f>IF(Rules!$B$6=Rules!$E$6,2*(SUM(Stand!C18:C25)+Rules!$B$5*Stand!C26+Stand!C50)/(9+Rules!$B$5),HS!C16)</f>
        <v>-0.29278372720927726</v>
      </c>
      <c r="D16">
        <f>IF(Rules!$B$6=Rules!$E$6,2*(SUM(Stand!D18:D25)+Rules!$B$5*Stand!D26+Stand!D50)/(9+Rules!$B$5),HS!D16)</f>
        <v>-0.2522502292357135</v>
      </c>
      <c r="E16">
        <f>IF(Rules!$B$6=Rules!$E$6,2*(SUM(Stand!E18:E25)+Rules!$B$5*Stand!E26+Stand!E50)/(9+Rules!$B$5),HS!E16)</f>
        <v>-0.21106310899491437</v>
      </c>
      <c r="F16">
        <f>IF(Rules!$B$6=Rules!$E$6,2*(SUM(Stand!F18:F25)+Rules!$B$5*Stand!F26+Stand!F50)/(9+Rules!$B$5),HS!F16)</f>
        <v>-0.16719266083547524</v>
      </c>
      <c r="G16">
        <f>IF(Rules!$B$6=Rules!$E$6,2*(SUM(Stand!G18:G25)+Rules!$B$5*Stand!G26+Stand!G50)/(9+Rules!$B$5),HS!G16)</f>
        <v>-0.1536990158300045</v>
      </c>
      <c r="H16">
        <f>IF(Rules!$B$6=Rules!$E$6,2*(SUM(Stand!H18:H25)+Rules!$B$5*Stand!H26+Stand!H50)/(9+Rules!$B$5),HS!H16)</f>
        <v>-0.41477883106853947</v>
      </c>
      <c r="I16">
        <f>IF(Rules!$B$6=Rules!$E$6,2*(SUM(Stand!I18:I25)+Rules!$B$5*Stand!I26+Stand!I50)/(9+Rules!$B$5),HS!I16)</f>
        <v>-0.45844044164667419</v>
      </c>
      <c r="J16">
        <f>IF(Rules!$B$6=Rules!$E$6,2*(SUM(Stand!J18:J25)+Rules!$B$5*Stand!J26+Stand!J50)/(9+Rules!$B$5),HS!J16)</f>
        <v>-0.50932213940732529</v>
      </c>
      <c r="K16">
        <f>IF(Rules!$B$6=Rules!$E$6,2*(SUM(Stand!K18:K25)+Rules!$B$5*Stand!K26+Stand!K50)/(9+Rules!$B$5),HS!K16)</f>
        <v>-0.56930715988076652</v>
      </c>
    </row>
    <row r="17" spans="1:11" x14ac:dyDescent="0.2">
      <c r="A17">
        <v>17</v>
      </c>
      <c r="B17">
        <f>IF(Rules!$B$6=Rules!$E$6,2*(SUM(Stand!B19:B26)+Rules!$B$5*Stand!B27+Stand!B51)/(9+Rules!$B$5),HS!B17)</f>
        <v>-0.46435750824198752</v>
      </c>
      <c r="C17">
        <f>IF(Rules!$B$6=Rules!$E$6,2*(SUM(Stand!C19:C26)+Rules!$B$5*Stand!C27+Stand!C51)/(9+Rules!$B$5),HS!C17)</f>
        <v>-0.15297458768154204</v>
      </c>
      <c r="D17">
        <f>IF(Rules!$B$6=Rules!$E$6,2*(SUM(Stand!D19:D26)+Rules!$B$5*Stand!D27+Stand!D51)/(9+Rules!$B$5),HS!D17)</f>
        <v>-0.11721624142457365</v>
      </c>
      <c r="E17">
        <f>IF(Rules!$B$6=Rules!$E$6,2*(SUM(Stand!E19:E26)+Rules!$B$5*Stand!E27+Stand!E51)/(9+Rules!$B$5),HS!E17)</f>
        <v>-8.0573373145316152E-2</v>
      </c>
      <c r="F17">
        <f>IF(Rules!$B$6=Rules!$E$6,2*(SUM(Stand!F19:F26)+Rules!$B$5*Stand!F27+Stand!F51)/(9+Rules!$B$5),HS!F17)</f>
        <v>-4.4941375564924446E-2</v>
      </c>
      <c r="G17">
        <f>IF(Rules!$B$6=Rules!$E$6,2*(SUM(Stand!G19:G26)+Rules!$B$5*Stand!G27+Stand!G51)/(9+Rules!$B$5),HS!G17)</f>
        <v>1.1739160673341853E-2</v>
      </c>
      <c r="H17">
        <f>IF(Rules!$B$6=Rules!$E$6,2*(SUM(Stand!H19:H26)+Rules!$B$5*Stand!H27+Stand!H51)/(9+Rules!$B$5),HS!H17)</f>
        <v>-0.10680898948269468</v>
      </c>
      <c r="I17">
        <f>IF(Rules!$B$6=Rules!$E$6,2*(SUM(Stand!I19:I26)+Rules!$B$5*Stand!I27+Stand!I51)/(9+Rules!$B$5),HS!I17)</f>
        <v>-0.38195097104844711</v>
      </c>
      <c r="J17">
        <f>IF(Rules!$B$6=Rules!$E$6,2*(SUM(Stand!J19:J26)+Rules!$B$5*Stand!J27+Stand!J51)/(9+Rules!$B$5),HS!J17)</f>
        <v>-0.42315423964521737</v>
      </c>
      <c r="K17">
        <f>IF(Rules!$B$6=Rules!$E$6,2*(SUM(Stand!K19:K26)+Rules!$B$5*Stand!K27+Stand!K51)/(9+Rules!$B$5),HS!K17)</f>
        <v>-0.46435750824198763</v>
      </c>
    </row>
    <row r="18" spans="1:11" x14ac:dyDescent="0.2">
      <c r="A18">
        <v>18</v>
      </c>
      <c r="B18">
        <f>IF(Rules!$B$6=Rules!$E$6,2*(SUM(Stand!B20:B27)+Rules!$B$5*Stand!B28+Stand!B52)/(9+Rules!$B$5),HS!B18)</f>
        <v>-0.24150883119675959</v>
      </c>
      <c r="C18">
        <f>IF(Rules!$B$6=Rules!$E$6,2*(SUM(Stand!C20:C27)+Rules!$B$5*Stand!C28+Stand!C52)/(9+Rules!$B$5),HS!C18)</f>
        <v>0.12174190222088771</v>
      </c>
      <c r="D18">
        <f>IF(Rules!$B$6=Rules!$E$6,2*(SUM(Stand!D20:D27)+Rules!$B$5*Stand!D28+Stand!D52)/(9+Rules!$B$5),HS!D18)</f>
        <v>0.14830007284131119</v>
      </c>
      <c r="E18">
        <f>IF(Rules!$B$6=Rules!$E$6,2*(SUM(Stand!E20:E27)+Rules!$B$5*Stand!E28+Stand!E52)/(9+Rules!$B$5),HS!E18)</f>
        <v>0.17585443719748528</v>
      </c>
      <c r="F18">
        <f>IF(Rules!$B$6=Rules!$E$6,2*(SUM(Stand!F20:F27)+Rules!$B$5*Stand!F28+Stand!F52)/(9+Rules!$B$5),HS!F18)</f>
        <v>0.19956119497617719</v>
      </c>
      <c r="G18">
        <f>IF(Rules!$B$6=Rules!$E$6,2*(SUM(Stand!G20:G27)+Rules!$B$5*Stand!G28+Stand!G52)/(9+Rules!$B$5),HS!G18)</f>
        <v>0.28344391604689856</v>
      </c>
      <c r="H18">
        <f>IF(Rules!$B$6=Rules!$E$6,2*(SUM(Stand!H20:H27)+Rules!$B$5*Stand!H28+Stand!H52)/(9+Rules!$B$5),HS!H18)</f>
        <v>0.3995541673365518</v>
      </c>
      <c r="I18">
        <f>IF(Rules!$B$6=Rules!$E$6,2*(SUM(Stand!I20:I27)+Rules!$B$5*Stand!I28+Stand!I52)/(9+Rules!$B$5),HS!I18)</f>
        <v>0.10595134861912359</v>
      </c>
      <c r="J18">
        <f>IF(Rules!$B$6=Rules!$E$6,2*(SUM(Stand!J20:J27)+Rules!$B$5*Stand!J28+Stand!J52)/(9+Rules!$B$5),HS!J18)</f>
        <v>-0.18316335667343331</v>
      </c>
      <c r="K18">
        <f>IF(Rules!$B$6=Rules!$E$6,2*(SUM(Stand!K20:K27)+Rules!$B$5*Stand!K28+Stand!K52)/(9+Rules!$B$5),HS!K18)</f>
        <v>-0.24150883119675959</v>
      </c>
    </row>
    <row r="19" spans="1:11" x14ac:dyDescent="0.2">
      <c r="A19">
        <v>19</v>
      </c>
      <c r="B19">
        <f>IF(Rules!$B$6=Rules!$E$6,2*(SUM(Stand!B21:B28)+Rules!$B$5*Stand!B29+Stand!B53)/(9+Rules!$B$5),HS!B19)</f>
        <v>-1.8660154151531549E-2</v>
      </c>
      <c r="C19">
        <f>IF(Rules!$B$6=Rules!$E$6,2*(SUM(Stand!C21:C28)+Rules!$B$5*Stand!C29+Stand!C53)/(9+Rules!$B$5),HS!C19)</f>
        <v>0.38630468602058987</v>
      </c>
      <c r="D19">
        <f>IF(Rules!$B$6=Rules!$E$6,2*(SUM(Stand!D21:D28)+Rules!$B$5*Stand!D29+Stand!D53)/(9+Rules!$B$5),HS!D19)</f>
        <v>0.40436293659776001</v>
      </c>
      <c r="E19">
        <f>IF(Rules!$B$6=Rules!$E$6,2*(SUM(Stand!E21:E28)+Rules!$B$5*Stand!E29+Stand!E53)/(9+Rules!$B$5),HS!E19)</f>
        <v>0.42317892482749647</v>
      </c>
      <c r="F19">
        <f>IF(Rules!$B$6=Rules!$E$6,2*(SUM(Stand!F21:F28)+Rules!$B$5*Stand!F29+Stand!F53)/(9+Rules!$B$5),HS!F19)</f>
        <v>0.43951210416088371</v>
      </c>
      <c r="G19">
        <f>IF(Rules!$B$6=Rules!$E$6,2*(SUM(Stand!G21:G28)+Rules!$B$5*Stand!G29+Stand!G53)/(9+Rules!$B$5),HS!G19)</f>
        <v>0.49597707378731909</v>
      </c>
      <c r="H19">
        <f>IF(Rules!$B$6=Rules!$E$6,2*(SUM(Stand!H21:H28)+Rules!$B$5*Stand!H29+Stand!H53)/(9+Rules!$B$5),HS!H19)</f>
        <v>0.6159764957534315</v>
      </c>
      <c r="I19">
        <f>IF(Rules!$B$6=Rules!$E$6,2*(SUM(Stand!I21:I28)+Rules!$B$5*Stand!I29+Stand!I53)/(9+Rules!$B$5),HS!I19)</f>
        <v>0.5938536682866945</v>
      </c>
      <c r="J19">
        <f>IF(Rules!$B$6=Rules!$E$6,2*(SUM(Stand!J21:J28)+Rules!$B$5*Stand!J29+Stand!J53)/(9+Rules!$B$5),HS!J19)</f>
        <v>0.28759675706758142</v>
      </c>
      <c r="K19">
        <f>IF(Rules!$B$6=Rules!$E$6,2*(SUM(Stand!K21:K28)+Rules!$B$5*Stand!K29+Stand!K53)/(9+Rules!$B$5),HS!K19)</f>
        <v>-1.8660154151531536E-2</v>
      </c>
    </row>
    <row r="20" spans="1:11" x14ac:dyDescent="0.2">
      <c r="A20">
        <v>20</v>
      </c>
      <c r="B20">
        <f>IF(Rules!$B$6=Rules!$E$6,2*(SUM(Stand!B22:B29)+Rules!$B$5*Stand!B30+Stand!B54)/(9+Rules!$B$5),HS!B20)</f>
        <v>0.20418852289369649</v>
      </c>
      <c r="C20">
        <f>IF(Rules!$B$6=Rules!$E$6,2*(SUM(Stand!C22:C29)+Rules!$B$5*Stand!C30+Stand!C54)/(9+Rules!$B$5),HS!C20)</f>
        <v>0.63998657521683877</v>
      </c>
      <c r="D20">
        <f>IF(Rules!$B$6=Rules!$E$6,2*(SUM(Stand!D22:D29)+Rules!$B$5*Stand!D30+Stand!D54)/(9+Rules!$B$5),HS!D20)</f>
        <v>0.65027209425148136</v>
      </c>
      <c r="E20">
        <f>IF(Rules!$B$6=Rules!$E$6,2*(SUM(Stand!E22:E29)+Rules!$B$5*Stand!E30+Stand!E54)/(9+Rules!$B$5),HS!E20)</f>
        <v>0.66104996194807186</v>
      </c>
      <c r="F20">
        <f>IF(Rules!$B$6=Rules!$E$6,2*(SUM(Stand!F22:F29)+Rules!$B$5*Stand!F30+Stand!F54)/(9+Rules!$B$5),HS!F20)</f>
        <v>0.67035969063279999</v>
      </c>
      <c r="G20">
        <f>IF(Rules!$B$6=Rules!$E$6,2*(SUM(Stand!G22:G29)+Rules!$B$5*Stand!G30+Stand!G54)/(9+Rules!$B$5),HS!G20)</f>
        <v>0.70395857017134467</v>
      </c>
      <c r="H20">
        <f>IF(Rules!$B$6=Rules!$E$6,2*(SUM(Stand!H22:H29)+Rules!$B$5*Stand!H30+Stand!H54)/(9+Rules!$B$5),HS!H20)</f>
        <v>0.77322722653717491</v>
      </c>
      <c r="I20">
        <f>IF(Rules!$B$6=Rules!$E$6,2*(SUM(Stand!I22:I29)+Rules!$B$5*Stand!I30+Stand!I54)/(9+Rules!$B$5),HS!I20)</f>
        <v>0.79181515955189841</v>
      </c>
      <c r="J20">
        <f>IF(Rules!$B$6=Rules!$E$6,2*(SUM(Stand!J22:J29)+Rules!$B$5*Stand!J30+Stand!J54)/(9+Rules!$B$5),HS!J20)</f>
        <v>0.75835687080859626</v>
      </c>
      <c r="K20">
        <f>IF(Rules!$B$6=Rules!$E$6,2*(SUM(Stand!K22:K29)+Rules!$B$5*Stand!K30+Stand!K54)/(9+Rules!$B$5),HS!K20)</f>
        <v>0.43495775366292722</v>
      </c>
    </row>
    <row r="21" spans="1:11" x14ac:dyDescent="0.2">
      <c r="A21">
        <v>21</v>
      </c>
      <c r="B21">
        <f>IF(Rules!$B$6=Rules!$E$6,2*(SUM(Stand!B23:B30)+Rules!$B$5*Stand!B31+Stand!B55)/(9+Rules!$B$5),HS!B21)</f>
        <v>0.65780643070815525</v>
      </c>
      <c r="C21">
        <f>IF(Rules!$B$6=Rules!$E$6,2*(SUM(Stand!C23:C30)+Rules!$B$5*Stand!C31+Stand!C55)/(9+Rules!$B$5),HS!C21)</f>
        <v>0.88200651549403997</v>
      </c>
      <c r="D21">
        <f>IF(Rules!$B$6=Rules!$E$6,2*(SUM(Stand!D23:D30)+Rules!$B$5*Stand!D31+Stand!D55)/(9+Rules!$B$5),HS!D21)</f>
        <v>0.88530035730174927</v>
      </c>
      <c r="E21">
        <f>IF(Rules!$B$6=Rules!$E$6,2*(SUM(Stand!E23:E30)+Rules!$B$5*Stand!E31+Stand!E55)/(9+Rules!$B$5),HS!E21)</f>
        <v>0.88876729296591961</v>
      </c>
      <c r="F21">
        <f>IF(Rules!$B$6=Rules!$E$6,2*(SUM(Stand!F23:F30)+Rules!$B$5*Stand!F31+Stand!F55)/(9+Rules!$B$5),HS!F21)</f>
        <v>0.89175382659528035</v>
      </c>
      <c r="G21">
        <f>IF(Rules!$B$6=Rules!$E$6,2*(SUM(Stand!G23:G30)+Rules!$B$5*Stand!G31+Stand!G55)/(9+Rules!$B$5),HS!G21)</f>
        <v>0.90283674384257995</v>
      </c>
      <c r="H21">
        <f>IF(Rules!$B$6=Rules!$E$6,2*(SUM(Stand!H23:H30)+Rules!$B$5*Stand!H31+Stand!H55)/(9+Rules!$B$5),HS!H21)</f>
        <v>0.92592629596452325</v>
      </c>
      <c r="I21">
        <f>IF(Rules!$B$6=Rules!$E$6,2*(SUM(Stand!I23:I30)+Rules!$B$5*Stand!I31+Stand!I55)/(9+Rules!$B$5),HS!I21)</f>
        <v>0.93060505318396614</v>
      </c>
      <c r="J21">
        <f>IF(Rules!$B$6=Rules!$E$6,2*(SUM(Stand!J23:J30)+Rules!$B$5*Stand!J31+Stand!J55)/(9+Rules!$B$5),HS!J21)</f>
        <v>0.93917615614724415</v>
      </c>
      <c r="K21">
        <f>IF(Rules!$B$6=Rules!$E$6,2*(SUM(Stand!K23:K30)+Rules!$B$5*Stand!K31+Stand!K55)/(9+Rules!$B$5),HS!K21)</f>
        <v>0.88857566147738598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7.4082476325384949E-2</v>
      </c>
      <c r="C34">
        <f>IF(Rules!$B$6=Rules!$E$6,2*(SUM(Stand!C35:C43)+Rules!$B$5*Stand!C44)/(9+Rules!$B$5),HS!C34)</f>
        <v>0.3696374242362967</v>
      </c>
      <c r="D34">
        <f>IF(Rules!$B$6=Rules!$E$6,2*(SUM(Stand!D35:D43)+Rules!$B$5*Stand!D44)/(9+Rules!$B$5),HS!D34)</f>
        <v>0.38767410174512951</v>
      </c>
      <c r="E34">
        <f>IF(Rules!$B$6=Rules!$E$6,2*(SUM(Stand!E35:E43)+Rules!$B$5*Stand!E44)/(9+Rules!$B$5),HS!E34)</f>
        <v>0.40637639293641487</v>
      </c>
      <c r="F34">
        <f>IF(Rules!$B$6=Rules!$E$6,2*(SUM(Stand!F35:F43)+Rules!$B$5*Stand!F44)/(9+Rules!$B$5),HS!F34)</f>
        <v>0.42575273133176267</v>
      </c>
      <c r="G34">
        <f>IF(Rules!$B$6=Rules!$E$6,2*(SUM(Stand!G35:G43)+Rules!$B$5*Stand!G44)/(9+Rules!$B$5),HS!G34)</f>
        <v>0.45589668319225651</v>
      </c>
      <c r="H34">
        <f>IF(Rules!$B$6=Rules!$E$6,2*(SUM(Stand!H35:H43)+Rules!$B$5*Stand!H44)/(9+Rules!$B$5),HS!H34)</f>
        <v>0.45736852128859351</v>
      </c>
      <c r="I34">
        <f>IF(Rules!$B$6=Rules!$E$6,2*(SUM(Stand!I35:I43)+Rules!$B$5*Stand!I44)/(9+Rules!$B$5),HS!I34)</f>
        <v>0.40074805174057659</v>
      </c>
      <c r="J34">
        <f>IF(Rules!$B$6=Rules!$E$6,2*(SUM(Stand!J35:J43)+Rules!$B$5*Stand!J44)/(9+Rules!$B$5),HS!J34)</f>
        <v>0.32142328174266549</v>
      </c>
      <c r="K34">
        <f>IF(Rules!$B$6=Rules!$E$6,2*(SUM(Stand!K35:K43)+Rules!$B$5*Stand!K44)/(9+Rules!$B$5),HS!K34)</f>
        <v>0.19656557835630536</v>
      </c>
    </row>
    <row r="35" spans="1:11" x14ac:dyDescent="0.2">
      <c r="A35">
        <v>12</v>
      </c>
      <c r="B35">
        <f>IF(Rules!$B$6=Rules!$E$6,2*(SUM(Stand!B36:B44)+Rules!$B$5*Stand!B45)/(9+Rules!$B$5),HS!B35)</f>
        <v>-0.20521353107155851</v>
      </c>
      <c r="C35">
        <f>IF(Rules!$B$6=Rules!$E$6,2*(SUM(Stand!C36:C44)+Rules!$B$5*Stand!C45)/(9+Rules!$B$5),HS!C35)</f>
        <v>8.1836216051656044E-2</v>
      </c>
      <c r="D35">
        <f>IF(Rules!$B$6=Rules!$E$6,2*(SUM(Stand!D36:D44)+Rules!$B$5*Stand!D45)/(9+Rules!$B$5),HS!D35)</f>
        <v>0.10350704654207775</v>
      </c>
      <c r="E35">
        <f>IF(Rules!$B$6=Rules!$E$6,2*(SUM(Stand!E36:E44)+Rules!$B$5*Stand!E45)/(9+Rules!$B$5),HS!E35)</f>
        <v>0.12659562809256977</v>
      </c>
      <c r="F35">
        <f>IF(Rules!$B$6=Rules!$E$6,2*(SUM(Stand!F36:F44)+Rules!$B$5*Stand!F45)/(9+Rules!$B$5),HS!F35)</f>
        <v>0.15648238458465519</v>
      </c>
      <c r="G35">
        <f>IF(Rules!$B$6=Rules!$E$6,2*(SUM(Stand!G36:G44)+Rules!$B$5*Stand!G45)/(9+Rules!$B$5),HS!G35)</f>
        <v>0.18595361333225549</v>
      </c>
      <c r="H35">
        <f>IF(Rules!$B$6=Rules!$E$6,2*(SUM(Stand!H36:H44)+Rules!$B$5*Stand!H45)/(9+Rules!$B$5),HS!H35)</f>
        <v>0.16547293077063496</v>
      </c>
      <c r="I35">
        <f>IF(Rules!$B$6=Rules!$E$6,2*(SUM(Stand!I36:I44)+Rules!$B$5*Stand!I45)/(9+Rules!$B$5),HS!I35)</f>
        <v>9.5115020927032307E-2</v>
      </c>
      <c r="J35">
        <f>IF(Rules!$B$6=Rules!$E$6,2*(SUM(Stand!J36:J44)+Rules!$B$5*Stand!J45)/(9+Rules!$B$5),HS!J35)</f>
        <v>6.5790841226897296E-5</v>
      </c>
      <c r="K35">
        <f>IF(Rules!$B$6=Rules!$E$6,2*(SUM(Stand!K36:K44)+Rules!$B$5*Stand!K45)/(9+Rules!$B$5),HS!K35)</f>
        <v>-0.12808280155666141</v>
      </c>
    </row>
    <row r="36" spans="1:11" x14ac:dyDescent="0.2">
      <c r="A36">
        <v>13</v>
      </c>
      <c r="B36">
        <f>IF(Rules!$B$6=Rules!$E$6,2*(SUM(Stand!B37:B45)+Rules!$B$5*Stand!B46)/(9+Rules!$B$5),HS!B36)</f>
        <v>-0.23472177802444921</v>
      </c>
      <c r="C36">
        <f>IF(Rules!$B$6=Rules!$E$6,2*(SUM(Stand!C37:C45)+Rules!$B$5*Stand!C46)/(9+Rules!$B$5),HS!C36)</f>
        <v>4.6636132695309543E-2</v>
      </c>
      <c r="D36">
        <f>IF(Rules!$B$6=Rules!$E$6,2*(SUM(Stand!D37:D45)+Rules!$B$5*Stand!D46)/(9+Rules!$B$5),HS!D36)</f>
        <v>7.4118813392744051E-2</v>
      </c>
      <c r="E36">
        <f>IF(Rules!$B$6=Rules!$E$6,2*(SUM(Stand!E37:E45)+Rules!$B$5*Stand!E46)/(9+Rules!$B$5),HS!E36)</f>
        <v>0.10247714687203523</v>
      </c>
      <c r="F36">
        <f>IF(Rules!$B$6=Rules!$E$6,2*(SUM(Stand!F37:F45)+Rules!$B$5*Stand!F46)/(9+Rules!$B$5),HS!F36)</f>
        <v>0.13336273848321728</v>
      </c>
      <c r="G36">
        <f>IF(Rules!$B$6=Rules!$E$6,2*(SUM(Stand!G37:G45)+Rules!$B$5*Stand!G46)/(9+Rules!$B$5),HS!G36)</f>
        <v>0.16169271124923693</v>
      </c>
      <c r="H36">
        <f>IF(Rules!$B$6=Rules!$E$6,2*(SUM(Stand!H37:H45)+Rules!$B$5*Stand!H46)/(9+Rules!$B$5),HS!H36)</f>
        <v>0.12238569517899196</v>
      </c>
      <c r="I36">
        <f>IF(Rules!$B$6=Rules!$E$6,2*(SUM(Stand!I37:I45)+Rules!$B$5*Stand!I46)/(9+Rules!$B$5),HS!I36)</f>
        <v>5.4057070196311334E-2</v>
      </c>
      <c r="J36">
        <f>IF(Rules!$B$6=Rules!$E$6,2*(SUM(Stand!J37:J45)+Rules!$B$5*Stand!J46)/(9+Rules!$B$5),HS!J36)</f>
        <v>-3.7694688127479885E-2</v>
      </c>
      <c r="K36">
        <f>IF(Rules!$B$6=Rules!$E$6,2*(SUM(Stand!K37:K45)+Rules!$B$5*Stand!K46)/(9+Rules!$B$5),HS!K36)</f>
        <v>-0.16080628455762785</v>
      </c>
    </row>
    <row r="37" spans="1:11" x14ac:dyDescent="0.2">
      <c r="A37">
        <v>14</v>
      </c>
      <c r="B37">
        <f>IF(Rules!$B$6=Rules!$E$6,2*(SUM(Stand!B38:B46)+Rules!$B$5*Stand!B47)/(9+Rules!$B$5),HS!B37)</f>
        <v>-0.26406959413166387</v>
      </c>
      <c r="C37">
        <f>IF(Rules!$B$6=Rules!$E$6,2*(SUM(Stand!C38:C46)+Rules!$B$5*Stand!C47)/(9+Rules!$B$5),HS!C37)</f>
        <v>2.2391856987839083E-2</v>
      </c>
      <c r="D37">
        <f>IF(Rules!$B$6=Rules!$E$6,2*(SUM(Stand!D38:D46)+Rules!$B$5*Stand!D47)/(9+Rules!$B$5),HS!D37)</f>
        <v>5.0806738919282814E-2</v>
      </c>
      <c r="E37">
        <f>IF(Rules!$B$6=Rules!$E$6,2*(SUM(Stand!E38:E46)+Rules!$B$5*Stand!E47)/(9+Rules!$B$5),HS!E37)</f>
        <v>8.0081414310110233E-2</v>
      </c>
      <c r="F37">
        <f>IF(Rules!$B$6=Rules!$E$6,2*(SUM(Stand!F38:F46)+Rules!$B$5*Stand!F47)/(9+Rules!$B$5),HS!F37)</f>
        <v>0.11189449567473925</v>
      </c>
      <c r="G37">
        <f>IF(Rules!$B$6=Rules!$E$6,2*(SUM(Stand!G38:G46)+Rules!$B$5*Stand!G47)/(9+Rules!$B$5),HS!G37)</f>
        <v>0.1391647307435768</v>
      </c>
      <c r="H37">
        <f>IF(Rules!$B$6=Rules!$E$6,2*(SUM(Stand!H38:H46)+Rules!$B$5*Stand!H47)/(9+Rules!$B$5),HS!H37)</f>
        <v>7.9507488494468148E-2</v>
      </c>
      <c r="I37">
        <f>IF(Rules!$B$6=Rules!$E$6,2*(SUM(Stand!I38:I46)+Rules!$B$5*Stand!I47)/(9+Rules!$B$5),HS!I37)</f>
        <v>1.3277219463208478E-2</v>
      </c>
      <c r="J37">
        <f>IF(Rules!$B$6=Rules!$E$6,2*(SUM(Stand!J38:J46)+Rules!$B$5*Stand!J47)/(9+Rules!$B$5),HS!J37)</f>
        <v>-7.516318944168382E-2</v>
      </c>
      <c r="K37">
        <f>IF(Rules!$B$6=Rules!$E$6,2*(SUM(Stand!K38:K46)+Rules!$B$5*Stand!K47)/(9+Rules!$B$5),HS!K37)</f>
        <v>-0.1933035414076569</v>
      </c>
    </row>
    <row r="38" spans="1:11" x14ac:dyDescent="0.2">
      <c r="A38">
        <v>15</v>
      </c>
      <c r="B38">
        <f>IF(Rules!$B$6=Rules!$E$6,2*(SUM(Stand!B39:B47)+Rules!$B$5*Stand!B48)/(9+Rules!$B$5),HS!B38)</f>
        <v>-0.29312934580507005</v>
      </c>
      <c r="C38">
        <f>IF(Rules!$B$6=Rules!$E$6,2*(SUM(Stand!C39:C47)+Rules!$B$5*Stand!C48)/(9+Rules!$B$5),HS!C38)</f>
        <v>-1.2068474052636583E-4</v>
      </c>
      <c r="D38">
        <f>IF(Rules!$B$6=Rules!$E$6,2*(SUM(Stand!D39:D47)+Rules!$B$5*Stand!D48)/(9+Rules!$B$5),HS!D38)</f>
        <v>2.9159812622497363E-2</v>
      </c>
      <c r="E38">
        <f>IF(Rules!$B$6=Rules!$E$6,2*(SUM(Stand!E39:E47)+Rules!$B$5*Stand!E48)/(9+Rules!$B$5),HS!E38)</f>
        <v>5.9285376931179926E-2</v>
      </c>
      <c r="F38">
        <f>IF(Rules!$B$6=Rules!$E$6,2*(SUM(Stand!F39:F47)+Rules!$B$5*Stand!F48)/(9+Rules!$B$5),HS!F38)</f>
        <v>9.1959698781152482E-2</v>
      </c>
      <c r="G38">
        <f>IF(Rules!$B$6=Rules!$E$6,2*(SUM(Stand!G39:G47)+Rules!$B$5*Stand!G48)/(9+Rules!$B$5),HS!G38)</f>
        <v>0.11824589170260671</v>
      </c>
      <c r="H38">
        <f>IF(Rules!$B$6=Rules!$E$6,2*(SUM(Stand!H39:H47)+Rules!$B$5*Stand!H48)/(9+Rules!$B$5),HS!H38)</f>
        <v>3.7028282279269235E-2</v>
      </c>
      <c r="I38">
        <f>IF(Rules!$B$6=Rules!$E$6,2*(SUM(Stand!I39:I47)+Rules!$B$5*Stand!I48)/(9+Rules!$B$5),HS!I38)</f>
        <v>-2.7054780502901672E-2</v>
      </c>
      <c r="J38">
        <f>IF(Rules!$B$6=Rules!$E$6,2*(SUM(Stand!J39:J47)+Rules!$B$5*Stand!J48)/(9+Rules!$B$5),HS!J38)</f>
        <v>-0.11218876868994289</v>
      </c>
      <c r="K38">
        <f>IF(Rules!$B$6=Rules!$E$6,2*(SUM(Stand!K39:K47)+Rules!$B$5*Stand!K48)/(9+Rules!$B$5),HS!K38)</f>
        <v>-0.22543993358238781</v>
      </c>
    </row>
    <row r="39" spans="1:11" x14ac:dyDescent="0.2">
      <c r="A39">
        <v>16</v>
      </c>
      <c r="B39">
        <f>IF(Rules!$B$6=Rules!$E$6,2*(SUM(Stand!B40:B48)+Rules!$B$5*Stand!B49)/(9+Rules!$B$5),HS!B39)</f>
        <v>-0.31409107314591783</v>
      </c>
      <c r="C39">
        <f>IF(Rules!$B$6=Rules!$E$6,2*(SUM(Stand!C40:C48)+Rules!$B$5*Stand!C49)/(9+Rules!$B$5),HS!C39)</f>
        <v>-2.1025187774008566E-2</v>
      </c>
      <c r="D39">
        <f>IF(Rules!$B$6=Rules!$E$6,2*(SUM(Stand!D40:D48)+Rules!$B$5*Stand!D49)/(9+Rules!$B$5),HS!D39)</f>
        <v>9.0590953469108244E-3</v>
      </c>
      <c r="E39">
        <f>IF(Rules!$B$6=Rules!$E$6,2*(SUM(Stand!E40:E48)+Rules!$B$5*Stand!E49)/(9+Rules!$B$5),HS!E39)</f>
        <v>3.9974770793601705E-2</v>
      </c>
      <c r="F39">
        <f>IF(Rules!$B$6=Rules!$E$6,2*(SUM(Stand!F40:F48)+Rules!$B$5*Stand!F49)/(9+Rules!$B$5),HS!F39)</f>
        <v>7.3448815951393354E-2</v>
      </c>
      <c r="G39">
        <f>IF(Rules!$B$6=Rules!$E$6,2*(SUM(Stand!G40:G48)+Rules!$B$5*Stand!G49)/(9+Rules!$B$5),HS!G39)</f>
        <v>9.8821255450277368E-2</v>
      </c>
      <c r="H39">
        <f>IF(Rules!$B$6=Rules!$E$6,2*(SUM(Stand!H40:H48)+Rules!$B$5*Stand!H49)/(9+Rules!$B$5),HS!H39)</f>
        <v>-4.8901571730158942E-3</v>
      </c>
      <c r="I39">
        <f>IF(Rules!$B$6=Rules!$E$6,2*(SUM(Stand!I40:I48)+Rules!$B$5*Stand!I49)/(9+Rules!$B$5),HS!I39)</f>
        <v>-6.6794847920094103E-2</v>
      </c>
      <c r="J39">
        <f>IF(Rules!$B$6=Rules!$E$6,2*(SUM(Stand!J40:J48)+Rules!$B$5*Stand!J49)/(9+Rules!$B$5),HS!J39)</f>
        <v>-0.14864353463007471</v>
      </c>
      <c r="K39">
        <f>IF(Rules!$B$6=Rules!$E$6,2*(SUM(Stand!K40:K48)+Rules!$B$5*Stand!K49)/(9+Rules!$B$5),HS!K39)</f>
        <v>-0.25710121084742421</v>
      </c>
    </row>
    <row r="40" spans="1:11" x14ac:dyDescent="0.2">
      <c r="A40">
        <v>17</v>
      </c>
      <c r="B40">
        <f>IF(Rules!$B$6=Rules!$E$6,2*(SUM(Stand!B41:B49)+Rules!$B$5*Stand!B50)/(9+Rules!$B$5),HS!B40)</f>
        <v>-0.30094774596936263</v>
      </c>
      <c r="C40">
        <f>IF(Rules!$B$6=Rules!$E$6,2*(SUM(Stand!C41:C49)+Rules!$B$5*Stand!C50)/(9+Rules!$B$5),HS!C40)</f>
        <v>-4.9104358288916297E-4</v>
      </c>
      <c r="D40">
        <f>IF(Rules!$B$6=Rules!$E$6,2*(SUM(Stand!D41:D49)+Rules!$B$5*Stand!D50)/(9+Rules!$B$5),HS!D40)</f>
        <v>2.8975282965620523E-2</v>
      </c>
      <c r="E40">
        <f>IF(Rules!$B$6=Rules!$E$6,2*(SUM(Stand!E41:E49)+Rules!$B$5*Stand!E50)/(9+Rules!$B$5),HS!E40)</f>
        <v>5.9326275337164343E-2</v>
      </c>
      <c r="F40">
        <f>IF(Rules!$B$6=Rules!$E$6,2*(SUM(Stand!F41:F49)+Rules!$B$5*Stand!F50)/(9+Rules!$B$5),HS!F40)</f>
        <v>9.1189077686774395E-2</v>
      </c>
      <c r="G40">
        <f>IF(Rules!$B$6=Rules!$E$6,2*(SUM(Stand!G41:G49)+Rules!$B$5*Stand!G50)/(9+Rules!$B$5),HS!G40)</f>
        <v>0.12805214364549905</v>
      </c>
      <c r="H40">
        <f>IF(Rules!$B$6=Rules!$E$6,2*(SUM(Stand!H41:H49)+Rules!$B$5*Stand!H50)/(9+Rules!$B$5),HS!H40)</f>
        <v>5.3823463716116654E-2</v>
      </c>
      <c r="I40">
        <f>IF(Rules!$B$6=Rules!$E$6,2*(SUM(Stand!I41:I49)+Rules!$B$5*Stand!I50)/(9+Rules!$B$5),HS!I40)</f>
        <v>-7.2915398729642075E-2</v>
      </c>
      <c r="J40">
        <f>IF(Rules!$B$6=Rules!$E$6,2*(SUM(Stand!J41:J49)+Rules!$B$5*Stand!J50)/(9+Rules!$B$5),HS!J40)</f>
        <v>-0.14978689218213323</v>
      </c>
      <c r="K40">
        <f>IF(Rules!$B$6=Rules!$E$6,2*(SUM(Stand!K41:K49)+Rules!$B$5*Stand!K50)/(9+Rules!$B$5),HS!K40)</f>
        <v>-0.24941602102444038</v>
      </c>
    </row>
    <row r="41" spans="1:11" x14ac:dyDescent="0.2">
      <c r="A41">
        <v>18</v>
      </c>
      <c r="B41">
        <f>IF(Rules!$B$6=Rules!$E$6,2*(SUM(Stand!B42:B50)+Rules!$B$5*Stand!B51)/(9+Rules!$B$5),HS!B41)</f>
        <v>-0.24150883119675959</v>
      </c>
      <c r="C41">
        <f>IF(Rules!$B$6=Rules!$E$6,2*(SUM(Stand!C42:C50)+Rules!$B$5*Stand!C51)/(9+Rules!$B$5),HS!C41)</f>
        <v>0.12174190222088771</v>
      </c>
      <c r="D41">
        <f>IF(Rules!$B$6=Rules!$E$6,2*(SUM(Stand!D42:D50)+Rules!$B$5*Stand!D51)/(9+Rules!$B$5),HS!D41)</f>
        <v>0.14830007284131119</v>
      </c>
      <c r="E41">
        <f>IF(Rules!$B$6=Rules!$E$6,2*(SUM(Stand!E42:E50)+Rules!$B$5*Stand!E51)/(9+Rules!$B$5),HS!E41)</f>
        <v>0.17585443719748528</v>
      </c>
      <c r="F41">
        <f>IF(Rules!$B$6=Rules!$E$6,2*(SUM(Stand!F42:F50)+Rules!$B$5*Stand!F51)/(9+Rules!$B$5),HS!F41)</f>
        <v>0.19956119497617719</v>
      </c>
      <c r="G41">
        <f>IF(Rules!$B$6=Rules!$E$6,2*(SUM(Stand!G42:G50)+Rules!$B$5*Stand!G51)/(9+Rules!$B$5),HS!G41)</f>
        <v>0.28344391604689856</v>
      </c>
      <c r="H41">
        <f>IF(Rules!$B$6=Rules!$E$6,2*(SUM(Stand!H42:H50)+Rules!$B$5*Stand!H51)/(9+Rules!$B$5),HS!H41)</f>
        <v>0.3995541673365518</v>
      </c>
      <c r="I41">
        <f>IF(Rules!$B$6=Rules!$E$6,2*(SUM(Stand!I42:I50)+Rules!$B$5*Stand!I51)/(9+Rules!$B$5),HS!I41)</f>
        <v>0.10595134861912359</v>
      </c>
      <c r="J41">
        <f>IF(Rules!$B$6=Rules!$E$6,2*(SUM(Stand!J42:J50)+Rules!$B$5*Stand!J51)/(9+Rules!$B$5),HS!J41)</f>
        <v>-0.10074430758041522</v>
      </c>
      <c r="K41">
        <f>IF(Rules!$B$6=Rules!$E$6,2*(SUM(Stand!K42:K50)+Rules!$B$5*Stand!K51)/(9+Rules!$B$5),HS!K41)</f>
        <v>-0.20109793381277147</v>
      </c>
    </row>
    <row r="42" spans="1:11" x14ac:dyDescent="0.2">
      <c r="A42">
        <v>19</v>
      </c>
      <c r="B42">
        <f>2*(SUM(Stand!B43:B51)+Rules!$B$5*Stand!B52)/(9+Rules!$B$5)</f>
        <v>-0.43037249788708148</v>
      </c>
      <c r="C42">
        <f>2*(SUM(Stand!C43:C51)+Rules!$B$5*Stand!C52)/(9+Rules!$B$5)</f>
        <v>0.24185546358249194</v>
      </c>
      <c r="D42">
        <f>2*(SUM(Stand!D43:D51)+Rules!$B$5*Stand!D52)/(9+Rules!$B$5)</f>
        <v>0.29582413587422163</v>
      </c>
      <c r="E42">
        <f>2*(SUM(Stand!E43:E51)+Rules!$B$5*Stand!E52)/(9+Rules!$B$5)</f>
        <v>0.35115361127716527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0.19526887476388202</v>
      </c>
      <c r="J42">
        <f>2*(SUM(Stand!J43:J51)+Rules!$B$5*Stand!J52)/(9+Rules!$B$5)</f>
        <v>-7.2945530268927972E-2</v>
      </c>
      <c r="K42">
        <f>2*(SUM(Stand!K43:K51)+Rules!$B$5*Stand!K52)/(9+Rules!$B$5)</f>
        <v>-0.3593665807273182</v>
      </c>
    </row>
    <row r="43" spans="1:11" x14ac:dyDescent="0.2">
      <c r="A43">
        <v>20</v>
      </c>
      <c r="B43">
        <f>2*(SUM(Stand!B44:B52)+Rules!$B$5*Stand!B53)/(9+Rules!$B$5)</f>
        <v>-0.32751926232774553</v>
      </c>
      <c r="C43">
        <f>2*(SUM(Stand!C44:C52)+Rules!$B$5*Stand!C53)/(9+Rules!$B$5)</f>
        <v>0.3589394124422991</v>
      </c>
      <c r="D43">
        <f>2*(SUM(Stand!D44:D52)+Rules!$B$5*Stand!D53)/(9+Rules!$B$5)</f>
        <v>0.40932067017593921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0.28663571688628381</v>
      </c>
      <c r="J43">
        <f>2*(SUM(Stand!J44:J52)+Rules!$B$5*Stand!J53)/(9+Rules!$B$5)</f>
        <v>0.1443283683807712</v>
      </c>
      <c r="K43">
        <f>2*(SUM(Stand!K44:K52)+Rules!$B$5*Stand!K53)/(9+Rules!$B$5)</f>
        <v>-0.15000446942833717</v>
      </c>
    </row>
    <row r="44" spans="1:11" x14ac:dyDescent="0.2">
      <c r="A44">
        <v>21</v>
      </c>
      <c r="B44">
        <f>2*(SUM(Stand!B45:B53)+Rules!$B$5*Stand!B54)/(9+Rules!$B$5)</f>
        <v>-0.11815715102876453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5.9357641870643733E-2</v>
      </c>
    </row>
    <row r="45" spans="1:11" x14ac:dyDescent="0.2">
      <c r="A45">
        <v>22</v>
      </c>
      <c r="B45">
        <f>B12</f>
        <v>-0.46566058377683939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-0.21106310899491437</v>
      </c>
      <c r="F45">
        <f t="shared" si="0"/>
        <v>-0.16719266083547524</v>
      </c>
      <c r="G45">
        <f t="shared" si="0"/>
        <v>-0.1536990158300045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-0.42069618899826788</v>
      </c>
    </row>
    <row r="46" spans="1:11" x14ac:dyDescent="0.2">
      <c r="A46">
        <v>23</v>
      </c>
      <c r="B46">
        <f t="shared" ref="B46:K54" si="1">B13</f>
        <v>-0.50382768493563657</v>
      </c>
      <c r="C46">
        <f t="shared" si="1"/>
        <v>-0.29278372720927726</v>
      </c>
      <c r="D46">
        <f t="shared" si="1"/>
        <v>-0.2522502292357135</v>
      </c>
      <c r="E46">
        <f t="shared" si="1"/>
        <v>-0.21106310899491437</v>
      </c>
      <c r="F46">
        <f t="shared" si="1"/>
        <v>-0.16719266083547524</v>
      </c>
      <c r="G46">
        <f t="shared" si="1"/>
        <v>-0.1536990158300045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-0.46207503264124877</v>
      </c>
    </row>
    <row r="47" spans="1:11" x14ac:dyDescent="0.2">
      <c r="A47">
        <v>24</v>
      </c>
      <c r="B47">
        <f t="shared" si="1"/>
        <v>-0.53926856458309114</v>
      </c>
      <c r="C47">
        <f t="shared" si="1"/>
        <v>-0.29278372720927726</v>
      </c>
      <c r="D47">
        <f t="shared" si="1"/>
        <v>-0.2522502292357135</v>
      </c>
      <c r="E47">
        <f t="shared" si="1"/>
        <v>-0.21106310899491437</v>
      </c>
      <c r="F47">
        <f t="shared" si="1"/>
        <v>-0.16719266083547524</v>
      </c>
      <c r="G47">
        <f t="shared" si="1"/>
        <v>-0.1536990158300045</v>
      </c>
      <c r="H47">
        <f t="shared" si="1"/>
        <v>-0.3212819579256434</v>
      </c>
      <c r="I47">
        <f t="shared" si="1"/>
        <v>-0.37191909208726714</v>
      </c>
      <c r="J47">
        <f t="shared" si="1"/>
        <v>-0.43092981848423528</v>
      </c>
      <c r="K47">
        <f t="shared" si="1"/>
        <v>-0.50049824459544523</v>
      </c>
    </row>
    <row r="48" spans="1:11" x14ac:dyDescent="0.2">
      <c r="A48">
        <v>25</v>
      </c>
      <c r="B48">
        <f t="shared" si="1"/>
        <v>-0.572177952827156</v>
      </c>
      <c r="C48">
        <f t="shared" si="1"/>
        <v>-0.29278372720927726</v>
      </c>
      <c r="D48">
        <f t="shared" si="1"/>
        <v>-0.2522502292357135</v>
      </c>
      <c r="E48">
        <f t="shared" si="1"/>
        <v>-0.21106310899491437</v>
      </c>
      <c r="F48">
        <f t="shared" si="1"/>
        <v>-0.16719266083547524</v>
      </c>
      <c r="G48">
        <f t="shared" si="1"/>
        <v>-0.1536990158300045</v>
      </c>
      <c r="H48">
        <f t="shared" si="1"/>
        <v>-0.36976181807381175</v>
      </c>
      <c r="I48">
        <f t="shared" si="1"/>
        <v>-0.41678201408103371</v>
      </c>
      <c r="J48">
        <f t="shared" si="1"/>
        <v>-0.47157768859250415</v>
      </c>
      <c r="K48">
        <f t="shared" si="1"/>
        <v>-0.53617694141005634</v>
      </c>
    </row>
    <row r="49" spans="1:11" x14ac:dyDescent="0.2">
      <c r="A49">
        <v>26</v>
      </c>
      <c r="B49">
        <f t="shared" si="1"/>
        <v>-0.57578184676460165</v>
      </c>
      <c r="C49">
        <f t="shared" si="1"/>
        <v>-0.29278372720927726</v>
      </c>
      <c r="D49">
        <f t="shared" si="1"/>
        <v>-0.2522502292357135</v>
      </c>
      <c r="E49">
        <f t="shared" si="1"/>
        <v>-0.21106310899491437</v>
      </c>
      <c r="F49">
        <f t="shared" si="1"/>
        <v>-0.16719266083547524</v>
      </c>
      <c r="G49">
        <f t="shared" si="1"/>
        <v>-0.1536990158300045</v>
      </c>
      <c r="H49">
        <f t="shared" si="1"/>
        <v>-0.41477883106853947</v>
      </c>
      <c r="I49">
        <f t="shared" si="1"/>
        <v>-0.45844044164667419</v>
      </c>
      <c r="J49">
        <f t="shared" si="1"/>
        <v>-0.50932213940732529</v>
      </c>
      <c r="K49">
        <f t="shared" si="1"/>
        <v>-0.56930715988076652</v>
      </c>
    </row>
    <row r="50" spans="1:11" x14ac:dyDescent="0.2">
      <c r="A50">
        <v>27</v>
      </c>
      <c r="B50">
        <f t="shared" si="1"/>
        <v>-0.46435750824198752</v>
      </c>
      <c r="C50">
        <f t="shared" si="1"/>
        <v>-0.15297458768154204</v>
      </c>
      <c r="D50">
        <f t="shared" si="1"/>
        <v>-0.11721624142457365</v>
      </c>
      <c r="E50">
        <f t="shared" si="1"/>
        <v>-8.0573373145316152E-2</v>
      </c>
      <c r="F50">
        <f t="shared" si="1"/>
        <v>-4.4941375564924446E-2</v>
      </c>
      <c r="G50">
        <f t="shared" si="1"/>
        <v>1.1739160673341853E-2</v>
      </c>
      <c r="H50">
        <f t="shared" si="1"/>
        <v>-0.10680898948269468</v>
      </c>
      <c r="I50">
        <f t="shared" si="1"/>
        <v>-0.38195097104844711</v>
      </c>
      <c r="J50">
        <f t="shared" si="1"/>
        <v>-0.42315423964521737</v>
      </c>
      <c r="K50">
        <f t="shared" si="1"/>
        <v>-0.46435750824198763</v>
      </c>
    </row>
    <row r="51" spans="1:11" x14ac:dyDescent="0.2">
      <c r="A51">
        <v>28</v>
      </c>
      <c r="B51">
        <f t="shared" si="1"/>
        <v>-0.24150883119675959</v>
      </c>
      <c r="C51">
        <f t="shared" si="1"/>
        <v>0.12174190222088771</v>
      </c>
      <c r="D51">
        <f t="shared" si="1"/>
        <v>0.14830007284131119</v>
      </c>
      <c r="E51">
        <f t="shared" si="1"/>
        <v>0.17585443719748528</v>
      </c>
      <c r="F51">
        <f t="shared" si="1"/>
        <v>0.19956119497617719</v>
      </c>
      <c r="G51">
        <f t="shared" si="1"/>
        <v>0.28344391604689856</v>
      </c>
      <c r="H51">
        <f t="shared" si="1"/>
        <v>0.3995541673365518</v>
      </c>
      <c r="I51">
        <f t="shared" si="1"/>
        <v>0.10595134861912359</v>
      </c>
      <c r="J51">
        <f t="shared" si="1"/>
        <v>-0.18316335667343331</v>
      </c>
      <c r="K51">
        <f t="shared" si="1"/>
        <v>-0.24150883119675959</v>
      </c>
    </row>
    <row r="52" spans="1:11" x14ac:dyDescent="0.2">
      <c r="A52">
        <v>29</v>
      </c>
      <c r="B52">
        <f t="shared" si="1"/>
        <v>-1.8660154151531549E-2</v>
      </c>
      <c r="C52">
        <f t="shared" si="1"/>
        <v>0.38630468602058987</v>
      </c>
      <c r="D52">
        <f t="shared" si="1"/>
        <v>0.40436293659776001</v>
      </c>
      <c r="E52">
        <f t="shared" si="1"/>
        <v>0.42317892482749647</v>
      </c>
      <c r="F52">
        <f t="shared" si="1"/>
        <v>0.43951210416088371</v>
      </c>
      <c r="G52">
        <f t="shared" si="1"/>
        <v>0.49597707378731909</v>
      </c>
      <c r="H52">
        <f t="shared" si="1"/>
        <v>0.6159764957534315</v>
      </c>
      <c r="I52">
        <f t="shared" si="1"/>
        <v>0.5938536682866945</v>
      </c>
      <c r="J52">
        <f t="shared" si="1"/>
        <v>0.28759675706758142</v>
      </c>
      <c r="K52">
        <f t="shared" si="1"/>
        <v>-1.8660154151531536E-2</v>
      </c>
    </row>
    <row r="53" spans="1:11" x14ac:dyDescent="0.2">
      <c r="A53">
        <v>30</v>
      </c>
      <c r="B53">
        <f t="shared" si="1"/>
        <v>0.20418852289369649</v>
      </c>
      <c r="C53">
        <f t="shared" si="1"/>
        <v>0.63998657521683877</v>
      </c>
      <c r="D53">
        <f t="shared" si="1"/>
        <v>0.65027209425148136</v>
      </c>
      <c r="E53">
        <f t="shared" si="1"/>
        <v>0.66104996194807186</v>
      </c>
      <c r="F53">
        <f t="shared" si="1"/>
        <v>0.67035969063279999</v>
      </c>
      <c r="G53">
        <f t="shared" si="1"/>
        <v>0.70395857017134467</v>
      </c>
      <c r="H53">
        <f t="shared" si="1"/>
        <v>0.77322722653717491</v>
      </c>
      <c r="I53">
        <f t="shared" si="1"/>
        <v>0.79181515955189841</v>
      </c>
      <c r="J53">
        <f t="shared" si="1"/>
        <v>0.75835687080859626</v>
      </c>
      <c r="K53">
        <f t="shared" si="1"/>
        <v>0.43495775366292722</v>
      </c>
    </row>
    <row r="54" spans="1:11" x14ac:dyDescent="0.2">
      <c r="A54">
        <v>31</v>
      </c>
      <c r="B54">
        <f t="shared" si="1"/>
        <v>0.65780643070815525</v>
      </c>
      <c r="C54">
        <f t="shared" si="1"/>
        <v>0.88200651549403997</v>
      </c>
      <c r="D54">
        <f t="shared" si="1"/>
        <v>0.88530035730174927</v>
      </c>
      <c r="E54">
        <f t="shared" si="1"/>
        <v>0.88876729296591961</v>
      </c>
      <c r="F54">
        <f t="shared" si="1"/>
        <v>0.89175382659528035</v>
      </c>
      <c r="G54">
        <f t="shared" si="1"/>
        <v>0.90283674384257995</v>
      </c>
      <c r="H54">
        <f t="shared" si="1"/>
        <v>0.92592629596452325</v>
      </c>
      <c r="I54">
        <f t="shared" si="1"/>
        <v>0.93060505318396614</v>
      </c>
      <c r="J54">
        <f t="shared" si="1"/>
        <v>0.93917615614724415</v>
      </c>
      <c r="K54">
        <f t="shared" si="1"/>
        <v>0.88857566147738598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-0.34456837192534162</v>
      </c>
      <c r="C2">
        <f>MAX(Hit!C2,Stand!C2,Double!C2)</f>
        <v>-7.5884358318949102E-2</v>
      </c>
      <c r="D2">
        <f>MAX(Hit!D2,Stand!D2,Double!D2)</f>
        <v>-4.9750706146412041E-2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-0.10316172777512723</v>
      </c>
      <c r="J2">
        <f>MAX(Hit!J2,Stand!J2,Double!J2)</f>
        <v>-0.19004714305350842</v>
      </c>
      <c r="K2">
        <f>MAX(Hit!K2,Stand!K2,Double!K2)</f>
        <v>-0.29096372773977425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-0.36474464099475529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-0.13094188065020099</v>
      </c>
      <c r="J3">
        <f>MAX(Hit!J3,Stand!J3,Double!J3)</f>
        <v>-0.21507662281362433</v>
      </c>
      <c r="K3">
        <f>MAX(Hit!K3,Stand!K3,Double!K3)</f>
        <v>-0.31277980128259808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-0.38538530661686615</v>
      </c>
      <c r="C4">
        <f>MAX(Hit!C4,Stand!C4,Double!C4)</f>
        <v>-0.11491332761892134</v>
      </c>
      <c r="D4">
        <f>MAX(Hit!D4,Stand!D4,Double!D4)</f>
        <v>-8.2613314299744348E-2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-0.33509986436351097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-0.40632230211141912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-0.18809330390318518</v>
      </c>
      <c r="J5">
        <f>MAX(Hit!J5,Stand!J5,Double!J5)</f>
        <v>-0.26661505335795899</v>
      </c>
      <c r="K5">
        <f>MAX(Hit!K5,Stand!K5,Double!K5)</f>
        <v>-0.3577434525808979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-0.41968690347101079</v>
      </c>
      <c r="C6">
        <f>MAX(Hit!C6,Stand!C6,Double!C6)</f>
        <v>-0.14075911746001987</v>
      </c>
      <c r="D6">
        <f>MAX(Hit!D6,Stand!D6,Double!D6)</f>
        <v>-0.10729107800860835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-0.38050766229289529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-0.39971038372569095</v>
      </c>
      <c r="C7">
        <f>MAX(Hit!C7,Stand!C7,Double!C7)</f>
        <v>-0.10918342786661633</v>
      </c>
      <c r="D7">
        <f>MAX(Hit!D7,Stand!D7,Double!D7)</f>
        <v>-7.6582981904463582E-2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-0.21060476872434966</v>
      </c>
      <c r="J7">
        <f>MAX(Hit!J7,Stand!J7,Double!J7)</f>
        <v>-0.28536544048687662</v>
      </c>
      <c r="K7">
        <f>MAX(Hit!K7,Stand!K7,Double!K7)</f>
        <v>-0.36507789921394679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-0.33034033459070061</v>
      </c>
      <c r="C8">
        <f>MAX(Hit!C8,Stand!C8,Double!C8)</f>
        <v>-2.1798188008805671E-2</v>
      </c>
      <c r="D8">
        <f>MAX(Hit!D8,Stand!D8,Double!D8)</f>
        <v>8.0052625306546912E-3</v>
      </c>
      <c r="E8">
        <f>MAX(Hit!E8,Stand!E8,Double!E8)</f>
        <v>3.8784473277208804E-2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-5.989827565865629E-2</v>
      </c>
      <c r="J8">
        <f>MAX(Hit!J8,Stand!J8,Double!J8)</f>
        <v>-0.2101863319982176</v>
      </c>
      <c r="K8">
        <f>MAX(Hit!K8,Stand!K8,Double!K8)</f>
        <v>-0.30177738614031369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-0.25192476177072076</v>
      </c>
      <c r="C9">
        <f>MAX(Hit!C9,Stand!C9,Double!C9)</f>
        <v>7.444603757634051E-2</v>
      </c>
      <c r="D9">
        <f>MAX(Hit!D9,Stand!D9,Double!D9)</f>
        <v>0.12081635332999656</v>
      </c>
      <c r="E9">
        <f>MAX(Hit!E9,Stand!E9,Double!E9)</f>
        <v>0.1819489340524216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9.8376217435392585E-2</v>
      </c>
      <c r="J9">
        <f>MAX(Hit!J9,Stand!J9,Double!J9)</f>
        <v>-5.217805346265169E-2</v>
      </c>
      <c r="K9">
        <f>MAX(Hit!K9,Stand!K9,Double!K9)</f>
        <v>-0.21343169035706566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-0.14666789263035868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-4.4990260383613007E-2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-4.1986836980868178E-2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0.35069259087031512</v>
      </c>
      <c r="J11">
        <f>MAX(Hit!J11,Stand!J11,Double!J11)</f>
        <v>0.22778342315245487</v>
      </c>
      <c r="K11">
        <f>MAX(Hit!K11,Stand!K11,Double!K11)</f>
        <v>5.9690795265877464E-2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H</v>
      </c>
    </row>
    <row r="12" spans="1:24" x14ac:dyDescent="0.2">
      <c r="A12">
        <v>12</v>
      </c>
      <c r="B12">
        <f>MAX(Hit!B12,Stand!B12,Double!B12)</f>
        <v>-0.46566058377683939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-0.42069618899826788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-0.50382768493563657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-0.46207503264124877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-0.53926856458309114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-0.50049824459544523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-0.572177952827156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-0.53617694141005634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-0.57578184676460165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-0.56930715988076652</v>
      </c>
      <c r="N16" s="31">
        <v>16</v>
      </c>
      <c r="O16" s="31" t="str">
        <f>IF(B16=HS!B16,HS!O16,"D")</f>
        <v>S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-0.46435750824198752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-0.46435750824198763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-0.24150883119675959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-0.24150883119675959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-1.8660154151531549E-2</v>
      </c>
      <c r="C19">
        <f>MAX(Hit!C19,Stand!C19,Double!C19)</f>
        <v>0.38630468602058987</v>
      </c>
      <c r="D19">
        <f>MAX(Hit!D19,Stand!D19,Double!D19)</f>
        <v>0.40436293659776001</v>
      </c>
      <c r="E19">
        <f>MAX(Hit!E19,Stand!E19,Double!E19)</f>
        <v>0.42317892482749647</v>
      </c>
      <c r="F19">
        <f>MAX(Hit!F19,Stand!F19,Double!F19)</f>
        <v>0.43951210416088371</v>
      </c>
      <c r="G19">
        <f>MAX(Hit!G19,Stand!G19,Double!G19)</f>
        <v>0.49597707378731909</v>
      </c>
      <c r="H19">
        <f>MAX(Hit!H19,Stand!H19,Double!H19)</f>
        <v>0.6159764957534315</v>
      </c>
      <c r="I19">
        <f>MAX(Hit!I19,Stand!I19,Double!I19)</f>
        <v>0.5938536682866945</v>
      </c>
      <c r="J19">
        <f>MAX(Hit!J19,Stand!J19,Double!J19)</f>
        <v>0.28759675706758142</v>
      </c>
      <c r="K19">
        <f>MAX(Hit!K19,Stand!K19,Double!K19)</f>
        <v>-1.8660154151531536E-2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0.20418852289369649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0.43495775366292722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0.65780643070815525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0.88857566147738598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7.4082476325384949E-2</v>
      </c>
      <c r="C34">
        <f>MAX(Hit!C34,Stand!C34,Double!C34)</f>
        <v>0.3696374242362967</v>
      </c>
      <c r="D34">
        <f>MAX(Hit!D34,Stand!D34,Double!D34)</f>
        <v>0.38767410174512951</v>
      </c>
      <c r="E34">
        <f>MAX(Hit!E34,Stand!E34,Double!E34)</f>
        <v>0.40637639293641487</v>
      </c>
      <c r="F34">
        <f>MAX(Hit!F34,Stand!F34,Double!F34)</f>
        <v>0.42575273133176267</v>
      </c>
      <c r="G34">
        <f>MAX(Hit!G34,Stand!G34,Double!G34)</f>
        <v>0.45589668319225651</v>
      </c>
      <c r="H34">
        <f>MAX(Hit!H34,Stand!H34,Double!H34)</f>
        <v>0.45736852128859351</v>
      </c>
      <c r="I34">
        <f>MAX(Hit!I34,Stand!I34,Double!I34)</f>
        <v>0.40074805174057659</v>
      </c>
      <c r="J34">
        <f>MAX(Hit!J34,Stand!J34,Double!J34)</f>
        <v>0.32142328174266549</v>
      </c>
      <c r="K34">
        <f>MAX(Hit!K34,Stand!K34,Double!K34)</f>
        <v>0.19656557835630536</v>
      </c>
      <c r="N34" s="31">
        <v>11</v>
      </c>
      <c r="O34" s="31" t="str">
        <f>IF(B34=HS!B34,HS!O34,"D")</f>
        <v>H</v>
      </c>
      <c r="P34" s="31" t="str">
        <f>IF(C34=HS!C34,HS!P34,"D")</f>
        <v>H</v>
      </c>
      <c r="Q34" s="31" t="str">
        <f>IF(D34=HS!D34,HS!Q34,"D")</f>
        <v>H</v>
      </c>
      <c r="R34" s="31" t="str">
        <f>IF(E34=HS!E34,HS!R34,"D")</f>
        <v>H</v>
      </c>
      <c r="S34" s="31" t="str">
        <f>IF(F34=HS!F34,HS!S34,"D")</f>
        <v>H</v>
      </c>
      <c r="T34" s="31" t="str">
        <f>IF(G34=HS!G34,HS!T34,"D")</f>
        <v>H</v>
      </c>
      <c r="U34" s="31" t="str">
        <f>IF(H34=HS!H34,HS!U34,"D")</f>
        <v>H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-0.20521353107155851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9.5115020927032307E-2</v>
      </c>
      <c r="J35">
        <f>MAX(Hit!J35,Stand!J35,Double!J35)</f>
        <v>6.5790841226897296E-5</v>
      </c>
      <c r="K35">
        <f>MAX(Hit!K35,Stand!K35,Double!K35)</f>
        <v>-0.12808280155666141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-0.23472177802444921</v>
      </c>
      <c r="C36">
        <f>MAX(Hit!C36,Stand!C36,Double!C36)</f>
        <v>4.6636132695309543E-2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0.16169271124923693</v>
      </c>
      <c r="H36">
        <f>MAX(Hit!H36,Stand!H36,Double!H36)</f>
        <v>0.12238569517899196</v>
      </c>
      <c r="I36">
        <f>MAX(Hit!I36,Stand!I36,Double!I36)</f>
        <v>5.4057070196311334E-2</v>
      </c>
      <c r="J36">
        <f>MAX(Hit!J36,Stand!J36,Double!J36)</f>
        <v>-3.7694688127479885E-2</v>
      </c>
      <c r="K36">
        <f>MAX(Hit!K36,Stand!K36,Double!K36)</f>
        <v>-0.16080628455762785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H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-0.26406959413166387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0.11189449567473925</v>
      </c>
      <c r="G37">
        <f>MAX(Hit!G37,Stand!G37,Double!G37)</f>
        <v>0.1391647307435768</v>
      </c>
      <c r="H37">
        <f>MAX(Hit!H37,Stand!H37,Double!H37)</f>
        <v>7.9507488494468148E-2</v>
      </c>
      <c r="I37">
        <f>MAX(Hit!I37,Stand!I37,Double!I37)</f>
        <v>1.3277219463208478E-2</v>
      </c>
      <c r="J37">
        <f>MAX(Hit!J37,Stand!J37,Double!J37)</f>
        <v>-7.516318944168382E-2</v>
      </c>
      <c r="K37">
        <f>MAX(Hit!K37,Stand!K37,Double!K37)</f>
        <v>-0.1933035414076569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H</v>
      </c>
      <c r="T37" s="31" t="str">
        <f>IF(G37=HS!G37,HS!T37,"D")</f>
        <v>H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-0.29312934580507005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9.1959698781152482E-2</v>
      </c>
      <c r="G38">
        <f>MAX(Hit!G38,Stand!G38,Double!G38)</f>
        <v>0.11824589170260671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-0.22543993358238781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H</v>
      </c>
      <c r="T38" s="31" t="str">
        <f>IF(G38=HS!G38,HS!T38,"D")</f>
        <v>H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-0.31409107314591783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3.9974770793601705E-2</v>
      </c>
      <c r="F39">
        <f>MAX(Hit!F39,Stand!F39,Double!F39)</f>
        <v>7.3448815951393354E-2</v>
      </c>
      <c r="G39">
        <f>MAX(Hit!G39,Stand!G39,Double!G39)</f>
        <v>9.8821255450277368E-2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-0.25710121084742421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H</v>
      </c>
      <c r="S39" s="31" t="str">
        <f>IF(F39=HS!F39,HS!S39,"D")</f>
        <v>H</v>
      </c>
      <c r="T39" s="31" t="str">
        <f>IF(G39=HS!G39,HS!T39,"D")</f>
        <v>H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-0.30094774596936263</v>
      </c>
      <c r="C40">
        <f>MAX(Hit!C40,Stand!C40,Double!C40)</f>
        <v>-4.9104358288916297E-4</v>
      </c>
      <c r="D40">
        <f>MAX(Hit!D40,Stand!D40,Double!D40)</f>
        <v>2.8975282965620523E-2</v>
      </c>
      <c r="E40">
        <f>MAX(Hit!E40,Stand!E40,Double!E40)</f>
        <v>5.9326275337164343E-2</v>
      </c>
      <c r="F40">
        <f>MAX(Hit!F40,Stand!F40,Double!F40)</f>
        <v>9.1189077686774395E-2</v>
      </c>
      <c r="G40">
        <f>MAX(Hit!G40,Stand!G40,Double!G40)</f>
        <v>0.12805214364549905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-0.14978689218213323</v>
      </c>
      <c r="K40">
        <f>MAX(Hit!K40,Stand!K40,Double!K40)</f>
        <v>-0.24941602102444038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H</v>
      </c>
      <c r="R40" s="31" t="str">
        <f>IF(E40=HS!E40,HS!R40,"D")</f>
        <v>H</v>
      </c>
      <c r="S40" s="31" t="str">
        <f>IF(F40=HS!F40,HS!S40,"D")</f>
        <v>H</v>
      </c>
      <c r="T40" s="31" t="str">
        <f>IF(G40=HS!G40,HS!T40,"D")</f>
        <v>H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-0.24150883119675959</v>
      </c>
      <c r="C41">
        <f>MAX(Hit!C41,Stand!C41,Double!C41)</f>
        <v>0.12174190222088771</v>
      </c>
      <c r="D41">
        <f>MAX(Hit!D41,Stand!D41,Double!D41)</f>
        <v>0.14830007284131119</v>
      </c>
      <c r="E41">
        <f>MAX(Hit!E41,Stand!E41,Double!E41)</f>
        <v>0.17585443719748528</v>
      </c>
      <c r="F41">
        <f>MAX(Hit!F41,Stand!F41,Double!F41)</f>
        <v>0.19956119497617719</v>
      </c>
      <c r="G41">
        <f>MAX(Hit!G41,Stand!G41,Double!G41)</f>
        <v>0.28344391604689856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-0.20109793381277147</v>
      </c>
      <c r="N41" s="31">
        <v>18</v>
      </c>
      <c r="O41" s="31" t="str">
        <f>IF(B41=HS!B41,HS!O41,"D")</f>
        <v>S</v>
      </c>
      <c r="P41" s="31" t="str">
        <f>IF(C41=HS!C41,HS!P41,"D")</f>
        <v>S</v>
      </c>
      <c r="Q41" s="31" t="str">
        <f>IF(D41=HS!D41,HS!Q41,"D")</f>
        <v>S</v>
      </c>
      <c r="R41" s="31" t="str">
        <f>IF(E41=HS!E41,HS!R41,"D")</f>
        <v>S</v>
      </c>
      <c r="S41" s="31" t="str">
        <f>IF(F41=HS!F41,HS!S41,"D")</f>
        <v>S</v>
      </c>
      <c r="T41" s="31" t="str">
        <f>IF(G41=HS!G41,HS!T41,"D")</f>
        <v>S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-1.8660154151531549E-2</v>
      </c>
      <c r="C42">
        <f>MAX(Hit!C42,Stand!C42,Double!C42)</f>
        <v>0.38630468602058987</v>
      </c>
      <c r="D42">
        <f>MAX(Hit!D42,Stand!D42,Double!D42)</f>
        <v>0.40436293659776001</v>
      </c>
      <c r="E42">
        <f>MAX(Hit!E42,Stand!E42,Double!E42)</f>
        <v>0.42317892482749647</v>
      </c>
      <c r="F42">
        <f>MAX(Hit!F42,Stand!F42,Double!F42)</f>
        <v>0.43951210416088371</v>
      </c>
      <c r="G42">
        <f>MAX(Hit!G42,Stand!G42,Double!G42)</f>
        <v>0.49597707378731909</v>
      </c>
      <c r="H42">
        <f>MAX(Hit!H42,Stand!H42,Double!H42)</f>
        <v>0.6159764957534315</v>
      </c>
      <c r="I42">
        <f>MAX(Hit!I42,Stand!I42,Double!I42)</f>
        <v>0.5938536682866945</v>
      </c>
      <c r="J42">
        <f>MAX(Hit!J42,Stand!J42,Double!J42)</f>
        <v>0.28759675706758142</v>
      </c>
      <c r="K42">
        <f>MAX(Hit!K42,Stand!K42,Double!K42)</f>
        <v>-1.8660154151531536E-2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0.20418852289369649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0.43495775366292722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0.65780643070815525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0.88857566147738598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-0.46566058377683939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-0.42069618899826788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-0.50382768493563657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-0.46207503264124877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-0.53926856458309114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-0.50049824459544523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-0.572177952827156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-0.53617694141005634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-0.57578184676460165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-0.56930715988076652</v>
      </c>
      <c r="N49" s="31">
        <v>26</v>
      </c>
      <c r="O49" s="31" t="str">
        <f>IF(B49=HS!B49,HS!O49,"D")</f>
        <v>S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-0.46435750824198752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-0.46435750824198763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-0.24150883119675959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-0.24150883119675959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-1.8660154151531549E-2</v>
      </c>
      <c r="C52">
        <f>MAX(Hit!C52,Stand!C52,Double!C52)</f>
        <v>0.38630468602058987</v>
      </c>
      <c r="D52">
        <f>MAX(Hit!D52,Stand!D52,Double!D52)</f>
        <v>0.40436293659776001</v>
      </c>
      <c r="E52">
        <f>MAX(Hit!E52,Stand!E52,Double!E52)</f>
        <v>0.42317892482749647</v>
      </c>
      <c r="F52">
        <f>MAX(Hit!F52,Stand!F52,Double!F52)</f>
        <v>0.43951210416088371</v>
      </c>
      <c r="G52">
        <f>MAX(Hit!G52,Stand!G52,Double!G52)</f>
        <v>0.49597707378731909</v>
      </c>
      <c r="H52">
        <f>MAX(Hit!H52,Stand!H52,Double!H52)</f>
        <v>0.6159764957534315</v>
      </c>
      <c r="I52">
        <f>MAX(Hit!I52,Stand!I52,Double!I52)</f>
        <v>0.5938536682866945</v>
      </c>
      <c r="J52">
        <f>MAX(Hit!J52,Stand!J52,Double!J52)</f>
        <v>0.28759675706758142</v>
      </c>
      <c r="K52">
        <f>MAX(Hit!K52,Stand!K52,Double!K52)</f>
        <v>-1.8660154151531536E-2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0.20418852289369649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0.43495775366292722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0.65780643070815525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0.88857566147738598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1103" priority="16" operator="containsText" text="S">
      <formula>NOT(ISERROR(SEARCH("S",O2)))</formula>
    </cfRule>
    <cfRule type="containsText" dxfId="1102" priority="17" operator="containsText" text="H">
      <formula>NOT(ISERROR(SEARCH("H",O2)))</formula>
    </cfRule>
  </conditionalFormatting>
  <conditionalFormatting sqref="O2:X31">
    <cfRule type="containsText" dxfId="1101" priority="13" operator="containsText" text="D">
      <formula>NOT(ISERROR(SEARCH("D",O2)))</formula>
    </cfRule>
  </conditionalFormatting>
  <conditionalFormatting sqref="O34:X54">
    <cfRule type="containsText" dxfId="1100" priority="2" operator="containsText" text="S">
      <formula>NOT(ISERROR(SEARCH("S",O34)))</formula>
    </cfRule>
    <cfRule type="containsText" dxfId="1099" priority="3" operator="containsText" text="H">
      <formula>NOT(ISERROR(SEARCH("H",O34)))</formula>
    </cfRule>
  </conditionalFormatting>
  <conditionalFormatting sqref="O34:X54">
    <cfRule type="containsText" dxfId="1098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-0.34456837192534162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-4.9750706146412041E-2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-0.10316172777512723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-0.29096372773977425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-0.36474464099475529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-0.13094188065020099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-0.31277980128259808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-0.38538530661686615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-8.2613314299744348E-2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-0.33509986436351097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-0.40632230211141912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-0.18809330390318518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-0.3577434525808979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-0.41968690347101079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-0.10729107800860835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-0.38050766229289529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-0.39971038372569095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-7.6582981904463582E-2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-0.21060476872434966</v>
      </c>
      <c r="J7">
        <f>IF(Rules!$B$7=Rules!$E$7,MAX(Hit!J7,Stand!J7,Double!J7,Surrender!J7),MAX(Hit!J7,Stand!J7,Double!J7))</f>
        <v>-0.28536544048687662</v>
      </c>
      <c r="K7">
        <f>IF(Rules!$B$7=Rules!$E$7,MAX(Hit!K7,Stand!K7,Double!K7,Surrender!K7),MAX(Hit!K7,Stand!K7,Double!K7))</f>
        <v>-0.36507789921394679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-0.33034033459070061</v>
      </c>
      <c r="C8">
        <f>IF(Rules!$B$7=Rules!$E$7,MAX(Hit!C8,Stand!C8,Double!C8,Surrender!C8),MAX(Hit!C8,Stand!C8,Double!C8))</f>
        <v>-2.1798188008805671E-2</v>
      </c>
      <c r="D8">
        <f>IF(Rules!$B$7=Rules!$E$7,MAX(Hit!D8,Stand!D8,Double!D8,Surrender!D8),MAX(Hit!D8,Stand!D8,Double!D8))</f>
        <v>8.0052625306546912E-3</v>
      </c>
      <c r="E8">
        <f>IF(Rules!$B$7=Rules!$E$7,MAX(Hit!E8,Stand!E8,Double!E8,Surrender!E8),MAX(Hit!E8,Stand!E8,Double!E8))</f>
        <v>3.8784473277208804E-2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-5.989827565865629E-2</v>
      </c>
      <c r="J8">
        <f>IF(Rules!$B$7=Rules!$E$7,MAX(Hit!J8,Stand!J8,Double!J8,Surrender!J8),MAX(Hit!J8,Stand!J8,Double!J8))</f>
        <v>-0.2101863319982176</v>
      </c>
      <c r="K8">
        <f>IF(Rules!$B$7=Rules!$E$7,MAX(Hit!K8,Stand!K8,Double!K8,Surrender!K8),MAX(Hit!K8,Stand!K8,Double!K8))</f>
        <v>-0.30177738614031369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-0.25192476177072076</v>
      </c>
      <c r="C9">
        <f>IF(Rules!$B$7=Rules!$E$7,MAX(Hit!C9,Stand!C9,Double!C9,Surrender!C9),MAX(Hit!C9,Stand!C9,Double!C9))</f>
        <v>7.444603757634051E-2</v>
      </c>
      <c r="D9">
        <f>IF(Rules!$B$7=Rules!$E$7,MAX(Hit!D9,Stand!D9,Double!D9,Surrender!D9),MAX(Hit!D9,Stand!D9,Double!D9))</f>
        <v>0.12081635332999656</v>
      </c>
      <c r="E9">
        <f>IF(Rules!$B$7=Rules!$E$7,MAX(Hit!E9,Stand!E9,Double!E9,Surrender!E9),MAX(Hit!E9,Stand!E9,Double!E9))</f>
        <v>0.1819489340524216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9.8376217435392585E-2</v>
      </c>
      <c r="J9">
        <f>IF(Rules!$B$7=Rules!$E$7,MAX(Hit!J9,Stand!J9,Double!J9,Surrender!J9),MAX(Hit!J9,Stand!J9,Double!J9))</f>
        <v>-5.217805346265169E-2</v>
      </c>
      <c r="K9">
        <f>IF(Rules!$B$7=Rules!$E$7,MAX(Hit!K9,Stand!K9,Double!K9,Surrender!K9),MAX(Hit!K9,Stand!K9,Double!K9))</f>
        <v>-0.21343169035706566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-0.14666789263035868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-4.4990260383613007E-2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-4.1986836980868178E-2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0.35069259087031512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5.9690795265877464E-2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H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-0.46566058377683939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-0.42069618899826788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-0.50382768493563657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-0.46207503264124877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-0.53926856458309114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-0.50049824459544523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-0.572177952827156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-0.53617694141005634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-0.57578184676460165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-0.50932213940732529</v>
      </c>
      <c r="K16">
        <f>IF(Rules!$B$7=Rules!$E$7,MAX(Hit!K16,Stand!K16,Double!K16,Surrender!K16),MAX(Hit!K16,Stand!K16,Double!K16))</f>
        <v>-0.56930715988076652</v>
      </c>
      <c r="N16" s="31">
        <v>16</v>
      </c>
      <c r="O16" s="31" t="str">
        <f>IF(B16=Surrender!B16,"R",HSD!O16)</f>
        <v>S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H</v>
      </c>
      <c r="X16" s="31" t="str">
        <f>IF(K16=Surrender!K16,"R",HSD!X16)</f>
        <v>H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-0.46435750824198752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-0.46435750824198763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-0.24150883119675959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-0.24150883119675959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-1.8660154151531549E-2</v>
      </c>
      <c r="C19">
        <f>IF(Rules!$B$7=Rules!$E$7,MAX(Hit!C19,Stand!C19,Double!C19,Surrender!C19),MAX(Hit!C19,Stand!C19,Double!C19))</f>
        <v>0.38630468602058987</v>
      </c>
      <c r="D19">
        <f>IF(Rules!$B$7=Rules!$E$7,MAX(Hit!D19,Stand!D19,Double!D19,Surrender!D19),MAX(Hit!D19,Stand!D19,Double!D19))</f>
        <v>0.40436293659776001</v>
      </c>
      <c r="E19">
        <f>IF(Rules!$B$7=Rules!$E$7,MAX(Hit!E19,Stand!E19,Double!E19,Surrender!E19),MAX(Hit!E19,Stand!E19,Double!E19))</f>
        <v>0.42317892482749647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0.49597707378731909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0.5938536682866945</v>
      </c>
      <c r="J19">
        <f>IF(Rules!$B$7=Rules!$E$7,MAX(Hit!J19,Stand!J19,Double!J19,Surrender!J19),MAX(Hit!J19,Stand!J19,Double!J19))</f>
        <v>0.28759675706758142</v>
      </c>
      <c r="K19">
        <f>IF(Rules!$B$7=Rules!$E$7,MAX(Hit!K19,Stand!K19,Double!K19,Surrender!K19),MAX(Hit!K19,Stand!K19,Double!K19))</f>
        <v>-1.8660154151531536E-2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0.20418852289369649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0.43495775366292722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0.65780643070815525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0.88857566147738598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-1</v>
      </c>
      <c r="D22">
        <f>IF(Rules!$B$7=Rules!$E$7,MAX(Hit!D22,Stand!D22,Double!D22,Surrender!D22),MAX(Hit!D22,Stand!D22,Double!D22))</f>
        <v>-1</v>
      </c>
      <c r="E22">
        <f>IF(Rules!$B$7=Rules!$E$7,MAX(Hit!E22,Stand!E22,Double!E22,Surrender!E22),MAX(Hit!E22,Stand!E22,Double!E22))</f>
        <v>-1</v>
      </c>
      <c r="F22">
        <f>IF(Rules!$B$7=Rules!$E$7,MAX(Hit!F22,Stand!F22,Double!F22,Surrender!F22),MAX(Hit!F22,Stand!F22,Double!F22))</f>
        <v>-1</v>
      </c>
      <c r="G22">
        <f>IF(Rules!$B$7=Rules!$E$7,MAX(Hit!G22,Stand!G22,Double!G22,Surrender!G22),MAX(Hit!G22,Stand!G22,Double!G22))</f>
        <v>-1</v>
      </c>
      <c r="H22">
        <f>IF(Rules!$B$7=Rules!$E$7,MAX(Hit!H22,Stand!H22,Double!H22,Surrender!H22),MAX(Hit!H22,Stand!H22,Double!H22))</f>
        <v>-1</v>
      </c>
      <c r="I22">
        <f>IF(Rules!$B$7=Rules!$E$7,MAX(Hit!I22,Stand!I22,Double!I22,Surrender!I22),MAX(Hit!I22,Stand!I22,Double!I22))</f>
        <v>-1</v>
      </c>
      <c r="J22">
        <f>IF(Rules!$B$7=Rules!$E$7,MAX(Hit!J22,Stand!J22,Double!J22,Surrender!J22),MAX(Hit!J22,Stand!J22,Double!J22))</f>
        <v>-1</v>
      </c>
      <c r="K22">
        <f>IF(Rules!$B$7=Rules!$E$7,MAX(Hit!K22,Stand!K22,Double!K22,Surrender!K22),MAX(Hit!K22,Stand!K22,Double!K22))</f>
        <v>-1</v>
      </c>
      <c r="N22" s="31">
        <v>22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-1</v>
      </c>
      <c r="D23">
        <f>IF(Rules!$B$7=Rules!$E$7,MAX(Hit!D23,Stand!D23,Double!D23,Surrender!D23),MAX(Hit!D23,Stand!D23,Double!D23))</f>
        <v>-1</v>
      </c>
      <c r="E23">
        <f>IF(Rules!$B$7=Rules!$E$7,MAX(Hit!E23,Stand!E23,Double!E23,Surrender!E23),MAX(Hit!E23,Stand!E23,Double!E23))</f>
        <v>-1</v>
      </c>
      <c r="F23">
        <f>IF(Rules!$B$7=Rules!$E$7,MAX(Hit!F23,Stand!F23,Double!F23,Surrender!F23),MAX(Hit!F23,Stand!F23,Double!F23))</f>
        <v>-1</v>
      </c>
      <c r="G23">
        <f>IF(Rules!$B$7=Rules!$E$7,MAX(Hit!G23,Stand!G23,Double!G23,Surrender!G23),MAX(Hit!G23,Stand!G23,Double!G23))</f>
        <v>-1</v>
      </c>
      <c r="H23">
        <f>IF(Rules!$B$7=Rules!$E$7,MAX(Hit!H23,Stand!H23,Double!H23,Surrender!H23),MAX(Hit!H23,Stand!H23,Double!H23))</f>
        <v>-1</v>
      </c>
      <c r="I23">
        <f>IF(Rules!$B$7=Rules!$E$7,MAX(Hit!I23,Stand!I23,Double!I23,Surrender!I23),MAX(Hit!I23,Stand!I23,Double!I23))</f>
        <v>-1</v>
      </c>
      <c r="J23">
        <f>IF(Rules!$B$7=Rules!$E$7,MAX(Hit!J23,Stand!J23,Double!J23,Surrender!J23),MAX(Hit!J23,Stand!J23,Double!J23))</f>
        <v>-1</v>
      </c>
      <c r="K23">
        <f>IF(Rules!$B$7=Rules!$E$7,MAX(Hit!K23,Stand!K23,Double!K23,Surrender!K23),MAX(Hit!K23,Stand!K23,Double!K23))</f>
        <v>-1</v>
      </c>
      <c r="N23" s="31">
        <v>23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-1</v>
      </c>
      <c r="D24">
        <f>IF(Rules!$B$7=Rules!$E$7,MAX(Hit!D24,Stand!D24,Double!D24,Surrender!D24),MAX(Hit!D24,Stand!D24,Double!D24))</f>
        <v>-1</v>
      </c>
      <c r="E24">
        <f>IF(Rules!$B$7=Rules!$E$7,MAX(Hit!E24,Stand!E24,Double!E24,Surrender!E24),MAX(Hit!E24,Stand!E24,Double!E24))</f>
        <v>-1</v>
      </c>
      <c r="F24">
        <f>IF(Rules!$B$7=Rules!$E$7,MAX(Hit!F24,Stand!F24,Double!F24,Surrender!F24),MAX(Hit!F24,Stand!F24,Double!F24))</f>
        <v>-1</v>
      </c>
      <c r="G24">
        <f>IF(Rules!$B$7=Rules!$E$7,MAX(Hit!G24,Stand!G24,Double!G24,Surrender!G24),MAX(Hit!G24,Stand!G24,Double!G24))</f>
        <v>-1</v>
      </c>
      <c r="H24">
        <f>IF(Rules!$B$7=Rules!$E$7,MAX(Hit!H24,Stand!H24,Double!H24,Surrender!H24),MAX(Hit!H24,Stand!H24,Double!H24))</f>
        <v>-1</v>
      </c>
      <c r="I24">
        <f>IF(Rules!$B$7=Rules!$E$7,MAX(Hit!I24,Stand!I24,Double!I24,Surrender!I24),MAX(Hit!I24,Stand!I24,Double!I24))</f>
        <v>-1</v>
      </c>
      <c r="J24">
        <f>IF(Rules!$B$7=Rules!$E$7,MAX(Hit!J24,Stand!J24,Double!J24,Surrender!J24),MAX(Hit!J24,Stand!J24,Double!J24))</f>
        <v>-1</v>
      </c>
      <c r="K24">
        <f>IF(Rules!$B$7=Rules!$E$7,MAX(Hit!K24,Stand!K24,Double!K24,Surrender!K24),MAX(Hit!K24,Stand!K24,Double!K24))</f>
        <v>-1</v>
      </c>
      <c r="N24" s="31">
        <v>24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-1</v>
      </c>
      <c r="D25">
        <f>IF(Rules!$B$7=Rules!$E$7,MAX(Hit!D25,Stand!D25,Double!D25,Surrender!D25),MAX(Hit!D25,Stand!D25,Double!D25))</f>
        <v>-1</v>
      </c>
      <c r="E25">
        <f>IF(Rules!$B$7=Rules!$E$7,MAX(Hit!E25,Stand!E25,Double!E25,Surrender!E25),MAX(Hit!E25,Stand!E25,Double!E25))</f>
        <v>-1</v>
      </c>
      <c r="F25">
        <f>IF(Rules!$B$7=Rules!$E$7,MAX(Hit!F25,Stand!F25,Double!F25,Surrender!F25),MAX(Hit!F25,Stand!F25,Double!F25))</f>
        <v>-1</v>
      </c>
      <c r="G25">
        <f>IF(Rules!$B$7=Rules!$E$7,MAX(Hit!G25,Stand!G25,Double!G25,Surrender!G25),MAX(Hit!G25,Stand!G25,Double!G25))</f>
        <v>-1</v>
      </c>
      <c r="H25">
        <f>IF(Rules!$B$7=Rules!$E$7,MAX(Hit!H25,Stand!H25,Double!H25,Surrender!H25),MAX(Hit!H25,Stand!H25,Double!H25))</f>
        <v>-1</v>
      </c>
      <c r="I25">
        <f>IF(Rules!$B$7=Rules!$E$7,MAX(Hit!I25,Stand!I25,Double!I25,Surrender!I25),MAX(Hit!I25,Stand!I25,Double!I25))</f>
        <v>-1</v>
      </c>
      <c r="J25">
        <f>IF(Rules!$B$7=Rules!$E$7,MAX(Hit!J25,Stand!J25,Double!J25,Surrender!J25),MAX(Hit!J25,Stand!J25,Double!J25))</f>
        <v>-1</v>
      </c>
      <c r="K25">
        <f>IF(Rules!$B$7=Rules!$E$7,MAX(Hit!K25,Stand!K25,Double!K25,Surrender!K25),MAX(Hit!K25,Stand!K25,Double!K25))</f>
        <v>-1</v>
      </c>
      <c r="N25" s="31">
        <v>25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-1</v>
      </c>
      <c r="D26">
        <f>IF(Rules!$B$7=Rules!$E$7,MAX(Hit!D26,Stand!D26,Double!D26,Surrender!D26),MAX(Hit!D26,Stand!D26,Double!D26))</f>
        <v>-1</v>
      </c>
      <c r="E26">
        <f>IF(Rules!$B$7=Rules!$E$7,MAX(Hit!E26,Stand!E26,Double!E26,Surrender!E26),MAX(Hit!E26,Stand!E26,Double!E26))</f>
        <v>-1</v>
      </c>
      <c r="F26">
        <f>IF(Rules!$B$7=Rules!$E$7,MAX(Hit!F26,Stand!F26,Double!F26,Surrender!F26),MAX(Hit!F26,Stand!F26,Double!F26))</f>
        <v>-1</v>
      </c>
      <c r="G26">
        <f>IF(Rules!$B$7=Rules!$E$7,MAX(Hit!G26,Stand!G26,Double!G26,Surrender!G26),MAX(Hit!G26,Stand!G26,Double!G26))</f>
        <v>-1</v>
      </c>
      <c r="H26">
        <f>IF(Rules!$B$7=Rules!$E$7,MAX(Hit!H26,Stand!H26,Double!H26,Surrender!H26),MAX(Hit!H26,Stand!H26,Double!H26))</f>
        <v>-1</v>
      </c>
      <c r="I26">
        <f>IF(Rules!$B$7=Rules!$E$7,MAX(Hit!I26,Stand!I26,Double!I26,Surrender!I26),MAX(Hit!I26,Stand!I26,Double!I26))</f>
        <v>-1</v>
      </c>
      <c r="J26">
        <f>IF(Rules!$B$7=Rules!$E$7,MAX(Hit!J26,Stand!J26,Double!J26,Surrender!J26),MAX(Hit!J26,Stand!J26,Double!J26))</f>
        <v>-1</v>
      </c>
      <c r="K26">
        <f>IF(Rules!$B$7=Rules!$E$7,MAX(Hit!K26,Stand!K26,Double!K26,Surrender!K26),MAX(Hit!K26,Stand!K26,Double!K26))</f>
        <v>-1</v>
      </c>
      <c r="N26" s="31">
        <v>26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-1</v>
      </c>
      <c r="D27">
        <f>IF(Rules!$B$7=Rules!$E$7,MAX(Hit!D27,Stand!D27,Double!D27,Surrender!D27),MAX(Hit!D27,Stand!D27,Double!D27))</f>
        <v>-1</v>
      </c>
      <c r="E27">
        <f>IF(Rules!$B$7=Rules!$E$7,MAX(Hit!E27,Stand!E27,Double!E27,Surrender!E27),MAX(Hit!E27,Stand!E27,Double!E27))</f>
        <v>-1</v>
      </c>
      <c r="F27">
        <f>IF(Rules!$B$7=Rules!$E$7,MAX(Hit!F27,Stand!F27,Double!F27,Surrender!F27),MAX(Hit!F27,Stand!F27,Double!F27))</f>
        <v>-1</v>
      </c>
      <c r="G27">
        <f>IF(Rules!$B$7=Rules!$E$7,MAX(Hit!G27,Stand!G27,Double!G27,Surrender!G27),MAX(Hit!G27,Stand!G27,Double!G27))</f>
        <v>-1</v>
      </c>
      <c r="H27">
        <f>IF(Rules!$B$7=Rules!$E$7,MAX(Hit!H27,Stand!H27,Double!H27,Surrender!H27),MAX(Hit!H27,Stand!H27,Double!H27))</f>
        <v>-1</v>
      </c>
      <c r="I27">
        <f>IF(Rules!$B$7=Rules!$E$7,MAX(Hit!I27,Stand!I27,Double!I27,Surrender!I27),MAX(Hit!I27,Stand!I27,Double!I27))</f>
        <v>-1</v>
      </c>
      <c r="J27">
        <f>IF(Rules!$B$7=Rules!$E$7,MAX(Hit!J27,Stand!J27,Double!J27,Surrender!J27),MAX(Hit!J27,Stand!J27,Double!J27))</f>
        <v>-1</v>
      </c>
      <c r="K27">
        <f>IF(Rules!$B$7=Rules!$E$7,MAX(Hit!K27,Stand!K27,Double!K27,Surrender!K27),MAX(Hit!K27,Stand!K27,Double!K27))</f>
        <v>-1</v>
      </c>
      <c r="N27" s="31">
        <v>27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-1</v>
      </c>
      <c r="D28">
        <f>IF(Rules!$B$7=Rules!$E$7,MAX(Hit!D28,Stand!D28,Double!D28,Surrender!D28),MAX(Hit!D28,Stand!D28,Double!D28))</f>
        <v>-1</v>
      </c>
      <c r="E28">
        <f>IF(Rules!$B$7=Rules!$E$7,MAX(Hit!E28,Stand!E28,Double!E28,Surrender!E28),MAX(Hit!E28,Stand!E28,Double!E28))</f>
        <v>-1</v>
      </c>
      <c r="F28">
        <f>IF(Rules!$B$7=Rules!$E$7,MAX(Hit!F28,Stand!F28,Double!F28,Surrender!F28),MAX(Hit!F28,Stand!F28,Double!F28))</f>
        <v>-1</v>
      </c>
      <c r="G28">
        <f>IF(Rules!$B$7=Rules!$E$7,MAX(Hit!G28,Stand!G28,Double!G28,Surrender!G28),MAX(Hit!G28,Stand!G28,Double!G28))</f>
        <v>-1</v>
      </c>
      <c r="H28">
        <f>IF(Rules!$B$7=Rules!$E$7,MAX(Hit!H28,Stand!H28,Double!H28,Surrender!H28),MAX(Hit!H28,Stand!H28,Double!H28))</f>
        <v>-1</v>
      </c>
      <c r="I28">
        <f>IF(Rules!$B$7=Rules!$E$7,MAX(Hit!I28,Stand!I28,Double!I28,Surrender!I28),MAX(Hit!I28,Stand!I28,Double!I28))</f>
        <v>-1</v>
      </c>
      <c r="J28">
        <f>IF(Rules!$B$7=Rules!$E$7,MAX(Hit!J28,Stand!J28,Double!J28,Surrender!J28),MAX(Hit!J28,Stand!J28,Double!J28))</f>
        <v>-1</v>
      </c>
      <c r="K28">
        <f>IF(Rules!$B$7=Rules!$E$7,MAX(Hit!K28,Stand!K28,Double!K28,Surrender!K28),MAX(Hit!K28,Stand!K28,Double!K28))</f>
        <v>-1</v>
      </c>
      <c r="N28" s="31">
        <v>28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-1</v>
      </c>
      <c r="D29">
        <f>IF(Rules!$B$7=Rules!$E$7,MAX(Hit!D29,Stand!D29,Double!D29,Surrender!D29),MAX(Hit!D29,Stand!D29,Double!D29))</f>
        <v>-1</v>
      </c>
      <c r="E29">
        <f>IF(Rules!$B$7=Rules!$E$7,MAX(Hit!E29,Stand!E29,Double!E29,Surrender!E29),MAX(Hit!E29,Stand!E29,Double!E29))</f>
        <v>-1</v>
      </c>
      <c r="F29">
        <f>IF(Rules!$B$7=Rules!$E$7,MAX(Hit!F29,Stand!F29,Double!F29,Surrender!F29),MAX(Hit!F29,Stand!F29,Double!F29))</f>
        <v>-1</v>
      </c>
      <c r="G29">
        <f>IF(Rules!$B$7=Rules!$E$7,MAX(Hit!G29,Stand!G29,Double!G29,Surrender!G29),MAX(Hit!G29,Stand!G29,Double!G29))</f>
        <v>-1</v>
      </c>
      <c r="H29">
        <f>IF(Rules!$B$7=Rules!$E$7,MAX(Hit!H29,Stand!H29,Double!H29,Surrender!H29),MAX(Hit!H29,Stand!H29,Double!H29))</f>
        <v>-1</v>
      </c>
      <c r="I29">
        <f>IF(Rules!$B$7=Rules!$E$7,MAX(Hit!I29,Stand!I29,Double!I29,Surrender!I29),MAX(Hit!I29,Stand!I29,Double!I29))</f>
        <v>-1</v>
      </c>
      <c r="J29">
        <f>IF(Rules!$B$7=Rules!$E$7,MAX(Hit!J29,Stand!J29,Double!J29,Surrender!J29),MAX(Hit!J29,Stand!J29,Double!J29))</f>
        <v>-1</v>
      </c>
      <c r="K29">
        <f>IF(Rules!$B$7=Rules!$E$7,MAX(Hit!K29,Stand!K29,Double!K29,Surrender!K29),MAX(Hit!K29,Stand!K29,Double!K29))</f>
        <v>-1</v>
      </c>
      <c r="N29" s="31">
        <v>29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-1</v>
      </c>
      <c r="D30">
        <f>IF(Rules!$B$7=Rules!$E$7,MAX(Hit!D30,Stand!D30,Double!D30,Surrender!D30),MAX(Hit!D30,Stand!D30,Double!D30))</f>
        <v>-1</v>
      </c>
      <c r="E30">
        <f>IF(Rules!$B$7=Rules!$E$7,MAX(Hit!E30,Stand!E30,Double!E30,Surrender!E30),MAX(Hit!E30,Stand!E30,Double!E30))</f>
        <v>-1</v>
      </c>
      <c r="F30">
        <f>IF(Rules!$B$7=Rules!$E$7,MAX(Hit!F30,Stand!F30,Double!F30,Surrender!F30),MAX(Hit!F30,Stand!F30,Double!F30))</f>
        <v>-1</v>
      </c>
      <c r="G30">
        <f>IF(Rules!$B$7=Rules!$E$7,MAX(Hit!G30,Stand!G30,Double!G30,Surrender!G30),MAX(Hit!G30,Stand!G30,Double!G30))</f>
        <v>-1</v>
      </c>
      <c r="H30">
        <f>IF(Rules!$B$7=Rules!$E$7,MAX(Hit!H30,Stand!H30,Double!H30,Surrender!H30),MAX(Hit!H30,Stand!H30,Double!H30))</f>
        <v>-1</v>
      </c>
      <c r="I30">
        <f>IF(Rules!$B$7=Rules!$E$7,MAX(Hit!I30,Stand!I30,Double!I30,Surrender!I30),MAX(Hit!I30,Stand!I30,Double!I30))</f>
        <v>-1</v>
      </c>
      <c r="J30">
        <f>IF(Rules!$B$7=Rules!$E$7,MAX(Hit!J30,Stand!J30,Double!J30,Surrender!J30),MAX(Hit!J30,Stand!J30,Double!J30))</f>
        <v>-1</v>
      </c>
      <c r="K30">
        <f>IF(Rules!$B$7=Rules!$E$7,MAX(Hit!K30,Stand!K30,Double!K30,Surrender!K30),MAX(Hit!K30,Stand!K30,Double!K30))</f>
        <v>-1</v>
      </c>
      <c r="N30" s="31">
        <v>30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-1</v>
      </c>
      <c r="D31">
        <f>IF(Rules!$B$7=Rules!$E$7,MAX(Hit!D31,Stand!D31,Double!D31,Surrender!D31),MAX(Hit!D31,Stand!D31,Double!D31))</f>
        <v>-1</v>
      </c>
      <c r="E31">
        <f>IF(Rules!$B$7=Rules!$E$7,MAX(Hit!E31,Stand!E31,Double!E31,Surrender!E31),MAX(Hit!E31,Stand!E31,Double!E31))</f>
        <v>-1</v>
      </c>
      <c r="F31">
        <f>IF(Rules!$B$7=Rules!$E$7,MAX(Hit!F31,Stand!F31,Double!F31,Surrender!F31),MAX(Hit!F31,Stand!F31,Double!F31))</f>
        <v>-1</v>
      </c>
      <c r="G31">
        <f>IF(Rules!$B$7=Rules!$E$7,MAX(Hit!G31,Stand!G31,Double!G31,Surrender!G31),MAX(Hit!G31,Stand!G31,Double!G31))</f>
        <v>-1</v>
      </c>
      <c r="H31">
        <f>IF(Rules!$B$7=Rules!$E$7,MAX(Hit!H31,Stand!H31,Double!H31,Surrender!H31),MAX(Hit!H31,Stand!H31,Double!H31))</f>
        <v>-1</v>
      </c>
      <c r="I31">
        <f>IF(Rules!$B$7=Rules!$E$7,MAX(Hit!I31,Stand!I31,Double!I31,Surrender!I31),MAX(Hit!I31,Stand!I31,Double!I31))</f>
        <v>-1</v>
      </c>
      <c r="J31">
        <f>IF(Rules!$B$7=Rules!$E$7,MAX(Hit!J31,Stand!J31,Double!J31,Surrender!J31),MAX(Hit!J31,Stand!J31,Double!J31))</f>
        <v>-1</v>
      </c>
      <c r="K31">
        <f>IF(Rules!$B$7=Rules!$E$7,MAX(Hit!K31,Stand!K31,Double!K31,Surrender!K31),MAX(Hit!K31,Stand!K31,Double!K31))</f>
        <v>-1</v>
      </c>
      <c r="N31" s="31">
        <v>31</v>
      </c>
      <c r="O31" s="31" t="str">
        <f>IF(B31=Surrender!B31,"R",HSD!O31)</f>
        <v>S</v>
      </c>
      <c r="P31" s="31" t="str">
        <f>IF(C31=Surrender!C31,"R",HSD!P31)</f>
        <v>S</v>
      </c>
      <c r="Q31" s="31" t="str">
        <f>IF(D31=Surrender!D31,"R",HSD!Q31)</f>
        <v>S</v>
      </c>
      <c r="R31" s="31" t="str">
        <f>IF(E31=Surrender!E31,"R",HSD!R31)</f>
        <v>S</v>
      </c>
      <c r="S31" s="31" t="str">
        <f>IF(F31=Surrender!F31,"R",HSD!S31)</f>
        <v>S</v>
      </c>
      <c r="T31" s="31" t="str">
        <f>IF(G31=Surrender!G31,"R",HSD!T31)</f>
        <v>S</v>
      </c>
      <c r="U31" s="31" t="str">
        <f>IF(H31=Surrender!H31,"R",HSD!U31)</f>
        <v>S</v>
      </c>
      <c r="V31" s="31" t="str">
        <f>IF(I31=Surrender!I31,"R",HSD!V31)</f>
        <v>S</v>
      </c>
      <c r="W31" s="31" t="str">
        <f>IF(J31=Surrender!J31,"R",HSD!W31)</f>
        <v>S</v>
      </c>
      <c r="X31" s="31" t="str">
        <f>IF(K31=Surrender!K31,"R",HSD!X31)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7.4082476325384949E-2</v>
      </c>
      <c r="C34">
        <f>IF(Rules!$B$7=Rules!$E$7,MAX(Hit!C34,Stand!C34,Double!C34,Surrender!C34),MAX(Hit!C34,Stand!C34,Double!C34))</f>
        <v>0.3696374242362967</v>
      </c>
      <c r="D34">
        <f>IF(Rules!$B$7=Rules!$E$7,MAX(Hit!D34,Stand!D34,Double!D34,Surrender!D34),MAX(Hit!D34,Stand!D34,Double!D34))</f>
        <v>0.38767410174512951</v>
      </c>
      <c r="E34">
        <f>IF(Rules!$B$7=Rules!$E$7,MAX(Hit!E34,Stand!E34,Double!E34,Surrender!E34),MAX(Hit!E34,Stand!E34,Double!E34))</f>
        <v>0.40637639293641487</v>
      </c>
      <c r="F34">
        <f>IF(Rules!$B$7=Rules!$E$7,MAX(Hit!F34,Stand!F34,Double!F34,Surrender!F34),MAX(Hit!F34,Stand!F34,Double!F34))</f>
        <v>0.42575273133176267</v>
      </c>
      <c r="G34">
        <f>IF(Rules!$B$7=Rules!$E$7,MAX(Hit!G34,Stand!G34,Double!G34,Surrender!G34),MAX(Hit!G34,Stand!G34,Double!G34))</f>
        <v>0.45589668319225651</v>
      </c>
      <c r="H34">
        <f>IF(Rules!$B$7=Rules!$E$7,MAX(Hit!H34,Stand!H34,Double!H34,Surrender!H34),MAX(Hit!H34,Stand!H34,Double!H34))</f>
        <v>0.45736852128859351</v>
      </c>
      <c r="I34">
        <f>IF(Rules!$B$7=Rules!$E$7,MAX(Hit!I34,Stand!I34,Double!I34,Surrender!I34),MAX(Hit!I34,Stand!I34,Double!I34))</f>
        <v>0.40074805174057659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0.19656557835630536</v>
      </c>
      <c r="N34" s="31">
        <v>11</v>
      </c>
      <c r="O34" s="31" t="str">
        <f>IF(B34=Surrender!B34,"R",HSD!O34)</f>
        <v>H</v>
      </c>
      <c r="P34" s="31" t="str">
        <f>IF(C34=Surrender!C34,"R",HSD!P34)</f>
        <v>H</v>
      </c>
      <c r="Q34" s="31" t="str">
        <f>IF(D34=Surrender!D34,"R",HSD!Q34)</f>
        <v>H</v>
      </c>
      <c r="R34" s="31" t="str">
        <f>IF(E34=Surrender!E34,"R",HSD!R34)</f>
        <v>H</v>
      </c>
      <c r="S34" s="31" t="str">
        <f>IF(F34=Surrender!F34,"R",HSD!S34)</f>
        <v>H</v>
      </c>
      <c r="T34" s="31" t="str">
        <f>IF(G34=Surrender!G34,"R",HSD!T34)</f>
        <v>H</v>
      </c>
      <c r="U34" s="31" t="str">
        <f>IF(H34=Surrender!H34,"R",HSD!U34)</f>
        <v>H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-0.20521353107155851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9.5115020927032307E-2</v>
      </c>
      <c r="J35">
        <f>IF(Rules!$B$7=Rules!$E$7,MAX(Hit!J35,Stand!J35,Double!J35,Surrender!J35),MAX(Hit!J35,Stand!J35,Double!J35))</f>
        <v>6.5790841226897296E-5</v>
      </c>
      <c r="K35">
        <f>IF(Rules!$B$7=Rules!$E$7,MAX(Hit!K35,Stand!K35,Double!K35,Surrender!K35),MAX(Hit!K35,Stand!K35,Double!K35))</f>
        <v>-0.12808280155666141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-0.23472177802444921</v>
      </c>
      <c r="C36">
        <f>IF(Rules!$B$7=Rules!$E$7,MAX(Hit!C36,Stand!C36,Double!C36,Surrender!C36),MAX(Hit!C36,Stand!C36,Double!C36))</f>
        <v>4.6636132695309543E-2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0.16169271124923693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5.4057070196311334E-2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-0.16080628455762785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H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-0.26406959413166387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0.11189449567473925</v>
      </c>
      <c r="G37">
        <f>IF(Rules!$B$7=Rules!$E$7,MAX(Hit!G37,Stand!G37,Double!G37,Surrender!G37),MAX(Hit!G37,Stand!G37,Double!G37))</f>
        <v>0.1391647307435768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1.3277219463208478E-2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-0.1933035414076569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H</v>
      </c>
      <c r="T37" s="31" t="str">
        <f>IF(G37=Surrender!G37,"R",HSD!T37)</f>
        <v>H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-0.29312934580507005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9.1959698781152482E-2</v>
      </c>
      <c r="G38">
        <f>IF(Rules!$B$7=Rules!$E$7,MAX(Hit!G38,Stand!G38,Double!G38,Surrender!G38),MAX(Hit!G38,Stand!G38,Double!G38))</f>
        <v>0.11824589170260671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-0.22543993358238781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H</v>
      </c>
      <c r="T38" s="31" t="str">
        <f>IF(G38=Surrender!G38,"R",HSD!T38)</f>
        <v>H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-0.31409107314591783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3.9974770793601705E-2</v>
      </c>
      <c r="F39">
        <f>IF(Rules!$B$7=Rules!$E$7,MAX(Hit!F39,Stand!F39,Double!F39,Surrender!F39),MAX(Hit!F39,Stand!F39,Double!F39))</f>
        <v>7.3448815951393354E-2</v>
      </c>
      <c r="G39">
        <f>IF(Rules!$B$7=Rules!$E$7,MAX(Hit!G39,Stand!G39,Double!G39,Surrender!G39),MAX(Hit!G39,Stand!G39,Double!G39))</f>
        <v>9.8821255450277368E-2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-0.25710121084742421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H</v>
      </c>
      <c r="S39" s="31" t="str">
        <f>IF(F39=Surrender!F39,"R",HSD!S39)</f>
        <v>H</v>
      </c>
      <c r="T39" s="31" t="str">
        <f>IF(G39=Surrender!G39,"R",HSD!T39)</f>
        <v>H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-0.30094774596936263</v>
      </c>
      <c r="C40">
        <f>IF(Rules!$B$7=Rules!$E$7,MAX(Hit!C40,Stand!C40,Double!C40,Surrender!C40),MAX(Hit!C40,Stand!C40,Double!C40))</f>
        <v>-4.9104358288916297E-4</v>
      </c>
      <c r="D40">
        <f>IF(Rules!$B$7=Rules!$E$7,MAX(Hit!D40,Stand!D40,Double!D40,Surrender!D40),MAX(Hit!D40,Stand!D40,Double!D40))</f>
        <v>2.8975282965620523E-2</v>
      </c>
      <c r="E40">
        <f>IF(Rules!$B$7=Rules!$E$7,MAX(Hit!E40,Stand!E40,Double!E40,Surrender!E40),MAX(Hit!E40,Stand!E40,Double!E40))</f>
        <v>5.9326275337164343E-2</v>
      </c>
      <c r="F40">
        <f>IF(Rules!$B$7=Rules!$E$7,MAX(Hit!F40,Stand!F40,Double!F40,Surrender!F40),MAX(Hit!F40,Stand!F40,Double!F40))</f>
        <v>9.1189077686774395E-2</v>
      </c>
      <c r="G40">
        <f>IF(Rules!$B$7=Rules!$E$7,MAX(Hit!G40,Stand!G40,Double!G40,Surrender!G40),MAX(Hit!G40,Stand!G40,Double!G40))</f>
        <v>0.12805214364549905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-0.14978689218213323</v>
      </c>
      <c r="K40">
        <f>IF(Rules!$B$7=Rules!$E$7,MAX(Hit!K40,Stand!K40,Double!K40,Surrender!K40),MAX(Hit!K40,Stand!K40,Double!K40))</f>
        <v>-0.24941602102444038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H</v>
      </c>
      <c r="R40" s="31" t="str">
        <f>IF(E40=Surrender!E40,"R",HSD!R40)</f>
        <v>H</v>
      </c>
      <c r="S40" s="31" t="str">
        <f>IF(F40=Surrender!F40,"R",HSD!S40)</f>
        <v>H</v>
      </c>
      <c r="T40" s="31" t="str">
        <f>IF(G40=Surrender!G40,"R",HSD!T40)</f>
        <v>H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-0.24150883119675959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0.14830007284131119</v>
      </c>
      <c r="E41">
        <f>IF(Rules!$B$7=Rules!$E$7,MAX(Hit!E41,Stand!E41,Double!E41,Surrender!E41),MAX(Hit!E41,Stand!E41,Double!E41))</f>
        <v>0.17585443719748528</v>
      </c>
      <c r="F41">
        <f>IF(Rules!$B$7=Rules!$E$7,MAX(Hit!F41,Stand!F41,Double!F41,Surrender!F41),MAX(Hit!F41,Stand!F41,Double!F41))</f>
        <v>0.19956119497617719</v>
      </c>
      <c r="G41">
        <f>IF(Rules!$B$7=Rules!$E$7,MAX(Hit!G41,Stand!G41,Double!G41,Surrender!G41),MAX(Hit!G41,Stand!G41,Double!G41))</f>
        <v>0.28344391604689856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-0.20109793381277147</v>
      </c>
      <c r="N41" s="31">
        <v>18</v>
      </c>
      <c r="O41" s="31" t="str">
        <f>IF(B41=Surrender!B41,"R",HSD!O41)</f>
        <v>S</v>
      </c>
      <c r="P41" s="31" t="str">
        <f>IF(C41=Surrender!C41,"R",HSD!P41)</f>
        <v>S</v>
      </c>
      <c r="Q41" s="31" t="str">
        <f>IF(D41=Surrender!D41,"R",HSD!Q41)</f>
        <v>S</v>
      </c>
      <c r="R41" s="31" t="str">
        <f>IF(E41=Surrender!E41,"R",HSD!R41)</f>
        <v>S</v>
      </c>
      <c r="S41" s="31" t="str">
        <f>IF(F41=Surrender!F41,"R",HSD!S41)</f>
        <v>S</v>
      </c>
      <c r="T41" s="31" t="str">
        <f>IF(G41=Surrender!G41,"R",HSD!T41)</f>
        <v>S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-1.8660154151531549E-2</v>
      </c>
      <c r="C42">
        <f>IF(Rules!$B$7=Rules!$E$7,MAX(Hit!C42,Stand!C42,Double!C42,Surrender!C42),MAX(Hit!C42,Stand!C42,Double!C42))</f>
        <v>0.38630468602058987</v>
      </c>
      <c r="D42">
        <f>IF(Rules!$B$7=Rules!$E$7,MAX(Hit!D42,Stand!D42,Double!D42,Surrender!D42),MAX(Hit!D42,Stand!D42,Double!D42))</f>
        <v>0.40436293659776001</v>
      </c>
      <c r="E42">
        <f>IF(Rules!$B$7=Rules!$E$7,MAX(Hit!E42,Stand!E42,Double!E42,Surrender!E42),MAX(Hit!E42,Stand!E42,Double!E42))</f>
        <v>0.42317892482749647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0.49597707378731909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0.5938536682866945</v>
      </c>
      <c r="J42">
        <f>IF(Rules!$B$7=Rules!$E$7,MAX(Hit!J42,Stand!J42,Double!J42,Surrender!J42),MAX(Hit!J42,Stand!J42,Double!J42))</f>
        <v>0.28759675706758142</v>
      </c>
      <c r="K42">
        <f>IF(Rules!$B$7=Rules!$E$7,MAX(Hit!K42,Stand!K42,Double!K42,Surrender!K42),MAX(Hit!K42,Stand!K42,Double!K42))</f>
        <v>-1.8660154151531536E-2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0.20418852289369649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0.43495775366292722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0.65780643070815525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0.88857566147738598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-0.46566058377683939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-0.42069618899826788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-0.50382768493563657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-0.46207503264124877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-0.53926856458309114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-0.50049824459544523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-0.572177952827156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-0.53617694141005634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H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-0.57578184676460165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-0.50932213940732529</v>
      </c>
      <c r="K49">
        <f>IF(Rules!$B$7=Rules!$E$7,MAX(Hit!K49,Stand!K49,Double!K49,Surrender!K49),MAX(Hit!K49,Stand!K49,Double!K49))</f>
        <v>-0.56930715988076652</v>
      </c>
      <c r="N49" s="31">
        <v>26</v>
      </c>
      <c r="O49" s="31" t="str">
        <f>IF(B49=Surrender!B49,"R",HSD!O49)</f>
        <v>S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H</v>
      </c>
      <c r="X49" s="31" t="str">
        <f>IF(K49=Surrender!K49,"R",HSD!X49)</f>
        <v>H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-0.46435750824198752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-0.46435750824198763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-0.24150883119675959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-0.24150883119675959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-1.8660154151531549E-2</v>
      </c>
      <c r="C52">
        <f>IF(Rules!$B$7=Rules!$E$7,MAX(Hit!C52,Stand!C52,Double!C52,Surrender!C52),MAX(Hit!C52,Stand!C52,Double!C52))</f>
        <v>0.38630468602058987</v>
      </c>
      <c r="D52">
        <f>IF(Rules!$B$7=Rules!$E$7,MAX(Hit!D52,Stand!D52,Double!D52,Surrender!D52),MAX(Hit!D52,Stand!D52,Double!D52))</f>
        <v>0.40436293659776001</v>
      </c>
      <c r="E52">
        <f>IF(Rules!$B$7=Rules!$E$7,MAX(Hit!E52,Stand!E52,Double!E52,Surrender!E52),MAX(Hit!E52,Stand!E52,Double!E52))</f>
        <v>0.42317892482749647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0.49597707378731909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0.5938536682866945</v>
      </c>
      <c r="J52">
        <f>IF(Rules!$B$7=Rules!$E$7,MAX(Hit!J52,Stand!J52,Double!J52,Surrender!J52),MAX(Hit!J52,Stand!J52,Double!J52))</f>
        <v>0.28759675706758142</v>
      </c>
      <c r="K52">
        <f>IF(Rules!$B$7=Rules!$E$7,MAX(Hit!K52,Stand!K52,Double!K52,Surrender!K52),MAX(Hit!K52,Stand!K52,Double!K52))</f>
        <v>-1.8660154151531536E-2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0.20418852289369649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0.43495775366292722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0.65780643070815525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0.88857566147738598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1097" priority="14" operator="containsText" text="S">
      <formula>NOT(ISERROR(SEARCH("S",O2)))</formula>
    </cfRule>
    <cfRule type="containsText" dxfId="1096" priority="15" operator="containsText" text="H">
      <formula>NOT(ISERROR(SEARCH("H",O2)))</formula>
    </cfRule>
  </conditionalFormatting>
  <conditionalFormatting sqref="O2:X31">
    <cfRule type="containsText" dxfId="1095" priority="13" operator="containsText" text="D">
      <formula>NOT(ISERROR(SEARCH("D",O2)))</formula>
    </cfRule>
  </conditionalFormatting>
  <conditionalFormatting sqref="O2:X31">
    <cfRule type="containsText" dxfId="1094" priority="9" operator="containsText" text="R">
      <formula>NOT(ISERROR(SEARCH("R",O2)))</formula>
    </cfRule>
  </conditionalFormatting>
  <conditionalFormatting sqref="O34:X54">
    <cfRule type="containsText" dxfId="1093" priority="3" operator="containsText" text="S">
      <formula>NOT(ISERROR(SEARCH("S",O34)))</formula>
    </cfRule>
    <cfRule type="containsText" dxfId="1092" priority="4" operator="containsText" text="H">
      <formula>NOT(ISERROR(SEARCH("H",O34)))</formula>
    </cfRule>
  </conditionalFormatting>
  <conditionalFormatting sqref="O34:X54">
    <cfRule type="containsText" dxfId="1091" priority="2" operator="containsText" text="D">
      <formula>NOT(ISERROR(SEARCH("D",O34)))</formula>
    </cfRule>
  </conditionalFormatting>
  <conditionalFormatting sqref="O34:X54">
    <cfRule type="containsText" dxfId="1090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2</vt:i4>
      </vt:variant>
    </vt:vector>
  </HeadingPairs>
  <TitlesOfParts>
    <vt:vector size="55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4x4</vt:lpstr>
      <vt:lpstr>4x5</vt:lpstr>
      <vt:lpstr>4x6</vt:lpstr>
      <vt:lpstr>4x7</vt:lpstr>
      <vt:lpstr>4x8</vt:lpstr>
      <vt:lpstr>4x9</vt:lpstr>
      <vt:lpstr>4x10</vt:lpstr>
      <vt:lpstr>Strategy Summary</vt:lpstr>
      <vt:lpstr>Strategy Summary (2)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2019-09-17T17:17:29Z</cp:lastPrinted>
  <dcterms:created xsi:type="dcterms:W3CDTF">2015-03-11T15:17:04Z</dcterms:created>
  <dcterms:modified xsi:type="dcterms:W3CDTF">2019-11-25T14:29:18Z</dcterms:modified>
</cp:coreProperties>
</file>