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Luozongbao/百度云同步盘/[My Portals]/[Documents]/[Business Projects &amp; Investments]/[Gambling]/BlackJack/"/>
    </mc:Choice>
  </mc:AlternateContent>
  <bookViews>
    <workbookView xWindow="0" yWindow="460" windowWidth="25600" windowHeight="14860" tabRatio="867" activeTab="23"/>
  </bookViews>
  <sheets>
    <sheet name="Rules" sheetId="32" r:id="rId1"/>
    <sheet name="Analysis" sheetId="35" r:id="rId2"/>
    <sheet name="Dealer" sheetId="12" state="hidden" r:id="rId3"/>
    <sheet name="Stand" sheetId="13" state="hidden" r:id="rId4"/>
    <sheet name="Hit" sheetId="14" state="hidden" r:id="rId5"/>
    <sheet name="HS" sheetId="15" state="hidden" r:id="rId6"/>
    <sheet name="Double" sheetId="17" state="hidden" r:id="rId7"/>
    <sheet name="HSD" sheetId="18" state="hidden" r:id="rId8"/>
    <sheet name="Surrender" sheetId="19" state="hidden" r:id="rId9"/>
    <sheet name="HSDR" sheetId="20" state="hidden" r:id="rId10"/>
    <sheet name="Pair" sheetId="22" state="hidden" r:id="rId11"/>
    <sheet name="Blackjack" sheetId="28" state="hidden" r:id="rId12"/>
    <sheet name="Prob" sheetId="24" state="hidden" r:id="rId13"/>
    <sheet name="5 Cards" sheetId="33" state="hidden" r:id="rId14"/>
    <sheet name="Three 7 Cards" sheetId="34" state="hidden" r:id="rId15"/>
    <sheet name="ER" sheetId="25" state="hidden" r:id="rId16"/>
    <sheet name="EV" sheetId="26" state="hidden" r:id="rId17"/>
    <sheet name="Summary" sheetId="27" state="hidden" r:id="rId18"/>
    <sheet name="WL Prob" sheetId="29" state="hidden" r:id="rId19"/>
    <sheet name="Summary (2)" sheetId="31" state="hidden" r:id="rId20"/>
    <sheet name="2x10 Strategy Analysis" sheetId="44" r:id="rId21"/>
    <sheet name="2x3 M1.5  Plan" sheetId="45" r:id="rId22"/>
    <sheet name="2x3 M2  Plan" sheetId="39" r:id="rId23"/>
    <sheet name="Plan Summary" sheetId="43" r:id="rId24"/>
  </sheets>
  <definedNames>
    <definedName name="_xlnm.Print_Area" localSheetId="21">'2x3 M1.5  Plan'!$A$1:$L$45</definedName>
    <definedName name="_xlnm.Print_Area" localSheetId="22">'2x3 M2  Plan'!$A$1:$L$45</definedName>
    <definedName name="_xlnm.Print_Area" localSheetId="0">Rules!$A$1:$S$42</definedName>
    <definedName name="_xlnm.Print_Area" localSheetId="19">'Summary (2)'!$A$1:$Y$39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1" i="43" l="1"/>
  <c r="D42" i="43"/>
  <c r="D43" i="43"/>
  <c r="D44" i="43"/>
  <c r="D40" i="43"/>
  <c r="C41" i="43"/>
  <c r="C42" i="43"/>
  <c r="C43" i="43"/>
  <c r="C44" i="43"/>
  <c r="C40" i="43"/>
  <c r="B41" i="43"/>
  <c r="B42" i="43"/>
  <c r="B43" i="43"/>
  <c r="B44" i="43"/>
  <c r="B40" i="43"/>
  <c r="H34" i="43"/>
  <c r="H33" i="43"/>
  <c r="H32" i="43"/>
  <c r="H31" i="43"/>
  <c r="H30" i="43"/>
  <c r="H29" i="43"/>
  <c r="H28" i="43"/>
  <c r="H27" i="43"/>
  <c r="H26" i="43"/>
  <c r="B21" i="43"/>
  <c r="B22" i="43"/>
  <c r="B23" i="43"/>
  <c r="D23" i="43"/>
  <c r="F23" i="43"/>
  <c r="H23" i="43"/>
  <c r="B4" i="43"/>
  <c r="B5" i="43"/>
  <c r="B6" i="43"/>
  <c r="D6" i="43"/>
  <c r="F6" i="43"/>
  <c r="H6" i="43"/>
  <c r="H22" i="43"/>
  <c r="D21" i="43"/>
  <c r="B35" i="43"/>
  <c r="D35" i="43"/>
  <c r="F35" i="43"/>
  <c r="F21" i="43"/>
  <c r="F22" i="43"/>
  <c r="E35" i="43"/>
  <c r="D22" i="43"/>
  <c r="C35" i="43"/>
  <c r="B34" i="43"/>
  <c r="D34" i="43"/>
  <c r="F34" i="43"/>
  <c r="E34" i="43"/>
  <c r="C34" i="43"/>
  <c r="B33" i="43"/>
  <c r="D33" i="43"/>
  <c r="F33" i="43"/>
  <c r="E33" i="43"/>
  <c r="C33" i="43"/>
  <c r="B32" i="43"/>
  <c r="D32" i="43"/>
  <c r="F32" i="43"/>
  <c r="E32" i="43"/>
  <c r="C32" i="43"/>
  <c r="B31" i="43"/>
  <c r="D31" i="43"/>
  <c r="F31" i="43"/>
  <c r="E31" i="43"/>
  <c r="C31" i="43"/>
  <c r="B30" i="43"/>
  <c r="D30" i="43"/>
  <c r="F30" i="43"/>
  <c r="E30" i="43"/>
  <c r="C30" i="43"/>
  <c r="B29" i="43"/>
  <c r="D29" i="43"/>
  <c r="F29" i="43"/>
  <c r="E29" i="43"/>
  <c r="C29" i="43"/>
  <c r="B28" i="43"/>
  <c r="D28" i="43"/>
  <c r="F28" i="43"/>
  <c r="E28" i="43"/>
  <c r="C28" i="43"/>
  <c r="B27" i="43"/>
  <c r="D27" i="43"/>
  <c r="F27" i="43"/>
  <c r="E27" i="43"/>
  <c r="C27" i="43"/>
  <c r="B26" i="43"/>
  <c r="D26" i="43"/>
  <c r="F26" i="43"/>
  <c r="E26" i="43"/>
  <c r="C26" i="43"/>
  <c r="H5" i="43"/>
  <c r="D4" i="43"/>
  <c r="C117" i="45"/>
  <c r="P115" i="45"/>
  <c r="P110" i="45"/>
  <c r="P105" i="45"/>
  <c r="P100" i="45"/>
  <c r="P95" i="45"/>
  <c r="P90" i="45"/>
  <c r="P85" i="45"/>
  <c r="P80" i="45"/>
  <c r="P75" i="45"/>
  <c r="Q115" i="39"/>
  <c r="Q110" i="39"/>
  <c r="Q105" i="39"/>
  <c r="Q100" i="39"/>
  <c r="Q95" i="39"/>
  <c r="Q90" i="39"/>
  <c r="Q85" i="39"/>
  <c r="Q80" i="39"/>
  <c r="Q75" i="39"/>
  <c r="Q115" i="45"/>
  <c r="Q110" i="45"/>
  <c r="Q105" i="45"/>
  <c r="Q100" i="45"/>
  <c r="Q95" i="45"/>
  <c r="Q90" i="45"/>
  <c r="Q85" i="45"/>
  <c r="Q80" i="45"/>
  <c r="Q75" i="45"/>
  <c r="P80" i="39"/>
  <c r="P115" i="39"/>
  <c r="P110" i="39"/>
  <c r="P105" i="39"/>
  <c r="P100" i="39"/>
  <c r="P95" i="39"/>
  <c r="P90" i="39"/>
  <c r="P85" i="39"/>
  <c r="P75" i="39"/>
  <c r="Q77" i="39"/>
  <c r="R75" i="39"/>
  <c r="C114" i="39"/>
  <c r="E114" i="39"/>
  <c r="A115" i="39"/>
  <c r="D115" i="39"/>
  <c r="D114" i="39"/>
  <c r="F114" i="39"/>
  <c r="E115" i="39"/>
  <c r="G114" i="39"/>
  <c r="F115" i="39"/>
  <c r="H114" i="39"/>
  <c r="G115" i="39"/>
  <c r="I114" i="39"/>
  <c r="H115" i="39"/>
  <c r="J114" i="39"/>
  <c r="I115" i="39"/>
  <c r="K114" i="39"/>
  <c r="J115" i="39"/>
  <c r="G69" i="39"/>
  <c r="C69" i="39"/>
  <c r="E69" i="39"/>
  <c r="G70" i="39"/>
  <c r="C70" i="39"/>
  <c r="C117" i="39"/>
  <c r="D117" i="39"/>
  <c r="E117" i="39"/>
  <c r="F117" i="39"/>
  <c r="G117" i="39"/>
  <c r="H117" i="39"/>
  <c r="I117" i="39"/>
  <c r="L114" i="39"/>
  <c r="K115" i="39"/>
  <c r="J117" i="39"/>
  <c r="M114" i="39"/>
  <c r="L115" i="39"/>
  <c r="K117" i="39"/>
  <c r="N114" i="39"/>
  <c r="M115" i="39"/>
  <c r="L117" i="39"/>
  <c r="N115" i="39"/>
  <c r="M117" i="39"/>
  <c r="N117" i="39"/>
  <c r="P117" i="39"/>
  <c r="Q117" i="39"/>
  <c r="R117" i="39"/>
  <c r="R115" i="39"/>
  <c r="C109" i="39"/>
  <c r="E109" i="39"/>
  <c r="A110" i="39"/>
  <c r="D110" i="39"/>
  <c r="D109" i="39"/>
  <c r="F109" i="39"/>
  <c r="E110" i="39"/>
  <c r="G109" i="39"/>
  <c r="F110" i="39"/>
  <c r="H109" i="39"/>
  <c r="G110" i="39"/>
  <c r="I109" i="39"/>
  <c r="H110" i="39"/>
  <c r="J109" i="39"/>
  <c r="I110" i="39"/>
  <c r="K109" i="39"/>
  <c r="J110" i="39"/>
  <c r="C112" i="39"/>
  <c r="D112" i="39"/>
  <c r="E112" i="39"/>
  <c r="F112" i="39"/>
  <c r="G112" i="39"/>
  <c r="H112" i="39"/>
  <c r="I112" i="39"/>
  <c r="L109" i="39"/>
  <c r="K110" i="39"/>
  <c r="J112" i="39"/>
  <c r="M109" i="39"/>
  <c r="L110" i="39"/>
  <c r="K112" i="39"/>
  <c r="N109" i="39"/>
  <c r="M110" i="39"/>
  <c r="L112" i="39"/>
  <c r="N110" i="39"/>
  <c r="M112" i="39"/>
  <c r="N112" i="39"/>
  <c r="P112" i="39"/>
  <c r="Q112" i="39"/>
  <c r="R112" i="39"/>
  <c r="R110" i="39"/>
  <c r="C104" i="39"/>
  <c r="E104" i="39"/>
  <c r="A105" i="39"/>
  <c r="D105" i="39"/>
  <c r="D104" i="39"/>
  <c r="F104" i="39"/>
  <c r="E105" i="39"/>
  <c r="G104" i="39"/>
  <c r="F105" i="39"/>
  <c r="H104" i="39"/>
  <c r="G105" i="39"/>
  <c r="I104" i="39"/>
  <c r="H105" i="39"/>
  <c r="J104" i="39"/>
  <c r="I105" i="39"/>
  <c r="K104" i="39"/>
  <c r="J105" i="39"/>
  <c r="C107" i="39"/>
  <c r="D107" i="39"/>
  <c r="E107" i="39"/>
  <c r="F107" i="39"/>
  <c r="G107" i="39"/>
  <c r="H107" i="39"/>
  <c r="I107" i="39"/>
  <c r="L104" i="39"/>
  <c r="K105" i="39"/>
  <c r="J107" i="39"/>
  <c r="M104" i="39"/>
  <c r="L105" i="39"/>
  <c r="K107" i="39"/>
  <c r="N104" i="39"/>
  <c r="M105" i="39"/>
  <c r="L107" i="39"/>
  <c r="N105" i="39"/>
  <c r="M107" i="39"/>
  <c r="N107" i="39"/>
  <c r="P107" i="39"/>
  <c r="Q107" i="39"/>
  <c r="R107" i="39"/>
  <c r="R105" i="39"/>
  <c r="C99" i="39"/>
  <c r="E99" i="39"/>
  <c r="A100" i="39"/>
  <c r="D100" i="39"/>
  <c r="D99" i="39"/>
  <c r="F99" i="39"/>
  <c r="E100" i="39"/>
  <c r="G99" i="39"/>
  <c r="F100" i="39"/>
  <c r="H99" i="39"/>
  <c r="G100" i="39"/>
  <c r="I99" i="39"/>
  <c r="H100" i="39"/>
  <c r="J99" i="39"/>
  <c r="I100" i="39"/>
  <c r="K99" i="39"/>
  <c r="J100" i="39"/>
  <c r="C102" i="39"/>
  <c r="D102" i="39"/>
  <c r="E102" i="39"/>
  <c r="F102" i="39"/>
  <c r="G102" i="39"/>
  <c r="H102" i="39"/>
  <c r="I102" i="39"/>
  <c r="L99" i="39"/>
  <c r="K100" i="39"/>
  <c r="J102" i="39"/>
  <c r="M99" i="39"/>
  <c r="L100" i="39"/>
  <c r="K102" i="39"/>
  <c r="N99" i="39"/>
  <c r="M100" i="39"/>
  <c r="L102" i="39"/>
  <c r="N100" i="39"/>
  <c r="M102" i="39"/>
  <c r="N102" i="39"/>
  <c r="P102" i="39"/>
  <c r="Q102" i="39"/>
  <c r="R102" i="39"/>
  <c r="R100" i="39"/>
  <c r="C94" i="39"/>
  <c r="E94" i="39"/>
  <c r="A95" i="39"/>
  <c r="D95" i="39"/>
  <c r="D94" i="39"/>
  <c r="F94" i="39"/>
  <c r="E95" i="39"/>
  <c r="G94" i="39"/>
  <c r="F95" i="39"/>
  <c r="H94" i="39"/>
  <c r="G95" i="39"/>
  <c r="I94" i="39"/>
  <c r="H95" i="39"/>
  <c r="J94" i="39"/>
  <c r="I95" i="39"/>
  <c r="K94" i="39"/>
  <c r="J95" i="39"/>
  <c r="C97" i="39"/>
  <c r="D97" i="39"/>
  <c r="E97" i="39"/>
  <c r="F97" i="39"/>
  <c r="G97" i="39"/>
  <c r="H97" i="39"/>
  <c r="I97" i="39"/>
  <c r="L94" i="39"/>
  <c r="K95" i="39"/>
  <c r="J97" i="39"/>
  <c r="M94" i="39"/>
  <c r="L95" i="39"/>
  <c r="K97" i="39"/>
  <c r="N94" i="39"/>
  <c r="M95" i="39"/>
  <c r="L97" i="39"/>
  <c r="N95" i="39"/>
  <c r="M97" i="39"/>
  <c r="N97" i="39"/>
  <c r="P97" i="39"/>
  <c r="Q97" i="39"/>
  <c r="R97" i="39"/>
  <c r="R95" i="39"/>
  <c r="C89" i="39"/>
  <c r="E89" i="39"/>
  <c r="A90" i="39"/>
  <c r="D90" i="39"/>
  <c r="D89" i="39"/>
  <c r="F89" i="39"/>
  <c r="E90" i="39"/>
  <c r="G89" i="39"/>
  <c r="F90" i="39"/>
  <c r="H89" i="39"/>
  <c r="G90" i="39"/>
  <c r="I89" i="39"/>
  <c r="H90" i="39"/>
  <c r="J89" i="39"/>
  <c r="I90" i="39"/>
  <c r="K89" i="39"/>
  <c r="J90" i="39"/>
  <c r="C92" i="39"/>
  <c r="D92" i="39"/>
  <c r="E92" i="39"/>
  <c r="F92" i="39"/>
  <c r="G92" i="39"/>
  <c r="H92" i="39"/>
  <c r="I92" i="39"/>
  <c r="L89" i="39"/>
  <c r="K90" i="39"/>
  <c r="J92" i="39"/>
  <c r="M89" i="39"/>
  <c r="L90" i="39"/>
  <c r="K92" i="39"/>
  <c r="N89" i="39"/>
  <c r="M90" i="39"/>
  <c r="L92" i="39"/>
  <c r="N90" i="39"/>
  <c r="M92" i="39"/>
  <c r="N92" i="39"/>
  <c r="P92" i="39"/>
  <c r="Q92" i="39"/>
  <c r="R92" i="39"/>
  <c r="R90" i="39"/>
  <c r="C84" i="39"/>
  <c r="D84" i="39"/>
  <c r="F84" i="39"/>
  <c r="A85" i="39"/>
  <c r="E85" i="39"/>
  <c r="E84" i="39"/>
  <c r="G84" i="39"/>
  <c r="F85" i="39"/>
  <c r="H84" i="39"/>
  <c r="G85" i="39"/>
  <c r="I84" i="39"/>
  <c r="H85" i="39"/>
  <c r="J84" i="39"/>
  <c r="I85" i="39"/>
  <c r="K84" i="39"/>
  <c r="J85" i="39"/>
  <c r="C87" i="39"/>
  <c r="D87" i="39"/>
  <c r="E87" i="39"/>
  <c r="F87" i="39"/>
  <c r="G87" i="39"/>
  <c r="H87" i="39"/>
  <c r="I87" i="39"/>
  <c r="L84" i="39"/>
  <c r="K85" i="39"/>
  <c r="J87" i="39"/>
  <c r="M84" i="39"/>
  <c r="L85" i="39"/>
  <c r="K87" i="39"/>
  <c r="N84" i="39"/>
  <c r="M85" i="39"/>
  <c r="L87" i="39"/>
  <c r="N85" i="39"/>
  <c r="M87" i="39"/>
  <c r="N87" i="39"/>
  <c r="P87" i="39"/>
  <c r="Q87" i="39"/>
  <c r="R87" i="39"/>
  <c r="R85" i="39"/>
  <c r="C79" i="39"/>
  <c r="D79" i="39"/>
  <c r="F79" i="39"/>
  <c r="A80" i="39"/>
  <c r="E80" i="39"/>
  <c r="E79" i="39"/>
  <c r="G79" i="39"/>
  <c r="F80" i="39"/>
  <c r="H79" i="39"/>
  <c r="G80" i="39"/>
  <c r="I79" i="39"/>
  <c r="H80" i="39"/>
  <c r="J79" i="39"/>
  <c r="I80" i="39"/>
  <c r="K79" i="39"/>
  <c r="J80" i="39"/>
  <c r="C82" i="39"/>
  <c r="D82" i="39"/>
  <c r="E82" i="39"/>
  <c r="F82" i="39"/>
  <c r="G82" i="39"/>
  <c r="H82" i="39"/>
  <c r="I82" i="39"/>
  <c r="L79" i="39"/>
  <c r="K80" i="39"/>
  <c r="J82" i="39"/>
  <c r="M79" i="39"/>
  <c r="L80" i="39"/>
  <c r="K82" i="39"/>
  <c r="N79" i="39"/>
  <c r="M80" i="39"/>
  <c r="L82" i="39"/>
  <c r="N80" i="39"/>
  <c r="M82" i="39"/>
  <c r="N82" i="39"/>
  <c r="P82" i="39"/>
  <c r="Q82" i="39"/>
  <c r="R82" i="39"/>
  <c r="R80" i="39"/>
  <c r="C74" i="39"/>
  <c r="D74" i="39"/>
  <c r="F74" i="39"/>
  <c r="A75" i="39"/>
  <c r="E75" i="39"/>
  <c r="E74" i="39"/>
  <c r="G74" i="39"/>
  <c r="F75" i="39"/>
  <c r="H74" i="39"/>
  <c r="G75" i="39"/>
  <c r="I74" i="39"/>
  <c r="H75" i="39"/>
  <c r="J74" i="39"/>
  <c r="I75" i="39"/>
  <c r="K74" i="39"/>
  <c r="J75" i="39"/>
  <c r="C77" i="39"/>
  <c r="D77" i="39"/>
  <c r="E77" i="39"/>
  <c r="F77" i="39"/>
  <c r="G77" i="39"/>
  <c r="H77" i="39"/>
  <c r="I77" i="39"/>
  <c r="L74" i="39"/>
  <c r="K75" i="39"/>
  <c r="J77" i="39"/>
  <c r="M74" i="39"/>
  <c r="L75" i="39"/>
  <c r="K77" i="39"/>
  <c r="N74" i="39"/>
  <c r="M75" i="39"/>
  <c r="L77" i="39"/>
  <c r="N75" i="39"/>
  <c r="M77" i="39"/>
  <c r="N77" i="39"/>
  <c r="P77" i="39"/>
  <c r="R77" i="39"/>
  <c r="N117" i="45"/>
  <c r="M117" i="45"/>
  <c r="L117" i="45"/>
  <c r="K117" i="45"/>
  <c r="J117" i="45"/>
  <c r="I117" i="45"/>
  <c r="H117" i="45"/>
  <c r="G117" i="45"/>
  <c r="F117" i="45"/>
  <c r="E117" i="45"/>
  <c r="D117" i="45"/>
  <c r="N112" i="45"/>
  <c r="M112" i="45"/>
  <c r="L112" i="45"/>
  <c r="K112" i="45"/>
  <c r="J112" i="45"/>
  <c r="I112" i="45"/>
  <c r="H112" i="45"/>
  <c r="G112" i="45"/>
  <c r="F112" i="45"/>
  <c r="E112" i="45"/>
  <c r="D112" i="45"/>
  <c r="C112" i="45"/>
  <c r="N107" i="45"/>
  <c r="M107" i="45"/>
  <c r="L107" i="45"/>
  <c r="K107" i="45"/>
  <c r="J107" i="45"/>
  <c r="I107" i="45"/>
  <c r="H107" i="45"/>
  <c r="G107" i="45"/>
  <c r="F107" i="45"/>
  <c r="E107" i="45"/>
  <c r="D107" i="45"/>
  <c r="C107" i="45"/>
  <c r="N102" i="45"/>
  <c r="M102" i="45"/>
  <c r="L102" i="45"/>
  <c r="K102" i="45"/>
  <c r="J102" i="45"/>
  <c r="I102" i="45"/>
  <c r="H102" i="45"/>
  <c r="G102" i="45"/>
  <c r="F102" i="45"/>
  <c r="E102" i="45"/>
  <c r="D102" i="45"/>
  <c r="C102" i="45"/>
  <c r="N97" i="45"/>
  <c r="M97" i="45"/>
  <c r="L97" i="45"/>
  <c r="K97" i="45"/>
  <c r="J97" i="45"/>
  <c r="I97" i="45"/>
  <c r="H97" i="45"/>
  <c r="G97" i="45"/>
  <c r="F97" i="45"/>
  <c r="E97" i="45"/>
  <c r="D97" i="45"/>
  <c r="C97" i="45"/>
  <c r="N92" i="45"/>
  <c r="M92" i="45"/>
  <c r="L92" i="45"/>
  <c r="K92" i="45"/>
  <c r="J92" i="45"/>
  <c r="I92" i="45"/>
  <c r="H92" i="45"/>
  <c r="G92" i="45"/>
  <c r="F92" i="45"/>
  <c r="E92" i="45"/>
  <c r="D92" i="45"/>
  <c r="C92" i="45"/>
  <c r="N87" i="45"/>
  <c r="M87" i="45"/>
  <c r="L87" i="45"/>
  <c r="K87" i="45"/>
  <c r="J87" i="45"/>
  <c r="I87" i="45"/>
  <c r="H87" i="45"/>
  <c r="G87" i="45"/>
  <c r="F87" i="45"/>
  <c r="E87" i="45"/>
  <c r="D87" i="45"/>
  <c r="C87" i="45"/>
  <c r="N82" i="45"/>
  <c r="M82" i="45"/>
  <c r="L82" i="45"/>
  <c r="K82" i="45"/>
  <c r="J82" i="45"/>
  <c r="I82" i="45"/>
  <c r="H82" i="45"/>
  <c r="G82" i="45"/>
  <c r="F82" i="45"/>
  <c r="E82" i="45"/>
  <c r="D82" i="45"/>
  <c r="C82" i="45"/>
  <c r="N77" i="45"/>
  <c r="M77" i="45"/>
  <c r="L77" i="45"/>
  <c r="K77" i="45"/>
  <c r="J77" i="45"/>
  <c r="I77" i="45"/>
  <c r="H77" i="45"/>
  <c r="G77" i="45"/>
  <c r="F77" i="45"/>
  <c r="E77" i="45"/>
  <c r="D77" i="45"/>
  <c r="C77" i="45"/>
  <c r="N115" i="45"/>
  <c r="E115" i="45"/>
  <c r="F115" i="45"/>
  <c r="G115" i="45"/>
  <c r="H115" i="45"/>
  <c r="I115" i="45"/>
  <c r="J115" i="45"/>
  <c r="K115" i="45"/>
  <c r="L115" i="45"/>
  <c r="M115" i="45"/>
  <c r="N110" i="45"/>
  <c r="M110" i="45"/>
  <c r="E110" i="45"/>
  <c r="F110" i="45"/>
  <c r="G110" i="45"/>
  <c r="H110" i="45"/>
  <c r="I110" i="45"/>
  <c r="J110" i="45"/>
  <c r="K110" i="45"/>
  <c r="L110" i="45"/>
  <c r="N105" i="45"/>
  <c r="M105" i="45"/>
  <c r="L105" i="45"/>
  <c r="E105" i="45"/>
  <c r="F105" i="45"/>
  <c r="G105" i="45"/>
  <c r="H105" i="45"/>
  <c r="I105" i="45"/>
  <c r="J105" i="45"/>
  <c r="K105" i="45"/>
  <c r="N100" i="45"/>
  <c r="M100" i="45"/>
  <c r="L100" i="45"/>
  <c r="K100" i="45"/>
  <c r="E100" i="45"/>
  <c r="F100" i="45"/>
  <c r="G100" i="45"/>
  <c r="H100" i="45"/>
  <c r="I100" i="45"/>
  <c r="J100" i="45"/>
  <c r="N95" i="45"/>
  <c r="M95" i="45"/>
  <c r="L95" i="45"/>
  <c r="K95" i="45"/>
  <c r="J95" i="45"/>
  <c r="E95" i="45"/>
  <c r="F95" i="45"/>
  <c r="G95" i="45"/>
  <c r="H95" i="45"/>
  <c r="I95" i="45"/>
  <c r="N90" i="45"/>
  <c r="M90" i="45"/>
  <c r="L90" i="45"/>
  <c r="K90" i="45"/>
  <c r="J90" i="45"/>
  <c r="I90" i="45"/>
  <c r="E90" i="45"/>
  <c r="F90" i="45"/>
  <c r="G90" i="45"/>
  <c r="H90" i="45"/>
  <c r="N85" i="45"/>
  <c r="M85" i="45"/>
  <c r="L85" i="45"/>
  <c r="K85" i="45"/>
  <c r="J85" i="45"/>
  <c r="I85" i="45"/>
  <c r="H85" i="45"/>
  <c r="E85" i="45"/>
  <c r="F85" i="45"/>
  <c r="G85" i="45"/>
  <c r="N80" i="45"/>
  <c r="M80" i="45"/>
  <c r="L80" i="45"/>
  <c r="K80" i="45"/>
  <c r="J80" i="45"/>
  <c r="I80" i="45"/>
  <c r="H80" i="45"/>
  <c r="G80" i="45"/>
  <c r="E80" i="45"/>
  <c r="F80" i="45"/>
  <c r="F75" i="45"/>
  <c r="G75" i="45"/>
  <c r="H75" i="45"/>
  <c r="I75" i="45"/>
  <c r="J75" i="45"/>
  <c r="K75" i="45"/>
  <c r="L75" i="45"/>
  <c r="M75" i="45"/>
  <c r="N75" i="45"/>
  <c r="E75" i="45"/>
  <c r="P77" i="45"/>
  <c r="Q77" i="45"/>
  <c r="R77" i="45"/>
  <c r="A75" i="45"/>
  <c r="A115" i="45"/>
  <c r="D115" i="45"/>
  <c r="A110" i="45"/>
  <c r="D110" i="45"/>
  <c r="A105" i="45"/>
  <c r="D105" i="45"/>
  <c r="A100" i="45"/>
  <c r="D100" i="45"/>
  <c r="A95" i="45"/>
  <c r="D95" i="45"/>
  <c r="A90" i="45"/>
  <c r="D90" i="45"/>
  <c r="A85" i="45"/>
  <c r="A80" i="45"/>
  <c r="C69" i="45"/>
  <c r="C114" i="45"/>
  <c r="D114" i="45"/>
  <c r="F114" i="45"/>
  <c r="E114" i="45"/>
  <c r="G114" i="45"/>
  <c r="H114" i="45"/>
  <c r="I114" i="45"/>
  <c r="N89" i="45"/>
  <c r="L17" i="45"/>
  <c r="H27" i="45"/>
  <c r="J114" i="45"/>
  <c r="K114" i="45"/>
  <c r="M89" i="45"/>
  <c r="L18" i="45"/>
  <c r="H17" i="45"/>
  <c r="J27" i="45"/>
  <c r="P117" i="45"/>
  <c r="Q117" i="45"/>
  <c r="R117" i="45"/>
  <c r="N114" i="45"/>
  <c r="M114" i="45"/>
  <c r="K27" i="45"/>
  <c r="L27" i="45"/>
  <c r="L114" i="45"/>
  <c r="R115" i="45"/>
  <c r="C109" i="45"/>
  <c r="D109" i="45"/>
  <c r="F109" i="45"/>
  <c r="E109" i="45"/>
  <c r="G109" i="45"/>
  <c r="H109" i="45"/>
  <c r="I109" i="45"/>
  <c r="J109" i="45"/>
  <c r="K109" i="45"/>
  <c r="P112" i="45"/>
  <c r="Q112" i="45"/>
  <c r="R112" i="45"/>
  <c r="N109" i="45"/>
  <c r="M109" i="45"/>
  <c r="L109" i="45"/>
  <c r="R110" i="45"/>
  <c r="C104" i="45"/>
  <c r="D104" i="45"/>
  <c r="F104" i="45"/>
  <c r="E104" i="45"/>
  <c r="G104" i="45"/>
  <c r="H104" i="45"/>
  <c r="I104" i="45"/>
  <c r="J104" i="45"/>
  <c r="K104" i="45"/>
  <c r="P107" i="45"/>
  <c r="Q107" i="45"/>
  <c r="R107" i="45"/>
  <c r="N104" i="45"/>
  <c r="M104" i="45"/>
  <c r="L104" i="45"/>
  <c r="R105" i="45"/>
  <c r="C99" i="45"/>
  <c r="D99" i="45"/>
  <c r="F99" i="45"/>
  <c r="E99" i="45"/>
  <c r="G99" i="45"/>
  <c r="H99" i="45"/>
  <c r="I99" i="45"/>
  <c r="J99" i="45"/>
  <c r="K99" i="45"/>
  <c r="P102" i="45"/>
  <c r="Q102" i="45"/>
  <c r="R102" i="45"/>
  <c r="N99" i="45"/>
  <c r="M99" i="45"/>
  <c r="L99" i="45"/>
  <c r="R100" i="45"/>
  <c r="C94" i="45"/>
  <c r="D94" i="45"/>
  <c r="F94" i="45"/>
  <c r="E94" i="45"/>
  <c r="G94" i="45"/>
  <c r="H94" i="45"/>
  <c r="I94" i="45"/>
  <c r="J94" i="45"/>
  <c r="K94" i="45"/>
  <c r="P97" i="45"/>
  <c r="Q97" i="45"/>
  <c r="R97" i="45"/>
  <c r="N94" i="45"/>
  <c r="M94" i="45"/>
  <c r="L94" i="45"/>
  <c r="R95" i="45"/>
  <c r="C89" i="45"/>
  <c r="D89" i="45"/>
  <c r="F89" i="45"/>
  <c r="E89" i="45"/>
  <c r="G89" i="45"/>
  <c r="H89" i="45"/>
  <c r="I89" i="45"/>
  <c r="J89" i="45"/>
  <c r="K89" i="45"/>
  <c r="P92" i="45"/>
  <c r="Q92" i="45"/>
  <c r="R92" i="45"/>
  <c r="L89" i="45"/>
  <c r="R90" i="45"/>
  <c r="C84" i="45"/>
  <c r="D84" i="45"/>
  <c r="F84" i="45"/>
  <c r="E84" i="45"/>
  <c r="G84" i="45"/>
  <c r="H84" i="45"/>
  <c r="I84" i="45"/>
  <c r="J84" i="45"/>
  <c r="K84" i="45"/>
  <c r="P87" i="45"/>
  <c r="Q87" i="45"/>
  <c r="R87" i="45"/>
  <c r="N84" i="45"/>
  <c r="M84" i="45"/>
  <c r="L84" i="45"/>
  <c r="R85" i="45"/>
  <c r="C79" i="45"/>
  <c r="D79" i="45"/>
  <c r="F79" i="45"/>
  <c r="E79" i="45"/>
  <c r="G79" i="45"/>
  <c r="H79" i="45"/>
  <c r="I79" i="45"/>
  <c r="J79" i="45"/>
  <c r="K79" i="45"/>
  <c r="P82" i="45"/>
  <c r="Q82" i="45"/>
  <c r="R82" i="45"/>
  <c r="N79" i="45"/>
  <c r="M79" i="45"/>
  <c r="L79" i="45"/>
  <c r="R80" i="45"/>
  <c r="C74" i="45"/>
  <c r="D74" i="45"/>
  <c r="F74" i="45"/>
  <c r="E74" i="45"/>
  <c r="G74" i="45"/>
  <c r="H74" i="45"/>
  <c r="I74" i="45"/>
  <c r="J74" i="45"/>
  <c r="K74" i="45"/>
  <c r="N74" i="45"/>
  <c r="M74" i="45"/>
  <c r="L74" i="45"/>
  <c r="R75" i="45"/>
  <c r="G70" i="45"/>
  <c r="C70" i="45"/>
  <c r="G69" i="45"/>
  <c r="E69" i="45"/>
  <c r="E47" i="45"/>
  <c r="B52" i="45"/>
  <c r="C47" i="45"/>
  <c r="B51" i="45"/>
  <c r="C59" i="45"/>
  <c r="C51" i="45"/>
  <c r="C52" i="45"/>
  <c r="C60" i="45"/>
  <c r="D51" i="45"/>
  <c r="D52" i="45"/>
  <c r="C61" i="45"/>
  <c r="E51" i="45"/>
  <c r="E52" i="45"/>
  <c r="C62" i="45"/>
  <c r="F51" i="45"/>
  <c r="F52" i="45"/>
  <c r="C63" i="45"/>
  <c r="B63" i="45"/>
  <c r="B56" i="45"/>
  <c r="C56" i="45"/>
  <c r="D56" i="45"/>
  <c r="E56" i="45"/>
  <c r="D63" i="45"/>
  <c r="E63" i="45"/>
  <c r="F63" i="45"/>
  <c r="G63" i="45"/>
  <c r="H63" i="45"/>
  <c r="I63" i="45"/>
  <c r="J47" i="45"/>
  <c r="L47" i="45"/>
  <c r="B62" i="45"/>
  <c r="D62" i="45"/>
  <c r="E62" i="45"/>
  <c r="F62" i="45"/>
  <c r="G62" i="45"/>
  <c r="H62" i="45"/>
  <c r="B61" i="45"/>
  <c r="D61" i="45"/>
  <c r="E61" i="45"/>
  <c r="F61" i="45"/>
  <c r="G61" i="45"/>
  <c r="B60" i="45"/>
  <c r="D60" i="45"/>
  <c r="E60" i="45"/>
  <c r="F60" i="45"/>
  <c r="B59" i="45"/>
  <c r="D59" i="45"/>
  <c r="E59" i="45"/>
  <c r="G51" i="45"/>
  <c r="G52" i="45"/>
  <c r="C64" i="45"/>
  <c r="H51" i="45"/>
  <c r="I51" i="45"/>
  <c r="H52" i="45"/>
  <c r="I52" i="45"/>
  <c r="C65" i="45"/>
  <c r="J51" i="45"/>
  <c r="J52" i="45"/>
  <c r="C66" i="45"/>
  <c r="K51" i="45"/>
  <c r="K52" i="45"/>
  <c r="C67" i="45"/>
  <c r="B67" i="45"/>
  <c r="F56" i="45"/>
  <c r="G56" i="45"/>
  <c r="H56" i="45"/>
  <c r="I56" i="45"/>
  <c r="D67" i="45"/>
  <c r="E67" i="45"/>
  <c r="F67" i="45"/>
  <c r="G67" i="45"/>
  <c r="H67" i="45"/>
  <c r="I67" i="45"/>
  <c r="J67" i="45"/>
  <c r="K67" i="45"/>
  <c r="L67" i="45"/>
  <c r="R67" i="45"/>
  <c r="M67" i="45"/>
  <c r="S67" i="45"/>
  <c r="Q67" i="45"/>
  <c r="P67" i="45"/>
  <c r="B66" i="45"/>
  <c r="D66" i="45"/>
  <c r="E66" i="45"/>
  <c r="F66" i="45"/>
  <c r="G66" i="45"/>
  <c r="H66" i="45"/>
  <c r="I66" i="45"/>
  <c r="J66" i="45"/>
  <c r="K66" i="45"/>
  <c r="R66" i="45"/>
  <c r="L66" i="45"/>
  <c r="S66" i="45"/>
  <c r="Q66" i="45"/>
  <c r="P66" i="45"/>
  <c r="B65" i="45"/>
  <c r="D65" i="45"/>
  <c r="E65" i="45"/>
  <c r="F65" i="45"/>
  <c r="G65" i="45"/>
  <c r="H65" i="45"/>
  <c r="I65" i="45"/>
  <c r="J65" i="45"/>
  <c r="R65" i="45"/>
  <c r="K65" i="45"/>
  <c r="S65" i="45"/>
  <c r="Q65" i="45"/>
  <c r="P65" i="45"/>
  <c r="B64" i="45"/>
  <c r="D64" i="45"/>
  <c r="E64" i="45"/>
  <c r="F64" i="45"/>
  <c r="G64" i="45"/>
  <c r="H64" i="45"/>
  <c r="I64" i="45"/>
  <c r="R64" i="45"/>
  <c r="J64" i="45"/>
  <c r="S64" i="45"/>
  <c r="Q64" i="45"/>
  <c r="P64" i="45"/>
  <c r="R63" i="45"/>
  <c r="S63" i="45"/>
  <c r="Q63" i="45"/>
  <c r="P63" i="45"/>
  <c r="R62" i="45"/>
  <c r="S62" i="45"/>
  <c r="Q62" i="45"/>
  <c r="P62" i="45"/>
  <c r="R61" i="45"/>
  <c r="S61" i="45"/>
  <c r="Q61" i="45"/>
  <c r="P61" i="45"/>
  <c r="R60" i="45"/>
  <c r="S60" i="45"/>
  <c r="Q60" i="45"/>
  <c r="P60" i="45"/>
  <c r="R59" i="45"/>
  <c r="S59" i="45"/>
  <c r="Q59" i="45"/>
  <c r="P59" i="45"/>
  <c r="B58" i="45"/>
  <c r="R58" i="45"/>
  <c r="D58" i="45"/>
  <c r="S58" i="45"/>
  <c r="Q58" i="45"/>
  <c r="P58" i="45"/>
  <c r="J56" i="45"/>
  <c r="B54" i="45"/>
  <c r="C54" i="45"/>
  <c r="D54" i="45"/>
  <c r="E54" i="45"/>
  <c r="F54" i="45"/>
  <c r="G54" i="45"/>
  <c r="H54" i="45"/>
  <c r="I54" i="45"/>
  <c r="J54" i="45"/>
  <c r="B45" i="45"/>
  <c r="C45" i="45"/>
  <c r="D45" i="45"/>
  <c r="E45" i="45"/>
  <c r="F45" i="45"/>
  <c r="G45" i="45"/>
  <c r="D18" i="45"/>
  <c r="D33" i="45"/>
  <c r="H45" i="45"/>
  <c r="L33" i="45"/>
  <c r="L32" i="45"/>
  <c r="H32" i="45"/>
  <c r="K45" i="45"/>
  <c r="L45" i="45"/>
  <c r="I45" i="45"/>
  <c r="J45" i="45"/>
  <c r="B44" i="45"/>
  <c r="C44" i="45"/>
  <c r="D44" i="45"/>
  <c r="E44" i="45"/>
  <c r="F44" i="45"/>
  <c r="G44" i="45"/>
  <c r="H44" i="45"/>
  <c r="K44" i="45"/>
  <c r="L44" i="45"/>
  <c r="I44" i="45"/>
  <c r="J44" i="45"/>
  <c r="B43" i="45"/>
  <c r="C43" i="45"/>
  <c r="D43" i="45"/>
  <c r="E43" i="45"/>
  <c r="F43" i="45"/>
  <c r="G43" i="45"/>
  <c r="H43" i="45"/>
  <c r="K43" i="45"/>
  <c r="L43" i="45"/>
  <c r="I43" i="45"/>
  <c r="J43" i="45"/>
  <c r="B42" i="45"/>
  <c r="C42" i="45"/>
  <c r="D42" i="45"/>
  <c r="E42" i="45"/>
  <c r="F42" i="45"/>
  <c r="G42" i="45"/>
  <c r="H42" i="45"/>
  <c r="K42" i="45"/>
  <c r="L42" i="45"/>
  <c r="I42" i="45"/>
  <c r="J42" i="45"/>
  <c r="B41" i="45"/>
  <c r="C41" i="45"/>
  <c r="D41" i="45"/>
  <c r="E41" i="45"/>
  <c r="F41" i="45"/>
  <c r="G41" i="45"/>
  <c r="H41" i="45"/>
  <c r="K41" i="45"/>
  <c r="L41" i="45"/>
  <c r="I41" i="45"/>
  <c r="J41" i="45"/>
  <c r="B40" i="45"/>
  <c r="C40" i="45"/>
  <c r="D40" i="45"/>
  <c r="E40" i="45"/>
  <c r="F40" i="45"/>
  <c r="G40" i="45"/>
  <c r="H40" i="45"/>
  <c r="K40" i="45"/>
  <c r="L40" i="45"/>
  <c r="I40" i="45"/>
  <c r="J40" i="45"/>
  <c r="B39" i="45"/>
  <c r="C39" i="45"/>
  <c r="D39" i="45"/>
  <c r="E39" i="45"/>
  <c r="F39" i="45"/>
  <c r="G39" i="45"/>
  <c r="H39" i="45"/>
  <c r="K39" i="45"/>
  <c r="L39" i="45"/>
  <c r="I39" i="45"/>
  <c r="J39" i="45"/>
  <c r="B38" i="45"/>
  <c r="C38" i="45"/>
  <c r="D38" i="45"/>
  <c r="E38" i="45"/>
  <c r="F38" i="45"/>
  <c r="G38" i="45"/>
  <c r="H38" i="45"/>
  <c r="K38" i="45"/>
  <c r="L38" i="45"/>
  <c r="I38" i="45"/>
  <c r="J38" i="45"/>
  <c r="B37" i="45"/>
  <c r="C37" i="45"/>
  <c r="D37" i="45"/>
  <c r="E37" i="45"/>
  <c r="F37" i="45"/>
  <c r="G37" i="45"/>
  <c r="H37" i="45"/>
  <c r="K37" i="45"/>
  <c r="L37" i="45"/>
  <c r="I37" i="45"/>
  <c r="J37" i="45"/>
  <c r="B36" i="45"/>
  <c r="C36" i="45"/>
  <c r="D36" i="45"/>
  <c r="E36" i="45"/>
  <c r="F36" i="45"/>
  <c r="G36" i="45"/>
  <c r="H36" i="45"/>
  <c r="K36" i="45"/>
  <c r="L36" i="45"/>
  <c r="I36" i="45"/>
  <c r="J36" i="45"/>
  <c r="B18" i="45"/>
  <c r="B33" i="45"/>
  <c r="J2" i="45"/>
  <c r="J17" i="45"/>
  <c r="J32" i="45"/>
  <c r="F2" i="45"/>
  <c r="F17" i="45"/>
  <c r="F32" i="45"/>
  <c r="D2" i="45"/>
  <c r="D17" i="45"/>
  <c r="D32" i="45"/>
  <c r="B30" i="45"/>
  <c r="C30" i="45"/>
  <c r="D30" i="45"/>
  <c r="E30" i="45"/>
  <c r="F30" i="45"/>
  <c r="G30" i="45"/>
  <c r="K30" i="45"/>
  <c r="L30" i="45"/>
  <c r="H30" i="45"/>
  <c r="J30" i="45"/>
  <c r="B29" i="45"/>
  <c r="C29" i="45"/>
  <c r="D29" i="45"/>
  <c r="E29" i="45"/>
  <c r="F29" i="45"/>
  <c r="G29" i="45"/>
  <c r="K29" i="45"/>
  <c r="L29" i="45"/>
  <c r="H29" i="45"/>
  <c r="J29" i="45"/>
  <c r="B28" i="45"/>
  <c r="C28" i="45"/>
  <c r="D28" i="45"/>
  <c r="E28" i="45"/>
  <c r="F28" i="45"/>
  <c r="G28" i="45"/>
  <c r="K28" i="45"/>
  <c r="L28" i="45"/>
  <c r="H28" i="45"/>
  <c r="J28" i="45"/>
  <c r="B27" i="45"/>
  <c r="C27" i="45"/>
  <c r="D27" i="45"/>
  <c r="E27" i="45"/>
  <c r="F27" i="45"/>
  <c r="G27" i="45"/>
  <c r="B26" i="45"/>
  <c r="C26" i="45"/>
  <c r="D26" i="45"/>
  <c r="E26" i="45"/>
  <c r="F26" i="45"/>
  <c r="G26" i="45"/>
  <c r="K26" i="45"/>
  <c r="L26" i="45"/>
  <c r="H26" i="45"/>
  <c r="J26" i="45"/>
  <c r="B25" i="45"/>
  <c r="C25" i="45"/>
  <c r="D25" i="45"/>
  <c r="E25" i="45"/>
  <c r="F25" i="45"/>
  <c r="G25" i="45"/>
  <c r="K25" i="45"/>
  <c r="L25" i="45"/>
  <c r="H25" i="45"/>
  <c r="J25" i="45"/>
  <c r="B24" i="45"/>
  <c r="C24" i="45"/>
  <c r="D24" i="45"/>
  <c r="E24" i="45"/>
  <c r="F24" i="45"/>
  <c r="G24" i="45"/>
  <c r="K24" i="45"/>
  <c r="L24" i="45"/>
  <c r="H24" i="45"/>
  <c r="J24" i="45"/>
  <c r="B23" i="45"/>
  <c r="C23" i="45"/>
  <c r="D23" i="45"/>
  <c r="E23" i="45"/>
  <c r="F23" i="45"/>
  <c r="G23" i="45"/>
  <c r="K23" i="45"/>
  <c r="L23" i="45"/>
  <c r="H23" i="45"/>
  <c r="J23" i="45"/>
  <c r="B22" i="45"/>
  <c r="C22" i="45"/>
  <c r="D22" i="45"/>
  <c r="E22" i="45"/>
  <c r="F22" i="45"/>
  <c r="G22" i="45"/>
  <c r="K22" i="45"/>
  <c r="L22" i="45"/>
  <c r="H22" i="45"/>
  <c r="J22" i="45"/>
  <c r="B21" i="45"/>
  <c r="C21" i="45"/>
  <c r="D21" i="45"/>
  <c r="E21" i="45"/>
  <c r="F21" i="45"/>
  <c r="G21" i="45"/>
  <c r="K21" i="45"/>
  <c r="L21" i="45"/>
  <c r="H21" i="45"/>
  <c r="J21" i="45"/>
  <c r="B15" i="45"/>
  <c r="C15" i="45"/>
  <c r="D15" i="45"/>
  <c r="L3" i="45"/>
  <c r="L2" i="45"/>
  <c r="H2" i="45"/>
  <c r="K15" i="45"/>
  <c r="L15" i="45"/>
  <c r="E15" i="45"/>
  <c r="J15" i="45"/>
  <c r="B14" i="45"/>
  <c r="C14" i="45"/>
  <c r="D14" i="45"/>
  <c r="K14" i="45"/>
  <c r="L14" i="45"/>
  <c r="E14" i="45"/>
  <c r="J14" i="45"/>
  <c r="B13" i="45"/>
  <c r="C13" i="45"/>
  <c r="D13" i="45"/>
  <c r="K13" i="45"/>
  <c r="L13" i="45"/>
  <c r="E13" i="45"/>
  <c r="J13" i="45"/>
  <c r="B12" i="45"/>
  <c r="C12" i="45"/>
  <c r="D12" i="45"/>
  <c r="K12" i="45"/>
  <c r="L12" i="45"/>
  <c r="E12" i="45"/>
  <c r="J12" i="45"/>
  <c r="B11" i="45"/>
  <c r="C11" i="45"/>
  <c r="D11" i="45"/>
  <c r="K11" i="45"/>
  <c r="L11" i="45"/>
  <c r="E11" i="45"/>
  <c r="J11" i="45"/>
  <c r="B10" i="45"/>
  <c r="C10" i="45"/>
  <c r="D10" i="45"/>
  <c r="K10" i="45"/>
  <c r="L10" i="45"/>
  <c r="E10" i="45"/>
  <c r="J10" i="45"/>
  <c r="B9" i="45"/>
  <c r="C9" i="45"/>
  <c r="D9" i="45"/>
  <c r="K9" i="45"/>
  <c r="L9" i="45"/>
  <c r="E9" i="45"/>
  <c r="J9" i="45"/>
  <c r="B8" i="45"/>
  <c r="C8" i="45"/>
  <c r="D8" i="45"/>
  <c r="K8" i="45"/>
  <c r="L8" i="45"/>
  <c r="E8" i="45"/>
  <c r="J8" i="45"/>
  <c r="B7" i="45"/>
  <c r="C7" i="45"/>
  <c r="D7" i="45"/>
  <c r="K7" i="45"/>
  <c r="L7" i="45"/>
  <c r="E7" i="45"/>
  <c r="J7" i="45"/>
  <c r="B6" i="45"/>
  <c r="C6" i="45"/>
  <c r="D6" i="45"/>
  <c r="K6" i="45"/>
  <c r="L6" i="45"/>
  <c r="E6" i="45"/>
  <c r="J6" i="45"/>
  <c r="L33" i="39"/>
  <c r="L32" i="39"/>
  <c r="I36" i="39"/>
  <c r="R70" i="44"/>
  <c r="R65" i="44"/>
  <c r="R60" i="44"/>
  <c r="R55" i="44"/>
  <c r="R50" i="44"/>
  <c r="R45" i="44"/>
  <c r="R40" i="44"/>
  <c r="R35" i="44"/>
  <c r="R30" i="44"/>
  <c r="C18" i="43"/>
  <c r="E18" i="43"/>
  <c r="G18" i="43"/>
  <c r="F4" i="43"/>
  <c r="F5" i="43"/>
  <c r="F18" i="43"/>
  <c r="D5" i="43"/>
  <c r="D18" i="43"/>
  <c r="C17" i="43"/>
  <c r="E17" i="43"/>
  <c r="G17" i="43"/>
  <c r="F17" i="43"/>
  <c r="D17" i="43"/>
  <c r="C16" i="43"/>
  <c r="E16" i="43"/>
  <c r="G16" i="43"/>
  <c r="F16" i="43"/>
  <c r="D16" i="43"/>
  <c r="C15" i="43"/>
  <c r="E15" i="43"/>
  <c r="G15" i="43"/>
  <c r="F15" i="43"/>
  <c r="D15" i="43"/>
  <c r="C14" i="43"/>
  <c r="E14" i="43"/>
  <c r="G14" i="43"/>
  <c r="F14" i="43"/>
  <c r="D14" i="43"/>
  <c r="C13" i="43"/>
  <c r="E13" i="43"/>
  <c r="G13" i="43"/>
  <c r="F13" i="43"/>
  <c r="D13" i="43"/>
  <c r="C12" i="43"/>
  <c r="E12" i="43"/>
  <c r="G12" i="43"/>
  <c r="F12" i="43"/>
  <c r="D12" i="43"/>
  <c r="C11" i="43"/>
  <c r="E11" i="43"/>
  <c r="G11" i="43"/>
  <c r="F11" i="43"/>
  <c r="D11" i="43"/>
  <c r="C10" i="43"/>
  <c r="E10" i="43"/>
  <c r="G10" i="43"/>
  <c r="F10" i="43"/>
  <c r="D10" i="43"/>
  <c r="C9" i="43"/>
  <c r="E9" i="43"/>
  <c r="G9" i="43"/>
  <c r="F9" i="43"/>
  <c r="D9" i="43"/>
  <c r="A70" i="44"/>
  <c r="A65" i="44"/>
  <c r="A60" i="44"/>
  <c r="A55" i="44"/>
  <c r="A50" i="44"/>
  <c r="A45" i="44"/>
  <c r="A40" i="44"/>
  <c r="A35" i="44"/>
  <c r="A30" i="44"/>
  <c r="E2" i="44"/>
  <c r="C2" i="44"/>
  <c r="G25" i="44"/>
  <c r="G24" i="44"/>
  <c r="C24" i="44"/>
  <c r="B6" i="44"/>
  <c r="B7" i="44"/>
  <c r="C14" i="44"/>
  <c r="D29" i="44"/>
  <c r="C25" i="44"/>
  <c r="C32" i="44"/>
  <c r="B14" i="44"/>
  <c r="D14" i="44"/>
  <c r="R14" i="44"/>
  <c r="E14" i="44"/>
  <c r="S14" i="44"/>
  <c r="C6" i="44"/>
  <c r="C7" i="44"/>
  <c r="C15" i="44"/>
  <c r="D6" i="44"/>
  <c r="D7" i="44"/>
  <c r="C16" i="44"/>
  <c r="E6" i="44"/>
  <c r="E7" i="44"/>
  <c r="C17" i="44"/>
  <c r="F6" i="44"/>
  <c r="F7" i="44"/>
  <c r="C18" i="44"/>
  <c r="G6" i="44"/>
  <c r="G7" i="44"/>
  <c r="C19" i="44"/>
  <c r="H6" i="44"/>
  <c r="I6" i="44"/>
  <c r="H7" i="44"/>
  <c r="I7" i="44"/>
  <c r="C20" i="44"/>
  <c r="J6" i="44"/>
  <c r="J7" i="44"/>
  <c r="C21" i="44"/>
  <c r="K6" i="44"/>
  <c r="K7" i="44"/>
  <c r="C22" i="44"/>
  <c r="B22" i="44"/>
  <c r="C69" i="44"/>
  <c r="D69" i="44"/>
  <c r="B11" i="44"/>
  <c r="C11" i="44"/>
  <c r="D11" i="44"/>
  <c r="E11" i="44"/>
  <c r="F11" i="44"/>
  <c r="G11" i="44"/>
  <c r="H11" i="44"/>
  <c r="I11" i="44"/>
  <c r="D22" i="44"/>
  <c r="E22" i="44"/>
  <c r="F69" i="44"/>
  <c r="E70" i="44"/>
  <c r="E69" i="44"/>
  <c r="F22" i="44"/>
  <c r="G69" i="44"/>
  <c r="F70" i="44"/>
  <c r="G22" i="44"/>
  <c r="H69" i="44"/>
  <c r="G70" i="44"/>
  <c r="H22" i="44"/>
  <c r="I69" i="44"/>
  <c r="H70" i="44"/>
  <c r="I22" i="44"/>
  <c r="J69" i="44"/>
  <c r="I70" i="44"/>
  <c r="J22" i="44"/>
  <c r="K69" i="44"/>
  <c r="J70" i="44"/>
  <c r="Q70" i="44"/>
  <c r="L2" i="44"/>
  <c r="E24" i="44"/>
  <c r="C72" i="44"/>
  <c r="D72" i="44"/>
  <c r="E72" i="44"/>
  <c r="F72" i="44"/>
  <c r="G72" i="44"/>
  <c r="H72" i="44"/>
  <c r="I72" i="44"/>
  <c r="K22" i="44"/>
  <c r="L69" i="44"/>
  <c r="K70" i="44"/>
  <c r="J72" i="44"/>
  <c r="L22" i="44"/>
  <c r="M69" i="44"/>
  <c r="L70" i="44"/>
  <c r="K72" i="44"/>
  <c r="M22" i="44"/>
  <c r="N69" i="44"/>
  <c r="M70" i="44"/>
  <c r="L72" i="44"/>
  <c r="N70" i="44"/>
  <c r="M72" i="44"/>
  <c r="N72" i="44"/>
  <c r="P72" i="44"/>
  <c r="Q72" i="44"/>
  <c r="R72" i="44"/>
  <c r="P70" i="44"/>
  <c r="B21" i="44"/>
  <c r="C64" i="44"/>
  <c r="D64" i="44"/>
  <c r="D21" i="44"/>
  <c r="E21" i="44"/>
  <c r="F64" i="44"/>
  <c r="E65" i="44"/>
  <c r="E64" i="44"/>
  <c r="F21" i="44"/>
  <c r="G64" i="44"/>
  <c r="F65" i="44"/>
  <c r="G21" i="44"/>
  <c r="H64" i="44"/>
  <c r="G65" i="44"/>
  <c r="H21" i="44"/>
  <c r="I64" i="44"/>
  <c r="H65" i="44"/>
  <c r="I21" i="44"/>
  <c r="J64" i="44"/>
  <c r="I65" i="44"/>
  <c r="J21" i="44"/>
  <c r="K64" i="44"/>
  <c r="J65" i="44"/>
  <c r="Q65" i="44"/>
  <c r="C67" i="44"/>
  <c r="D67" i="44"/>
  <c r="E67" i="44"/>
  <c r="F67" i="44"/>
  <c r="G67" i="44"/>
  <c r="H67" i="44"/>
  <c r="I67" i="44"/>
  <c r="K21" i="44"/>
  <c r="L64" i="44"/>
  <c r="K65" i="44"/>
  <c r="J67" i="44"/>
  <c r="L21" i="44"/>
  <c r="M64" i="44"/>
  <c r="L65" i="44"/>
  <c r="K67" i="44"/>
  <c r="N64" i="44"/>
  <c r="M65" i="44"/>
  <c r="L67" i="44"/>
  <c r="N65" i="44"/>
  <c r="M67" i="44"/>
  <c r="N67" i="44"/>
  <c r="P67" i="44"/>
  <c r="Q67" i="44"/>
  <c r="R67" i="44"/>
  <c r="P65" i="44"/>
  <c r="B20" i="44"/>
  <c r="C59" i="44"/>
  <c r="D59" i="44"/>
  <c r="D20" i="44"/>
  <c r="E20" i="44"/>
  <c r="F59" i="44"/>
  <c r="E60" i="44"/>
  <c r="E59" i="44"/>
  <c r="F20" i="44"/>
  <c r="G59" i="44"/>
  <c r="F60" i="44"/>
  <c r="G20" i="44"/>
  <c r="H59" i="44"/>
  <c r="G60" i="44"/>
  <c r="H20" i="44"/>
  <c r="I59" i="44"/>
  <c r="H60" i="44"/>
  <c r="I20" i="44"/>
  <c r="J59" i="44"/>
  <c r="I60" i="44"/>
  <c r="J20" i="44"/>
  <c r="K59" i="44"/>
  <c r="J60" i="44"/>
  <c r="Q60" i="44"/>
  <c r="C62" i="44"/>
  <c r="D62" i="44"/>
  <c r="E62" i="44"/>
  <c r="F62" i="44"/>
  <c r="G62" i="44"/>
  <c r="H62" i="44"/>
  <c r="I62" i="44"/>
  <c r="K20" i="44"/>
  <c r="L59" i="44"/>
  <c r="K60" i="44"/>
  <c r="J62" i="44"/>
  <c r="M59" i="44"/>
  <c r="L60" i="44"/>
  <c r="K62" i="44"/>
  <c r="N59" i="44"/>
  <c r="M60" i="44"/>
  <c r="L62" i="44"/>
  <c r="N60" i="44"/>
  <c r="M62" i="44"/>
  <c r="N62" i="44"/>
  <c r="P62" i="44"/>
  <c r="Q62" i="44"/>
  <c r="R62" i="44"/>
  <c r="P60" i="44"/>
  <c r="B19" i="44"/>
  <c r="C54" i="44"/>
  <c r="D54" i="44"/>
  <c r="D19" i="44"/>
  <c r="E19" i="44"/>
  <c r="F54" i="44"/>
  <c r="E55" i="44"/>
  <c r="E54" i="44"/>
  <c r="F19" i="44"/>
  <c r="G54" i="44"/>
  <c r="F55" i="44"/>
  <c r="G19" i="44"/>
  <c r="H54" i="44"/>
  <c r="G55" i="44"/>
  <c r="H19" i="44"/>
  <c r="I54" i="44"/>
  <c r="H55" i="44"/>
  <c r="I19" i="44"/>
  <c r="J54" i="44"/>
  <c r="I55" i="44"/>
  <c r="J19" i="44"/>
  <c r="K54" i="44"/>
  <c r="J55" i="44"/>
  <c r="Q55" i="44"/>
  <c r="C57" i="44"/>
  <c r="D57" i="44"/>
  <c r="E57" i="44"/>
  <c r="F57" i="44"/>
  <c r="G57" i="44"/>
  <c r="H57" i="44"/>
  <c r="I57" i="44"/>
  <c r="L54" i="44"/>
  <c r="K55" i="44"/>
  <c r="J57" i="44"/>
  <c r="M54" i="44"/>
  <c r="L55" i="44"/>
  <c r="K57" i="44"/>
  <c r="N54" i="44"/>
  <c r="M55" i="44"/>
  <c r="L57" i="44"/>
  <c r="N55" i="44"/>
  <c r="M57" i="44"/>
  <c r="N57" i="44"/>
  <c r="P57" i="44"/>
  <c r="Q57" i="44"/>
  <c r="R57" i="44"/>
  <c r="P55" i="44"/>
  <c r="B18" i="44"/>
  <c r="C49" i="44"/>
  <c r="D49" i="44"/>
  <c r="D18" i="44"/>
  <c r="E18" i="44"/>
  <c r="F49" i="44"/>
  <c r="E50" i="44"/>
  <c r="E49" i="44"/>
  <c r="F18" i="44"/>
  <c r="G49" i="44"/>
  <c r="F50" i="44"/>
  <c r="G18" i="44"/>
  <c r="H49" i="44"/>
  <c r="G50" i="44"/>
  <c r="H18" i="44"/>
  <c r="I49" i="44"/>
  <c r="H50" i="44"/>
  <c r="I18" i="44"/>
  <c r="J49" i="44"/>
  <c r="I50" i="44"/>
  <c r="K49" i="44"/>
  <c r="J50" i="44"/>
  <c r="Q50" i="44"/>
  <c r="C52" i="44"/>
  <c r="D52" i="44"/>
  <c r="E52" i="44"/>
  <c r="F52" i="44"/>
  <c r="G52" i="44"/>
  <c r="H52" i="44"/>
  <c r="I52" i="44"/>
  <c r="L49" i="44"/>
  <c r="K50" i="44"/>
  <c r="J52" i="44"/>
  <c r="M49" i="44"/>
  <c r="L50" i="44"/>
  <c r="K52" i="44"/>
  <c r="N49" i="44"/>
  <c r="M50" i="44"/>
  <c r="L52" i="44"/>
  <c r="N50" i="44"/>
  <c r="M52" i="44"/>
  <c r="N52" i="44"/>
  <c r="P52" i="44"/>
  <c r="Q52" i="44"/>
  <c r="R52" i="44"/>
  <c r="P50" i="44"/>
  <c r="B17" i="44"/>
  <c r="C44" i="44"/>
  <c r="D44" i="44"/>
  <c r="D17" i="44"/>
  <c r="E17" i="44"/>
  <c r="F44" i="44"/>
  <c r="E45" i="44"/>
  <c r="E44" i="44"/>
  <c r="F17" i="44"/>
  <c r="G44" i="44"/>
  <c r="F45" i="44"/>
  <c r="G17" i="44"/>
  <c r="H44" i="44"/>
  <c r="G45" i="44"/>
  <c r="H17" i="44"/>
  <c r="I44" i="44"/>
  <c r="H45" i="44"/>
  <c r="J44" i="44"/>
  <c r="I45" i="44"/>
  <c r="K44" i="44"/>
  <c r="J45" i="44"/>
  <c r="Q45" i="44"/>
  <c r="C47" i="44"/>
  <c r="D47" i="44"/>
  <c r="E47" i="44"/>
  <c r="F47" i="44"/>
  <c r="G47" i="44"/>
  <c r="H47" i="44"/>
  <c r="I47" i="44"/>
  <c r="L44" i="44"/>
  <c r="K45" i="44"/>
  <c r="J47" i="44"/>
  <c r="M44" i="44"/>
  <c r="L45" i="44"/>
  <c r="K47" i="44"/>
  <c r="N44" i="44"/>
  <c r="M45" i="44"/>
  <c r="L47" i="44"/>
  <c r="N45" i="44"/>
  <c r="M47" i="44"/>
  <c r="N47" i="44"/>
  <c r="P47" i="44"/>
  <c r="Q47" i="44"/>
  <c r="R47" i="44"/>
  <c r="P45" i="44"/>
  <c r="B16" i="44"/>
  <c r="C39" i="44"/>
  <c r="D39" i="44"/>
  <c r="D16" i="44"/>
  <c r="E16" i="44"/>
  <c r="F39" i="44"/>
  <c r="E40" i="44"/>
  <c r="E39" i="44"/>
  <c r="F16" i="44"/>
  <c r="G39" i="44"/>
  <c r="F40" i="44"/>
  <c r="G16" i="44"/>
  <c r="H39" i="44"/>
  <c r="G40" i="44"/>
  <c r="I39" i="44"/>
  <c r="H40" i="44"/>
  <c r="J39" i="44"/>
  <c r="I40" i="44"/>
  <c r="K39" i="44"/>
  <c r="J40" i="44"/>
  <c r="Q40" i="44"/>
  <c r="C42" i="44"/>
  <c r="D42" i="44"/>
  <c r="E42" i="44"/>
  <c r="F42" i="44"/>
  <c r="G42" i="44"/>
  <c r="H42" i="44"/>
  <c r="I42" i="44"/>
  <c r="L39" i="44"/>
  <c r="K40" i="44"/>
  <c r="J42" i="44"/>
  <c r="M39" i="44"/>
  <c r="L40" i="44"/>
  <c r="K42" i="44"/>
  <c r="N39" i="44"/>
  <c r="M40" i="44"/>
  <c r="L42" i="44"/>
  <c r="N40" i="44"/>
  <c r="M42" i="44"/>
  <c r="N42" i="44"/>
  <c r="P42" i="44"/>
  <c r="Q42" i="44"/>
  <c r="R42" i="44"/>
  <c r="P40" i="44"/>
  <c r="B15" i="44"/>
  <c r="C34" i="44"/>
  <c r="D34" i="44"/>
  <c r="D15" i="44"/>
  <c r="E15" i="44"/>
  <c r="F34" i="44"/>
  <c r="E35" i="44"/>
  <c r="E34" i="44"/>
  <c r="F15" i="44"/>
  <c r="G34" i="44"/>
  <c r="F35" i="44"/>
  <c r="H34" i="44"/>
  <c r="G35" i="44"/>
  <c r="I34" i="44"/>
  <c r="H35" i="44"/>
  <c r="J34" i="44"/>
  <c r="I35" i="44"/>
  <c r="K34" i="44"/>
  <c r="J35" i="44"/>
  <c r="Q35" i="44"/>
  <c r="C37" i="44"/>
  <c r="D37" i="44"/>
  <c r="E37" i="44"/>
  <c r="F37" i="44"/>
  <c r="G37" i="44"/>
  <c r="H37" i="44"/>
  <c r="I37" i="44"/>
  <c r="L34" i="44"/>
  <c r="K35" i="44"/>
  <c r="J37" i="44"/>
  <c r="M34" i="44"/>
  <c r="L35" i="44"/>
  <c r="K37" i="44"/>
  <c r="N34" i="44"/>
  <c r="M35" i="44"/>
  <c r="L37" i="44"/>
  <c r="N35" i="44"/>
  <c r="M37" i="44"/>
  <c r="N37" i="44"/>
  <c r="P37" i="44"/>
  <c r="Q37" i="44"/>
  <c r="R37" i="44"/>
  <c r="P35" i="44"/>
  <c r="C29" i="44"/>
  <c r="F29" i="44"/>
  <c r="E30" i="44"/>
  <c r="E29" i="44"/>
  <c r="G29" i="44"/>
  <c r="F30" i="44"/>
  <c r="H29" i="44"/>
  <c r="G30" i="44"/>
  <c r="I29" i="44"/>
  <c r="H30" i="44"/>
  <c r="J29" i="44"/>
  <c r="I30" i="44"/>
  <c r="K29" i="44"/>
  <c r="J30" i="44"/>
  <c r="Q30" i="44"/>
  <c r="D32" i="44"/>
  <c r="E32" i="44"/>
  <c r="F32" i="44"/>
  <c r="G32" i="44"/>
  <c r="H32" i="44"/>
  <c r="I32" i="44"/>
  <c r="L29" i="44"/>
  <c r="K30" i="44"/>
  <c r="J32" i="44"/>
  <c r="M29" i="44"/>
  <c r="L30" i="44"/>
  <c r="K32" i="44"/>
  <c r="N29" i="44"/>
  <c r="M30" i="44"/>
  <c r="L32" i="44"/>
  <c r="N30" i="44"/>
  <c r="M32" i="44"/>
  <c r="N32" i="44"/>
  <c r="P32" i="44"/>
  <c r="Q32" i="44"/>
  <c r="R32" i="44"/>
  <c r="P30" i="44"/>
  <c r="R22" i="44"/>
  <c r="S22" i="44"/>
  <c r="Q22" i="44"/>
  <c r="P22" i="44"/>
  <c r="R21" i="44"/>
  <c r="S21" i="44"/>
  <c r="Q21" i="44"/>
  <c r="P21" i="44"/>
  <c r="R20" i="44"/>
  <c r="S20" i="44"/>
  <c r="Q20" i="44"/>
  <c r="P20" i="44"/>
  <c r="R19" i="44"/>
  <c r="S19" i="44"/>
  <c r="Q19" i="44"/>
  <c r="P19" i="44"/>
  <c r="R18" i="44"/>
  <c r="S18" i="44"/>
  <c r="Q18" i="44"/>
  <c r="P18" i="44"/>
  <c r="R17" i="44"/>
  <c r="S17" i="44"/>
  <c r="Q17" i="44"/>
  <c r="P17" i="44"/>
  <c r="R16" i="44"/>
  <c r="S16" i="44"/>
  <c r="Q16" i="44"/>
  <c r="P16" i="44"/>
  <c r="R15" i="44"/>
  <c r="S15" i="44"/>
  <c r="Q15" i="44"/>
  <c r="P15" i="44"/>
  <c r="Q14" i="44"/>
  <c r="P14" i="44"/>
  <c r="B13" i="44"/>
  <c r="R13" i="44"/>
  <c r="D13" i="44"/>
  <c r="S13" i="44"/>
  <c r="Q13" i="44"/>
  <c r="P13" i="44"/>
  <c r="J11" i="44"/>
  <c r="B9" i="44"/>
  <c r="C9" i="44"/>
  <c r="D9" i="44"/>
  <c r="E9" i="44"/>
  <c r="F9" i="44"/>
  <c r="G9" i="44"/>
  <c r="H9" i="44"/>
  <c r="I9" i="44"/>
  <c r="J9" i="44"/>
  <c r="H32" i="39"/>
  <c r="K45" i="39"/>
  <c r="K44" i="39"/>
  <c r="K43" i="39"/>
  <c r="K42" i="39"/>
  <c r="K41" i="39"/>
  <c r="K40" i="39"/>
  <c r="K39" i="39"/>
  <c r="K38" i="39"/>
  <c r="K37" i="39"/>
  <c r="L3" i="39"/>
  <c r="L2" i="39"/>
  <c r="H2" i="39"/>
  <c r="K15" i="39"/>
  <c r="K14" i="39"/>
  <c r="K13" i="39"/>
  <c r="K12" i="39"/>
  <c r="K11" i="39"/>
  <c r="K10" i="39"/>
  <c r="K9" i="39"/>
  <c r="K8" i="39"/>
  <c r="K7" i="39"/>
  <c r="K6" i="39"/>
  <c r="E6" i="39"/>
  <c r="J6" i="39"/>
  <c r="L18" i="39"/>
  <c r="L17" i="39"/>
  <c r="H17" i="39"/>
  <c r="K30" i="39"/>
  <c r="K29" i="39"/>
  <c r="K28" i="39"/>
  <c r="K27" i="39"/>
  <c r="K26" i="39"/>
  <c r="K25" i="39"/>
  <c r="K24" i="39"/>
  <c r="K23" i="39"/>
  <c r="K22" i="39"/>
  <c r="K21" i="39"/>
  <c r="K36" i="39"/>
  <c r="I45" i="39"/>
  <c r="J45" i="39"/>
  <c r="I44" i="39"/>
  <c r="J44" i="39"/>
  <c r="I43" i="39"/>
  <c r="J43" i="39"/>
  <c r="I42" i="39"/>
  <c r="J42" i="39"/>
  <c r="I41" i="39"/>
  <c r="J41" i="39"/>
  <c r="I40" i="39"/>
  <c r="J40" i="39"/>
  <c r="I39" i="39"/>
  <c r="J39" i="39"/>
  <c r="I38" i="39"/>
  <c r="J38" i="39"/>
  <c r="I37" i="39"/>
  <c r="J37" i="39"/>
  <c r="J36" i="39"/>
  <c r="H45" i="39"/>
  <c r="H44" i="39"/>
  <c r="H43" i="39"/>
  <c r="H42" i="39"/>
  <c r="H41" i="39"/>
  <c r="H40" i="39"/>
  <c r="H39" i="39"/>
  <c r="H38" i="39"/>
  <c r="H37" i="39"/>
  <c r="H36" i="39"/>
  <c r="G37" i="39"/>
  <c r="G38" i="39"/>
  <c r="G39" i="39"/>
  <c r="G40" i="39"/>
  <c r="G41" i="39"/>
  <c r="G42" i="39"/>
  <c r="G43" i="39"/>
  <c r="G44" i="39"/>
  <c r="G45" i="39"/>
  <c r="G36" i="39"/>
  <c r="B45" i="39"/>
  <c r="C45" i="39"/>
  <c r="D45" i="39"/>
  <c r="E45" i="39"/>
  <c r="F45" i="39"/>
  <c r="L45" i="39"/>
  <c r="E47" i="39"/>
  <c r="B52" i="39"/>
  <c r="C47" i="39"/>
  <c r="B51" i="39"/>
  <c r="C59" i="39"/>
  <c r="C51" i="39"/>
  <c r="C52" i="39"/>
  <c r="C60" i="39"/>
  <c r="D51" i="39"/>
  <c r="D52" i="39"/>
  <c r="C61" i="39"/>
  <c r="E51" i="39"/>
  <c r="E52" i="39"/>
  <c r="C62" i="39"/>
  <c r="B62" i="39"/>
  <c r="B56" i="39"/>
  <c r="C56" i="39"/>
  <c r="D56" i="39"/>
  <c r="D62" i="39"/>
  <c r="E62" i="39"/>
  <c r="F62" i="39"/>
  <c r="G62" i="39"/>
  <c r="H62" i="39"/>
  <c r="J47" i="39"/>
  <c r="L47" i="39"/>
  <c r="B44" i="39"/>
  <c r="C44" i="39"/>
  <c r="D44" i="39"/>
  <c r="E44" i="39"/>
  <c r="F44" i="39"/>
  <c r="L44" i="39"/>
  <c r="B43" i="39"/>
  <c r="C43" i="39"/>
  <c r="D43" i="39"/>
  <c r="E43" i="39"/>
  <c r="F43" i="39"/>
  <c r="L43" i="39"/>
  <c r="B42" i="39"/>
  <c r="C42" i="39"/>
  <c r="D42" i="39"/>
  <c r="E42" i="39"/>
  <c r="F42" i="39"/>
  <c r="L42" i="39"/>
  <c r="B41" i="39"/>
  <c r="C41" i="39"/>
  <c r="D41" i="39"/>
  <c r="E41" i="39"/>
  <c r="F41" i="39"/>
  <c r="L41" i="39"/>
  <c r="B40" i="39"/>
  <c r="C40" i="39"/>
  <c r="D40" i="39"/>
  <c r="E40" i="39"/>
  <c r="F40" i="39"/>
  <c r="L40" i="39"/>
  <c r="B39" i="39"/>
  <c r="C39" i="39"/>
  <c r="D39" i="39"/>
  <c r="E39" i="39"/>
  <c r="F39" i="39"/>
  <c r="L39" i="39"/>
  <c r="B38" i="39"/>
  <c r="C38" i="39"/>
  <c r="D38" i="39"/>
  <c r="E38" i="39"/>
  <c r="F38" i="39"/>
  <c r="L38" i="39"/>
  <c r="B37" i="39"/>
  <c r="C37" i="39"/>
  <c r="D37" i="39"/>
  <c r="E37" i="39"/>
  <c r="F37" i="39"/>
  <c r="L37" i="39"/>
  <c r="B36" i="39"/>
  <c r="C36" i="39"/>
  <c r="D36" i="39"/>
  <c r="E36" i="39"/>
  <c r="F36" i="39"/>
  <c r="L36" i="39"/>
  <c r="D33" i="39"/>
  <c r="B33" i="39"/>
  <c r="J2" i="39"/>
  <c r="J17" i="39"/>
  <c r="J32" i="39"/>
  <c r="F2" i="39"/>
  <c r="F17" i="39"/>
  <c r="F32" i="39"/>
  <c r="D2" i="39"/>
  <c r="D17" i="39"/>
  <c r="D32" i="39"/>
  <c r="D18" i="39"/>
  <c r="B18" i="39"/>
  <c r="H21" i="39"/>
  <c r="J21" i="39"/>
  <c r="D59" i="39"/>
  <c r="E59" i="39"/>
  <c r="B59" i="39"/>
  <c r="E15" i="39"/>
  <c r="E14" i="39"/>
  <c r="E13" i="39"/>
  <c r="E12" i="39"/>
  <c r="E11" i="39"/>
  <c r="E10" i="39"/>
  <c r="E9" i="39"/>
  <c r="E8" i="39"/>
  <c r="E7" i="39"/>
  <c r="J15" i="39"/>
  <c r="J14" i="39"/>
  <c r="J13" i="39"/>
  <c r="J12" i="39"/>
  <c r="J11" i="39"/>
  <c r="J10" i="39"/>
  <c r="J9" i="39"/>
  <c r="J8" i="39"/>
  <c r="J7" i="39"/>
  <c r="B30" i="39"/>
  <c r="C30" i="39"/>
  <c r="D30" i="39"/>
  <c r="E30" i="39"/>
  <c r="F30" i="39"/>
  <c r="B29" i="39"/>
  <c r="C29" i="39"/>
  <c r="D29" i="39"/>
  <c r="E29" i="39"/>
  <c r="F29" i="39"/>
  <c r="B28" i="39"/>
  <c r="C28" i="39"/>
  <c r="D28" i="39"/>
  <c r="E28" i="39"/>
  <c r="F28" i="39"/>
  <c r="B27" i="39"/>
  <c r="C27" i="39"/>
  <c r="D27" i="39"/>
  <c r="E27" i="39"/>
  <c r="F27" i="39"/>
  <c r="B26" i="39"/>
  <c r="C26" i="39"/>
  <c r="D26" i="39"/>
  <c r="E26" i="39"/>
  <c r="F26" i="39"/>
  <c r="B25" i="39"/>
  <c r="C25" i="39"/>
  <c r="D25" i="39"/>
  <c r="E25" i="39"/>
  <c r="F25" i="39"/>
  <c r="B24" i="39"/>
  <c r="C24" i="39"/>
  <c r="D24" i="39"/>
  <c r="E24" i="39"/>
  <c r="F24" i="39"/>
  <c r="B23" i="39"/>
  <c r="C23" i="39"/>
  <c r="D23" i="39"/>
  <c r="E23" i="39"/>
  <c r="F23" i="39"/>
  <c r="B22" i="39"/>
  <c r="C22" i="39"/>
  <c r="D22" i="39"/>
  <c r="E22" i="39"/>
  <c r="F22" i="39"/>
  <c r="B21" i="39"/>
  <c r="C21" i="39"/>
  <c r="D21" i="39"/>
  <c r="E21" i="39"/>
  <c r="F21" i="39"/>
  <c r="B15" i="39"/>
  <c r="C15" i="39"/>
  <c r="B14" i="39"/>
  <c r="C14" i="39"/>
  <c r="B13" i="39"/>
  <c r="C13" i="39"/>
  <c r="B12" i="39"/>
  <c r="C12" i="39"/>
  <c r="B11" i="39"/>
  <c r="C11" i="39"/>
  <c r="B10" i="39"/>
  <c r="C10" i="39"/>
  <c r="B9" i="39"/>
  <c r="C9" i="39"/>
  <c r="B8" i="39"/>
  <c r="C8" i="39"/>
  <c r="B7" i="39"/>
  <c r="C7" i="39"/>
  <c r="B6" i="39"/>
  <c r="C6" i="39"/>
  <c r="G30" i="39"/>
  <c r="G29" i="39"/>
  <c r="G28" i="39"/>
  <c r="G27" i="39"/>
  <c r="G26" i="39"/>
  <c r="G25" i="39"/>
  <c r="G24" i="39"/>
  <c r="G23" i="39"/>
  <c r="G22" i="39"/>
  <c r="G21" i="39"/>
  <c r="D15" i="39"/>
  <c r="D14" i="39"/>
  <c r="D13" i="39"/>
  <c r="D12" i="39"/>
  <c r="D11" i="39"/>
  <c r="D10" i="39"/>
  <c r="D9" i="39"/>
  <c r="D8" i="39"/>
  <c r="D7" i="39"/>
  <c r="D6" i="39"/>
  <c r="H30" i="39"/>
  <c r="J30" i="39"/>
  <c r="H29" i="39"/>
  <c r="J29" i="39"/>
  <c r="H28" i="39"/>
  <c r="J28" i="39"/>
  <c r="H27" i="39"/>
  <c r="J27" i="39"/>
  <c r="H26" i="39"/>
  <c r="J26" i="39"/>
  <c r="H25" i="39"/>
  <c r="J25" i="39"/>
  <c r="H24" i="39"/>
  <c r="J24" i="39"/>
  <c r="H23" i="39"/>
  <c r="J23" i="39"/>
  <c r="H22" i="39"/>
  <c r="J22" i="39"/>
  <c r="L30" i="39"/>
  <c r="L29" i="39"/>
  <c r="L28" i="39"/>
  <c r="L27" i="39"/>
  <c r="L26" i="39"/>
  <c r="L25" i="39"/>
  <c r="L24" i="39"/>
  <c r="L23" i="39"/>
  <c r="L22" i="39"/>
  <c r="L21" i="39"/>
  <c r="L15" i="39"/>
  <c r="L14" i="39"/>
  <c r="L13" i="39"/>
  <c r="L12" i="39"/>
  <c r="L11" i="39"/>
  <c r="L10" i="39"/>
  <c r="L9" i="39"/>
  <c r="L8" i="39"/>
  <c r="L7" i="39"/>
  <c r="L6" i="39"/>
  <c r="F51" i="39"/>
  <c r="F52" i="39"/>
  <c r="C63" i="39"/>
  <c r="B63" i="39"/>
  <c r="E56" i="39"/>
  <c r="D63" i="39"/>
  <c r="E63" i="39"/>
  <c r="F63" i="39"/>
  <c r="G63" i="39"/>
  <c r="H63" i="39"/>
  <c r="I63" i="39"/>
  <c r="B61" i="39"/>
  <c r="D61" i="39"/>
  <c r="E61" i="39"/>
  <c r="F61" i="39"/>
  <c r="G61" i="39"/>
  <c r="B60" i="39"/>
  <c r="D60" i="39"/>
  <c r="E60" i="39"/>
  <c r="F60" i="39"/>
  <c r="G51" i="39"/>
  <c r="G52" i="39"/>
  <c r="C64" i="39"/>
  <c r="H51" i="39"/>
  <c r="I51" i="39"/>
  <c r="H52" i="39"/>
  <c r="I52" i="39"/>
  <c r="C65" i="39"/>
  <c r="J51" i="39"/>
  <c r="J52" i="39"/>
  <c r="C66" i="39"/>
  <c r="K51" i="39"/>
  <c r="K52" i="39"/>
  <c r="C67" i="39"/>
  <c r="B67" i="39"/>
  <c r="F56" i="39"/>
  <c r="G56" i="39"/>
  <c r="H56" i="39"/>
  <c r="I56" i="39"/>
  <c r="D67" i="39"/>
  <c r="E67" i="39"/>
  <c r="F67" i="39"/>
  <c r="G67" i="39"/>
  <c r="H67" i="39"/>
  <c r="I67" i="39"/>
  <c r="J67" i="39"/>
  <c r="K67" i="39"/>
  <c r="L67" i="39"/>
  <c r="R67" i="39"/>
  <c r="M67" i="39"/>
  <c r="S67" i="39"/>
  <c r="Q67" i="39"/>
  <c r="P67" i="39"/>
  <c r="B66" i="39"/>
  <c r="D66" i="39"/>
  <c r="E66" i="39"/>
  <c r="F66" i="39"/>
  <c r="G66" i="39"/>
  <c r="H66" i="39"/>
  <c r="I66" i="39"/>
  <c r="J66" i="39"/>
  <c r="K66" i="39"/>
  <c r="R66" i="39"/>
  <c r="L66" i="39"/>
  <c r="S66" i="39"/>
  <c r="Q66" i="39"/>
  <c r="P66" i="39"/>
  <c r="B65" i="39"/>
  <c r="D65" i="39"/>
  <c r="E65" i="39"/>
  <c r="F65" i="39"/>
  <c r="G65" i="39"/>
  <c r="H65" i="39"/>
  <c r="I65" i="39"/>
  <c r="J65" i="39"/>
  <c r="R65" i="39"/>
  <c r="K65" i="39"/>
  <c r="S65" i="39"/>
  <c r="Q65" i="39"/>
  <c r="P65" i="39"/>
  <c r="B64" i="39"/>
  <c r="D64" i="39"/>
  <c r="E64" i="39"/>
  <c r="F64" i="39"/>
  <c r="G64" i="39"/>
  <c r="H64" i="39"/>
  <c r="I64" i="39"/>
  <c r="R64" i="39"/>
  <c r="J64" i="39"/>
  <c r="S64" i="39"/>
  <c r="Q64" i="39"/>
  <c r="P64" i="39"/>
  <c r="R63" i="39"/>
  <c r="S63" i="39"/>
  <c r="Q63" i="39"/>
  <c r="P63" i="39"/>
  <c r="R62" i="39"/>
  <c r="S62" i="39"/>
  <c r="Q62" i="39"/>
  <c r="P62" i="39"/>
  <c r="R61" i="39"/>
  <c r="S61" i="39"/>
  <c r="Q61" i="39"/>
  <c r="P61" i="39"/>
  <c r="R60" i="39"/>
  <c r="S60" i="39"/>
  <c r="Q60" i="39"/>
  <c r="P60" i="39"/>
  <c r="R59" i="39"/>
  <c r="S59" i="39"/>
  <c r="Q59" i="39"/>
  <c r="P59" i="39"/>
  <c r="B58" i="39"/>
  <c r="R58" i="39"/>
  <c r="D58" i="39"/>
  <c r="S58" i="39"/>
  <c r="Q58" i="39"/>
  <c r="P58" i="39"/>
  <c r="J56" i="39"/>
  <c r="B54" i="39"/>
  <c r="C54" i="39"/>
  <c r="D54" i="39"/>
  <c r="E54" i="39"/>
  <c r="F54" i="39"/>
  <c r="G54" i="39"/>
  <c r="H54" i="39"/>
  <c r="I54" i="39"/>
  <c r="J54" i="39"/>
  <c r="R36" i="35"/>
  <c r="R41" i="35"/>
  <c r="S43" i="35"/>
  <c r="S42" i="35"/>
  <c r="S41" i="35"/>
  <c r="S40" i="35"/>
  <c r="S39" i="35"/>
  <c r="S38" i="35"/>
  <c r="S37" i="35"/>
  <c r="S36" i="35"/>
  <c r="S35" i="35"/>
  <c r="S34" i="35"/>
  <c r="B5" i="17"/>
  <c r="B5" i="20"/>
  <c r="B2" i="25"/>
  <c r="B2" i="26"/>
  <c r="B2" i="29"/>
  <c r="C5" i="17"/>
  <c r="C5" i="20"/>
  <c r="C2" i="25"/>
  <c r="C2" i="26"/>
  <c r="C2" i="29"/>
  <c r="D5" i="17"/>
  <c r="D5" i="20"/>
  <c r="D2" i="25"/>
  <c r="D2" i="26"/>
  <c r="D2" i="29"/>
  <c r="E5" i="17"/>
  <c r="E5" i="20"/>
  <c r="E2" i="25"/>
  <c r="E2" i="26"/>
  <c r="E2" i="29"/>
  <c r="F5" i="17"/>
  <c r="F5" i="20"/>
  <c r="F2" i="25"/>
  <c r="F2" i="26"/>
  <c r="F2" i="29"/>
  <c r="G5" i="17"/>
  <c r="G5" i="20"/>
  <c r="G2" i="25"/>
  <c r="G2" i="26"/>
  <c r="G2" i="29"/>
  <c r="H5" i="17"/>
  <c r="H5" i="20"/>
  <c r="H2" i="25"/>
  <c r="H2" i="26"/>
  <c r="H2" i="29"/>
  <c r="I5" i="17"/>
  <c r="I5" i="20"/>
  <c r="I2" i="25"/>
  <c r="I2" i="26"/>
  <c r="I2" i="29"/>
  <c r="J5" i="17"/>
  <c r="J5" i="20"/>
  <c r="J2" i="25"/>
  <c r="J2" i="26"/>
  <c r="J2" i="29"/>
  <c r="K5" i="17"/>
  <c r="K5" i="20"/>
  <c r="K2" i="25"/>
  <c r="K2" i="26"/>
  <c r="K2" i="29"/>
  <c r="B6" i="17"/>
  <c r="B6" i="20"/>
  <c r="B3" i="25"/>
  <c r="B3" i="26"/>
  <c r="B3" i="29"/>
  <c r="C6" i="17"/>
  <c r="C6" i="20"/>
  <c r="C3" i="25"/>
  <c r="C3" i="26"/>
  <c r="C3" i="29"/>
  <c r="D6" i="17"/>
  <c r="D6" i="20"/>
  <c r="D3" i="25"/>
  <c r="D3" i="26"/>
  <c r="D3" i="29"/>
  <c r="E6" i="17"/>
  <c r="E6" i="20"/>
  <c r="E3" i="25"/>
  <c r="E3" i="26"/>
  <c r="E3" i="29"/>
  <c r="F6" i="17"/>
  <c r="F6" i="20"/>
  <c r="F3" i="25"/>
  <c r="F3" i="26"/>
  <c r="F3" i="29"/>
  <c r="G6" i="17"/>
  <c r="G6" i="20"/>
  <c r="G3" i="25"/>
  <c r="G3" i="26"/>
  <c r="G3" i="29"/>
  <c r="H6" i="17"/>
  <c r="H6" i="20"/>
  <c r="H3" i="25"/>
  <c r="H3" i="26"/>
  <c r="H3" i="29"/>
  <c r="I6" i="17"/>
  <c r="I6" i="20"/>
  <c r="I3" i="25"/>
  <c r="I3" i="26"/>
  <c r="I3" i="29"/>
  <c r="J6" i="17"/>
  <c r="J6" i="20"/>
  <c r="J3" i="25"/>
  <c r="J3" i="26"/>
  <c r="J3" i="29"/>
  <c r="K6" i="17"/>
  <c r="K6" i="20"/>
  <c r="K3" i="25"/>
  <c r="K3" i="26"/>
  <c r="K3" i="29"/>
  <c r="B7" i="17"/>
  <c r="B7" i="20"/>
  <c r="B4" i="25"/>
  <c r="B4" i="26"/>
  <c r="B4" i="29"/>
  <c r="C7" i="17"/>
  <c r="C7" i="20"/>
  <c r="C4" i="25"/>
  <c r="C4" i="26"/>
  <c r="C4" i="29"/>
  <c r="D7" i="17"/>
  <c r="D7" i="20"/>
  <c r="D4" i="25"/>
  <c r="D4" i="26"/>
  <c r="D4" i="29"/>
  <c r="E7" i="17"/>
  <c r="E7" i="20"/>
  <c r="E4" i="25"/>
  <c r="E4" i="26"/>
  <c r="E4" i="29"/>
  <c r="F7" i="17"/>
  <c r="F7" i="20"/>
  <c r="F4" i="25"/>
  <c r="F4" i="26"/>
  <c r="F4" i="29"/>
  <c r="G7" i="17"/>
  <c r="G7" i="20"/>
  <c r="G4" i="25"/>
  <c r="G4" i="26"/>
  <c r="G4" i="29"/>
  <c r="H7" i="17"/>
  <c r="H7" i="20"/>
  <c r="H4" i="25"/>
  <c r="H4" i="26"/>
  <c r="H4" i="29"/>
  <c r="I7" i="17"/>
  <c r="I7" i="20"/>
  <c r="I4" i="25"/>
  <c r="I4" i="26"/>
  <c r="I4" i="29"/>
  <c r="J7" i="17"/>
  <c r="J7" i="20"/>
  <c r="J4" i="25"/>
  <c r="J4" i="26"/>
  <c r="J4" i="29"/>
  <c r="K7" i="17"/>
  <c r="K7" i="20"/>
  <c r="K4" i="25"/>
  <c r="K4" i="26"/>
  <c r="K4" i="29"/>
  <c r="B8" i="17"/>
  <c r="B8" i="20"/>
  <c r="B5" i="25"/>
  <c r="B5" i="26"/>
  <c r="B5" i="29"/>
  <c r="C8" i="17"/>
  <c r="C8" i="20"/>
  <c r="C5" i="25"/>
  <c r="C5" i="26"/>
  <c r="C5" i="29"/>
  <c r="D8" i="17"/>
  <c r="D8" i="20"/>
  <c r="D5" i="25"/>
  <c r="D5" i="26"/>
  <c r="D5" i="29"/>
  <c r="E8" i="17"/>
  <c r="E8" i="20"/>
  <c r="E5" i="25"/>
  <c r="E5" i="26"/>
  <c r="E5" i="29"/>
  <c r="F8" i="17"/>
  <c r="F8" i="20"/>
  <c r="F5" i="25"/>
  <c r="F5" i="26"/>
  <c r="F5" i="29"/>
  <c r="G8" i="17"/>
  <c r="G8" i="20"/>
  <c r="G5" i="25"/>
  <c r="G5" i="26"/>
  <c r="G5" i="29"/>
  <c r="H8" i="17"/>
  <c r="H8" i="20"/>
  <c r="H5" i="25"/>
  <c r="H5" i="26"/>
  <c r="H5" i="29"/>
  <c r="I8" i="17"/>
  <c r="I8" i="20"/>
  <c r="I5" i="25"/>
  <c r="I5" i="26"/>
  <c r="I5" i="29"/>
  <c r="J8" i="17"/>
  <c r="J8" i="20"/>
  <c r="J5" i="25"/>
  <c r="J5" i="26"/>
  <c r="J5" i="29"/>
  <c r="K8" i="17"/>
  <c r="K8" i="20"/>
  <c r="K5" i="25"/>
  <c r="K5" i="26"/>
  <c r="K5" i="29"/>
  <c r="B12" i="17"/>
  <c r="B12" i="20"/>
  <c r="B9" i="25"/>
  <c r="B9" i="26"/>
  <c r="B9" i="29"/>
  <c r="C12" i="17"/>
  <c r="C12" i="20"/>
  <c r="C9" i="25"/>
  <c r="C9" i="26"/>
  <c r="C9" i="29"/>
  <c r="D12" i="17"/>
  <c r="D12" i="20"/>
  <c r="D9" i="25"/>
  <c r="D9" i="26"/>
  <c r="D9" i="29"/>
  <c r="E12" i="17"/>
  <c r="E12" i="20"/>
  <c r="E9" i="25"/>
  <c r="E9" i="26"/>
  <c r="E9" i="29"/>
  <c r="F12" i="17"/>
  <c r="F12" i="20"/>
  <c r="F9" i="25"/>
  <c r="F9" i="26"/>
  <c r="F9" i="29"/>
  <c r="G12" i="17"/>
  <c r="G12" i="20"/>
  <c r="G9" i="25"/>
  <c r="G9" i="26"/>
  <c r="G9" i="29"/>
  <c r="H12" i="17"/>
  <c r="H12" i="20"/>
  <c r="H9" i="25"/>
  <c r="H9" i="26"/>
  <c r="H9" i="29"/>
  <c r="I12" i="17"/>
  <c r="I12" i="20"/>
  <c r="I9" i="25"/>
  <c r="I9" i="26"/>
  <c r="I9" i="29"/>
  <c r="J12" i="17"/>
  <c r="J12" i="20"/>
  <c r="J9" i="25"/>
  <c r="J9" i="26"/>
  <c r="J9" i="29"/>
  <c r="K12" i="17"/>
  <c r="K12" i="20"/>
  <c r="K9" i="25"/>
  <c r="K9" i="26"/>
  <c r="K9" i="29"/>
  <c r="B13" i="17"/>
  <c r="B13" i="20"/>
  <c r="B10" i="25"/>
  <c r="B10" i="26"/>
  <c r="B10" i="29"/>
  <c r="C13" i="17"/>
  <c r="C13" i="20"/>
  <c r="C10" i="25"/>
  <c r="C10" i="26"/>
  <c r="C10" i="29"/>
  <c r="D13" i="17"/>
  <c r="D13" i="20"/>
  <c r="D10" i="25"/>
  <c r="D10" i="26"/>
  <c r="D10" i="29"/>
  <c r="E13" i="17"/>
  <c r="E13" i="20"/>
  <c r="E10" i="25"/>
  <c r="E10" i="26"/>
  <c r="E10" i="29"/>
  <c r="F13" i="17"/>
  <c r="F13" i="20"/>
  <c r="F10" i="25"/>
  <c r="F10" i="26"/>
  <c r="F10" i="29"/>
  <c r="G13" i="17"/>
  <c r="G13" i="20"/>
  <c r="G10" i="25"/>
  <c r="G10" i="26"/>
  <c r="G10" i="29"/>
  <c r="H13" i="17"/>
  <c r="H13" i="20"/>
  <c r="H10" i="25"/>
  <c r="H10" i="26"/>
  <c r="H10" i="29"/>
  <c r="I13" i="17"/>
  <c r="I13" i="20"/>
  <c r="I10" i="25"/>
  <c r="I10" i="26"/>
  <c r="I10" i="29"/>
  <c r="J13" i="17"/>
  <c r="J13" i="20"/>
  <c r="J10" i="25"/>
  <c r="J10" i="26"/>
  <c r="J10" i="29"/>
  <c r="K13" i="17"/>
  <c r="K13" i="20"/>
  <c r="K10" i="25"/>
  <c r="K10" i="26"/>
  <c r="K10" i="29"/>
  <c r="B14" i="17"/>
  <c r="B14" i="20"/>
  <c r="B11" i="25"/>
  <c r="B11" i="26"/>
  <c r="B11" i="29"/>
  <c r="C14" i="17"/>
  <c r="C14" i="20"/>
  <c r="C11" i="25"/>
  <c r="C11" i="26"/>
  <c r="C11" i="29"/>
  <c r="D14" i="17"/>
  <c r="D14" i="20"/>
  <c r="D11" i="25"/>
  <c r="D11" i="26"/>
  <c r="D11" i="29"/>
  <c r="E14" i="17"/>
  <c r="E14" i="20"/>
  <c r="E11" i="25"/>
  <c r="E11" i="26"/>
  <c r="E11" i="29"/>
  <c r="F14" i="17"/>
  <c r="F14" i="20"/>
  <c r="F11" i="25"/>
  <c r="F11" i="26"/>
  <c r="F11" i="29"/>
  <c r="G14" i="17"/>
  <c r="G14" i="20"/>
  <c r="G11" i="25"/>
  <c r="G11" i="26"/>
  <c r="G11" i="29"/>
  <c r="H14" i="17"/>
  <c r="H14" i="20"/>
  <c r="H11" i="25"/>
  <c r="H11" i="26"/>
  <c r="H11" i="29"/>
  <c r="I14" i="17"/>
  <c r="I14" i="20"/>
  <c r="I11" i="25"/>
  <c r="I11" i="26"/>
  <c r="I11" i="29"/>
  <c r="J14" i="17"/>
  <c r="J14" i="20"/>
  <c r="J11" i="25"/>
  <c r="J11" i="26"/>
  <c r="J11" i="29"/>
  <c r="K14" i="17"/>
  <c r="K14" i="20"/>
  <c r="K11" i="25"/>
  <c r="K11" i="26"/>
  <c r="K11" i="29"/>
  <c r="B15" i="17"/>
  <c r="B15" i="20"/>
  <c r="B12" i="25"/>
  <c r="B12" i="26"/>
  <c r="B12" i="29"/>
  <c r="C15" i="17"/>
  <c r="C15" i="20"/>
  <c r="C12" i="25"/>
  <c r="C12" i="26"/>
  <c r="C12" i="29"/>
  <c r="D15" i="17"/>
  <c r="D15" i="20"/>
  <c r="D12" i="25"/>
  <c r="D12" i="26"/>
  <c r="D12" i="29"/>
  <c r="E15" i="17"/>
  <c r="E15" i="20"/>
  <c r="E12" i="25"/>
  <c r="E12" i="26"/>
  <c r="E12" i="29"/>
  <c r="F15" i="17"/>
  <c r="F15" i="20"/>
  <c r="F12" i="25"/>
  <c r="F12" i="26"/>
  <c r="F12" i="29"/>
  <c r="G15" i="17"/>
  <c r="G15" i="20"/>
  <c r="G12" i="25"/>
  <c r="G12" i="26"/>
  <c r="G12" i="29"/>
  <c r="H15" i="17"/>
  <c r="H15" i="20"/>
  <c r="H12" i="25"/>
  <c r="H12" i="26"/>
  <c r="H12" i="29"/>
  <c r="I15" i="17"/>
  <c r="I15" i="20"/>
  <c r="I12" i="25"/>
  <c r="I12" i="26"/>
  <c r="I12" i="29"/>
  <c r="J15" i="17"/>
  <c r="J15" i="20"/>
  <c r="J12" i="25"/>
  <c r="J12" i="26"/>
  <c r="J12" i="29"/>
  <c r="K15" i="17"/>
  <c r="K15" i="20"/>
  <c r="K12" i="25"/>
  <c r="K12" i="26"/>
  <c r="K12" i="29"/>
  <c r="B16" i="17"/>
  <c r="B16" i="20"/>
  <c r="B13" i="25"/>
  <c r="B13" i="26"/>
  <c r="B13" i="29"/>
  <c r="C16" i="17"/>
  <c r="C16" i="20"/>
  <c r="C13" i="25"/>
  <c r="C13" i="26"/>
  <c r="C13" i="29"/>
  <c r="D16" i="17"/>
  <c r="D16" i="20"/>
  <c r="D13" i="25"/>
  <c r="D13" i="26"/>
  <c r="D13" i="29"/>
  <c r="E16" i="17"/>
  <c r="E16" i="20"/>
  <c r="E13" i="25"/>
  <c r="E13" i="26"/>
  <c r="E13" i="29"/>
  <c r="F16" i="17"/>
  <c r="F16" i="20"/>
  <c r="F13" i="25"/>
  <c r="F13" i="26"/>
  <c r="F13" i="29"/>
  <c r="G16" i="17"/>
  <c r="G16" i="20"/>
  <c r="G13" i="25"/>
  <c r="G13" i="26"/>
  <c r="G13" i="29"/>
  <c r="H16" i="17"/>
  <c r="H16" i="20"/>
  <c r="H13" i="25"/>
  <c r="H13" i="26"/>
  <c r="H13" i="29"/>
  <c r="I16" i="17"/>
  <c r="I16" i="20"/>
  <c r="I13" i="25"/>
  <c r="I13" i="26"/>
  <c r="I13" i="29"/>
  <c r="J16" i="17"/>
  <c r="J16" i="20"/>
  <c r="J13" i="25"/>
  <c r="J13" i="26"/>
  <c r="J13" i="29"/>
  <c r="K16" i="17"/>
  <c r="K16" i="20"/>
  <c r="K13" i="25"/>
  <c r="K13" i="26"/>
  <c r="K13" i="29"/>
  <c r="B17" i="17"/>
  <c r="B17" i="20"/>
  <c r="B14" i="25"/>
  <c r="B14" i="26"/>
  <c r="B14" i="29"/>
  <c r="C17" i="17"/>
  <c r="C17" i="20"/>
  <c r="C14" i="25"/>
  <c r="C14" i="26"/>
  <c r="C14" i="29"/>
  <c r="D17" i="17"/>
  <c r="D17" i="20"/>
  <c r="D14" i="25"/>
  <c r="D14" i="26"/>
  <c r="D14" i="29"/>
  <c r="E17" i="17"/>
  <c r="E17" i="20"/>
  <c r="E14" i="25"/>
  <c r="E14" i="26"/>
  <c r="E14" i="29"/>
  <c r="F17" i="17"/>
  <c r="F17" i="20"/>
  <c r="F14" i="25"/>
  <c r="F14" i="26"/>
  <c r="F14" i="29"/>
  <c r="G17" i="17"/>
  <c r="G17" i="20"/>
  <c r="G14" i="25"/>
  <c r="G14" i="26"/>
  <c r="G14" i="29"/>
  <c r="H17" i="17"/>
  <c r="H17" i="20"/>
  <c r="H14" i="25"/>
  <c r="H14" i="26"/>
  <c r="H14" i="29"/>
  <c r="I17" i="17"/>
  <c r="I17" i="20"/>
  <c r="I14" i="25"/>
  <c r="I14" i="26"/>
  <c r="I14" i="29"/>
  <c r="J17" i="17"/>
  <c r="J17" i="20"/>
  <c r="J14" i="25"/>
  <c r="J14" i="26"/>
  <c r="J14" i="29"/>
  <c r="K17" i="17"/>
  <c r="K17" i="20"/>
  <c r="K14" i="25"/>
  <c r="K14" i="26"/>
  <c r="K14" i="29"/>
  <c r="B18" i="17"/>
  <c r="B18" i="20"/>
  <c r="B15" i="25"/>
  <c r="B15" i="26"/>
  <c r="B15" i="29"/>
  <c r="C18" i="17"/>
  <c r="C18" i="20"/>
  <c r="C15" i="25"/>
  <c r="C15" i="26"/>
  <c r="C15" i="29"/>
  <c r="D18" i="17"/>
  <c r="D18" i="20"/>
  <c r="D15" i="25"/>
  <c r="D15" i="26"/>
  <c r="D15" i="29"/>
  <c r="E18" i="17"/>
  <c r="E18" i="20"/>
  <c r="E15" i="25"/>
  <c r="E15" i="26"/>
  <c r="E15" i="29"/>
  <c r="F18" i="17"/>
  <c r="F18" i="20"/>
  <c r="F15" i="25"/>
  <c r="F15" i="26"/>
  <c r="F15" i="29"/>
  <c r="G18" i="17"/>
  <c r="G18" i="20"/>
  <c r="G15" i="25"/>
  <c r="G15" i="26"/>
  <c r="G15" i="29"/>
  <c r="H18" i="17"/>
  <c r="H18" i="20"/>
  <c r="H15" i="25"/>
  <c r="H15" i="26"/>
  <c r="H15" i="29"/>
  <c r="I18" i="17"/>
  <c r="I18" i="20"/>
  <c r="I15" i="25"/>
  <c r="I15" i="26"/>
  <c r="I15" i="29"/>
  <c r="J18" i="17"/>
  <c r="J18" i="20"/>
  <c r="J15" i="25"/>
  <c r="J15" i="26"/>
  <c r="J15" i="29"/>
  <c r="K18" i="17"/>
  <c r="K18" i="20"/>
  <c r="K15" i="25"/>
  <c r="K15" i="26"/>
  <c r="K15" i="29"/>
  <c r="B19" i="17"/>
  <c r="B19" i="20"/>
  <c r="B16" i="25"/>
  <c r="B16" i="26"/>
  <c r="B16" i="29"/>
  <c r="C19" i="17"/>
  <c r="C19" i="20"/>
  <c r="C16" i="25"/>
  <c r="C16" i="26"/>
  <c r="C16" i="29"/>
  <c r="D19" i="17"/>
  <c r="D19" i="20"/>
  <c r="D16" i="25"/>
  <c r="D16" i="26"/>
  <c r="D16" i="29"/>
  <c r="E19" i="17"/>
  <c r="E19" i="20"/>
  <c r="E16" i="25"/>
  <c r="E16" i="26"/>
  <c r="E16" i="29"/>
  <c r="F19" i="17"/>
  <c r="F19" i="20"/>
  <c r="F16" i="25"/>
  <c r="F16" i="26"/>
  <c r="F16" i="29"/>
  <c r="G19" i="17"/>
  <c r="G19" i="20"/>
  <c r="G16" i="25"/>
  <c r="G16" i="26"/>
  <c r="G16" i="29"/>
  <c r="H19" i="17"/>
  <c r="H19" i="20"/>
  <c r="H16" i="25"/>
  <c r="H16" i="26"/>
  <c r="H16" i="29"/>
  <c r="I19" i="17"/>
  <c r="I19" i="20"/>
  <c r="I16" i="25"/>
  <c r="I16" i="26"/>
  <c r="I16" i="29"/>
  <c r="J19" i="17"/>
  <c r="J19" i="20"/>
  <c r="J16" i="25"/>
  <c r="J16" i="26"/>
  <c r="J16" i="29"/>
  <c r="K19" i="17"/>
  <c r="K19" i="20"/>
  <c r="K16" i="25"/>
  <c r="K16" i="26"/>
  <c r="K16" i="29"/>
  <c r="B36" i="17"/>
  <c r="B36" i="20"/>
  <c r="B18" i="25"/>
  <c r="B18" i="26"/>
  <c r="B18" i="29"/>
  <c r="C36" i="17"/>
  <c r="C36" i="20"/>
  <c r="C18" i="25"/>
  <c r="C18" i="26"/>
  <c r="C18" i="29"/>
  <c r="D36" i="17"/>
  <c r="D36" i="20"/>
  <c r="D18" i="25"/>
  <c r="D18" i="26"/>
  <c r="D18" i="29"/>
  <c r="E36" i="17"/>
  <c r="E36" i="20"/>
  <c r="E18" i="25"/>
  <c r="E18" i="26"/>
  <c r="E18" i="29"/>
  <c r="F36" i="17"/>
  <c r="F36" i="20"/>
  <c r="F18" i="25"/>
  <c r="F18" i="26"/>
  <c r="F18" i="29"/>
  <c r="G36" i="17"/>
  <c r="G36" i="20"/>
  <c r="G18" i="25"/>
  <c r="G18" i="26"/>
  <c r="G18" i="29"/>
  <c r="H36" i="17"/>
  <c r="H36" i="20"/>
  <c r="H18" i="25"/>
  <c r="H18" i="26"/>
  <c r="H18" i="29"/>
  <c r="I36" i="17"/>
  <c r="I36" i="20"/>
  <c r="I18" i="25"/>
  <c r="I18" i="26"/>
  <c r="I18" i="29"/>
  <c r="J36" i="17"/>
  <c r="J36" i="20"/>
  <c r="J18" i="25"/>
  <c r="J18" i="26"/>
  <c r="J18" i="29"/>
  <c r="K36" i="17"/>
  <c r="K36" i="20"/>
  <c r="K18" i="25"/>
  <c r="K18" i="26"/>
  <c r="K18" i="29"/>
  <c r="B37" i="17"/>
  <c r="B37" i="20"/>
  <c r="B19" i="25"/>
  <c r="B19" i="26"/>
  <c r="B19" i="29"/>
  <c r="C37" i="17"/>
  <c r="C37" i="20"/>
  <c r="C19" i="25"/>
  <c r="C19" i="26"/>
  <c r="C19" i="29"/>
  <c r="D37" i="17"/>
  <c r="D37" i="20"/>
  <c r="D19" i="25"/>
  <c r="D19" i="26"/>
  <c r="D19" i="29"/>
  <c r="E37" i="17"/>
  <c r="E37" i="20"/>
  <c r="E19" i="25"/>
  <c r="E19" i="26"/>
  <c r="E19" i="29"/>
  <c r="F37" i="17"/>
  <c r="F37" i="20"/>
  <c r="F19" i="25"/>
  <c r="F19" i="26"/>
  <c r="F19" i="29"/>
  <c r="G37" i="17"/>
  <c r="G37" i="20"/>
  <c r="G19" i="25"/>
  <c r="G19" i="26"/>
  <c r="G19" i="29"/>
  <c r="H37" i="17"/>
  <c r="H37" i="20"/>
  <c r="H19" i="25"/>
  <c r="H19" i="26"/>
  <c r="H19" i="29"/>
  <c r="I37" i="17"/>
  <c r="I37" i="20"/>
  <c r="I19" i="25"/>
  <c r="I19" i="26"/>
  <c r="I19" i="29"/>
  <c r="J37" i="17"/>
  <c r="J37" i="20"/>
  <c r="J19" i="25"/>
  <c r="J19" i="26"/>
  <c r="J19" i="29"/>
  <c r="K37" i="17"/>
  <c r="K37" i="20"/>
  <c r="K19" i="25"/>
  <c r="K19" i="26"/>
  <c r="K19" i="29"/>
  <c r="B38" i="17"/>
  <c r="B38" i="20"/>
  <c r="B20" i="25"/>
  <c r="B20" i="26"/>
  <c r="B20" i="29"/>
  <c r="C38" i="17"/>
  <c r="C38" i="20"/>
  <c r="C20" i="25"/>
  <c r="C20" i="26"/>
  <c r="C20" i="29"/>
  <c r="D38" i="17"/>
  <c r="D38" i="20"/>
  <c r="D20" i="25"/>
  <c r="D20" i="26"/>
  <c r="D20" i="29"/>
  <c r="E38" i="17"/>
  <c r="E38" i="20"/>
  <c r="E20" i="25"/>
  <c r="E20" i="26"/>
  <c r="E20" i="29"/>
  <c r="F38" i="17"/>
  <c r="F38" i="20"/>
  <c r="F20" i="25"/>
  <c r="F20" i="26"/>
  <c r="F20" i="29"/>
  <c r="G38" i="17"/>
  <c r="G38" i="20"/>
  <c r="G20" i="25"/>
  <c r="G20" i="26"/>
  <c r="G20" i="29"/>
  <c r="H38" i="17"/>
  <c r="H38" i="20"/>
  <c r="H20" i="25"/>
  <c r="H20" i="26"/>
  <c r="H20" i="29"/>
  <c r="I38" i="17"/>
  <c r="I38" i="20"/>
  <c r="I20" i="25"/>
  <c r="I20" i="26"/>
  <c r="I20" i="29"/>
  <c r="J38" i="17"/>
  <c r="J38" i="20"/>
  <c r="J20" i="25"/>
  <c r="J20" i="26"/>
  <c r="J20" i="29"/>
  <c r="K38" i="17"/>
  <c r="K38" i="20"/>
  <c r="K20" i="25"/>
  <c r="K20" i="26"/>
  <c r="K20" i="29"/>
  <c r="B39" i="17"/>
  <c r="B39" i="20"/>
  <c r="B21" i="25"/>
  <c r="B21" i="26"/>
  <c r="B21" i="29"/>
  <c r="C39" i="17"/>
  <c r="C39" i="20"/>
  <c r="C21" i="25"/>
  <c r="C21" i="26"/>
  <c r="C21" i="29"/>
  <c r="D39" i="17"/>
  <c r="D39" i="20"/>
  <c r="D21" i="25"/>
  <c r="D21" i="26"/>
  <c r="D21" i="29"/>
  <c r="E39" i="17"/>
  <c r="E39" i="20"/>
  <c r="E21" i="25"/>
  <c r="E21" i="26"/>
  <c r="E21" i="29"/>
  <c r="F39" i="17"/>
  <c r="F39" i="20"/>
  <c r="F21" i="25"/>
  <c r="F21" i="26"/>
  <c r="F21" i="29"/>
  <c r="G39" i="17"/>
  <c r="G39" i="20"/>
  <c r="G21" i="25"/>
  <c r="G21" i="26"/>
  <c r="G21" i="29"/>
  <c r="H39" i="17"/>
  <c r="H39" i="20"/>
  <c r="H21" i="25"/>
  <c r="H21" i="26"/>
  <c r="H21" i="29"/>
  <c r="I39" i="17"/>
  <c r="I39" i="20"/>
  <c r="I21" i="25"/>
  <c r="I21" i="26"/>
  <c r="I21" i="29"/>
  <c r="J39" i="17"/>
  <c r="J39" i="20"/>
  <c r="J21" i="25"/>
  <c r="J21" i="26"/>
  <c r="J21" i="29"/>
  <c r="K39" i="17"/>
  <c r="K39" i="20"/>
  <c r="K21" i="25"/>
  <c r="K21" i="26"/>
  <c r="K21" i="29"/>
  <c r="B40" i="17"/>
  <c r="B40" i="20"/>
  <c r="B22" i="25"/>
  <c r="B22" i="26"/>
  <c r="B22" i="29"/>
  <c r="C40" i="17"/>
  <c r="C40" i="20"/>
  <c r="C22" i="25"/>
  <c r="C22" i="26"/>
  <c r="C22" i="29"/>
  <c r="D40" i="17"/>
  <c r="D40" i="20"/>
  <c r="D22" i="25"/>
  <c r="D22" i="26"/>
  <c r="D22" i="29"/>
  <c r="E40" i="17"/>
  <c r="E40" i="20"/>
  <c r="E22" i="25"/>
  <c r="E22" i="26"/>
  <c r="E22" i="29"/>
  <c r="F40" i="17"/>
  <c r="F40" i="20"/>
  <c r="F22" i="25"/>
  <c r="F22" i="26"/>
  <c r="F22" i="29"/>
  <c r="G40" i="17"/>
  <c r="G40" i="20"/>
  <c r="G22" i="25"/>
  <c r="G22" i="26"/>
  <c r="G22" i="29"/>
  <c r="H40" i="17"/>
  <c r="H40" i="20"/>
  <c r="H22" i="25"/>
  <c r="H22" i="26"/>
  <c r="H22" i="29"/>
  <c r="I40" i="17"/>
  <c r="I40" i="20"/>
  <c r="I22" i="25"/>
  <c r="I22" i="26"/>
  <c r="I22" i="29"/>
  <c r="J40" i="17"/>
  <c r="J40" i="20"/>
  <c r="J22" i="25"/>
  <c r="J22" i="26"/>
  <c r="J22" i="29"/>
  <c r="K40" i="17"/>
  <c r="K40" i="20"/>
  <c r="K22" i="25"/>
  <c r="K22" i="26"/>
  <c r="K22" i="29"/>
  <c r="B41" i="17"/>
  <c r="B41" i="20"/>
  <c r="B23" i="25"/>
  <c r="B23" i="26"/>
  <c r="B23" i="29"/>
  <c r="C41" i="17"/>
  <c r="C41" i="20"/>
  <c r="C23" i="25"/>
  <c r="C23" i="26"/>
  <c r="C23" i="29"/>
  <c r="D41" i="17"/>
  <c r="D41" i="20"/>
  <c r="D23" i="25"/>
  <c r="D23" i="26"/>
  <c r="D23" i="29"/>
  <c r="E41" i="17"/>
  <c r="E41" i="20"/>
  <c r="E23" i="25"/>
  <c r="E23" i="26"/>
  <c r="E23" i="29"/>
  <c r="F41" i="17"/>
  <c r="F41" i="20"/>
  <c r="F23" i="25"/>
  <c r="F23" i="26"/>
  <c r="F23" i="29"/>
  <c r="G41" i="17"/>
  <c r="G41" i="20"/>
  <c r="G23" i="25"/>
  <c r="G23" i="26"/>
  <c r="G23" i="29"/>
  <c r="H41" i="17"/>
  <c r="H41" i="20"/>
  <c r="H23" i="25"/>
  <c r="H23" i="26"/>
  <c r="H23" i="29"/>
  <c r="I41" i="17"/>
  <c r="I41" i="20"/>
  <c r="I23" i="25"/>
  <c r="I23" i="26"/>
  <c r="I23" i="29"/>
  <c r="J41" i="17"/>
  <c r="J41" i="20"/>
  <c r="J23" i="25"/>
  <c r="J23" i="26"/>
  <c r="J23" i="29"/>
  <c r="K41" i="17"/>
  <c r="K41" i="20"/>
  <c r="K23" i="25"/>
  <c r="K23" i="26"/>
  <c r="K23" i="29"/>
  <c r="B42" i="22"/>
  <c r="B35" i="17"/>
  <c r="B35" i="20"/>
  <c r="B54" i="22"/>
  <c r="B28" i="25"/>
  <c r="B28" i="26"/>
  <c r="B28" i="29"/>
  <c r="C42" i="22"/>
  <c r="C35" i="17"/>
  <c r="C35" i="20"/>
  <c r="C54" i="22"/>
  <c r="C28" i="25"/>
  <c r="C28" i="26"/>
  <c r="C28" i="29"/>
  <c r="D42" i="22"/>
  <c r="D35" i="17"/>
  <c r="D35" i="20"/>
  <c r="D54" i="22"/>
  <c r="D28" i="25"/>
  <c r="D28" i="26"/>
  <c r="D28" i="29"/>
  <c r="E42" i="22"/>
  <c r="E35" i="17"/>
  <c r="E35" i="20"/>
  <c r="E54" i="22"/>
  <c r="E28" i="25"/>
  <c r="E28" i="26"/>
  <c r="E28" i="29"/>
  <c r="F42" i="22"/>
  <c r="F35" i="17"/>
  <c r="F35" i="20"/>
  <c r="F54" i="22"/>
  <c r="F28" i="25"/>
  <c r="F28" i="26"/>
  <c r="F28" i="29"/>
  <c r="G42" i="22"/>
  <c r="G35" i="17"/>
  <c r="G35" i="20"/>
  <c r="G54" i="22"/>
  <c r="G28" i="25"/>
  <c r="G28" i="26"/>
  <c r="G28" i="29"/>
  <c r="H42" i="22"/>
  <c r="H35" i="17"/>
  <c r="H35" i="20"/>
  <c r="H54" i="22"/>
  <c r="H28" i="25"/>
  <c r="H28" i="26"/>
  <c r="H28" i="29"/>
  <c r="I42" i="22"/>
  <c r="I35" i="17"/>
  <c r="I35" i="20"/>
  <c r="I54" i="22"/>
  <c r="I28" i="25"/>
  <c r="I28" i="26"/>
  <c r="I28" i="29"/>
  <c r="J42" i="22"/>
  <c r="J35" i="17"/>
  <c r="J35" i="20"/>
  <c r="J54" i="22"/>
  <c r="J28" i="25"/>
  <c r="J28" i="26"/>
  <c r="J28" i="29"/>
  <c r="K42" i="22"/>
  <c r="K35" i="17"/>
  <c r="K35" i="20"/>
  <c r="K54" i="22"/>
  <c r="K28" i="25"/>
  <c r="K28" i="26"/>
  <c r="K28" i="29"/>
  <c r="B5" i="18"/>
  <c r="B6" i="18"/>
  <c r="B7" i="18"/>
  <c r="B8" i="18"/>
  <c r="B12" i="18"/>
  <c r="B36" i="18"/>
  <c r="B4" i="17"/>
  <c r="B4" i="18"/>
  <c r="B43" i="22"/>
  <c r="B30" i="22"/>
  <c r="B17" i="22"/>
  <c r="B4" i="20"/>
  <c r="B55" i="22"/>
  <c r="B29" i="25"/>
  <c r="B29" i="26"/>
  <c r="B29" i="29"/>
  <c r="C5" i="18"/>
  <c r="C6" i="18"/>
  <c r="C7" i="18"/>
  <c r="C8" i="18"/>
  <c r="C12" i="18"/>
  <c r="C36" i="18"/>
  <c r="C4" i="17"/>
  <c r="C4" i="18"/>
  <c r="C43" i="22"/>
  <c r="C30" i="22"/>
  <c r="C17" i="22"/>
  <c r="C4" i="20"/>
  <c r="C55" i="22"/>
  <c r="C29" i="25"/>
  <c r="C29" i="26"/>
  <c r="C29" i="29"/>
  <c r="D5" i="18"/>
  <c r="D6" i="18"/>
  <c r="D7" i="18"/>
  <c r="D8" i="18"/>
  <c r="D12" i="18"/>
  <c r="D36" i="18"/>
  <c r="D4" i="17"/>
  <c r="D4" i="18"/>
  <c r="D43" i="22"/>
  <c r="D30" i="22"/>
  <c r="D17" i="22"/>
  <c r="D4" i="20"/>
  <c r="D55" i="22"/>
  <c r="D29" i="25"/>
  <c r="D29" i="26"/>
  <c r="D29" i="29"/>
  <c r="E5" i="18"/>
  <c r="E6" i="18"/>
  <c r="E7" i="18"/>
  <c r="E8" i="18"/>
  <c r="E12" i="18"/>
  <c r="E36" i="18"/>
  <c r="E4" i="17"/>
  <c r="E4" i="18"/>
  <c r="E43" i="22"/>
  <c r="E30" i="22"/>
  <c r="E17" i="22"/>
  <c r="E4" i="20"/>
  <c r="E55" i="22"/>
  <c r="E29" i="25"/>
  <c r="E29" i="26"/>
  <c r="E29" i="29"/>
  <c r="F5" i="18"/>
  <c r="F6" i="18"/>
  <c r="F7" i="18"/>
  <c r="F8" i="18"/>
  <c r="F12" i="18"/>
  <c r="F36" i="18"/>
  <c r="F4" i="17"/>
  <c r="F4" i="18"/>
  <c r="F43" i="22"/>
  <c r="F30" i="22"/>
  <c r="F17" i="22"/>
  <c r="F4" i="20"/>
  <c r="F55" i="22"/>
  <c r="F29" i="25"/>
  <c r="F29" i="26"/>
  <c r="F29" i="29"/>
  <c r="G5" i="18"/>
  <c r="G6" i="18"/>
  <c r="G7" i="18"/>
  <c r="G8" i="18"/>
  <c r="G12" i="18"/>
  <c r="G36" i="18"/>
  <c r="G4" i="17"/>
  <c r="G4" i="18"/>
  <c r="G43" i="22"/>
  <c r="G30" i="22"/>
  <c r="G17" i="22"/>
  <c r="G4" i="20"/>
  <c r="G55" i="22"/>
  <c r="G29" i="25"/>
  <c r="G29" i="26"/>
  <c r="G29" i="29"/>
  <c r="H5" i="18"/>
  <c r="H6" i="18"/>
  <c r="H7" i="18"/>
  <c r="H8" i="18"/>
  <c r="H12" i="18"/>
  <c r="H36" i="18"/>
  <c r="H4" i="17"/>
  <c r="H4" i="18"/>
  <c r="H43" i="22"/>
  <c r="H30" i="22"/>
  <c r="H17" i="22"/>
  <c r="H4" i="20"/>
  <c r="H55" i="22"/>
  <c r="H29" i="25"/>
  <c r="H29" i="26"/>
  <c r="H29" i="29"/>
  <c r="I5" i="18"/>
  <c r="I6" i="18"/>
  <c r="I7" i="18"/>
  <c r="I8" i="18"/>
  <c r="I12" i="18"/>
  <c r="I36" i="18"/>
  <c r="I4" i="17"/>
  <c r="I4" i="18"/>
  <c r="I43" i="22"/>
  <c r="I30" i="22"/>
  <c r="I17" i="22"/>
  <c r="I4" i="20"/>
  <c r="I55" i="22"/>
  <c r="I29" i="25"/>
  <c r="I29" i="26"/>
  <c r="I29" i="29"/>
  <c r="J5" i="18"/>
  <c r="J6" i="18"/>
  <c r="J7" i="18"/>
  <c r="J8" i="18"/>
  <c r="J12" i="18"/>
  <c r="J36" i="18"/>
  <c r="J4" i="17"/>
  <c r="J4" i="18"/>
  <c r="J43" i="22"/>
  <c r="J30" i="22"/>
  <c r="J17" i="22"/>
  <c r="J4" i="20"/>
  <c r="J55" i="22"/>
  <c r="J29" i="25"/>
  <c r="J29" i="26"/>
  <c r="J29" i="29"/>
  <c r="K5" i="18"/>
  <c r="K6" i="18"/>
  <c r="K7" i="18"/>
  <c r="K8" i="18"/>
  <c r="K12" i="18"/>
  <c r="K36" i="18"/>
  <c r="K4" i="17"/>
  <c r="K4" i="18"/>
  <c r="K43" i="22"/>
  <c r="K30" i="22"/>
  <c r="K17" i="22"/>
  <c r="K4" i="20"/>
  <c r="K55" i="22"/>
  <c r="K29" i="25"/>
  <c r="K29" i="26"/>
  <c r="K29" i="29"/>
  <c r="B13" i="18"/>
  <c r="B37" i="18"/>
  <c r="B44" i="22"/>
  <c r="B31" i="22"/>
  <c r="B18" i="22"/>
  <c r="B56" i="22"/>
  <c r="B30" i="25"/>
  <c r="B30" i="26"/>
  <c r="B30" i="29"/>
  <c r="C13" i="18"/>
  <c r="C37" i="18"/>
  <c r="C44" i="22"/>
  <c r="C31" i="22"/>
  <c r="C18" i="22"/>
  <c r="C56" i="22"/>
  <c r="C30" i="25"/>
  <c r="C30" i="26"/>
  <c r="C30" i="29"/>
  <c r="D13" i="18"/>
  <c r="D37" i="18"/>
  <c r="D44" i="22"/>
  <c r="D31" i="22"/>
  <c r="D18" i="22"/>
  <c r="D56" i="22"/>
  <c r="D30" i="25"/>
  <c r="D30" i="26"/>
  <c r="D30" i="29"/>
  <c r="E13" i="18"/>
  <c r="E37" i="18"/>
  <c r="E44" i="22"/>
  <c r="E31" i="22"/>
  <c r="E18" i="22"/>
  <c r="E56" i="22"/>
  <c r="E30" i="25"/>
  <c r="E30" i="26"/>
  <c r="E30" i="29"/>
  <c r="F13" i="18"/>
  <c r="F37" i="18"/>
  <c r="F44" i="22"/>
  <c r="F31" i="22"/>
  <c r="F18" i="22"/>
  <c r="F56" i="22"/>
  <c r="F30" i="25"/>
  <c r="F30" i="26"/>
  <c r="F30" i="29"/>
  <c r="G13" i="18"/>
  <c r="G37" i="18"/>
  <c r="G44" i="22"/>
  <c r="G31" i="22"/>
  <c r="G18" i="22"/>
  <c r="G56" i="22"/>
  <c r="G30" i="25"/>
  <c r="G30" i="26"/>
  <c r="G30" i="29"/>
  <c r="H13" i="18"/>
  <c r="H37" i="18"/>
  <c r="H44" i="22"/>
  <c r="H31" i="22"/>
  <c r="H18" i="22"/>
  <c r="H56" i="22"/>
  <c r="H30" i="25"/>
  <c r="H30" i="26"/>
  <c r="H30" i="29"/>
  <c r="I13" i="18"/>
  <c r="I37" i="18"/>
  <c r="I44" i="22"/>
  <c r="I31" i="22"/>
  <c r="I18" i="22"/>
  <c r="I56" i="22"/>
  <c r="I30" i="25"/>
  <c r="I30" i="26"/>
  <c r="I30" i="29"/>
  <c r="J13" i="18"/>
  <c r="J37" i="18"/>
  <c r="J44" i="22"/>
  <c r="J31" i="22"/>
  <c r="J18" i="22"/>
  <c r="J56" i="22"/>
  <c r="J30" i="25"/>
  <c r="J30" i="26"/>
  <c r="J30" i="29"/>
  <c r="K13" i="18"/>
  <c r="K37" i="18"/>
  <c r="K44" i="22"/>
  <c r="K31" i="22"/>
  <c r="K18" i="22"/>
  <c r="K56" i="22"/>
  <c r="K30" i="25"/>
  <c r="K30" i="26"/>
  <c r="K30" i="29"/>
  <c r="B14" i="18"/>
  <c r="B38" i="18"/>
  <c r="B45" i="22"/>
  <c r="B32" i="22"/>
  <c r="B19" i="22"/>
  <c r="B57" i="22"/>
  <c r="B31" i="25"/>
  <c r="B31" i="26"/>
  <c r="B31" i="29"/>
  <c r="C14" i="18"/>
  <c r="C38" i="18"/>
  <c r="C45" i="22"/>
  <c r="C32" i="22"/>
  <c r="C19" i="22"/>
  <c r="C57" i="22"/>
  <c r="C31" i="25"/>
  <c r="C31" i="26"/>
  <c r="C31" i="29"/>
  <c r="D14" i="18"/>
  <c r="D38" i="18"/>
  <c r="D45" i="22"/>
  <c r="D32" i="22"/>
  <c r="D19" i="22"/>
  <c r="D57" i="22"/>
  <c r="D31" i="25"/>
  <c r="D31" i="26"/>
  <c r="D31" i="29"/>
  <c r="E14" i="18"/>
  <c r="E38" i="18"/>
  <c r="E45" i="22"/>
  <c r="E32" i="22"/>
  <c r="E19" i="22"/>
  <c r="E57" i="22"/>
  <c r="E31" i="25"/>
  <c r="E31" i="26"/>
  <c r="E31" i="29"/>
  <c r="F14" i="18"/>
  <c r="F38" i="18"/>
  <c r="F45" i="22"/>
  <c r="F32" i="22"/>
  <c r="F19" i="22"/>
  <c r="F57" i="22"/>
  <c r="F31" i="25"/>
  <c r="F31" i="26"/>
  <c r="F31" i="29"/>
  <c r="G14" i="18"/>
  <c r="G38" i="18"/>
  <c r="G45" i="22"/>
  <c r="G32" i="22"/>
  <c r="G19" i="22"/>
  <c r="G57" i="22"/>
  <c r="G31" i="25"/>
  <c r="G31" i="26"/>
  <c r="G31" i="29"/>
  <c r="H14" i="18"/>
  <c r="H38" i="18"/>
  <c r="H45" i="22"/>
  <c r="H32" i="22"/>
  <c r="H19" i="22"/>
  <c r="H57" i="22"/>
  <c r="H31" i="25"/>
  <c r="H31" i="26"/>
  <c r="H31" i="29"/>
  <c r="I14" i="18"/>
  <c r="I38" i="18"/>
  <c r="I45" i="22"/>
  <c r="I32" i="22"/>
  <c r="I19" i="22"/>
  <c r="I57" i="22"/>
  <c r="I31" i="25"/>
  <c r="I31" i="26"/>
  <c r="I31" i="29"/>
  <c r="J14" i="18"/>
  <c r="J38" i="18"/>
  <c r="J45" i="22"/>
  <c r="J32" i="22"/>
  <c r="J19" i="22"/>
  <c r="J57" i="22"/>
  <c r="J31" i="25"/>
  <c r="J31" i="26"/>
  <c r="J31" i="29"/>
  <c r="K14" i="18"/>
  <c r="K38" i="18"/>
  <c r="K45" i="22"/>
  <c r="K32" i="22"/>
  <c r="K19" i="22"/>
  <c r="K57" i="22"/>
  <c r="K31" i="25"/>
  <c r="K31" i="26"/>
  <c r="K31" i="29"/>
  <c r="B15" i="18"/>
  <c r="B39" i="18"/>
  <c r="B46" i="22"/>
  <c r="B33" i="22"/>
  <c r="B20" i="22"/>
  <c r="B10" i="20"/>
  <c r="B58" i="22"/>
  <c r="B32" i="25"/>
  <c r="B32" i="26"/>
  <c r="B32" i="29"/>
  <c r="C15" i="18"/>
  <c r="C39" i="18"/>
  <c r="C46" i="22"/>
  <c r="C33" i="22"/>
  <c r="C20" i="22"/>
  <c r="C10" i="20"/>
  <c r="C58" i="22"/>
  <c r="C32" i="25"/>
  <c r="C32" i="26"/>
  <c r="C32" i="29"/>
  <c r="D15" i="18"/>
  <c r="D39" i="18"/>
  <c r="D46" i="22"/>
  <c r="D33" i="22"/>
  <c r="D20" i="22"/>
  <c r="D10" i="20"/>
  <c r="D58" i="22"/>
  <c r="D32" i="25"/>
  <c r="D32" i="26"/>
  <c r="D32" i="29"/>
  <c r="E15" i="18"/>
  <c r="E39" i="18"/>
  <c r="E46" i="22"/>
  <c r="E33" i="22"/>
  <c r="E20" i="22"/>
  <c r="E10" i="20"/>
  <c r="E58" i="22"/>
  <c r="E32" i="25"/>
  <c r="E32" i="26"/>
  <c r="E32" i="29"/>
  <c r="F15" i="18"/>
  <c r="F39" i="18"/>
  <c r="F46" i="22"/>
  <c r="F33" i="22"/>
  <c r="F20" i="22"/>
  <c r="F10" i="20"/>
  <c r="F58" i="22"/>
  <c r="F32" i="25"/>
  <c r="F32" i="26"/>
  <c r="F32" i="29"/>
  <c r="G15" i="18"/>
  <c r="G39" i="18"/>
  <c r="G46" i="22"/>
  <c r="G33" i="22"/>
  <c r="G20" i="22"/>
  <c r="G10" i="20"/>
  <c r="G58" i="22"/>
  <c r="G32" i="25"/>
  <c r="G32" i="26"/>
  <c r="G32" i="29"/>
  <c r="H15" i="18"/>
  <c r="H39" i="18"/>
  <c r="H46" i="22"/>
  <c r="H33" i="22"/>
  <c r="H20" i="22"/>
  <c r="H10" i="20"/>
  <c r="H58" i="22"/>
  <c r="H32" i="25"/>
  <c r="H32" i="26"/>
  <c r="H32" i="29"/>
  <c r="I15" i="18"/>
  <c r="I39" i="18"/>
  <c r="I46" i="22"/>
  <c r="I33" i="22"/>
  <c r="I20" i="22"/>
  <c r="I10" i="20"/>
  <c r="I58" i="22"/>
  <c r="I32" i="25"/>
  <c r="I32" i="26"/>
  <c r="I32" i="29"/>
  <c r="J15" i="18"/>
  <c r="J39" i="18"/>
  <c r="J46" i="22"/>
  <c r="J33" i="22"/>
  <c r="J20" i="22"/>
  <c r="J10" i="20"/>
  <c r="J58" i="22"/>
  <c r="J32" i="25"/>
  <c r="J32" i="26"/>
  <c r="J32" i="29"/>
  <c r="K15" i="18"/>
  <c r="K39" i="18"/>
  <c r="K46" i="22"/>
  <c r="K33" i="22"/>
  <c r="K20" i="22"/>
  <c r="K10" i="20"/>
  <c r="K58" i="22"/>
  <c r="K32" i="25"/>
  <c r="K32" i="26"/>
  <c r="K32" i="29"/>
  <c r="B16" i="18"/>
  <c r="B40" i="18"/>
  <c r="B47" i="22"/>
  <c r="B34" i="22"/>
  <c r="B21" i="22"/>
  <c r="B59" i="22"/>
  <c r="B33" i="25"/>
  <c r="B33" i="26"/>
  <c r="B33" i="29"/>
  <c r="C16" i="18"/>
  <c r="C40" i="18"/>
  <c r="C47" i="22"/>
  <c r="C34" i="22"/>
  <c r="C21" i="22"/>
  <c r="C59" i="22"/>
  <c r="C33" i="25"/>
  <c r="C33" i="26"/>
  <c r="C33" i="29"/>
  <c r="D16" i="18"/>
  <c r="D40" i="18"/>
  <c r="D47" i="22"/>
  <c r="D34" i="22"/>
  <c r="D21" i="22"/>
  <c r="D59" i="22"/>
  <c r="D33" i="25"/>
  <c r="D33" i="26"/>
  <c r="D33" i="29"/>
  <c r="E16" i="18"/>
  <c r="E40" i="18"/>
  <c r="E47" i="22"/>
  <c r="E34" i="22"/>
  <c r="E21" i="22"/>
  <c r="E59" i="22"/>
  <c r="E33" i="25"/>
  <c r="E33" i="26"/>
  <c r="E33" i="29"/>
  <c r="F16" i="18"/>
  <c r="F40" i="18"/>
  <c r="F47" i="22"/>
  <c r="F34" i="22"/>
  <c r="F21" i="22"/>
  <c r="F59" i="22"/>
  <c r="F33" i="25"/>
  <c r="F33" i="26"/>
  <c r="F33" i="29"/>
  <c r="G16" i="18"/>
  <c r="G40" i="18"/>
  <c r="G47" i="22"/>
  <c r="G34" i="22"/>
  <c r="G21" i="22"/>
  <c r="G59" i="22"/>
  <c r="G33" i="25"/>
  <c r="G33" i="26"/>
  <c r="G33" i="29"/>
  <c r="H16" i="18"/>
  <c r="H40" i="18"/>
  <c r="H47" i="22"/>
  <c r="H34" i="22"/>
  <c r="H21" i="22"/>
  <c r="H59" i="22"/>
  <c r="H33" i="25"/>
  <c r="H33" i="26"/>
  <c r="H33" i="29"/>
  <c r="I16" i="18"/>
  <c r="I40" i="18"/>
  <c r="I47" i="22"/>
  <c r="I34" i="22"/>
  <c r="I21" i="22"/>
  <c r="I59" i="22"/>
  <c r="I33" i="25"/>
  <c r="I33" i="26"/>
  <c r="I33" i="29"/>
  <c r="J16" i="18"/>
  <c r="J40" i="18"/>
  <c r="J47" i="22"/>
  <c r="J34" i="22"/>
  <c r="J21" i="22"/>
  <c r="J59" i="22"/>
  <c r="J33" i="25"/>
  <c r="J33" i="26"/>
  <c r="J33" i="29"/>
  <c r="K16" i="18"/>
  <c r="K40" i="18"/>
  <c r="K47" i="22"/>
  <c r="K34" i="22"/>
  <c r="K21" i="22"/>
  <c r="K59" i="22"/>
  <c r="K33" i="25"/>
  <c r="K33" i="26"/>
  <c r="K33" i="29"/>
  <c r="B17" i="18"/>
  <c r="B41" i="18"/>
  <c r="B48" i="22"/>
  <c r="B35" i="22"/>
  <c r="B22" i="22"/>
  <c r="B60" i="22"/>
  <c r="B34" i="25"/>
  <c r="B34" i="26"/>
  <c r="B34" i="29"/>
  <c r="C17" i="18"/>
  <c r="C41" i="18"/>
  <c r="C48" i="22"/>
  <c r="C35" i="22"/>
  <c r="C22" i="22"/>
  <c r="C60" i="22"/>
  <c r="C34" i="25"/>
  <c r="C34" i="26"/>
  <c r="C34" i="29"/>
  <c r="D17" i="18"/>
  <c r="D41" i="18"/>
  <c r="D48" i="22"/>
  <c r="D35" i="22"/>
  <c r="D22" i="22"/>
  <c r="D60" i="22"/>
  <c r="D34" i="25"/>
  <c r="D34" i="26"/>
  <c r="D34" i="29"/>
  <c r="E17" i="18"/>
  <c r="E41" i="18"/>
  <c r="E48" i="22"/>
  <c r="E35" i="22"/>
  <c r="E22" i="22"/>
  <c r="E60" i="22"/>
  <c r="E34" i="25"/>
  <c r="E34" i="26"/>
  <c r="E34" i="29"/>
  <c r="F17" i="18"/>
  <c r="F41" i="18"/>
  <c r="F48" i="22"/>
  <c r="F35" i="22"/>
  <c r="F22" i="22"/>
  <c r="F60" i="22"/>
  <c r="F34" i="25"/>
  <c r="F34" i="26"/>
  <c r="F34" i="29"/>
  <c r="G17" i="18"/>
  <c r="G41" i="18"/>
  <c r="G48" i="22"/>
  <c r="G35" i="22"/>
  <c r="G22" i="22"/>
  <c r="G60" i="22"/>
  <c r="G34" i="25"/>
  <c r="G34" i="26"/>
  <c r="G34" i="29"/>
  <c r="H17" i="18"/>
  <c r="H41" i="18"/>
  <c r="H48" i="22"/>
  <c r="H35" i="22"/>
  <c r="H22" i="22"/>
  <c r="H60" i="22"/>
  <c r="H34" i="25"/>
  <c r="H34" i="26"/>
  <c r="H34" i="29"/>
  <c r="I17" i="18"/>
  <c r="I41" i="18"/>
  <c r="I48" i="22"/>
  <c r="I35" i="22"/>
  <c r="I22" i="22"/>
  <c r="I60" i="22"/>
  <c r="I34" i="25"/>
  <c r="I34" i="26"/>
  <c r="I34" i="29"/>
  <c r="J17" i="18"/>
  <c r="J41" i="18"/>
  <c r="J48" i="22"/>
  <c r="J35" i="22"/>
  <c r="J22" i="22"/>
  <c r="J60" i="22"/>
  <c r="J34" i="25"/>
  <c r="J34" i="26"/>
  <c r="J34" i="29"/>
  <c r="K17" i="18"/>
  <c r="K41" i="18"/>
  <c r="K48" i="22"/>
  <c r="K35" i="22"/>
  <c r="K22" i="22"/>
  <c r="K60" i="22"/>
  <c r="K34" i="25"/>
  <c r="K34" i="26"/>
  <c r="K34" i="29"/>
  <c r="B18" i="18"/>
  <c r="B49" i="22"/>
  <c r="B36" i="22"/>
  <c r="B23" i="22"/>
  <c r="B61" i="22"/>
  <c r="B35" i="25"/>
  <c r="B35" i="26"/>
  <c r="B35" i="29"/>
  <c r="C18" i="18"/>
  <c r="C49" i="22"/>
  <c r="C36" i="22"/>
  <c r="C23" i="22"/>
  <c r="C61" i="22"/>
  <c r="C35" i="25"/>
  <c r="C35" i="26"/>
  <c r="C35" i="29"/>
  <c r="D18" i="18"/>
  <c r="D49" i="22"/>
  <c r="D36" i="22"/>
  <c r="D23" i="22"/>
  <c r="D61" i="22"/>
  <c r="D35" i="25"/>
  <c r="D35" i="26"/>
  <c r="D35" i="29"/>
  <c r="E18" i="18"/>
  <c r="E49" i="22"/>
  <c r="E36" i="22"/>
  <c r="E23" i="22"/>
  <c r="E61" i="22"/>
  <c r="E35" i="25"/>
  <c r="E35" i="26"/>
  <c r="E35" i="29"/>
  <c r="F18" i="18"/>
  <c r="F49" i="22"/>
  <c r="F36" i="22"/>
  <c r="F23" i="22"/>
  <c r="F61" i="22"/>
  <c r="F35" i="25"/>
  <c r="F35" i="26"/>
  <c r="F35" i="29"/>
  <c r="G18" i="18"/>
  <c r="G49" i="22"/>
  <c r="G36" i="22"/>
  <c r="G23" i="22"/>
  <c r="G61" i="22"/>
  <c r="G35" i="25"/>
  <c r="G35" i="26"/>
  <c r="G35" i="29"/>
  <c r="H18" i="18"/>
  <c r="H49" i="22"/>
  <c r="H36" i="22"/>
  <c r="H23" i="22"/>
  <c r="H61" i="22"/>
  <c r="H35" i="25"/>
  <c r="H35" i="26"/>
  <c r="H35" i="29"/>
  <c r="I18" i="18"/>
  <c r="I49" i="22"/>
  <c r="I36" i="22"/>
  <c r="I23" i="22"/>
  <c r="I61" i="22"/>
  <c r="I35" i="25"/>
  <c r="I35" i="26"/>
  <c r="I35" i="29"/>
  <c r="J18" i="18"/>
  <c r="J49" i="22"/>
  <c r="J36" i="22"/>
  <c r="J23" i="22"/>
  <c r="J61" i="22"/>
  <c r="J35" i="25"/>
  <c r="J35" i="26"/>
  <c r="J35" i="29"/>
  <c r="K18" i="18"/>
  <c r="K49" i="22"/>
  <c r="K36" i="22"/>
  <c r="K23" i="22"/>
  <c r="K61" i="22"/>
  <c r="K35" i="25"/>
  <c r="K35" i="26"/>
  <c r="K35" i="29"/>
  <c r="B19" i="18"/>
  <c r="B50" i="22"/>
  <c r="B37" i="22"/>
  <c r="B24" i="22"/>
  <c r="B62" i="22"/>
  <c r="B36" i="25"/>
  <c r="B36" i="26"/>
  <c r="B36" i="29"/>
  <c r="C19" i="18"/>
  <c r="C50" i="22"/>
  <c r="C37" i="22"/>
  <c r="C24" i="22"/>
  <c r="C62" i="22"/>
  <c r="C36" i="25"/>
  <c r="C36" i="26"/>
  <c r="C36" i="29"/>
  <c r="D19" i="18"/>
  <c r="D50" i="22"/>
  <c r="D37" i="22"/>
  <c r="D24" i="22"/>
  <c r="D62" i="22"/>
  <c r="D36" i="25"/>
  <c r="D36" i="26"/>
  <c r="D36" i="29"/>
  <c r="E19" i="18"/>
  <c r="E50" i="22"/>
  <c r="E37" i="22"/>
  <c r="E24" i="22"/>
  <c r="E62" i="22"/>
  <c r="E36" i="25"/>
  <c r="E36" i="26"/>
  <c r="E36" i="29"/>
  <c r="F19" i="18"/>
  <c r="F50" i="22"/>
  <c r="F37" i="22"/>
  <c r="F24" i="22"/>
  <c r="F62" i="22"/>
  <c r="F36" i="25"/>
  <c r="F36" i="26"/>
  <c r="F36" i="29"/>
  <c r="G19" i="18"/>
  <c r="G50" i="22"/>
  <c r="G37" i="22"/>
  <c r="G24" i="22"/>
  <c r="G62" i="22"/>
  <c r="G36" i="25"/>
  <c r="G36" i="26"/>
  <c r="G36" i="29"/>
  <c r="H19" i="18"/>
  <c r="H50" i="22"/>
  <c r="H37" i="22"/>
  <c r="H24" i="22"/>
  <c r="H62" i="22"/>
  <c r="H36" i="25"/>
  <c r="H36" i="26"/>
  <c r="H36" i="29"/>
  <c r="I19" i="18"/>
  <c r="I50" i="22"/>
  <c r="I37" i="22"/>
  <c r="I24" i="22"/>
  <c r="I62" i="22"/>
  <c r="I36" i="25"/>
  <c r="I36" i="26"/>
  <c r="I36" i="29"/>
  <c r="J19" i="18"/>
  <c r="J50" i="22"/>
  <c r="J37" i="22"/>
  <c r="J24" i="22"/>
  <c r="J62" i="22"/>
  <c r="J36" i="25"/>
  <c r="J36" i="26"/>
  <c r="J36" i="29"/>
  <c r="K19" i="18"/>
  <c r="K50" i="22"/>
  <c r="K37" i="22"/>
  <c r="K24" i="22"/>
  <c r="K62" i="22"/>
  <c r="K36" i="25"/>
  <c r="K36" i="26"/>
  <c r="K36" i="29"/>
  <c r="B20" i="17"/>
  <c r="B20" i="18"/>
  <c r="B51" i="22"/>
  <c r="B38" i="22"/>
  <c r="B25" i="22"/>
  <c r="B20" i="20"/>
  <c r="B63" i="22"/>
  <c r="B37" i="25"/>
  <c r="B37" i="26"/>
  <c r="B37" i="29"/>
  <c r="C20" i="17"/>
  <c r="C20" i="18"/>
  <c r="C51" i="22"/>
  <c r="C38" i="22"/>
  <c r="C25" i="22"/>
  <c r="C20" i="20"/>
  <c r="C63" i="22"/>
  <c r="C37" i="25"/>
  <c r="C37" i="26"/>
  <c r="C37" i="29"/>
  <c r="D20" i="17"/>
  <c r="D20" i="18"/>
  <c r="D51" i="22"/>
  <c r="D38" i="22"/>
  <c r="D25" i="22"/>
  <c r="D20" i="20"/>
  <c r="D63" i="22"/>
  <c r="D37" i="25"/>
  <c r="D37" i="26"/>
  <c r="D37" i="29"/>
  <c r="E20" i="17"/>
  <c r="E20" i="18"/>
  <c r="E51" i="22"/>
  <c r="E38" i="22"/>
  <c r="E25" i="22"/>
  <c r="E20" i="20"/>
  <c r="E63" i="22"/>
  <c r="E37" i="25"/>
  <c r="E37" i="26"/>
  <c r="E37" i="29"/>
  <c r="F20" i="17"/>
  <c r="F20" i="18"/>
  <c r="F51" i="22"/>
  <c r="F38" i="22"/>
  <c r="F25" i="22"/>
  <c r="F20" i="20"/>
  <c r="F63" i="22"/>
  <c r="F37" i="25"/>
  <c r="F37" i="26"/>
  <c r="F37" i="29"/>
  <c r="G20" i="17"/>
  <c r="G20" i="18"/>
  <c r="G51" i="22"/>
  <c r="G38" i="22"/>
  <c r="G25" i="22"/>
  <c r="G20" i="20"/>
  <c r="G63" i="22"/>
  <c r="G37" i="25"/>
  <c r="G37" i="26"/>
  <c r="G37" i="29"/>
  <c r="H20" i="17"/>
  <c r="H20" i="18"/>
  <c r="H51" i="22"/>
  <c r="H38" i="22"/>
  <c r="H25" i="22"/>
  <c r="H20" i="20"/>
  <c r="H63" i="22"/>
  <c r="H37" i="25"/>
  <c r="H37" i="26"/>
  <c r="H37" i="29"/>
  <c r="I20" i="17"/>
  <c r="I20" i="18"/>
  <c r="I51" i="22"/>
  <c r="I38" i="22"/>
  <c r="I25" i="22"/>
  <c r="I20" i="20"/>
  <c r="I63" i="22"/>
  <c r="I37" i="25"/>
  <c r="I37" i="26"/>
  <c r="I37" i="29"/>
  <c r="J20" i="17"/>
  <c r="J20" i="18"/>
  <c r="J51" i="22"/>
  <c r="J38" i="22"/>
  <c r="J25" i="22"/>
  <c r="J20" i="20"/>
  <c r="J63" i="22"/>
  <c r="J37" i="25"/>
  <c r="J37" i="26"/>
  <c r="J37" i="29"/>
  <c r="K20" i="17"/>
  <c r="K20" i="18"/>
  <c r="K51" i="22"/>
  <c r="K38" i="22"/>
  <c r="K25" i="22"/>
  <c r="K20" i="20"/>
  <c r="K63" i="22"/>
  <c r="K37" i="25"/>
  <c r="K37" i="26"/>
  <c r="K37" i="29"/>
  <c r="B9" i="20"/>
  <c r="B6" i="25"/>
  <c r="B6" i="26"/>
  <c r="B6" i="29"/>
  <c r="C9" i="20"/>
  <c r="C6" i="25"/>
  <c r="C6" i="26"/>
  <c r="C6" i="29"/>
  <c r="D9" i="20"/>
  <c r="D6" i="25"/>
  <c r="D6" i="26"/>
  <c r="D6" i="29"/>
  <c r="E9" i="20"/>
  <c r="E6" i="25"/>
  <c r="E6" i="26"/>
  <c r="E6" i="29"/>
  <c r="F9" i="20"/>
  <c r="F6" i="25"/>
  <c r="F6" i="26"/>
  <c r="F6" i="29"/>
  <c r="G9" i="20"/>
  <c r="G6" i="25"/>
  <c r="G6" i="26"/>
  <c r="G6" i="29"/>
  <c r="H9" i="20"/>
  <c r="H6" i="25"/>
  <c r="H6" i="26"/>
  <c r="H6" i="29"/>
  <c r="I9" i="20"/>
  <c r="I6" i="25"/>
  <c r="I6" i="26"/>
  <c r="I6" i="29"/>
  <c r="J9" i="20"/>
  <c r="J6" i="25"/>
  <c r="J6" i="26"/>
  <c r="J6" i="29"/>
  <c r="K9" i="20"/>
  <c r="K6" i="25"/>
  <c r="K6" i="26"/>
  <c r="K6" i="29"/>
  <c r="B7" i="25"/>
  <c r="B7" i="26"/>
  <c r="B7" i="29"/>
  <c r="C7" i="25"/>
  <c r="C7" i="26"/>
  <c r="C7" i="29"/>
  <c r="D7" i="25"/>
  <c r="D7" i="26"/>
  <c r="D7" i="29"/>
  <c r="E7" i="25"/>
  <c r="E7" i="26"/>
  <c r="E7" i="29"/>
  <c r="F7" i="25"/>
  <c r="F7" i="26"/>
  <c r="F7" i="29"/>
  <c r="G7" i="25"/>
  <c r="G7" i="26"/>
  <c r="G7" i="29"/>
  <c r="H7" i="25"/>
  <c r="H7" i="26"/>
  <c r="H7" i="29"/>
  <c r="I7" i="25"/>
  <c r="I7" i="26"/>
  <c r="I7" i="29"/>
  <c r="J7" i="25"/>
  <c r="J7" i="26"/>
  <c r="J7" i="29"/>
  <c r="K7" i="25"/>
  <c r="K7" i="26"/>
  <c r="K7" i="29"/>
  <c r="B11" i="20"/>
  <c r="B8" i="25"/>
  <c r="B8" i="26"/>
  <c r="B8" i="29"/>
  <c r="C11" i="20"/>
  <c r="C8" i="25"/>
  <c r="C8" i="26"/>
  <c r="C8" i="29"/>
  <c r="D11" i="20"/>
  <c r="D8" i="25"/>
  <c r="D8" i="26"/>
  <c r="D8" i="29"/>
  <c r="E11" i="20"/>
  <c r="E8" i="25"/>
  <c r="E8" i="26"/>
  <c r="E8" i="29"/>
  <c r="F11" i="20"/>
  <c r="F8" i="25"/>
  <c r="F8" i="26"/>
  <c r="F8" i="29"/>
  <c r="G11" i="20"/>
  <c r="G8" i="25"/>
  <c r="G8" i="26"/>
  <c r="G8" i="29"/>
  <c r="H11" i="20"/>
  <c r="H8" i="25"/>
  <c r="H8" i="26"/>
  <c r="H8" i="29"/>
  <c r="I11" i="20"/>
  <c r="I8" i="25"/>
  <c r="I8" i="26"/>
  <c r="I8" i="29"/>
  <c r="J11" i="20"/>
  <c r="J8" i="25"/>
  <c r="J8" i="26"/>
  <c r="J8" i="29"/>
  <c r="K11" i="20"/>
  <c r="K8" i="25"/>
  <c r="K8" i="26"/>
  <c r="K8" i="29"/>
  <c r="B42" i="20"/>
  <c r="B24" i="25"/>
  <c r="B24" i="26"/>
  <c r="B24" i="29"/>
  <c r="C42" i="20"/>
  <c r="C24" i="25"/>
  <c r="C24" i="26"/>
  <c r="C24" i="29"/>
  <c r="D42" i="20"/>
  <c r="D24" i="25"/>
  <c r="D24" i="26"/>
  <c r="D24" i="29"/>
  <c r="E42" i="20"/>
  <c r="E24" i="25"/>
  <c r="E24" i="26"/>
  <c r="E24" i="29"/>
  <c r="F42" i="20"/>
  <c r="F24" i="25"/>
  <c r="F24" i="26"/>
  <c r="F24" i="29"/>
  <c r="G42" i="20"/>
  <c r="G24" i="25"/>
  <c r="G24" i="26"/>
  <c r="G24" i="29"/>
  <c r="H42" i="20"/>
  <c r="H24" i="25"/>
  <c r="H24" i="26"/>
  <c r="H24" i="29"/>
  <c r="I42" i="20"/>
  <c r="I24" i="25"/>
  <c r="I24" i="26"/>
  <c r="I24" i="29"/>
  <c r="J42" i="20"/>
  <c r="J24" i="25"/>
  <c r="J24" i="26"/>
  <c r="J24" i="29"/>
  <c r="K42" i="20"/>
  <c r="K24" i="25"/>
  <c r="K24" i="26"/>
  <c r="K24" i="29"/>
  <c r="B43" i="20"/>
  <c r="B25" i="25"/>
  <c r="B25" i="26"/>
  <c r="B25" i="29"/>
  <c r="C43" i="20"/>
  <c r="C25" i="25"/>
  <c r="C25" i="26"/>
  <c r="C25" i="29"/>
  <c r="D43" i="20"/>
  <c r="D25" i="25"/>
  <c r="D25" i="26"/>
  <c r="D25" i="29"/>
  <c r="E43" i="20"/>
  <c r="E25" i="25"/>
  <c r="E25" i="26"/>
  <c r="E25" i="29"/>
  <c r="F43" i="20"/>
  <c r="F25" i="25"/>
  <c r="F25" i="26"/>
  <c r="F25" i="29"/>
  <c r="G43" i="20"/>
  <c r="G25" i="25"/>
  <c r="G25" i="26"/>
  <c r="G25" i="29"/>
  <c r="H43" i="20"/>
  <c r="H25" i="25"/>
  <c r="H25" i="26"/>
  <c r="H25" i="29"/>
  <c r="I43" i="20"/>
  <c r="I25" i="25"/>
  <c r="I25" i="26"/>
  <c r="I25" i="29"/>
  <c r="J43" i="20"/>
  <c r="J25" i="25"/>
  <c r="J25" i="26"/>
  <c r="J25" i="29"/>
  <c r="K43" i="20"/>
  <c r="K25" i="25"/>
  <c r="K25" i="26"/>
  <c r="K25" i="29"/>
  <c r="O4" i="29"/>
  <c r="C21" i="32"/>
  <c r="E2" i="35"/>
  <c r="B28" i="35"/>
  <c r="O5" i="29"/>
  <c r="C22" i="32"/>
  <c r="C2" i="35"/>
  <c r="B27" i="35"/>
  <c r="D35" i="35"/>
  <c r="C27" i="35"/>
  <c r="C28" i="35"/>
  <c r="D36" i="35"/>
  <c r="B32" i="35"/>
  <c r="E36" i="35"/>
  <c r="F36" i="35"/>
  <c r="G36" i="35"/>
  <c r="B6" i="35"/>
  <c r="C36" i="35"/>
  <c r="B36" i="35"/>
  <c r="C41" i="26"/>
  <c r="C42" i="26"/>
  <c r="C43" i="26"/>
  <c r="C47" i="26"/>
  <c r="C19" i="32"/>
  <c r="G2" i="35"/>
  <c r="J2" i="35"/>
  <c r="C34" i="35"/>
  <c r="R34" i="35"/>
  <c r="B68" i="35"/>
  <c r="B67" i="35"/>
  <c r="C67" i="35"/>
  <c r="C68" i="35"/>
  <c r="F75" i="35"/>
  <c r="F76" i="35"/>
  <c r="D67" i="35"/>
  <c r="D68" i="35"/>
  <c r="F77" i="35"/>
  <c r="E67" i="35"/>
  <c r="E68" i="35"/>
  <c r="F78" i="35"/>
  <c r="F67" i="35"/>
  <c r="F68" i="35"/>
  <c r="F79" i="35"/>
  <c r="G67" i="35"/>
  <c r="G68" i="35"/>
  <c r="F80" i="35"/>
  <c r="H67" i="35"/>
  <c r="I67" i="35"/>
  <c r="H68" i="35"/>
  <c r="I68" i="35"/>
  <c r="F81" i="35"/>
  <c r="J67" i="35"/>
  <c r="J68" i="35"/>
  <c r="F82" i="35"/>
  <c r="K67" i="35"/>
  <c r="K68" i="35"/>
  <c r="F83" i="35"/>
  <c r="B70" i="35"/>
  <c r="C70" i="35"/>
  <c r="E83" i="35"/>
  <c r="D83" i="35"/>
  <c r="B47" i="35"/>
  <c r="C83" i="35"/>
  <c r="B83" i="35"/>
  <c r="B7" i="35"/>
  <c r="C7" i="35"/>
  <c r="B11" i="35"/>
  <c r="C6" i="35"/>
  <c r="D7" i="35"/>
  <c r="C11" i="35"/>
  <c r="D6" i="35"/>
  <c r="E7" i="35"/>
  <c r="D11" i="35"/>
  <c r="E6" i="35"/>
  <c r="F7" i="35"/>
  <c r="E11" i="35"/>
  <c r="F6" i="35"/>
  <c r="G7" i="35"/>
  <c r="F11" i="35"/>
  <c r="G6" i="35"/>
  <c r="H7" i="35"/>
  <c r="G11" i="35"/>
  <c r="H6" i="35"/>
  <c r="I7" i="35"/>
  <c r="H11" i="35"/>
  <c r="I6" i="35"/>
  <c r="J7" i="35"/>
  <c r="I11" i="35"/>
  <c r="G83" i="35"/>
  <c r="H83" i="35"/>
  <c r="I83" i="35"/>
  <c r="J83" i="35"/>
  <c r="K83" i="35"/>
  <c r="L83" i="35"/>
  <c r="M83" i="35"/>
  <c r="N83" i="35"/>
  <c r="O83" i="35"/>
  <c r="R83" i="35"/>
  <c r="P83" i="35"/>
  <c r="S83" i="35"/>
  <c r="E82" i="35"/>
  <c r="D82" i="35"/>
  <c r="C82" i="35"/>
  <c r="B82" i="35"/>
  <c r="G82" i="35"/>
  <c r="H82" i="35"/>
  <c r="I82" i="35"/>
  <c r="J82" i="35"/>
  <c r="K82" i="35"/>
  <c r="L82" i="35"/>
  <c r="M82" i="35"/>
  <c r="N82" i="35"/>
  <c r="R82" i="35"/>
  <c r="O82" i="35"/>
  <c r="S82" i="35"/>
  <c r="E81" i="35"/>
  <c r="D81" i="35"/>
  <c r="C81" i="35"/>
  <c r="B81" i="35"/>
  <c r="G81" i="35"/>
  <c r="H81" i="35"/>
  <c r="I81" i="35"/>
  <c r="J81" i="35"/>
  <c r="K81" i="35"/>
  <c r="L81" i="35"/>
  <c r="M81" i="35"/>
  <c r="R81" i="35"/>
  <c r="N81" i="35"/>
  <c r="S81" i="35"/>
  <c r="E80" i="35"/>
  <c r="D80" i="35"/>
  <c r="C80" i="35"/>
  <c r="B80" i="35"/>
  <c r="G80" i="35"/>
  <c r="H80" i="35"/>
  <c r="I80" i="35"/>
  <c r="J80" i="35"/>
  <c r="K80" i="35"/>
  <c r="L80" i="35"/>
  <c r="R80" i="35"/>
  <c r="M80" i="35"/>
  <c r="S80" i="35"/>
  <c r="E79" i="35"/>
  <c r="D79" i="35"/>
  <c r="C79" i="35"/>
  <c r="B79" i="35"/>
  <c r="G79" i="35"/>
  <c r="H79" i="35"/>
  <c r="I79" i="35"/>
  <c r="J79" i="35"/>
  <c r="K79" i="35"/>
  <c r="R79" i="35"/>
  <c r="L79" i="35"/>
  <c r="S79" i="35"/>
  <c r="E78" i="35"/>
  <c r="D78" i="35"/>
  <c r="C78" i="35"/>
  <c r="B78" i="35"/>
  <c r="G78" i="35"/>
  <c r="H78" i="35"/>
  <c r="I78" i="35"/>
  <c r="J78" i="35"/>
  <c r="R78" i="35"/>
  <c r="K78" i="35"/>
  <c r="S78" i="35"/>
  <c r="E77" i="35"/>
  <c r="D77" i="35"/>
  <c r="C77" i="35"/>
  <c r="B77" i="35"/>
  <c r="G77" i="35"/>
  <c r="H77" i="35"/>
  <c r="I77" i="35"/>
  <c r="R77" i="35"/>
  <c r="J77" i="35"/>
  <c r="S77" i="35"/>
  <c r="E76" i="35"/>
  <c r="D76" i="35"/>
  <c r="C76" i="35"/>
  <c r="B76" i="35"/>
  <c r="G76" i="35"/>
  <c r="H76" i="35"/>
  <c r="R76" i="35"/>
  <c r="I76" i="35"/>
  <c r="S76" i="35"/>
  <c r="E75" i="35"/>
  <c r="D75" i="35"/>
  <c r="C75" i="35"/>
  <c r="B75" i="35"/>
  <c r="G75" i="35"/>
  <c r="R75" i="35"/>
  <c r="H75" i="35"/>
  <c r="S75" i="35"/>
  <c r="E74" i="35"/>
  <c r="D74" i="35"/>
  <c r="C74" i="35"/>
  <c r="B74" i="35"/>
  <c r="R74" i="35"/>
  <c r="G74" i="35"/>
  <c r="S74" i="35"/>
  <c r="Q83" i="35"/>
  <c r="Q82" i="35"/>
  <c r="Q81" i="35"/>
  <c r="Q80" i="35"/>
  <c r="Q79" i="35"/>
  <c r="Q78" i="35"/>
  <c r="Q77" i="35"/>
  <c r="Q76" i="35"/>
  <c r="Q75" i="35"/>
  <c r="Q74" i="35"/>
  <c r="C47" i="35"/>
  <c r="B48" i="35"/>
  <c r="B50" i="35"/>
  <c r="B72" i="35"/>
  <c r="C72" i="35"/>
  <c r="D72" i="35"/>
  <c r="E72" i="35"/>
  <c r="F72" i="35"/>
  <c r="G72" i="35"/>
  <c r="H72" i="35"/>
  <c r="I72" i="35"/>
  <c r="J72" i="35"/>
  <c r="D70" i="35"/>
  <c r="E70" i="35"/>
  <c r="F70" i="35"/>
  <c r="G70" i="35"/>
  <c r="H70" i="35"/>
  <c r="I70" i="35"/>
  <c r="J70" i="35"/>
  <c r="B13" i="35"/>
  <c r="R13" i="35"/>
  <c r="D13" i="35"/>
  <c r="S13" i="35"/>
  <c r="C14" i="35"/>
  <c r="C15" i="35"/>
  <c r="D15" i="35"/>
  <c r="E15" i="35"/>
  <c r="R15" i="35"/>
  <c r="D27" i="35"/>
  <c r="D28" i="35"/>
  <c r="D37" i="35"/>
  <c r="E27" i="35"/>
  <c r="E28" i="35"/>
  <c r="D38" i="35"/>
  <c r="F27" i="35"/>
  <c r="F28" i="35"/>
  <c r="D39" i="35"/>
  <c r="G27" i="35"/>
  <c r="G28" i="35"/>
  <c r="D40" i="35"/>
  <c r="H27" i="35"/>
  <c r="I27" i="35"/>
  <c r="H28" i="35"/>
  <c r="I28" i="35"/>
  <c r="D41" i="35"/>
  <c r="J27" i="35"/>
  <c r="J28" i="35"/>
  <c r="D42" i="35"/>
  <c r="K27" i="35"/>
  <c r="K28" i="35"/>
  <c r="D43" i="35"/>
  <c r="C48" i="35"/>
  <c r="E55" i="35"/>
  <c r="E56" i="35"/>
  <c r="D47" i="35"/>
  <c r="D48" i="35"/>
  <c r="E57" i="35"/>
  <c r="E47" i="35"/>
  <c r="E48" i="35"/>
  <c r="E58" i="35"/>
  <c r="F47" i="35"/>
  <c r="F48" i="35"/>
  <c r="E59" i="35"/>
  <c r="G47" i="35"/>
  <c r="G48" i="35"/>
  <c r="E60" i="35"/>
  <c r="H47" i="35"/>
  <c r="I47" i="35"/>
  <c r="H48" i="35"/>
  <c r="I48" i="35"/>
  <c r="E61" i="35"/>
  <c r="J47" i="35"/>
  <c r="J48" i="35"/>
  <c r="E62" i="35"/>
  <c r="K47" i="35"/>
  <c r="K48" i="35"/>
  <c r="E63" i="35"/>
  <c r="D63" i="35"/>
  <c r="C63" i="35"/>
  <c r="B63" i="35"/>
  <c r="F63" i="35"/>
  <c r="G63" i="35"/>
  <c r="H63" i="35"/>
  <c r="I63" i="35"/>
  <c r="J63" i="35"/>
  <c r="K63" i="35"/>
  <c r="L63" i="35"/>
  <c r="M63" i="35"/>
  <c r="N63" i="35"/>
  <c r="O63" i="35"/>
  <c r="Q63" i="35"/>
  <c r="D62" i="35"/>
  <c r="C62" i="35"/>
  <c r="B62" i="35"/>
  <c r="F62" i="35"/>
  <c r="G62" i="35"/>
  <c r="H62" i="35"/>
  <c r="I62" i="35"/>
  <c r="J62" i="35"/>
  <c r="K62" i="35"/>
  <c r="L62" i="35"/>
  <c r="M62" i="35"/>
  <c r="N62" i="35"/>
  <c r="Q62" i="35"/>
  <c r="D61" i="35"/>
  <c r="C61" i="35"/>
  <c r="B61" i="35"/>
  <c r="F61" i="35"/>
  <c r="G61" i="35"/>
  <c r="H61" i="35"/>
  <c r="I61" i="35"/>
  <c r="J61" i="35"/>
  <c r="K61" i="35"/>
  <c r="L61" i="35"/>
  <c r="M61" i="35"/>
  <c r="Q61" i="35"/>
  <c r="D60" i="35"/>
  <c r="C60" i="35"/>
  <c r="B60" i="35"/>
  <c r="F60" i="35"/>
  <c r="G60" i="35"/>
  <c r="H60" i="35"/>
  <c r="I60" i="35"/>
  <c r="J60" i="35"/>
  <c r="K60" i="35"/>
  <c r="L60" i="35"/>
  <c r="Q60" i="35"/>
  <c r="D59" i="35"/>
  <c r="C59" i="35"/>
  <c r="B59" i="35"/>
  <c r="F59" i="35"/>
  <c r="G59" i="35"/>
  <c r="H59" i="35"/>
  <c r="I59" i="35"/>
  <c r="J59" i="35"/>
  <c r="K59" i="35"/>
  <c r="Q59" i="35"/>
  <c r="D58" i="35"/>
  <c r="C58" i="35"/>
  <c r="B58" i="35"/>
  <c r="F58" i="35"/>
  <c r="G58" i="35"/>
  <c r="H58" i="35"/>
  <c r="I58" i="35"/>
  <c r="J58" i="35"/>
  <c r="Q58" i="35"/>
  <c r="D57" i="35"/>
  <c r="C57" i="35"/>
  <c r="B57" i="35"/>
  <c r="F57" i="35"/>
  <c r="G57" i="35"/>
  <c r="H57" i="35"/>
  <c r="I57" i="35"/>
  <c r="Q57" i="35"/>
  <c r="D56" i="35"/>
  <c r="C56" i="35"/>
  <c r="B56" i="35"/>
  <c r="F56" i="35"/>
  <c r="G56" i="35"/>
  <c r="H56" i="35"/>
  <c r="Q56" i="35"/>
  <c r="D55" i="35"/>
  <c r="C55" i="35"/>
  <c r="B55" i="35"/>
  <c r="F55" i="35"/>
  <c r="G55" i="35"/>
  <c r="Q55" i="35"/>
  <c r="D54" i="35"/>
  <c r="C54" i="35"/>
  <c r="B54" i="35"/>
  <c r="F54" i="35"/>
  <c r="Q54" i="35"/>
  <c r="C43" i="35"/>
  <c r="B43" i="35"/>
  <c r="E43" i="35"/>
  <c r="F43" i="35"/>
  <c r="G43" i="35"/>
  <c r="H43" i="35"/>
  <c r="I43" i="35"/>
  <c r="J43" i="35"/>
  <c r="K43" i="35"/>
  <c r="L43" i="35"/>
  <c r="M43" i="35"/>
  <c r="N43" i="35"/>
  <c r="Q43" i="35"/>
  <c r="C42" i="35"/>
  <c r="B42" i="35"/>
  <c r="E42" i="35"/>
  <c r="F42" i="35"/>
  <c r="G42" i="35"/>
  <c r="H42" i="35"/>
  <c r="I42" i="35"/>
  <c r="J42" i="35"/>
  <c r="K42" i="35"/>
  <c r="L42" i="35"/>
  <c r="M42" i="35"/>
  <c r="Q42" i="35"/>
  <c r="C41" i="35"/>
  <c r="B41" i="35"/>
  <c r="E41" i="35"/>
  <c r="F41" i="35"/>
  <c r="G41" i="35"/>
  <c r="H41" i="35"/>
  <c r="I41" i="35"/>
  <c r="J41" i="35"/>
  <c r="K41" i="35"/>
  <c r="L41" i="35"/>
  <c r="Q41" i="35"/>
  <c r="C40" i="35"/>
  <c r="B40" i="35"/>
  <c r="E40" i="35"/>
  <c r="F40" i="35"/>
  <c r="G40" i="35"/>
  <c r="H40" i="35"/>
  <c r="I40" i="35"/>
  <c r="J40" i="35"/>
  <c r="K40" i="35"/>
  <c r="Q40" i="35"/>
  <c r="C39" i="35"/>
  <c r="B39" i="35"/>
  <c r="E39" i="35"/>
  <c r="F39" i="35"/>
  <c r="G39" i="35"/>
  <c r="H39" i="35"/>
  <c r="I39" i="35"/>
  <c r="J39" i="35"/>
  <c r="Q39" i="35"/>
  <c r="C38" i="35"/>
  <c r="B38" i="35"/>
  <c r="E38" i="35"/>
  <c r="F38" i="35"/>
  <c r="G38" i="35"/>
  <c r="H38" i="35"/>
  <c r="I38" i="35"/>
  <c r="Q38" i="35"/>
  <c r="C37" i="35"/>
  <c r="B37" i="35"/>
  <c r="E37" i="35"/>
  <c r="F37" i="35"/>
  <c r="G37" i="35"/>
  <c r="H37" i="35"/>
  <c r="Q37" i="35"/>
  <c r="Q36" i="35"/>
  <c r="C35" i="35"/>
  <c r="B35" i="35"/>
  <c r="E35" i="35"/>
  <c r="F35" i="35"/>
  <c r="Q35" i="35"/>
  <c r="B34" i="35"/>
  <c r="E34" i="35"/>
  <c r="Q34" i="35"/>
  <c r="C16" i="35"/>
  <c r="C17" i="35"/>
  <c r="C18" i="35"/>
  <c r="C19" i="35"/>
  <c r="C20" i="35"/>
  <c r="J6" i="35"/>
  <c r="C21" i="35"/>
  <c r="K6" i="35"/>
  <c r="K7" i="35"/>
  <c r="C22" i="35"/>
  <c r="B22" i="35"/>
  <c r="D22" i="35"/>
  <c r="E22" i="35"/>
  <c r="F22" i="35"/>
  <c r="G22" i="35"/>
  <c r="H22" i="35"/>
  <c r="I22" i="35"/>
  <c r="J22" i="35"/>
  <c r="K22" i="35"/>
  <c r="L22" i="35"/>
  <c r="M22" i="35"/>
  <c r="Q22" i="35"/>
  <c r="B21" i="35"/>
  <c r="D21" i="35"/>
  <c r="E21" i="35"/>
  <c r="F21" i="35"/>
  <c r="G21" i="35"/>
  <c r="H21" i="35"/>
  <c r="I21" i="35"/>
  <c r="J21" i="35"/>
  <c r="K21" i="35"/>
  <c r="L21" i="35"/>
  <c r="Q21" i="35"/>
  <c r="B20" i="35"/>
  <c r="D20" i="35"/>
  <c r="E20" i="35"/>
  <c r="F20" i="35"/>
  <c r="G20" i="35"/>
  <c r="H20" i="35"/>
  <c r="I20" i="35"/>
  <c r="J20" i="35"/>
  <c r="K20" i="35"/>
  <c r="Q20" i="35"/>
  <c r="B19" i="35"/>
  <c r="D19" i="35"/>
  <c r="E19" i="35"/>
  <c r="F19" i="35"/>
  <c r="G19" i="35"/>
  <c r="H19" i="35"/>
  <c r="I19" i="35"/>
  <c r="J19" i="35"/>
  <c r="Q19" i="35"/>
  <c r="B18" i="35"/>
  <c r="D18" i="35"/>
  <c r="E18" i="35"/>
  <c r="F18" i="35"/>
  <c r="G18" i="35"/>
  <c r="H18" i="35"/>
  <c r="I18" i="35"/>
  <c r="Q18" i="35"/>
  <c r="B17" i="35"/>
  <c r="D17" i="35"/>
  <c r="E17" i="35"/>
  <c r="F17" i="35"/>
  <c r="G17" i="35"/>
  <c r="H17" i="35"/>
  <c r="Q17" i="35"/>
  <c r="B16" i="35"/>
  <c r="D16" i="35"/>
  <c r="E16" i="35"/>
  <c r="F16" i="35"/>
  <c r="G16" i="35"/>
  <c r="Q16" i="35"/>
  <c r="B15" i="35"/>
  <c r="F15" i="35"/>
  <c r="Q15" i="35"/>
  <c r="B14" i="35"/>
  <c r="D14" i="35"/>
  <c r="E14" i="35"/>
  <c r="Q14" i="35"/>
  <c r="Q13" i="35"/>
  <c r="R56" i="35"/>
  <c r="S56" i="35"/>
  <c r="R55" i="35"/>
  <c r="S55" i="35"/>
  <c r="R54" i="35"/>
  <c r="S54" i="35"/>
  <c r="R63" i="35"/>
  <c r="R62" i="35"/>
  <c r="R61" i="35"/>
  <c r="R60" i="35"/>
  <c r="R59" i="35"/>
  <c r="R58" i="35"/>
  <c r="R57" i="35"/>
  <c r="R43" i="35"/>
  <c r="R42" i="35"/>
  <c r="R39" i="35"/>
  <c r="R35" i="35"/>
  <c r="R40" i="35"/>
  <c r="R38" i="35"/>
  <c r="R37" i="35"/>
  <c r="R14" i="35"/>
  <c r="S14" i="35"/>
  <c r="R22" i="35"/>
  <c r="R21" i="35"/>
  <c r="R20" i="35"/>
  <c r="R19" i="35"/>
  <c r="R18" i="35"/>
  <c r="R17" i="35"/>
  <c r="R16" i="35"/>
  <c r="S63" i="35"/>
  <c r="S62" i="35"/>
  <c r="S61" i="35"/>
  <c r="S60" i="35"/>
  <c r="S59" i="35"/>
  <c r="S58" i="35"/>
  <c r="S57" i="35"/>
  <c r="C50" i="35"/>
  <c r="D50" i="35"/>
  <c r="E50" i="35"/>
  <c r="F50" i="35"/>
  <c r="G50" i="35"/>
  <c r="H50" i="35"/>
  <c r="I50" i="35"/>
  <c r="J50" i="35"/>
  <c r="B30" i="35"/>
  <c r="C30" i="35"/>
  <c r="D30" i="35"/>
  <c r="E30" i="35"/>
  <c r="F30" i="35"/>
  <c r="G30" i="35"/>
  <c r="H30" i="35"/>
  <c r="I30" i="35"/>
  <c r="J30" i="35"/>
  <c r="B9" i="35"/>
  <c r="C9" i="35"/>
  <c r="D9" i="35"/>
  <c r="E9" i="35"/>
  <c r="F9" i="35"/>
  <c r="G9" i="35"/>
  <c r="H9" i="35"/>
  <c r="I9" i="35"/>
  <c r="J9" i="35"/>
  <c r="B52" i="35"/>
  <c r="C52" i="35"/>
  <c r="D52" i="35"/>
  <c r="E52" i="35"/>
  <c r="F52" i="35"/>
  <c r="G52" i="35"/>
  <c r="H52" i="35"/>
  <c r="I52" i="35"/>
  <c r="J52" i="35"/>
  <c r="C32" i="35"/>
  <c r="D32" i="35"/>
  <c r="E32" i="35"/>
  <c r="F32" i="35"/>
  <c r="G32" i="35"/>
  <c r="H32" i="35"/>
  <c r="I32" i="35"/>
  <c r="J32" i="35"/>
  <c r="S22" i="35"/>
  <c r="S21" i="35"/>
  <c r="S20" i="35"/>
  <c r="S19" i="35"/>
  <c r="S18" i="35"/>
  <c r="S17" i="35"/>
  <c r="S16" i="35"/>
  <c r="S15" i="35"/>
  <c r="J11" i="35"/>
  <c r="P4" i="31"/>
  <c r="P5" i="31"/>
  <c r="T5" i="31"/>
  <c r="H24" i="12"/>
  <c r="Q14" i="12"/>
  <c r="P14" i="12"/>
  <c r="O14" i="12"/>
  <c r="N14" i="12"/>
  <c r="M14" i="12"/>
  <c r="M24" i="12"/>
  <c r="N24" i="12"/>
  <c r="O24" i="12"/>
  <c r="P24" i="12"/>
  <c r="Q24" i="12"/>
  <c r="G24" i="12"/>
  <c r="F24" i="12"/>
  <c r="E24" i="12"/>
  <c r="D24" i="12"/>
  <c r="C24" i="12"/>
  <c r="L3" i="12"/>
  <c r="B3" i="12"/>
  <c r="H25" i="12"/>
  <c r="Q15" i="12"/>
  <c r="P15" i="12"/>
  <c r="O15" i="12"/>
  <c r="N15" i="12"/>
  <c r="M15" i="12"/>
  <c r="M25" i="12"/>
  <c r="N25" i="12"/>
  <c r="O25" i="12"/>
  <c r="P25" i="12"/>
  <c r="Q25" i="12"/>
  <c r="G25" i="12"/>
  <c r="F25" i="12"/>
  <c r="E25" i="12"/>
  <c r="D25" i="12"/>
  <c r="C25" i="12"/>
  <c r="L4" i="12"/>
  <c r="B4" i="12"/>
  <c r="H26" i="12"/>
  <c r="Q16" i="12"/>
  <c r="P16" i="12"/>
  <c r="O16" i="12"/>
  <c r="N16" i="12"/>
  <c r="M16" i="12"/>
  <c r="M26" i="12"/>
  <c r="N26" i="12"/>
  <c r="O26" i="12"/>
  <c r="P26" i="12"/>
  <c r="Q26" i="12"/>
  <c r="G26" i="12"/>
  <c r="F26" i="12"/>
  <c r="E26" i="12"/>
  <c r="D26" i="12"/>
  <c r="C26" i="12"/>
  <c r="L5" i="12"/>
  <c r="B5" i="12"/>
  <c r="H27" i="12"/>
  <c r="Q17" i="12"/>
  <c r="P17" i="12"/>
  <c r="O17" i="12"/>
  <c r="N17" i="12"/>
  <c r="M17" i="12"/>
  <c r="M27" i="12"/>
  <c r="N27" i="12"/>
  <c r="O27" i="12"/>
  <c r="P27" i="12"/>
  <c r="Q27" i="12"/>
  <c r="G27" i="12"/>
  <c r="F27" i="12"/>
  <c r="E27" i="12"/>
  <c r="D27" i="12"/>
  <c r="C27" i="12"/>
  <c r="L6" i="12"/>
  <c r="B6" i="12"/>
  <c r="H28" i="12"/>
  <c r="Q18" i="12"/>
  <c r="P18" i="12"/>
  <c r="O18" i="12"/>
  <c r="N18" i="12"/>
  <c r="M18" i="12"/>
  <c r="M28" i="12"/>
  <c r="N28" i="12"/>
  <c r="O28" i="12"/>
  <c r="P28" i="12"/>
  <c r="Q28" i="12"/>
  <c r="G28" i="12"/>
  <c r="F28" i="12"/>
  <c r="E28" i="12"/>
  <c r="D28" i="12"/>
  <c r="C28" i="12"/>
  <c r="L7" i="12"/>
  <c r="B7" i="12"/>
  <c r="B21" i="13"/>
  <c r="B21" i="14"/>
  <c r="B21" i="15"/>
  <c r="B20" i="14"/>
  <c r="H29" i="12"/>
  <c r="Q19" i="12"/>
  <c r="P19" i="12"/>
  <c r="O19" i="12"/>
  <c r="N19" i="12"/>
  <c r="M19" i="12"/>
  <c r="M29" i="12"/>
  <c r="N29" i="12"/>
  <c r="O29" i="12"/>
  <c r="P29" i="12"/>
  <c r="Q29" i="12"/>
  <c r="G29" i="12"/>
  <c r="F29" i="12"/>
  <c r="E29" i="12"/>
  <c r="D29" i="12"/>
  <c r="C29" i="12"/>
  <c r="L8" i="12"/>
  <c r="B8" i="12"/>
  <c r="B20" i="13"/>
  <c r="B20" i="15"/>
  <c r="B19" i="14"/>
  <c r="B19" i="13"/>
  <c r="B19" i="15"/>
  <c r="B18" i="14"/>
  <c r="B18" i="13"/>
  <c r="B18" i="15"/>
  <c r="B17" i="14"/>
  <c r="B17" i="13"/>
  <c r="B17" i="15"/>
  <c r="B16" i="14"/>
  <c r="B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6" i="15"/>
  <c r="B15" i="14"/>
  <c r="B15" i="15"/>
  <c r="B14" i="14"/>
  <c r="B14" i="15"/>
  <c r="B13" i="14"/>
  <c r="B13" i="15"/>
  <c r="B12" i="14"/>
  <c r="B12" i="15"/>
  <c r="B11" i="14"/>
  <c r="B11" i="15"/>
  <c r="B45" i="14"/>
  <c r="B45" i="13"/>
  <c r="B45" i="15"/>
  <c r="B46" i="14"/>
  <c r="B46" i="13"/>
  <c r="B46" i="15"/>
  <c r="B47" i="14"/>
  <c r="B47" i="13"/>
  <c r="B47" i="15"/>
  <c r="B48" i="14"/>
  <c r="B48" i="13"/>
  <c r="B48" i="15"/>
  <c r="B49" i="14"/>
  <c r="B49" i="13"/>
  <c r="B49" i="15"/>
  <c r="B50" i="14"/>
  <c r="B50" i="13"/>
  <c r="B50" i="15"/>
  <c r="B51" i="14"/>
  <c r="B51" i="13"/>
  <c r="B51" i="15"/>
  <c r="B52" i="14"/>
  <c r="B52" i="13"/>
  <c r="B52" i="15"/>
  <c r="B53" i="14"/>
  <c r="B53" i="13"/>
  <c r="B53" i="15"/>
  <c r="B54" i="13"/>
  <c r="B54" i="14"/>
  <c r="B54" i="15"/>
  <c r="B44" i="14"/>
  <c r="B44" i="13"/>
  <c r="B44" i="15"/>
  <c r="B43" i="14"/>
  <c r="B43" i="13"/>
  <c r="B43" i="15"/>
  <c r="B9" i="14"/>
  <c r="B9" i="15"/>
  <c r="B10" i="14"/>
  <c r="B10" i="15"/>
  <c r="B42" i="14"/>
  <c r="B42" i="13"/>
  <c r="B42" i="15"/>
  <c r="B41" i="14"/>
  <c r="B41" i="13"/>
  <c r="B41" i="15"/>
  <c r="B7" i="14"/>
  <c r="B7" i="15"/>
  <c r="B8" i="14"/>
  <c r="B8" i="15"/>
  <c r="B40" i="14"/>
  <c r="B40" i="13"/>
  <c r="B40" i="15"/>
  <c r="B39" i="14"/>
  <c r="B39" i="13"/>
  <c r="B39" i="15"/>
  <c r="B5" i="14"/>
  <c r="B5" i="15"/>
  <c r="O5" i="15"/>
  <c r="O5" i="18"/>
  <c r="O5" i="20"/>
  <c r="K14" i="12"/>
  <c r="L14" i="12"/>
  <c r="I14" i="12"/>
  <c r="J14" i="12"/>
  <c r="G14" i="12"/>
  <c r="H14" i="12"/>
  <c r="E14" i="12"/>
  <c r="F14" i="12"/>
  <c r="C14" i="12"/>
  <c r="C3" i="12"/>
  <c r="K15" i="12"/>
  <c r="L15" i="12"/>
  <c r="I15" i="12"/>
  <c r="J15" i="12"/>
  <c r="G15" i="12"/>
  <c r="H15" i="12"/>
  <c r="E15" i="12"/>
  <c r="F15" i="12"/>
  <c r="C15" i="12"/>
  <c r="C4" i="12"/>
  <c r="K16" i="12"/>
  <c r="L16" i="12"/>
  <c r="I16" i="12"/>
  <c r="J16" i="12"/>
  <c r="G16" i="12"/>
  <c r="H16" i="12"/>
  <c r="E16" i="12"/>
  <c r="F16" i="12"/>
  <c r="C16" i="12"/>
  <c r="C5" i="12"/>
  <c r="K17" i="12"/>
  <c r="L17" i="12"/>
  <c r="I17" i="12"/>
  <c r="J17" i="12"/>
  <c r="G17" i="12"/>
  <c r="H17" i="12"/>
  <c r="E17" i="12"/>
  <c r="F17" i="12"/>
  <c r="C17" i="12"/>
  <c r="C6" i="12"/>
  <c r="K18" i="12"/>
  <c r="L18" i="12"/>
  <c r="I18" i="12"/>
  <c r="J18" i="12"/>
  <c r="G18" i="12"/>
  <c r="H18" i="12"/>
  <c r="E18" i="12"/>
  <c r="F18" i="12"/>
  <c r="C18" i="12"/>
  <c r="C7" i="12"/>
  <c r="C21" i="13"/>
  <c r="C21" i="14"/>
  <c r="C21" i="15"/>
  <c r="C20" i="14"/>
  <c r="K19" i="12"/>
  <c r="L19" i="12"/>
  <c r="I19" i="12"/>
  <c r="J19" i="12"/>
  <c r="G19" i="12"/>
  <c r="H19" i="12"/>
  <c r="E19" i="12"/>
  <c r="F19" i="12"/>
  <c r="C19" i="12"/>
  <c r="C8" i="12"/>
  <c r="C20" i="13"/>
  <c r="C20" i="15"/>
  <c r="C19" i="14"/>
  <c r="C19" i="13"/>
  <c r="C19" i="15"/>
  <c r="C18" i="14"/>
  <c r="C18" i="13"/>
  <c r="C18" i="15"/>
  <c r="C17" i="14"/>
  <c r="C17" i="13"/>
  <c r="C17" i="15"/>
  <c r="C16" i="14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6" i="15"/>
  <c r="C15" i="14"/>
  <c r="C15" i="15"/>
  <c r="C14" i="14"/>
  <c r="C14" i="15"/>
  <c r="C13" i="14"/>
  <c r="C13" i="15"/>
  <c r="C12" i="14"/>
  <c r="C12" i="15"/>
  <c r="C11" i="14"/>
  <c r="C11" i="15"/>
  <c r="C45" i="14"/>
  <c r="C45" i="13"/>
  <c r="C45" i="15"/>
  <c r="C46" i="14"/>
  <c r="C46" i="13"/>
  <c r="C46" i="15"/>
  <c r="C47" i="14"/>
  <c r="C47" i="13"/>
  <c r="C47" i="15"/>
  <c r="C48" i="14"/>
  <c r="C48" i="13"/>
  <c r="C48" i="15"/>
  <c r="C49" i="14"/>
  <c r="C49" i="13"/>
  <c r="C49" i="15"/>
  <c r="C50" i="14"/>
  <c r="C50" i="13"/>
  <c r="C50" i="15"/>
  <c r="C51" i="14"/>
  <c r="C51" i="13"/>
  <c r="C51" i="15"/>
  <c r="C52" i="14"/>
  <c r="C52" i="13"/>
  <c r="C52" i="15"/>
  <c r="C53" i="14"/>
  <c r="C53" i="13"/>
  <c r="C53" i="15"/>
  <c r="C54" i="13"/>
  <c r="C54" i="14"/>
  <c r="C54" i="15"/>
  <c r="C44" i="14"/>
  <c r="C44" i="13"/>
  <c r="C44" i="15"/>
  <c r="C43" i="14"/>
  <c r="C43" i="13"/>
  <c r="C43" i="15"/>
  <c r="C9" i="14"/>
  <c r="C9" i="15"/>
  <c r="C10" i="14"/>
  <c r="C10" i="15"/>
  <c r="C42" i="14"/>
  <c r="C42" i="13"/>
  <c r="C42" i="15"/>
  <c r="C41" i="14"/>
  <c r="C41" i="13"/>
  <c r="C41" i="15"/>
  <c r="C7" i="14"/>
  <c r="C7" i="15"/>
  <c r="C8" i="14"/>
  <c r="C8" i="15"/>
  <c r="C40" i="14"/>
  <c r="C40" i="13"/>
  <c r="C40" i="15"/>
  <c r="C39" i="14"/>
  <c r="C39" i="13"/>
  <c r="C39" i="15"/>
  <c r="C5" i="14"/>
  <c r="C5" i="15"/>
  <c r="P5" i="15"/>
  <c r="P5" i="18"/>
  <c r="P5" i="20"/>
  <c r="D14" i="12"/>
  <c r="D3" i="12"/>
  <c r="D15" i="12"/>
  <c r="D4" i="12"/>
  <c r="D16" i="12"/>
  <c r="D5" i="12"/>
  <c r="D17" i="12"/>
  <c r="D6" i="12"/>
  <c r="D18" i="12"/>
  <c r="D7" i="12"/>
  <c r="D21" i="13"/>
  <c r="D21" i="14"/>
  <c r="D21" i="15"/>
  <c r="D20" i="14"/>
  <c r="D19" i="12"/>
  <c r="D8" i="12"/>
  <c r="D20" i="13"/>
  <c r="D20" i="15"/>
  <c r="D19" i="14"/>
  <c r="D19" i="13"/>
  <c r="D19" i="15"/>
  <c r="D18" i="14"/>
  <c r="D18" i="13"/>
  <c r="D18" i="15"/>
  <c r="D17" i="14"/>
  <c r="D17" i="13"/>
  <c r="D17" i="15"/>
  <c r="D16" i="14"/>
  <c r="D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6" i="15"/>
  <c r="D15" i="14"/>
  <c r="D15" i="15"/>
  <c r="D14" i="14"/>
  <c r="D14" i="15"/>
  <c r="D13" i="14"/>
  <c r="D13" i="15"/>
  <c r="D12" i="14"/>
  <c r="D12" i="15"/>
  <c r="D11" i="14"/>
  <c r="D11" i="15"/>
  <c r="D45" i="14"/>
  <c r="D45" i="13"/>
  <c r="D45" i="15"/>
  <c r="D46" i="14"/>
  <c r="D46" i="13"/>
  <c r="D46" i="15"/>
  <c r="D47" i="14"/>
  <c r="D47" i="13"/>
  <c r="D47" i="15"/>
  <c r="D48" i="14"/>
  <c r="D48" i="13"/>
  <c r="D48" i="15"/>
  <c r="D49" i="14"/>
  <c r="D49" i="13"/>
  <c r="D49" i="15"/>
  <c r="D50" i="14"/>
  <c r="D50" i="13"/>
  <c r="D50" i="15"/>
  <c r="D51" i="14"/>
  <c r="D51" i="13"/>
  <c r="D51" i="15"/>
  <c r="D52" i="14"/>
  <c r="D52" i="13"/>
  <c r="D52" i="15"/>
  <c r="D53" i="14"/>
  <c r="D53" i="13"/>
  <c r="D53" i="15"/>
  <c r="D54" i="13"/>
  <c r="D54" i="14"/>
  <c r="D54" i="15"/>
  <c r="D44" i="14"/>
  <c r="D44" i="13"/>
  <c r="D44" i="15"/>
  <c r="D43" i="14"/>
  <c r="D43" i="13"/>
  <c r="D43" i="15"/>
  <c r="D9" i="14"/>
  <c r="D9" i="15"/>
  <c r="D10" i="14"/>
  <c r="D10" i="15"/>
  <c r="D42" i="14"/>
  <c r="D42" i="13"/>
  <c r="D42" i="15"/>
  <c r="D41" i="14"/>
  <c r="D41" i="13"/>
  <c r="D41" i="15"/>
  <c r="D7" i="14"/>
  <c r="D7" i="15"/>
  <c r="D8" i="14"/>
  <c r="D8" i="15"/>
  <c r="D40" i="14"/>
  <c r="D40" i="13"/>
  <c r="D40" i="15"/>
  <c r="D39" i="14"/>
  <c r="D39" i="13"/>
  <c r="D39" i="15"/>
  <c r="D5" i="14"/>
  <c r="D5" i="15"/>
  <c r="Q5" i="15"/>
  <c r="Q5" i="18"/>
  <c r="Q5" i="20"/>
  <c r="E3" i="12"/>
  <c r="E4" i="12"/>
  <c r="E5" i="12"/>
  <c r="E6" i="12"/>
  <c r="E7" i="12"/>
  <c r="E21" i="13"/>
  <c r="E21" i="14"/>
  <c r="E21" i="15"/>
  <c r="E20" i="14"/>
  <c r="E8" i="12"/>
  <c r="E20" i="13"/>
  <c r="E20" i="15"/>
  <c r="E19" i="14"/>
  <c r="E19" i="13"/>
  <c r="E19" i="15"/>
  <c r="E18" i="14"/>
  <c r="E18" i="13"/>
  <c r="E18" i="15"/>
  <c r="E17" i="14"/>
  <c r="E17" i="13"/>
  <c r="E17" i="15"/>
  <c r="E16" i="14"/>
  <c r="E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6" i="15"/>
  <c r="E15" i="14"/>
  <c r="E15" i="15"/>
  <c r="E14" i="14"/>
  <c r="E14" i="15"/>
  <c r="E13" i="14"/>
  <c r="E13" i="15"/>
  <c r="E12" i="14"/>
  <c r="E12" i="15"/>
  <c r="E11" i="14"/>
  <c r="E11" i="15"/>
  <c r="E45" i="14"/>
  <c r="E45" i="13"/>
  <c r="E45" i="15"/>
  <c r="E46" i="14"/>
  <c r="E46" i="13"/>
  <c r="E46" i="15"/>
  <c r="E47" i="14"/>
  <c r="E47" i="13"/>
  <c r="E47" i="15"/>
  <c r="E48" i="14"/>
  <c r="E48" i="13"/>
  <c r="E48" i="15"/>
  <c r="E49" i="14"/>
  <c r="E49" i="13"/>
  <c r="E49" i="15"/>
  <c r="E50" i="14"/>
  <c r="E50" i="13"/>
  <c r="E50" i="15"/>
  <c r="E51" i="14"/>
  <c r="E51" i="13"/>
  <c r="E51" i="15"/>
  <c r="E52" i="14"/>
  <c r="E52" i="13"/>
  <c r="E52" i="15"/>
  <c r="E53" i="14"/>
  <c r="E53" i="13"/>
  <c r="E53" i="15"/>
  <c r="E54" i="13"/>
  <c r="E54" i="14"/>
  <c r="E54" i="15"/>
  <c r="E44" i="14"/>
  <c r="E44" i="13"/>
  <c r="E44" i="15"/>
  <c r="E43" i="14"/>
  <c r="E43" i="13"/>
  <c r="E43" i="15"/>
  <c r="E9" i="14"/>
  <c r="E9" i="15"/>
  <c r="E10" i="14"/>
  <c r="E10" i="15"/>
  <c r="E42" i="14"/>
  <c r="E42" i="13"/>
  <c r="E42" i="15"/>
  <c r="E41" i="14"/>
  <c r="E41" i="13"/>
  <c r="E41" i="15"/>
  <c r="E7" i="14"/>
  <c r="E7" i="15"/>
  <c r="E8" i="14"/>
  <c r="E8" i="15"/>
  <c r="E40" i="14"/>
  <c r="E40" i="13"/>
  <c r="E40" i="15"/>
  <c r="E39" i="14"/>
  <c r="E39" i="13"/>
  <c r="E39" i="15"/>
  <c r="E5" i="14"/>
  <c r="E5" i="15"/>
  <c r="R5" i="15"/>
  <c r="R5" i="18"/>
  <c r="R5" i="20"/>
  <c r="F3" i="12"/>
  <c r="F4" i="12"/>
  <c r="F5" i="12"/>
  <c r="F6" i="12"/>
  <c r="F7" i="12"/>
  <c r="F21" i="13"/>
  <c r="F21" i="14"/>
  <c r="F21" i="15"/>
  <c r="F20" i="14"/>
  <c r="F8" i="12"/>
  <c r="F20" i="13"/>
  <c r="F20" i="15"/>
  <c r="F19" i="14"/>
  <c r="F19" i="13"/>
  <c r="F19" i="15"/>
  <c r="F18" i="14"/>
  <c r="F18" i="13"/>
  <c r="F18" i="15"/>
  <c r="F17" i="14"/>
  <c r="F17" i="13"/>
  <c r="F17" i="15"/>
  <c r="F16" i="14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6" i="15"/>
  <c r="F15" i="14"/>
  <c r="F15" i="15"/>
  <c r="F14" i="14"/>
  <c r="F14" i="15"/>
  <c r="F13" i="14"/>
  <c r="F13" i="15"/>
  <c r="F12" i="14"/>
  <c r="F12" i="15"/>
  <c r="F11" i="14"/>
  <c r="F11" i="15"/>
  <c r="F45" i="14"/>
  <c r="F45" i="13"/>
  <c r="F45" i="15"/>
  <c r="F46" i="14"/>
  <c r="F46" i="13"/>
  <c r="F46" i="15"/>
  <c r="F47" i="14"/>
  <c r="F47" i="13"/>
  <c r="F47" i="15"/>
  <c r="F48" i="14"/>
  <c r="F48" i="13"/>
  <c r="F48" i="15"/>
  <c r="F49" i="14"/>
  <c r="F49" i="13"/>
  <c r="F49" i="15"/>
  <c r="F50" i="14"/>
  <c r="F50" i="13"/>
  <c r="F50" i="15"/>
  <c r="F51" i="14"/>
  <c r="F51" i="13"/>
  <c r="F51" i="15"/>
  <c r="F52" i="14"/>
  <c r="F52" i="13"/>
  <c r="F52" i="15"/>
  <c r="F53" i="14"/>
  <c r="F53" i="13"/>
  <c r="F53" i="15"/>
  <c r="F54" i="13"/>
  <c r="F54" i="14"/>
  <c r="F54" i="15"/>
  <c r="F44" i="14"/>
  <c r="F44" i="13"/>
  <c r="F44" i="15"/>
  <c r="F43" i="14"/>
  <c r="F43" i="13"/>
  <c r="F43" i="15"/>
  <c r="F9" i="14"/>
  <c r="F9" i="15"/>
  <c r="F10" i="14"/>
  <c r="F10" i="15"/>
  <c r="F42" i="14"/>
  <c r="F42" i="13"/>
  <c r="F42" i="15"/>
  <c r="F41" i="14"/>
  <c r="F41" i="13"/>
  <c r="F41" i="15"/>
  <c r="F7" i="14"/>
  <c r="F7" i="15"/>
  <c r="F8" i="14"/>
  <c r="F8" i="15"/>
  <c r="F40" i="14"/>
  <c r="F40" i="13"/>
  <c r="F40" i="15"/>
  <c r="F39" i="14"/>
  <c r="F39" i="13"/>
  <c r="F39" i="15"/>
  <c r="F5" i="14"/>
  <c r="F5" i="15"/>
  <c r="S5" i="15"/>
  <c r="S5" i="18"/>
  <c r="S5" i="20"/>
  <c r="G3" i="12"/>
  <c r="G4" i="12"/>
  <c r="G5" i="12"/>
  <c r="G6" i="12"/>
  <c r="G7" i="12"/>
  <c r="G21" i="13"/>
  <c r="G21" i="14"/>
  <c r="G21" i="15"/>
  <c r="G20" i="14"/>
  <c r="G8" i="12"/>
  <c r="G20" i="13"/>
  <c r="G20" i="15"/>
  <c r="G19" i="14"/>
  <c r="G19" i="13"/>
  <c r="G19" i="15"/>
  <c r="G18" i="14"/>
  <c r="G18" i="13"/>
  <c r="G18" i="15"/>
  <c r="G17" i="14"/>
  <c r="G17" i="13"/>
  <c r="G17" i="15"/>
  <c r="G16" i="14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6" i="15"/>
  <c r="G15" i="14"/>
  <c r="G15" i="15"/>
  <c r="G14" i="14"/>
  <c r="G14" i="15"/>
  <c r="G13" i="14"/>
  <c r="G13" i="15"/>
  <c r="G12" i="14"/>
  <c r="G12" i="15"/>
  <c r="G11" i="14"/>
  <c r="G11" i="15"/>
  <c r="G45" i="14"/>
  <c r="G45" i="13"/>
  <c r="G45" i="15"/>
  <c r="G46" i="14"/>
  <c r="G46" i="13"/>
  <c r="G46" i="15"/>
  <c r="G47" i="14"/>
  <c r="G47" i="13"/>
  <c r="G47" i="15"/>
  <c r="G48" i="14"/>
  <c r="G48" i="13"/>
  <c r="G48" i="15"/>
  <c r="G49" i="14"/>
  <c r="G49" i="13"/>
  <c r="G49" i="15"/>
  <c r="G50" i="14"/>
  <c r="G50" i="13"/>
  <c r="G50" i="15"/>
  <c r="G51" i="14"/>
  <c r="G51" i="13"/>
  <c r="G51" i="15"/>
  <c r="G52" i="14"/>
  <c r="G52" i="13"/>
  <c r="G52" i="15"/>
  <c r="G53" i="14"/>
  <c r="G53" i="13"/>
  <c r="G53" i="15"/>
  <c r="G54" i="13"/>
  <c r="G54" i="14"/>
  <c r="G54" i="15"/>
  <c r="G44" i="14"/>
  <c r="G44" i="13"/>
  <c r="G44" i="15"/>
  <c r="G43" i="14"/>
  <c r="G43" i="13"/>
  <c r="G43" i="15"/>
  <c r="G9" i="14"/>
  <c r="G9" i="15"/>
  <c r="G10" i="14"/>
  <c r="G10" i="15"/>
  <c r="G42" i="14"/>
  <c r="G42" i="13"/>
  <c r="G42" i="15"/>
  <c r="G41" i="14"/>
  <c r="G41" i="13"/>
  <c r="G41" i="15"/>
  <c r="G7" i="14"/>
  <c r="G7" i="15"/>
  <c r="G8" i="14"/>
  <c r="G8" i="15"/>
  <c r="G40" i="14"/>
  <c r="G40" i="13"/>
  <c r="G40" i="15"/>
  <c r="G39" i="14"/>
  <c r="G39" i="13"/>
  <c r="G39" i="15"/>
  <c r="G5" i="14"/>
  <c r="G5" i="15"/>
  <c r="T5" i="15"/>
  <c r="T5" i="18"/>
  <c r="T5" i="20"/>
  <c r="H3" i="12"/>
  <c r="H4" i="12"/>
  <c r="H5" i="12"/>
  <c r="H6" i="12"/>
  <c r="H7" i="12"/>
  <c r="H21" i="13"/>
  <c r="H21" i="14"/>
  <c r="H21" i="15"/>
  <c r="H20" i="14"/>
  <c r="H8" i="12"/>
  <c r="H20" i="13"/>
  <c r="H20" i="15"/>
  <c r="H19" i="14"/>
  <c r="H19" i="13"/>
  <c r="H19" i="15"/>
  <c r="H18" i="14"/>
  <c r="H18" i="13"/>
  <c r="H18" i="15"/>
  <c r="H17" i="14"/>
  <c r="H17" i="13"/>
  <c r="H17" i="15"/>
  <c r="H16" i="14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6" i="15"/>
  <c r="H15" i="14"/>
  <c r="H15" i="15"/>
  <c r="H14" i="14"/>
  <c r="H14" i="15"/>
  <c r="H13" i="14"/>
  <c r="H13" i="15"/>
  <c r="H12" i="14"/>
  <c r="H12" i="15"/>
  <c r="H11" i="14"/>
  <c r="H11" i="15"/>
  <c r="H45" i="14"/>
  <c r="H45" i="13"/>
  <c r="H45" i="15"/>
  <c r="H46" i="14"/>
  <c r="H46" i="13"/>
  <c r="H46" i="15"/>
  <c r="H47" i="14"/>
  <c r="H47" i="13"/>
  <c r="H47" i="15"/>
  <c r="H48" i="14"/>
  <c r="H48" i="13"/>
  <c r="H48" i="15"/>
  <c r="H49" i="14"/>
  <c r="H49" i="13"/>
  <c r="H49" i="15"/>
  <c r="H50" i="14"/>
  <c r="H50" i="13"/>
  <c r="H50" i="15"/>
  <c r="H51" i="14"/>
  <c r="H51" i="13"/>
  <c r="H51" i="15"/>
  <c r="H52" i="14"/>
  <c r="H52" i="13"/>
  <c r="H52" i="15"/>
  <c r="H53" i="14"/>
  <c r="H53" i="13"/>
  <c r="H53" i="15"/>
  <c r="H54" i="13"/>
  <c r="H54" i="14"/>
  <c r="H54" i="15"/>
  <c r="H44" i="14"/>
  <c r="H44" i="13"/>
  <c r="H44" i="15"/>
  <c r="H43" i="14"/>
  <c r="H43" i="13"/>
  <c r="H43" i="15"/>
  <c r="H9" i="14"/>
  <c r="H9" i="15"/>
  <c r="H10" i="14"/>
  <c r="H10" i="15"/>
  <c r="H42" i="14"/>
  <c r="H42" i="13"/>
  <c r="H42" i="15"/>
  <c r="H41" i="14"/>
  <c r="H41" i="13"/>
  <c r="H41" i="15"/>
  <c r="H7" i="14"/>
  <c r="H7" i="15"/>
  <c r="H8" i="14"/>
  <c r="H8" i="15"/>
  <c r="H40" i="14"/>
  <c r="H40" i="13"/>
  <c r="H40" i="15"/>
  <c r="H39" i="14"/>
  <c r="H39" i="13"/>
  <c r="H39" i="15"/>
  <c r="H5" i="14"/>
  <c r="H5" i="15"/>
  <c r="U5" i="15"/>
  <c r="U5" i="18"/>
  <c r="U5" i="20"/>
  <c r="I3" i="12"/>
  <c r="I4" i="12"/>
  <c r="I5" i="12"/>
  <c r="I6" i="12"/>
  <c r="I7" i="12"/>
  <c r="I21" i="13"/>
  <c r="I21" i="14"/>
  <c r="I21" i="15"/>
  <c r="I20" i="14"/>
  <c r="I8" i="12"/>
  <c r="I20" i="13"/>
  <c r="I20" i="15"/>
  <c r="I19" i="14"/>
  <c r="I19" i="13"/>
  <c r="I19" i="15"/>
  <c r="I18" i="14"/>
  <c r="I18" i="13"/>
  <c r="I18" i="15"/>
  <c r="I17" i="14"/>
  <c r="I17" i="13"/>
  <c r="I17" i="15"/>
  <c r="I16" i="14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6" i="15"/>
  <c r="I15" i="14"/>
  <c r="I15" i="15"/>
  <c r="I14" i="14"/>
  <c r="I14" i="15"/>
  <c r="I13" i="14"/>
  <c r="I13" i="15"/>
  <c r="I12" i="14"/>
  <c r="I12" i="15"/>
  <c r="I11" i="14"/>
  <c r="I11" i="15"/>
  <c r="I45" i="14"/>
  <c r="I45" i="13"/>
  <c r="I45" i="15"/>
  <c r="I46" i="14"/>
  <c r="I46" i="13"/>
  <c r="I46" i="15"/>
  <c r="I47" i="14"/>
  <c r="I47" i="13"/>
  <c r="I47" i="15"/>
  <c r="I48" i="14"/>
  <c r="I48" i="13"/>
  <c r="I48" i="15"/>
  <c r="I49" i="14"/>
  <c r="I49" i="13"/>
  <c r="I49" i="15"/>
  <c r="I50" i="14"/>
  <c r="I50" i="13"/>
  <c r="I50" i="15"/>
  <c r="I51" i="14"/>
  <c r="I51" i="13"/>
  <c r="I51" i="15"/>
  <c r="I52" i="14"/>
  <c r="I52" i="13"/>
  <c r="I52" i="15"/>
  <c r="I53" i="14"/>
  <c r="I53" i="13"/>
  <c r="I53" i="15"/>
  <c r="I54" i="13"/>
  <c r="I54" i="14"/>
  <c r="I54" i="15"/>
  <c r="I44" i="14"/>
  <c r="I44" i="13"/>
  <c r="I44" i="15"/>
  <c r="I43" i="14"/>
  <c r="I43" i="13"/>
  <c r="I43" i="15"/>
  <c r="I9" i="14"/>
  <c r="I9" i="15"/>
  <c r="I10" i="14"/>
  <c r="I10" i="15"/>
  <c r="I42" i="14"/>
  <c r="I42" i="13"/>
  <c r="I42" i="15"/>
  <c r="I41" i="14"/>
  <c r="I41" i="13"/>
  <c r="I41" i="15"/>
  <c r="I7" i="14"/>
  <c r="I7" i="15"/>
  <c r="I8" i="14"/>
  <c r="I8" i="15"/>
  <c r="I40" i="14"/>
  <c r="I40" i="13"/>
  <c r="I40" i="15"/>
  <c r="I39" i="14"/>
  <c r="I39" i="13"/>
  <c r="I39" i="15"/>
  <c r="I5" i="14"/>
  <c r="I5" i="15"/>
  <c r="V5" i="15"/>
  <c r="V5" i="18"/>
  <c r="V5" i="20"/>
  <c r="J3" i="12"/>
  <c r="J4" i="12"/>
  <c r="J5" i="12"/>
  <c r="J6" i="12"/>
  <c r="J7" i="12"/>
  <c r="J21" i="13"/>
  <c r="J21" i="14"/>
  <c r="J21" i="15"/>
  <c r="J20" i="14"/>
  <c r="J8" i="12"/>
  <c r="J20" i="13"/>
  <c r="J20" i="15"/>
  <c r="J19" i="14"/>
  <c r="J19" i="13"/>
  <c r="J19" i="15"/>
  <c r="J18" i="14"/>
  <c r="J18" i="13"/>
  <c r="J18" i="15"/>
  <c r="J17" i="14"/>
  <c r="J17" i="13"/>
  <c r="J17" i="15"/>
  <c r="J16" i="14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6" i="15"/>
  <c r="J15" i="14"/>
  <c r="J15" i="15"/>
  <c r="J14" i="14"/>
  <c r="J14" i="15"/>
  <c r="J13" i="14"/>
  <c r="J13" i="15"/>
  <c r="J12" i="14"/>
  <c r="J12" i="15"/>
  <c r="J11" i="14"/>
  <c r="J11" i="15"/>
  <c r="J45" i="14"/>
  <c r="J45" i="13"/>
  <c r="J45" i="15"/>
  <c r="J46" i="14"/>
  <c r="J46" i="13"/>
  <c r="J46" i="15"/>
  <c r="J47" i="14"/>
  <c r="J47" i="13"/>
  <c r="J47" i="15"/>
  <c r="J48" i="14"/>
  <c r="J48" i="13"/>
  <c r="J48" i="15"/>
  <c r="J49" i="14"/>
  <c r="J49" i="13"/>
  <c r="J49" i="15"/>
  <c r="J50" i="14"/>
  <c r="J50" i="13"/>
  <c r="J50" i="15"/>
  <c r="J51" i="14"/>
  <c r="J51" i="13"/>
  <c r="J51" i="15"/>
  <c r="J52" i="14"/>
  <c r="J52" i="13"/>
  <c r="J52" i="15"/>
  <c r="J53" i="14"/>
  <c r="J53" i="13"/>
  <c r="J53" i="15"/>
  <c r="J54" i="13"/>
  <c r="J54" i="14"/>
  <c r="J54" i="15"/>
  <c r="J44" i="14"/>
  <c r="J44" i="13"/>
  <c r="J44" i="15"/>
  <c r="J43" i="14"/>
  <c r="J43" i="13"/>
  <c r="J43" i="15"/>
  <c r="J9" i="14"/>
  <c r="J9" i="15"/>
  <c r="J10" i="14"/>
  <c r="J10" i="15"/>
  <c r="J42" i="14"/>
  <c r="J42" i="13"/>
  <c r="J42" i="15"/>
  <c r="J41" i="14"/>
  <c r="J41" i="13"/>
  <c r="J41" i="15"/>
  <c r="J7" i="14"/>
  <c r="J7" i="15"/>
  <c r="J8" i="14"/>
  <c r="J8" i="15"/>
  <c r="J40" i="14"/>
  <c r="J40" i="13"/>
  <c r="J40" i="15"/>
  <c r="J39" i="14"/>
  <c r="J39" i="13"/>
  <c r="J39" i="15"/>
  <c r="J5" i="14"/>
  <c r="J5" i="15"/>
  <c r="W5" i="15"/>
  <c r="W5" i="18"/>
  <c r="W5" i="20"/>
  <c r="K3" i="12"/>
  <c r="K4" i="12"/>
  <c r="K5" i="12"/>
  <c r="K6" i="12"/>
  <c r="K7" i="12"/>
  <c r="K21" i="13"/>
  <c r="K21" i="14"/>
  <c r="K21" i="15"/>
  <c r="K20" i="14"/>
  <c r="K8" i="12"/>
  <c r="K20" i="13"/>
  <c r="K20" i="15"/>
  <c r="K19" i="14"/>
  <c r="K19" i="13"/>
  <c r="K19" i="15"/>
  <c r="K18" i="14"/>
  <c r="K18" i="13"/>
  <c r="K18" i="15"/>
  <c r="K17" i="14"/>
  <c r="K17" i="13"/>
  <c r="K17" i="15"/>
  <c r="K16" i="14"/>
  <c r="K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6" i="15"/>
  <c r="K15" i="14"/>
  <c r="K15" i="15"/>
  <c r="K14" i="14"/>
  <c r="K14" i="15"/>
  <c r="K13" i="14"/>
  <c r="K13" i="15"/>
  <c r="K12" i="14"/>
  <c r="K12" i="15"/>
  <c r="K11" i="14"/>
  <c r="K11" i="15"/>
  <c r="K45" i="14"/>
  <c r="K45" i="13"/>
  <c r="K45" i="15"/>
  <c r="K46" i="14"/>
  <c r="K46" i="13"/>
  <c r="K46" i="15"/>
  <c r="K47" i="14"/>
  <c r="K47" i="13"/>
  <c r="K47" i="15"/>
  <c r="K48" i="14"/>
  <c r="K48" i="13"/>
  <c r="K48" i="15"/>
  <c r="K49" i="14"/>
  <c r="K49" i="13"/>
  <c r="K49" i="15"/>
  <c r="K50" i="14"/>
  <c r="K50" i="13"/>
  <c r="K50" i="15"/>
  <c r="K51" i="14"/>
  <c r="K51" i="13"/>
  <c r="K51" i="15"/>
  <c r="K52" i="14"/>
  <c r="K52" i="13"/>
  <c r="K52" i="15"/>
  <c r="K53" i="14"/>
  <c r="K53" i="13"/>
  <c r="K53" i="15"/>
  <c r="K54" i="13"/>
  <c r="K54" i="14"/>
  <c r="K54" i="15"/>
  <c r="K44" i="14"/>
  <c r="K44" i="13"/>
  <c r="K44" i="15"/>
  <c r="K43" i="14"/>
  <c r="K43" i="13"/>
  <c r="K43" i="15"/>
  <c r="K9" i="14"/>
  <c r="K9" i="15"/>
  <c r="K10" i="14"/>
  <c r="K10" i="15"/>
  <c r="K42" i="14"/>
  <c r="K42" i="13"/>
  <c r="K42" i="15"/>
  <c r="K41" i="14"/>
  <c r="K41" i="13"/>
  <c r="K41" i="15"/>
  <c r="K7" i="14"/>
  <c r="K7" i="15"/>
  <c r="K8" i="14"/>
  <c r="K8" i="15"/>
  <c r="K40" i="14"/>
  <c r="K40" i="13"/>
  <c r="K40" i="15"/>
  <c r="K39" i="14"/>
  <c r="K39" i="13"/>
  <c r="K39" i="15"/>
  <c r="K5" i="14"/>
  <c r="K5" i="15"/>
  <c r="X5" i="15"/>
  <c r="X5" i="18"/>
  <c r="X5" i="20"/>
  <c r="B6" i="14"/>
  <c r="B6" i="15"/>
  <c r="O6" i="15"/>
  <c r="O6" i="18"/>
  <c r="O6" i="20"/>
  <c r="C6" i="14"/>
  <c r="C6" i="15"/>
  <c r="P6" i="15"/>
  <c r="P6" i="18"/>
  <c r="P6" i="20"/>
  <c r="D6" i="14"/>
  <c r="D6" i="15"/>
  <c r="Q6" i="15"/>
  <c r="Q6" i="18"/>
  <c r="Q6" i="20"/>
  <c r="E6" i="14"/>
  <c r="E6" i="15"/>
  <c r="R6" i="15"/>
  <c r="R6" i="18"/>
  <c r="R6" i="20"/>
  <c r="F6" i="14"/>
  <c r="F6" i="15"/>
  <c r="S6" i="15"/>
  <c r="S6" i="18"/>
  <c r="S6" i="20"/>
  <c r="G6" i="14"/>
  <c r="G6" i="15"/>
  <c r="T6" i="15"/>
  <c r="T6" i="18"/>
  <c r="T6" i="20"/>
  <c r="H6" i="14"/>
  <c r="H6" i="15"/>
  <c r="U6" i="15"/>
  <c r="U6" i="18"/>
  <c r="U6" i="20"/>
  <c r="I6" i="14"/>
  <c r="I6" i="15"/>
  <c r="V6" i="15"/>
  <c r="V6" i="18"/>
  <c r="V6" i="20"/>
  <c r="J6" i="14"/>
  <c r="J6" i="15"/>
  <c r="W6" i="15"/>
  <c r="W6" i="18"/>
  <c r="W6" i="20"/>
  <c r="K6" i="14"/>
  <c r="K6" i="15"/>
  <c r="X6" i="15"/>
  <c r="X6" i="18"/>
  <c r="X6" i="20"/>
  <c r="O7" i="15"/>
  <c r="O7" i="18"/>
  <c r="O7" i="20"/>
  <c r="P7" i="15"/>
  <c r="P7" i="18"/>
  <c r="P7" i="20"/>
  <c r="Q7" i="15"/>
  <c r="Q7" i="18"/>
  <c r="Q7" i="20"/>
  <c r="R7" i="15"/>
  <c r="R7" i="18"/>
  <c r="R7" i="20"/>
  <c r="S7" i="15"/>
  <c r="S7" i="18"/>
  <c r="S7" i="20"/>
  <c r="T7" i="15"/>
  <c r="T7" i="18"/>
  <c r="T7" i="20"/>
  <c r="U7" i="15"/>
  <c r="U7" i="18"/>
  <c r="U7" i="20"/>
  <c r="V7" i="15"/>
  <c r="V7" i="18"/>
  <c r="V7" i="20"/>
  <c r="W7" i="15"/>
  <c r="W7" i="18"/>
  <c r="W7" i="20"/>
  <c r="X7" i="15"/>
  <c r="X7" i="18"/>
  <c r="X7" i="20"/>
  <c r="O8" i="15"/>
  <c r="O8" i="18"/>
  <c r="O8" i="20"/>
  <c r="P8" i="15"/>
  <c r="P8" i="18"/>
  <c r="P8" i="20"/>
  <c r="Q8" i="15"/>
  <c r="Q8" i="18"/>
  <c r="Q8" i="20"/>
  <c r="R8" i="15"/>
  <c r="R8" i="18"/>
  <c r="R8" i="20"/>
  <c r="S8" i="15"/>
  <c r="S8" i="18"/>
  <c r="S8" i="20"/>
  <c r="T8" i="15"/>
  <c r="T8" i="18"/>
  <c r="T8" i="20"/>
  <c r="U8" i="15"/>
  <c r="U8" i="18"/>
  <c r="U8" i="20"/>
  <c r="V8" i="15"/>
  <c r="V8" i="18"/>
  <c r="V8" i="20"/>
  <c r="W8" i="15"/>
  <c r="W8" i="18"/>
  <c r="W8" i="20"/>
  <c r="X8" i="15"/>
  <c r="X8" i="18"/>
  <c r="X8" i="20"/>
  <c r="B9" i="17"/>
  <c r="B9" i="18"/>
  <c r="O9" i="15"/>
  <c r="O9" i="18"/>
  <c r="O9" i="20"/>
  <c r="C9" i="17"/>
  <c r="C9" i="18"/>
  <c r="P9" i="15"/>
  <c r="P9" i="18"/>
  <c r="P9" i="20"/>
  <c r="D9" i="17"/>
  <c r="D9" i="18"/>
  <c r="Q9" i="15"/>
  <c r="Q9" i="18"/>
  <c r="Q9" i="20"/>
  <c r="E9" i="17"/>
  <c r="E9" i="18"/>
  <c r="R9" i="15"/>
  <c r="R9" i="18"/>
  <c r="R9" i="20"/>
  <c r="F9" i="17"/>
  <c r="F9" i="18"/>
  <c r="S9" i="15"/>
  <c r="S9" i="18"/>
  <c r="S9" i="20"/>
  <c r="G9" i="17"/>
  <c r="G9" i="18"/>
  <c r="T9" i="15"/>
  <c r="T9" i="18"/>
  <c r="T9" i="20"/>
  <c r="H9" i="17"/>
  <c r="H9" i="18"/>
  <c r="U9" i="15"/>
  <c r="U9" i="18"/>
  <c r="U9" i="20"/>
  <c r="I9" i="17"/>
  <c r="I9" i="18"/>
  <c r="V9" i="15"/>
  <c r="V9" i="18"/>
  <c r="V9" i="20"/>
  <c r="J9" i="17"/>
  <c r="J9" i="18"/>
  <c r="W9" i="15"/>
  <c r="W9" i="18"/>
  <c r="W9" i="20"/>
  <c r="K9" i="17"/>
  <c r="K9" i="18"/>
  <c r="X9" i="15"/>
  <c r="X9" i="18"/>
  <c r="X9" i="20"/>
  <c r="B10" i="17"/>
  <c r="B10" i="18"/>
  <c r="O10" i="15"/>
  <c r="O10" i="18"/>
  <c r="O10" i="20"/>
  <c r="C10" i="17"/>
  <c r="C10" i="18"/>
  <c r="P10" i="15"/>
  <c r="P10" i="18"/>
  <c r="P10" i="20"/>
  <c r="D10" i="17"/>
  <c r="D10" i="18"/>
  <c r="Q10" i="15"/>
  <c r="Q10" i="18"/>
  <c r="Q10" i="20"/>
  <c r="E10" i="17"/>
  <c r="E10" i="18"/>
  <c r="R10" i="15"/>
  <c r="R10" i="18"/>
  <c r="R10" i="20"/>
  <c r="F10" i="17"/>
  <c r="F10" i="18"/>
  <c r="S10" i="15"/>
  <c r="S10" i="18"/>
  <c r="S10" i="20"/>
  <c r="G10" i="17"/>
  <c r="G10" i="18"/>
  <c r="T10" i="15"/>
  <c r="T10" i="18"/>
  <c r="T10" i="20"/>
  <c r="H10" i="17"/>
  <c r="H10" i="18"/>
  <c r="U10" i="15"/>
  <c r="U10" i="18"/>
  <c r="U10" i="20"/>
  <c r="I10" i="17"/>
  <c r="I10" i="18"/>
  <c r="V10" i="15"/>
  <c r="V10" i="18"/>
  <c r="V10" i="20"/>
  <c r="J10" i="17"/>
  <c r="J10" i="18"/>
  <c r="W10" i="15"/>
  <c r="W10" i="18"/>
  <c r="W10" i="20"/>
  <c r="K10" i="17"/>
  <c r="K10" i="18"/>
  <c r="X10" i="15"/>
  <c r="X10" i="18"/>
  <c r="X10" i="20"/>
  <c r="B11" i="17"/>
  <c r="B11" i="18"/>
  <c r="O11" i="15"/>
  <c r="O11" i="18"/>
  <c r="O11" i="20"/>
  <c r="C11" i="17"/>
  <c r="C11" i="18"/>
  <c r="P11" i="15"/>
  <c r="P11" i="18"/>
  <c r="P11" i="20"/>
  <c r="D11" i="17"/>
  <c r="D11" i="18"/>
  <c r="Q11" i="15"/>
  <c r="Q11" i="18"/>
  <c r="Q11" i="20"/>
  <c r="E11" i="17"/>
  <c r="E11" i="18"/>
  <c r="R11" i="15"/>
  <c r="R11" i="18"/>
  <c r="R11" i="20"/>
  <c r="F11" i="17"/>
  <c r="F11" i="18"/>
  <c r="S11" i="15"/>
  <c r="S11" i="18"/>
  <c r="S11" i="20"/>
  <c r="G11" i="17"/>
  <c r="G11" i="18"/>
  <c r="T11" i="15"/>
  <c r="T11" i="18"/>
  <c r="T11" i="20"/>
  <c r="H11" i="17"/>
  <c r="H11" i="18"/>
  <c r="U11" i="15"/>
  <c r="U11" i="18"/>
  <c r="U11" i="20"/>
  <c r="I11" i="17"/>
  <c r="I11" i="18"/>
  <c r="V11" i="15"/>
  <c r="V11" i="18"/>
  <c r="V11" i="20"/>
  <c r="J11" i="17"/>
  <c r="J11" i="18"/>
  <c r="W11" i="15"/>
  <c r="W11" i="18"/>
  <c r="W11" i="20"/>
  <c r="K11" i="17"/>
  <c r="K11" i="18"/>
  <c r="X11" i="15"/>
  <c r="X11" i="18"/>
  <c r="X11" i="20"/>
  <c r="O12" i="15"/>
  <c r="O12" i="18"/>
  <c r="O12" i="20"/>
  <c r="P12" i="15"/>
  <c r="P12" i="18"/>
  <c r="P12" i="20"/>
  <c r="Q12" i="15"/>
  <c r="Q12" i="18"/>
  <c r="Q12" i="20"/>
  <c r="R12" i="15"/>
  <c r="R12" i="18"/>
  <c r="R12" i="20"/>
  <c r="S12" i="15"/>
  <c r="S12" i="18"/>
  <c r="S12" i="20"/>
  <c r="T12" i="15"/>
  <c r="T12" i="18"/>
  <c r="T12" i="20"/>
  <c r="U12" i="15"/>
  <c r="U12" i="18"/>
  <c r="U12" i="20"/>
  <c r="V12" i="15"/>
  <c r="V12" i="18"/>
  <c r="V12" i="20"/>
  <c r="W12" i="15"/>
  <c r="W12" i="18"/>
  <c r="W12" i="20"/>
  <c r="X12" i="15"/>
  <c r="X12" i="18"/>
  <c r="X12" i="20"/>
  <c r="O13" i="15"/>
  <c r="O13" i="18"/>
  <c r="O13" i="20"/>
  <c r="P13" i="15"/>
  <c r="P13" i="18"/>
  <c r="P13" i="20"/>
  <c r="Q13" i="15"/>
  <c r="Q13" i="18"/>
  <c r="Q13" i="20"/>
  <c r="R13" i="15"/>
  <c r="R13" i="18"/>
  <c r="R13" i="20"/>
  <c r="S13" i="15"/>
  <c r="S13" i="18"/>
  <c r="S13" i="20"/>
  <c r="T13" i="15"/>
  <c r="T13" i="18"/>
  <c r="T13" i="20"/>
  <c r="U13" i="15"/>
  <c r="U13" i="18"/>
  <c r="U13" i="20"/>
  <c r="V13" i="15"/>
  <c r="V13" i="18"/>
  <c r="V13" i="20"/>
  <c r="W13" i="15"/>
  <c r="W13" i="18"/>
  <c r="W13" i="20"/>
  <c r="X13" i="15"/>
  <c r="X13" i="18"/>
  <c r="X13" i="20"/>
  <c r="O14" i="15"/>
  <c r="O14" i="18"/>
  <c r="O14" i="20"/>
  <c r="P14" i="15"/>
  <c r="P14" i="18"/>
  <c r="P14" i="20"/>
  <c r="Q14" i="15"/>
  <c r="Q14" i="18"/>
  <c r="Q14" i="20"/>
  <c r="R14" i="15"/>
  <c r="R14" i="18"/>
  <c r="R14" i="20"/>
  <c r="S14" i="15"/>
  <c r="S14" i="18"/>
  <c r="S14" i="20"/>
  <c r="T14" i="15"/>
  <c r="T14" i="18"/>
  <c r="T14" i="20"/>
  <c r="U14" i="15"/>
  <c r="U14" i="18"/>
  <c r="U14" i="20"/>
  <c r="V14" i="15"/>
  <c r="V14" i="18"/>
  <c r="V14" i="20"/>
  <c r="W14" i="15"/>
  <c r="W14" i="18"/>
  <c r="W14" i="20"/>
  <c r="X14" i="15"/>
  <c r="X14" i="18"/>
  <c r="X14" i="20"/>
  <c r="O15" i="15"/>
  <c r="O15" i="18"/>
  <c r="O15" i="20"/>
  <c r="P15" i="15"/>
  <c r="P15" i="18"/>
  <c r="P15" i="20"/>
  <c r="Q15" i="15"/>
  <c r="Q15" i="18"/>
  <c r="Q15" i="20"/>
  <c r="R15" i="15"/>
  <c r="R15" i="18"/>
  <c r="R15" i="20"/>
  <c r="S15" i="15"/>
  <c r="S15" i="18"/>
  <c r="S15" i="20"/>
  <c r="T15" i="15"/>
  <c r="T15" i="18"/>
  <c r="T15" i="20"/>
  <c r="U15" i="15"/>
  <c r="U15" i="18"/>
  <c r="U15" i="20"/>
  <c r="V15" i="15"/>
  <c r="V15" i="18"/>
  <c r="V15" i="20"/>
  <c r="W15" i="15"/>
  <c r="W15" i="18"/>
  <c r="W15" i="20"/>
  <c r="X15" i="15"/>
  <c r="X15" i="18"/>
  <c r="X15" i="20"/>
  <c r="O16" i="15"/>
  <c r="O16" i="18"/>
  <c r="O16" i="20"/>
  <c r="P16" i="15"/>
  <c r="P16" i="18"/>
  <c r="P16" i="20"/>
  <c r="Q16" i="15"/>
  <c r="Q16" i="18"/>
  <c r="Q16" i="20"/>
  <c r="R16" i="15"/>
  <c r="R16" i="18"/>
  <c r="R16" i="20"/>
  <c r="S16" i="15"/>
  <c r="S16" i="18"/>
  <c r="S16" i="20"/>
  <c r="T16" i="15"/>
  <c r="T16" i="18"/>
  <c r="T16" i="20"/>
  <c r="U16" i="15"/>
  <c r="U16" i="18"/>
  <c r="U16" i="20"/>
  <c r="V16" i="15"/>
  <c r="V16" i="18"/>
  <c r="V16" i="20"/>
  <c r="W16" i="15"/>
  <c r="W16" i="18"/>
  <c r="W16" i="20"/>
  <c r="X16" i="15"/>
  <c r="X16" i="18"/>
  <c r="X16" i="20"/>
  <c r="O17" i="15"/>
  <c r="O17" i="18"/>
  <c r="O17" i="20"/>
  <c r="P17" i="15"/>
  <c r="P17" i="18"/>
  <c r="P17" i="20"/>
  <c r="Q17" i="15"/>
  <c r="Q17" i="18"/>
  <c r="Q17" i="20"/>
  <c r="R17" i="15"/>
  <c r="R17" i="18"/>
  <c r="R17" i="20"/>
  <c r="S17" i="15"/>
  <c r="S17" i="18"/>
  <c r="S17" i="20"/>
  <c r="T17" i="15"/>
  <c r="T17" i="18"/>
  <c r="T17" i="20"/>
  <c r="U17" i="15"/>
  <c r="U17" i="18"/>
  <c r="U17" i="20"/>
  <c r="V17" i="15"/>
  <c r="V17" i="18"/>
  <c r="V17" i="20"/>
  <c r="W17" i="15"/>
  <c r="W17" i="18"/>
  <c r="W17" i="20"/>
  <c r="X17" i="15"/>
  <c r="X17" i="18"/>
  <c r="X17" i="20"/>
  <c r="O18" i="15"/>
  <c r="O18" i="18"/>
  <c r="O18" i="20"/>
  <c r="P18" i="15"/>
  <c r="P18" i="18"/>
  <c r="P18" i="20"/>
  <c r="Q18" i="15"/>
  <c r="Q18" i="18"/>
  <c r="Q18" i="20"/>
  <c r="R18" i="15"/>
  <c r="R18" i="18"/>
  <c r="R18" i="20"/>
  <c r="S18" i="15"/>
  <c r="S18" i="18"/>
  <c r="S18" i="20"/>
  <c r="T18" i="15"/>
  <c r="T18" i="18"/>
  <c r="T18" i="20"/>
  <c r="U18" i="15"/>
  <c r="U18" i="18"/>
  <c r="U18" i="20"/>
  <c r="V18" i="15"/>
  <c r="V18" i="18"/>
  <c r="V18" i="20"/>
  <c r="W18" i="15"/>
  <c r="W18" i="18"/>
  <c r="W18" i="20"/>
  <c r="X18" i="15"/>
  <c r="X18" i="18"/>
  <c r="X18" i="20"/>
  <c r="O19" i="15"/>
  <c r="O19" i="18"/>
  <c r="O19" i="20"/>
  <c r="P19" i="15"/>
  <c r="P19" i="18"/>
  <c r="P19" i="20"/>
  <c r="Q19" i="15"/>
  <c r="Q19" i="18"/>
  <c r="Q19" i="20"/>
  <c r="R19" i="15"/>
  <c r="R19" i="18"/>
  <c r="R19" i="20"/>
  <c r="S19" i="15"/>
  <c r="S19" i="18"/>
  <c r="S19" i="20"/>
  <c r="T19" i="15"/>
  <c r="T19" i="18"/>
  <c r="T19" i="20"/>
  <c r="U19" i="15"/>
  <c r="U19" i="18"/>
  <c r="U19" i="20"/>
  <c r="V19" i="15"/>
  <c r="V19" i="18"/>
  <c r="V19" i="20"/>
  <c r="W19" i="15"/>
  <c r="W19" i="18"/>
  <c r="W19" i="20"/>
  <c r="X19" i="15"/>
  <c r="X19" i="18"/>
  <c r="X19" i="20"/>
  <c r="B38" i="14"/>
  <c r="B38" i="13"/>
  <c r="B38" i="15"/>
  <c r="B37" i="14"/>
  <c r="B37" i="13"/>
  <c r="B37" i="15"/>
  <c r="B36" i="14"/>
  <c r="B36" i="13"/>
  <c r="B36" i="15"/>
  <c r="O36" i="15"/>
  <c r="O36" i="18"/>
  <c r="O36" i="20"/>
  <c r="C38" i="14"/>
  <c r="C38" i="13"/>
  <c r="C38" i="15"/>
  <c r="C37" i="14"/>
  <c r="C37" i="13"/>
  <c r="C37" i="15"/>
  <c r="C36" i="14"/>
  <c r="C36" i="13"/>
  <c r="C36" i="15"/>
  <c r="P36" i="15"/>
  <c r="P36" i="18"/>
  <c r="P36" i="20"/>
  <c r="D38" i="14"/>
  <c r="D38" i="13"/>
  <c r="D38" i="15"/>
  <c r="D37" i="14"/>
  <c r="D37" i="13"/>
  <c r="D37" i="15"/>
  <c r="D36" i="14"/>
  <c r="D36" i="13"/>
  <c r="D36" i="15"/>
  <c r="Q36" i="15"/>
  <c r="Q36" i="18"/>
  <c r="Q36" i="20"/>
  <c r="E38" i="14"/>
  <c r="E38" i="13"/>
  <c r="E38" i="15"/>
  <c r="E37" i="14"/>
  <c r="E37" i="13"/>
  <c r="E37" i="15"/>
  <c r="E36" i="14"/>
  <c r="E36" i="13"/>
  <c r="E36" i="15"/>
  <c r="R36" i="15"/>
  <c r="R36" i="18"/>
  <c r="R36" i="20"/>
  <c r="F38" i="14"/>
  <c r="F38" i="13"/>
  <c r="F38" i="15"/>
  <c r="F37" i="14"/>
  <c r="F37" i="13"/>
  <c r="F37" i="15"/>
  <c r="F36" i="14"/>
  <c r="F36" i="13"/>
  <c r="F36" i="15"/>
  <c r="S36" i="15"/>
  <c r="S36" i="18"/>
  <c r="S36" i="20"/>
  <c r="G38" i="14"/>
  <c r="G38" i="13"/>
  <c r="G38" i="15"/>
  <c r="G37" i="14"/>
  <c r="G37" i="13"/>
  <c r="G37" i="15"/>
  <c r="G36" i="14"/>
  <c r="G36" i="13"/>
  <c r="G36" i="15"/>
  <c r="T36" i="15"/>
  <c r="T36" i="18"/>
  <c r="T36" i="20"/>
  <c r="H38" i="14"/>
  <c r="H38" i="13"/>
  <c r="H38" i="15"/>
  <c r="H37" i="14"/>
  <c r="H37" i="13"/>
  <c r="H37" i="15"/>
  <c r="H36" i="14"/>
  <c r="H36" i="13"/>
  <c r="H36" i="15"/>
  <c r="U36" i="15"/>
  <c r="U36" i="18"/>
  <c r="U36" i="20"/>
  <c r="I38" i="14"/>
  <c r="I38" i="13"/>
  <c r="I38" i="15"/>
  <c r="I37" i="14"/>
  <c r="I37" i="13"/>
  <c r="I37" i="15"/>
  <c r="I36" i="14"/>
  <c r="I36" i="13"/>
  <c r="I36" i="15"/>
  <c r="V36" i="15"/>
  <c r="V36" i="18"/>
  <c r="V36" i="20"/>
  <c r="J38" i="14"/>
  <c r="J38" i="13"/>
  <c r="J38" i="15"/>
  <c r="J37" i="14"/>
  <c r="J37" i="13"/>
  <c r="J37" i="15"/>
  <c r="J36" i="14"/>
  <c r="J36" i="13"/>
  <c r="J36" i="15"/>
  <c r="W36" i="15"/>
  <c r="W36" i="18"/>
  <c r="W36" i="20"/>
  <c r="K38" i="14"/>
  <c r="K38" i="13"/>
  <c r="K38" i="15"/>
  <c r="K37" i="14"/>
  <c r="K37" i="13"/>
  <c r="K37" i="15"/>
  <c r="K36" i="14"/>
  <c r="K36" i="13"/>
  <c r="K36" i="15"/>
  <c r="X36" i="15"/>
  <c r="X36" i="18"/>
  <c r="X36" i="20"/>
  <c r="O37" i="15"/>
  <c r="O37" i="18"/>
  <c r="O37" i="20"/>
  <c r="P37" i="15"/>
  <c r="P37" i="18"/>
  <c r="P37" i="20"/>
  <c r="Q37" i="15"/>
  <c r="Q37" i="18"/>
  <c r="Q37" i="20"/>
  <c r="R37" i="15"/>
  <c r="R37" i="18"/>
  <c r="R37" i="20"/>
  <c r="S37" i="15"/>
  <c r="S37" i="18"/>
  <c r="S37" i="20"/>
  <c r="T37" i="15"/>
  <c r="T37" i="18"/>
  <c r="T37" i="20"/>
  <c r="U37" i="15"/>
  <c r="U37" i="18"/>
  <c r="U37" i="20"/>
  <c r="V37" i="15"/>
  <c r="V37" i="18"/>
  <c r="V37" i="20"/>
  <c r="W37" i="15"/>
  <c r="W37" i="18"/>
  <c r="W37" i="20"/>
  <c r="X37" i="15"/>
  <c r="X37" i="18"/>
  <c r="X37" i="20"/>
  <c r="O38" i="15"/>
  <c r="O38" i="18"/>
  <c r="O38" i="20"/>
  <c r="P38" i="15"/>
  <c r="P38" i="18"/>
  <c r="P38" i="20"/>
  <c r="Q38" i="15"/>
  <c r="Q38" i="18"/>
  <c r="Q38" i="20"/>
  <c r="R38" i="15"/>
  <c r="R38" i="18"/>
  <c r="R38" i="20"/>
  <c r="S38" i="15"/>
  <c r="S38" i="18"/>
  <c r="S38" i="20"/>
  <c r="T38" i="15"/>
  <c r="T38" i="18"/>
  <c r="T38" i="20"/>
  <c r="U38" i="15"/>
  <c r="U38" i="18"/>
  <c r="U38" i="20"/>
  <c r="V38" i="15"/>
  <c r="V38" i="18"/>
  <c r="V38" i="20"/>
  <c r="W38" i="15"/>
  <c r="W38" i="18"/>
  <c r="W38" i="20"/>
  <c r="X38" i="15"/>
  <c r="X38" i="18"/>
  <c r="X38" i="20"/>
  <c r="O39" i="15"/>
  <c r="O39" i="18"/>
  <c r="O39" i="20"/>
  <c r="P39" i="15"/>
  <c r="P39" i="18"/>
  <c r="P39" i="20"/>
  <c r="Q39" i="15"/>
  <c r="Q39" i="18"/>
  <c r="Q39" i="20"/>
  <c r="R39" i="15"/>
  <c r="R39" i="18"/>
  <c r="R39" i="20"/>
  <c r="S39" i="15"/>
  <c r="S39" i="18"/>
  <c r="S39" i="20"/>
  <c r="T39" i="15"/>
  <c r="T39" i="18"/>
  <c r="T39" i="20"/>
  <c r="U39" i="15"/>
  <c r="U39" i="18"/>
  <c r="U39" i="20"/>
  <c r="V39" i="15"/>
  <c r="V39" i="18"/>
  <c r="V39" i="20"/>
  <c r="W39" i="15"/>
  <c r="W39" i="18"/>
  <c r="W39" i="20"/>
  <c r="X39" i="15"/>
  <c r="X39" i="18"/>
  <c r="X39" i="20"/>
  <c r="O40" i="15"/>
  <c r="O40" i="18"/>
  <c r="O40" i="20"/>
  <c r="P40" i="15"/>
  <c r="P40" i="18"/>
  <c r="P40" i="20"/>
  <c r="Q40" i="15"/>
  <c r="Q40" i="18"/>
  <c r="Q40" i="20"/>
  <c r="R40" i="15"/>
  <c r="R40" i="18"/>
  <c r="R40" i="20"/>
  <c r="S40" i="15"/>
  <c r="S40" i="18"/>
  <c r="S40" i="20"/>
  <c r="T40" i="15"/>
  <c r="T40" i="18"/>
  <c r="T40" i="20"/>
  <c r="U40" i="15"/>
  <c r="U40" i="18"/>
  <c r="U40" i="20"/>
  <c r="V40" i="15"/>
  <c r="V40" i="18"/>
  <c r="V40" i="20"/>
  <c r="W40" i="15"/>
  <c r="W40" i="18"/>
  <c r="W40" i="20"/>
  <c r="X40" i="15"/>
  <c r="X40" i="18"/>
  <c r="X40" i="20"/>
  <c r="O41" i="15"/>
  <c r="O41" i="18"/>
  <c r="O41" i="20"/>
  <c r="P41" i="15"/>
  <c r="P41" i="18"/>
  <c r="P41" i="20"/>
  <c r="Q41" i="15"/>
  <c r="Q41" i="18"/>
  <c r="Q41" i="20"/>
  <c r="R41" i="15"/>
  <c r="R41" i="18"/>
  <c r="R41" i="20"/>
  <c r="S41" i="15"/>
  <c r="S41" i="18"/>
  <c r="S41" i="20"/>
  <c r="T41" i="15"/>
  <c r="T41" i="18"/>
  <c r="T41" i="20"/>
  <c r="U41" i="15"/>
  <c r="U41" i="18"/>
  <c r="U41" i="20"/>
  <c r="V41" i="15"/>
  <c r="V41" i="18"/>
  <c r="V41" i="20"/>
  <c r="W41" i="15"/>
  <c r="W41" i="18"/>
  <c r="W41" i="20"/>
  <c r="X41" i="15"/>
  <c r="X41" i="18"/>
  <c r="X41" i="20"/>
  <c r="B42" i="17"/>
  <c r="B42" i="18"/>
  <c r="O42" i="15"/>
  <c r="O42" i="18"/>
  <c r="O42" i="20"/>
  <c r="C42" i="17"/>
  <c r="C42" i="18"/>
  <c r="P42" i="15"/>
  <c r="P42" i="18"/>
  <c r="P42" i="20"/>
  <c r="D42" i="17"/>
  <c r="D42" i="18"/>
  <c r="Q42" i="15"/>
  <c r="Q42" i="18"/>
  <c r="Q42" i="20"/>
  <c r="E42" i="17"/>
  <c r="E42" i="18"/>
  <c r="R42" i="15"/>
  <c r="R42" i="18"/>
  <c r="R42" i="20"/>
  <c r="F42" i="17"/>
  <c r="F42" i="18"/>
  <c r="S42" i="15"/>
  <c r="S42" i="18"/>
  <c r="S42" i="20"/>
  <c r="G42" i="17"/>
  <c r="G42" i="18"/>
  <c r="T42" i="15"/>
  <c r="T42" i="18"/>
  <c r="T42" i="20"/>
  <c r="H42" i="17"/>
  <c r="H42" i="18"/>
  <c r="U42" i="15"/>
  <c r="U42" i="18"/>
  <c r="U42" i="20"/>
  <c r="I42" i="17"/>
  <c r="I42" i="18"/>
  <c r="V42" i="15"/>
  <c r="V42" i="18"/>
  <c r="V42" i="20"/>
  <c r="J42" i="17"/>
  <c r="J42" i="18"/>
  <c r="W42" i="15"/>
  <c r="W42" i="18"/>
  <c r="W42" i="20"/>
  <c r="K42" i="17"/>
  <c r="K42" i="18"/>
  <c r="X42" i="15"/>
  <c r="X42" i="18"/>
  <c r="X42" i="20"/>
  <c r="B43" i="17"/>
  <c r="B43" i="18"/>
  <c r="O43" i="15"/>
  <c r="O43" i="18"/>
  <c r="O43" i="20"/>
  <c r="C43" i="17"/>
  <c r="C43" i="18"/>
  <c r="P43" i="15"/>
  <c r="P43" i="18"/>
  <c r="P43" i="20"/>
  <c r="D43" i="17"/>
  <c r="D43" i="18"/>
  <c r="Q43" i="15"/>
  <c r="Q43" i="18"/>
  <c r="Q43" i="20"/>
  <c r="E43" i="17"/>
  <c r="E43" i="18"/>
  <c r="R43" i="15"/>
  <c r="R43" i="18"/>
  <c r="R43" i="20"/>
  <c r="F43" i="17"/>
  <c r="F43" i="18"/>
  <c r="S43" i="15"/>
  <c r="S43" i="18"/>
  <c r="S43" i="20"/>
  <c r="G43" i="17"/>
  <c r="G43" i="18"/>
  <c r="T43" i="15"/>
  <c r="T43" i="18"/>
  <c r="T43" i="20"/>
  <c r="H43" i="17"/>
  <c r="H43" i="18"/>
  <c r="U43" i="15"/>
  <c r="U43" i="18"/>
  <c r="U43" i="20"/>
  <c r="I43" i="17"/>
  <c r="I43" i="18"/>
  <c r="V43" i="15"/>
  <c r="V43" i="18"/>
  <c r="V43" i="20"/>
  <c r="J43" i="17"/>
  <c r="J43" i="18"/>
  <c r="W43" i="15"/>
  <c r="W43" i="18"/>
  <c r="W43" i="20"/>
  <c r="K43" i="17"/>
  <c r="K43" i="18"/>
  <c r="X43" i="15"/>
  <c r="X43" i="18"/>
  <c r="X43" i="20"/>
  <c r="B44" i="17"/>
  <c r="B44" i="20"/>
  <c r="B44" i="18"/>
  <c r="O44" i="15"/>
  <c r="O44" i="18"/>
  <c r="O44" i="20"/>
  <c r="C44" i="17"/>
  <c r="C44" i="20"/>
  <c r="C44" i="18"/>
  <c r="P44" i="15"/>
  <c r="P44" i="18"/>
  <c r="P44" i="20"/>
  <c r="D44" i="17"/>
  <c r="D44" i="20"/>
  <c r="D44" i="18"/>
  <c r="Q44" i="15"/>
  <c r="Q44" i="18"/>
  <c r="Q44" i="20"/>
  <c r="E44" i="17"/>
  <c r="E44" i="20"/>
  <c r="E44" i="18"/>
  <c r="R44" i="15"/>
  <c r="R44" i="18"/>
  <c r="R44" i="20"/>
  <c r="F44" i="17"/>
  <c r="F44" i="20"/>
  <c r="F44" i="18"/>
  <c r="S44" i="15"/>
  <c r="S44" i="18"/>
  <c r="S44" i="20"/>
  <c r="G44" i="17"/>
  <c r="G44" i="20"/>
  <c r="G44" i="18"/>
  <c r="T44" i="15"/>
  <c r="T44" i="18"/>
  <c r="T44" i="20"/>
  <c r="H44" i="17"/>
  <c r="H44" i="20"/>
  <c r="H44" i="18"/>
  <c r="U44" i="15"/>
  <c r="U44" i="18"/>
  <c r="U44" i="20"/>
  <c r="I44" i="17"/>
  <c r="I44" i="20"/>
  <c r="I44" i="18"/>
  <c r="V44" i="15"/>
  <c r="V44" i="18"/>
  <c r="V44" i="20"/>
  <c r="J44" i="17"/>
  <c r="J44" i="20"/>
  <c r="J44" i="18"/>
  <c r="W44" i="15"/>
  <c r="W44" i="18"/>
  <c r="W44" i="20"/>
  <c r="K44" i="17"/>
  <c r="K44" i="20"/>
  <c r="K44" i="18"/>
  <c r="X44" i="15"/>
  <c r="X44" i="18"/>
  <c r="X44" i="20"/>
  <c r="B35" i="13"/>
  <c r="B35" i="14"/>
  <c r="B29" i="22"/>
  <c r="B16" i="22"/>
  <c r="B35" i="15"/>
  <c r="B34" i="14"/>
  <c r="B34" i="13"/>
  <c r="B34" i="17"/>
  <c r="B34" i="20"/>
  <c r="B34" i="18"/>
  <c r="B34" i="15"/>
  <c r="O34" i="15"/>
  <c r="O34" i="18"/>
  <c r="O34" i="20"/>
  <c r="O2" i="22"/>
  <c r="C35" i="13"/>
  <c r="C35" i="14"/>
  <c r="C29" i="22"/>
  <c r="C16" i="22"/>
  <c r="C35" i="15"/>
  <c r="C34" i="14"/>
  <c r="C34" i="13"/>
  <c r="C34" i="17"/>
  <c r="C34" i="20"/>
  <c r="C34" i="18"/>
  <c r="C34" i="15"/>
  <c r="P34" i="15"/>
  <c r="P34" i="18"/>
  <c r="P34" i="20"/>
  <c r="P2" i="22"/>
  <c r="D35" i="13"/>
  <c r="D35" i="14"/>
  <c r="D29" i="22"/>
  <c r="D16" i="22"/>
  <c r="D35" i="15"/>
  <c r="D34" i="14"/>
  <c r="D34" i="13"/>
  <c r="D34" i="17"/>
  <c r="D34" i="20"/>
  <c r="D34" i="18"/>
  <c r="D34" i="15"/>
  <c r="Q34" i="15"/>
  <c r="Q34" i="18"/>
  <c r="Q34" i="20"/>
  <c r="Q2" i="22"/>
  <c r="E35" i="13"/>
  <c r="E35" i="14"/>
  <c r="E29" i="22"/>
  <c r="E16" i="22"/>
  <c r="E35" i="15"/>
  <c r="E34" i="14"/>
  <c r="E34" i="13"/>
  <c r="E34" i="17"/>
  <c r="E34" i="20"/>
  <c r="E34" i="18"/>
  <c r="E34" i="15"/>
  <c r="R34" i="15"/>
  <c r="R34" i="18"/>
  <c r="R34" i="20"/>
  <c r="R2" i="22"/>
  <c r="F35" i="13"/>
  <c r="F35" i="14"/>
  <c r="F29" i="22"/>
  <c r="F16" i="22"/>
  <c r="F35" i="15"/>
  <c r="F34" i="14"/>
  <c r="F34" i="13"/>
  <c r="F34" i="17"/>
  <c r="F34" i="20"/>
  <c r="F34" i="18"/>
  <c r="F34" i="15"/>
  <c r="S34" i="15"/>
  <c r="S34" i="18"/>
  <c r="S34" i="20"/>
  <c r="S2" i="22"/>
  <c r="G35" i="13"/>
  <c r="G35" i="14"/>
  <c r="G29" i="22"/>
  <c r="G16" i="22"/>
  <c r="G35" i="15"/>
  <c r="G34" i="14"/>
  <c r="G34" i="13"/>
  <c r="G34" i="17"/>
  <c r="G34" i="20"/>
  <c r="G34" i="18"/>
  <c r="G34" i="15"/>
  <c r="T34" i="15"/>
  <c r="T34" i="18"/>
  <c r="T34" i="20"/>
  <c r="T2" i="22"/>
  <c r="H35" i="13"/>
  <c r="H35" i="14"/>
  <c r="H29" i="22"/>
  <c r="H16" i="22"/>
  <c r="H35" i="15"/>
  <c r="H34" i="14"/>
  <c r="H34" i="13"/>
  <c r="H34" i="17"/>
  <c r="H34" i="20"/>
  <c r="H34" i="18"/>
  <c r="H34" i="15"/>
  <c r="U34" i="15"/>
  <c r="U34" i="18"/>
  <c r="U34" i="20"/>
  <c r="U2" i="22"/>
  <c r="I35" i="13"/>
  <c r="I35" i="14"/>
  <c r="I29" i="22"/>
  <c r="I16" i="22"/>
  <c r="I35" i="15"/>
  <c r="I34" i="14"/>
  <c r="I34" i="13"/>
  <c r="I34" i="17"/>
  <c r="I34" i="20"/>
  <c r="I34" i="18"/>
  <c r="I34" i="15"/>
  <c r="V34" i="15"/>
  <c r="V34" i="18"/>
  <c r="V34" i="20"/>
  <c r="V2" i="22"/>
  <c r="J35" i="13"/>
  <c r="J35" i="14"/>
  <c r="J29" i="22"/>
  <c r="J16" i="22"/>
  <c r="J35" i="15"/>
  <c r="J34" i="14"/>
  <c r="J34" i="13"/>
  <c r="J34" i="17"/>
  <c r="J34" i="20"/>
  <c r="J34" i="18"/>
  <c r="J34" i="15"/>
  <c r="W34" i="15"/>
  <c r="W34" i="18"/>
  <c r="W34" i="20"/>
  <c r="W2" i="22"/>
  <c r="K35" i="13"/>
  <c r="K35" i="14"/>
  <c r="K29" i="22"/>
  <c r="K16" i="22"/>
  <c r="K35" i="15"/>
  <c r="K34" i="14"/>
  <c r="K34" i="13"/>
  <c r="K34" i="17"/>
  <c r="K34" i="20"/>
  <c r="K34" i="18"/>
  <c r="K34" i="15"/>
  <c r="X34" i="15"/>
  <c r="X34" i="18"/>
  <c r="X34" i="20"/>
  <c r="X2" i="22"/>
  <c r="B4" i="14"/>
  <c r="B4" i="15"/>
  <c r="O4" i="15"/>
  <c r="O4" i="18"/>
  <c r="O4" i="20"/>
  <c r="O3" i="22"/>
  <c r="C4" i="14"/>
  <c r="C4" i="15"/>
  <c r="P4" i="15"/>
  <c r="P4" i="18"/>
  <c r="P4" i="20"/>
  <c r="P3" i="22"/>
  <c r="D4" i="14"/>
  <c r="D4" i="15"/>
  <c r="Q4" i="15"/>
  <c r="Q4" i="18"/>
  <c r="Q4" i="20"/>
  <c r="Q3" i="22"/>
  <c r="E4" i="14"/>
  <c r="R3" i="22"/>
  <c r="F4" i="14"/>
  <c r="S3" i="22"/>
  <c r="G4" i="14"/>
  <c r="T3" i="22"/>
  <c r="H4" i="14"/>
  <c r="U3" i="22"/>
  <c r="I4" i="14"/>
  <c r="I4" i="15"/>
  <c r="V4" i="15"/>
  <c r="V4" i="18"/>
  <c r="V4" i="20"/>
  <c r="V3" i="22"/>
  <c r="J4" i="14"/>
  <c r="J4" i="15"/>
  <c r="W4" i="15"/>
  <c r="W4" i="18"/>
  <c r="W4" i="20"/>
  <c r="W3" i="22"/>
  <c r="K4" i="14"/>
  <c r="K4" i="15"/>
  <c r="X4" i="15"/>
  <c r="X4" i="18"/>
  <c r="X4" i="20"/>
  <c r="X3" i="22"/>
  <c r="O4" i="22"/>
  <c r="P4" i="22"/>
  <c r="Q4" i="22"/>
  <c r="R4" i="22"/>
  <c r="S4" i="22"/>
  <c r="T4" i="22"/>
  <c r="U4" i="22"/>
  <c r="V4" i="22"/>
  <c r="W4" i="22"/>
  <c r="X4" i="22"/>
  <c r="O5" i="22"/>
  <c r="P5" i="22"/>
  <c r="Q5" i="22"/>
  <c r="R5" i="22"/>
  <c r="S5" i="22"/>
  <c r="T5" i="22"/>
  <c r="U5" i="22"/>
  <c r="V5" i="22"/>
  <c r="W5" i="22"/>
  <c r="X5" i="22"/>
  <c r="O6" i="22"/>
  <c r="P6" i="22"/>
  <c r="Q6" i="22"/>
  <c r="R6" i="22"/>
  <c r="S6" i="22"/>
  <c r="T6" i="22"/>
  <c r="U6" i="22"/>
  <c r="V6" i="22"/>
  <c r="W6" i="22"/>
  <c r="X6" i="22"/>
  <c r="O7" i="22"/>
  <c r="P7" i="22"/>
  <c r="Q7" i="22"/>
  <c r="R7" i="22"/>
  <c r="S7" i="22"/>
  <c r="T7" i="22"/>
  <c r="U7" i="22"/>
  <c r="V7" i="22"/>
  <c r="W7" i="22"/>
  <c r="X7" i="22"/>
  <c r="O8" i="22"/>
  <c r="P8" i="22"/>
  <c r="Q8" i="22"/>
  <c r="R8" i="22"/>
  <c r="S8" i="22"/>
  <c r="T8" i="22"/>
  <c r="U8" i="22"/>
  <c r="V8" i="22"/>
  <c r="W8" i="22"/>
  <c r="X8" i="22"/>
  <c r="O9" i="22"/>
  <c r="P9" i="22"/>
  <c r="Q9" i="22"/>
  <c r="R9" i="22"/>
  <c r="S9" i="22"/>
  <c r="T9" i="22"/>
  <c r="U9" i="22"/>
  <c r="V9" i="22"/>
  <c r="W9" i="22"/>
  <c r="X9" i="22"/>
  <c r="O10" i="22"/>
  <c r="P10" i="22"/>
  <c r="Q10" i="22"/>
  <c r="R10" i="22"/>
  <c r="S10" i="22"/>
  <c r="T10" i="22"/>
  <c r="U10" i="22"/>
  <c r="V10" i="22"/>
  <c r="W10" i="22"/>
  <c r="X10" i="22"/>
  <c r="O20" i="15"/>
  <c r="O20" i="18"/>
  <c r="O20" i="20"/>
  <c r="O11" i="22"/>
  <c r="P20" i="15"/>
  <c r="P20" i="18"/>
  <c r="P20" i="20"/>
  <c r="P11" i="22"/>
  <c r="Q20" i="15"/>
  <c r="Q20" i="18"/>
  <c r="Q20" i="20"/>
  <c r="Q11" i="22"/>
  <c r="R20" i="15"/>
  <c r="R20" i="18"/>
  <c r="R20" i="20"/>
  <c r="R11" i="22"/>
  <c r="S20" i="15"/>
  <c r="S20" i="18"/>
  <c r="S20" i="20"/>
  <c r="S11" i="22"/>
  <c r="T20" i="15"/>
  <c r="T20" i="18"/>
  <c r="T20" i="20"/>
  <c r="T11" i="22"/>
  <c r="U20" i="15"/>
  <c r="U20" i="18"/>
  <c r="U20" i="20"/>
  <c r="U11" i="22"/>
  <c r="V20" i="15"/>
  <c r="V20" i="18"/>
  <c r="V20" i="20"/>
  <c r="V11" i="22"/>
  <c r="W20" i="15"/>
  <c r="W20" i="18"/>
  <c r="W20" i="20"/>
  <c r="W11" i="22"/>
  <c r="X20" i="15"/>
  <c r="X20" i="18"/>
  <c r="X20" i="20"/>
  <c r="X11" i="22"/>
  <c r="D57" i="24"/>
  <c r="C58" i="24"/>
  <c r="C70" i="24"/>
  <c r="B2" i="24"/>
  <c r="C2" i="24"/>
  <c r="D2" i="24"/>
  <c r="E2" i="24"/>
  <c r="F2" i="24"/>
  <c r="G2" i="24"/>
  <c r="H2" i="24"/>
  <c r="I2" i="24"/>
  <c r="J2" i="24"/>
  <c r="K2" i="24"/>
  <c r="E57" i="24"/>
  <c r="C59" i="24"/>
  <c r="C71" i="24"/>
  <c r="B3" i="24"/>
  <c r="C3" i="24"/>
  <c r="D3" i="24"/>
  <c r="E3" i="24"/>
  <c r="F3" i="24"/>
  <c r="G3" i="24"/>
  <c r="H3" i="24"/>
  <c r="I3" i="24"/>
  <c r="J3" i="24"/>
  <c r="K3" i="24"/>
  <c r="F57" i="24"/>
  <c r="E58" i="24"/>
  <c r="D59" i="24"/>
  <c r="C60" i="24"/>
  <c r="C72" i="24"/>
  <c r="B4" i="24"/>
  <c r="C4" i="24"/>
  <c r="D4" i="24"/>
  <c r="E4" i="24"/>
  <c r="F4" i="24"/>
  <c r="G4" i="24"/>
  <c r="H4" i="24"/>
  <c r="I4" i="24"/>
  <c r="J4" i="24"/>
  <c r="K4" i="24"/>
  <c r="G57" i="24"/>
  <c r="F58" i="24"/>
  <c r="D60" i="24"/>
  <c r="C61" i="24"/>
  <c r="C73" i="24"/>
  <c r="B5" i="24"/>
  <c r="C5" i="24"/>
  <c r="D5" i="24"/>
  <c r="E5" i="24"/>
  <c r="F5" i="24"/>
  <c r="G5" i="24"/>
  <c r="H5" i="24"/>
  <c r="I5" i="24"/>
  <c r="J5" i="24"/>
  <c r="K5" i="24"/>
  <c r="H57" i="24"/>
  <c r="G58" i="24"/>
  <c r="F59" i="24"/>
  <c r="E60" i="24"/>
  <c r="I57" i="24"/>
  <c r="J57" i="24"/>
  <c r="K57" i="24"/>
  <c r="H58" i="24"/>
  <c r="I58" i="24"/>
  <c r="J58" i="24"/>
  <c r="K58" i="24"/>
  <c r="G59" i="24"/>
  <c r="H59" i="24"/>
  <c r="I59" i="24"/>
  <c r="J59" i="24"/>
  <c r="K59" i="24"/>
  <c r="G60" i="24"/>
  <c r="H60" i="24"/>
  <c r="I60" i="24"/>
  <c r="J60" i="24"/>
  <c r="K60" i="24"/>
  <c r="D61" i="24"/>
  <c r="E61" i="24"/>
  <c r="F61" i="24"/>
  <c r="H61" i="24"/>
  <c r="I61" i="24"/>
  <c r="J61" i="24"/>
  <c r="K61" i="24"/>
  <c r="C62" i="24"/>
  <c r="D62" i="24"/>
  <c r="E62" i="24"/>
  <c r="F62" i="24"/>
  <c r="G62" i="24"/>
  <c r="I62" i="24"/>
  <c r="J62" i="24"/>
  <c r="K62" i="24"/>
  <c r="C63" i="24"/>
  <c r="D63" i="24"/>
  <c r="E63" i="24"/>
  <c r="F63" i="24"/>
  <c r="G63" i="24"/>
  <c r="H63" i="24"/>
  <c r="J63" i="24"/>
  <c r="K63" i="24"/>
  <c r="C64" i="24"/>
  <c r="D64" i="24"/>
  <c r="E64" i="24"/>
  <c r="F64" i="24"/>
  <c r="G64" i="24"/>
  <c r="H64" i="24"/>
  <c r="I64" i="24"/>
  <c r="K64" i="24"/>
  <c r="C65" i="24"/>
  <c r="D65" i="24"/>
  <c r="E65" i="24"/>
  <c r="F65" i="24"/>
  <c r="G65" i="24"/>
  <c r="H65" i="24"/>
  <c r="I65" i="24"/>
  <c r="J65" i="24"/>
  <c r="C74" i="24"/>
  <c r="B6" i="24"/>
  <c r="C6" i="24"/>
  <c r="D6" i="24"/>
  <c r="E6" i="24"/>
  <c r="F6" i="24"/>
  <c r="G6" i="24"/>
  <c r="H6" i="24"/>
  <c r="I6" i="24"/>
  <c r="J6" i="24"/>
  <c r="K6" i="24"/>
  <c r="C75" i="24"/>
  <c r="B7" i="24"/>
  <c r="C7" i="24"/>
  <c r="D7" i="24"/>
  <c r="E7" i="24"/>
  <c r="F7" i="24"/>
  <c r="G7" i="24"/>
  <c r="H7" i="24"/>
  <c r="I7" i="24"/>
  <c r="J7" i="24"/>
  <c r="K7" i="24"/>
  <c r="C76" i="24"/>
  <c r="B8" i="24"/>
  <c r="C8" i="24"/>
  <c r="D8" i="24"/>
  <c r="E8" i="24"/>
  <c r="F8" i="24"/>
  <c r="G8" i="24"/>
  <c r="H8" i="24"/>
  <c r="I8" i="24"/>
  <c r="J8" i="24"/>
  <c r="K8" i="24"/>
  <c r="C77" i="24"/>
  <c r="B9" i="24"/>
  <c r="C9" i="24"/>
  <c r="D9" i="24"/>
  <c r="E9" i="24"/>
  <c r="F9" i="24"/>
  <c r="G9" i="24"/>
  <c r="H9" i="24"/>
  <c r="I9" i="24"/>
  <c r="J9" i="24"/>
  <c r="K9" i="24"/>
  <c r="C78" i="24"/>
  <c r="B10" i="24"/>
  <c r="C10" i="24"/>
  <c r="D10" i="24"/>
  <c r="E10" i="24"/>
  <c r="F10" i="24"/>
  <c r="G10" i="24"/>
  <c r="H10" i="24"/>
  <c r="I10" i="24"/>
  <c r="J10" i="24"/>
  <c r="K10" i="24"/>
  <c r="C79" i="24"/>
  <c r="B11" i="24"/>
  <c r="C11" i="24"/>
  <c r="D11" i="24"/>
  <c r="E11" i="24"/>
  <c r="F11" i="24"/>
  <c r="G11" i="24"/>
  <c r="H11" i="24"/>
  <c r="I11" i="24"/>
  <c r="J11" i="24"/>
  <c r="K11" i="24"/>
  <c r="C80" i="24"/>
  <c r="B12" i="24"/>
  <c r="C12" i="24"/>
  <c r="D12" i="24"/>
  <c r="E12" i="24"/>
  <c r="F12" i="24"/>
  <c r="G12" i="24"/>
  <c r="H12" i="24"/>
  <c r="I12" i="24"/>
  <c r="J12" i="24"/>
  <c r="K12" i="24"/>
  <c r="C81" i="24"/>
  <c r="B13" i="24"/>
  <c r="C13" i="24"/>
  <c r="D13" i="24"/>
  <c r="E13" i="24"/>
  <c r="F13" i="24"/>
  <c r="G13" i="24"/>
  <c r="H13" i="24"/>
  <c r="I13" i="24"/>
  <c r="J13" i="24"/>
  <c r="K13" i="24"/>
  <c r="C82" i="24"/>
  <c r="B14" i="24"/>
  <c r="C14" i="24"/>
  <c r="D14" i="24"/>
  <c r="E14" i="24"/>
  <c r="F14" i="24"/>
  <c r="G14" i="24"/>
  <c r="H14" i="24"/>
  <c r="I14" i="24"/>
  <c r="J14" i="24"/>
  <c r="K14" i="24"/>
  <c r="C83" i="24"/>
  <c r="B15" i="24"/>
  <c r="C15" i="24"/>
  <c r="D15" i="24"/>
  <c r="E15" i="24"/>
  <c r="F15" i="24"/>
  <c r="G15" i="24"/>
  <c r="H15" i="24"/>
  <c r="I15" i="24"/>
  <c r="J15" i="24"/>
  <c r="K15" i="24"/>
  <c r="C84" i="24"/>
  <c r="B16" i="24"/>
  <c r="C16" i="24"/>
  <c r="D16" i="24"/>
  <c r="E16" i="24"/>
  <c r="F16" i="24"/>
  <c r="G16" i="24"/>
  <c r="H16" i="24"/>
  <c r="I16" i="24"/>
  <c r="J16" i="24"/>
  <c r="K16" i="24"/>
  <c r="B18" i="24"/>
  <c r="C18" i="24"/>
  <c r="D18" i="24"/>
  <c r="E18" i="24"/>
  <c r="F18" i="24"/>
  <c r="G18" i="24"/>
  <c r="H18" i="24"/>
  <c r="I18" i="24"/>
  <c r="J18" i="24"/>
  <c r="K18" i="24"/>
  <c r="B19" i="24"/>
  <c r="C19" i="24"/>
  <c r="D19" i="24"/>
  <c r="E19" i="24"/>
  <c r="F19" i="24"/>
  <c r="G19" i="24"/>
  <c r="H19" i="24"/>
  <c r="I19" i="24"/>
  <c r="J19" i="24"/>
  <c r="K19" i="24"/>
  <c r="B20" i="24"/>
  <c r="C20" i="24"/>
  <c r="D20" i="24"/>
  <c r="E20" i="24"/>
  <c r="F20" i="24"/>
  <c r="G20" i="24"/>
  <c r="H20" i="24"/>
  <c r="I20" i="24"/>
  <c r="J20" i="24"/>
  <c r="K20" i="24"/>
  <c r="B21" i="24"/>
  <c r="C21" i="24"/>
  <c r="D21" i="24"/>
  <c r="E21" i="24"/>
  <c r="F21" i="24"/>
  <c r="G21" i="24"/>
  <c r="H21" i="24"/>
  <c r="I21" i="24"/>
  <c r="J21" i="24"/>
  <c r="K21" i="24"/>
  <c r="B22" i="24"/>
  <c r="C22" i="24"/>
  <c r="D22" i="24"/>
  <c r="E22" i="24"/>
  <c r="F22" i="24"/>
  <c r="G22" i="24"/>
  <c r="H22" i="24"/>
  <c r="I22" i="24"/>
  <c r="J22" i="24"/>
  <c r="K22" i="24"/>
  <c r="B23" i="24"/>
  <c r="C23" i="24"/>
  <c r="D23" i="24"/>
  <c r="E23" i="24"/>
  <c r="F23" i="24"/>
  <c r="G23" i="24"/>
  <c r="H23" i="24"/>
  <c r="I23" i="24"/>
  <c r="J23" i="24"/>
  <c r="K23" i="24"/>
  <c r="B24" i="24"/>
  <c r="C24" i="24"/>
  <c r="D24" i="24"/>
  <c r="E24" i="24"/>
  <c r="F24" i="24"/>
  <c r="G24" i="24"/>
  <c r="H24" i="24"/>
  <c r="I24" i="24"/>
  <c r="J24" i="24"/>
  <c r="K24" i="24"/>
  <c r="B25" i="24"/>
  <c r="C25" i="24"/>
  <c r="D25" i="24"/>
  <c r="E25" i="24"/>
  <c r="F25" i="24"/>
  <c r="G25" i="24"/>
  <c r="H25" i="24"/>
  <c r="I25" i="24"/>
  <c r="J25" i="24"/>
  <c r="K25" i="24"/>
  <c r="B26" i="24"/>
  <c r="C26" i="24"/>
  <c r="D26" i="24"/>
  <c r="E26" i="24"/>
  <c r="F26" i="24"/>
  <c r="G26" i="24"/>
  <c r="H26" i="24"/>
  <c r="I26" i="24"/>
  <c r="J26" i="24"/>
  <c r="K26" i="24"/>
  <c r="B28" i="24"/>
  <c r="C28" i="24"/>
  <c r="D28" i="24"/>
  <c r="E28" i="24"/>
  <c r="F28" i="24"/>
  <c r="G28" i="24"/>
  <c r="H28" i="24"/>
  <c r="I28" i="24"/>
  <c r="J28" i="24"/>
  <c r="K28" i="24"/>
  <c r="B29" i="24"/>
  <c r="C29" i="24"/>
  <c r="D29" i="24"/>
  <c r="E29" i="24"/>
  <c r="F29" i="24"/>
  <c r="G29" i="24"/>
  <c r="H29" i="24"/>
  <c r="I29" i="24"/>
  <c r="J29" i="24"/>
  <c r="K29" i="24"/>
  <c r="B30" i="24"/>
  <c r="C30" i="24"/>
  <c r="D30" i="24"/>
  <c r="E30" i="24"/>
  <c r="F30" i="24"/>
  <c r="G30" i="24"/>
  <c r="H30" i="24"/>
  <c r="I30" i="24"/>
  <c r="J30" i="24"/>
  <c r="K30" i="24"/>
  <c r="B31" i="24"/>
  <c r="C31" i="24"/>
  <c r="D31" i="24"/>
  <c r="E31" i="24"/>
  <c r="F31" i="24"/>
  <c r="G31" i="24"/>
  <c r="H31" i="24"/>
  <c r="I31" i="24"/>
  <c r="J31" i="24"/>
  <c r="K31" i="24"/>
  <c r="B32" i="24"/>
  <c r="C32" i="24"/>
  <c r="D32" i="24"/>
  <c r="E32" i="24"/>
  <c r="F32" i="24"/>
  <c r="G32" i="24"/>
  <c r="H32" i="24"/>
  <c r="I32" i="24"/>
  <c r="J32" i="24"/>
  <c r="K32" i="24"/>
  <c r="B33" i="24"/>
  <c r="C33" i="24"/>
  <c r="D33" i="24"/>
  <c r="E33" i="24"/>
  <c r="F33" i="24"/>
  <c r="G33" i="24"/>
  <c r="H33" i="24"/>
  <c r="I33" i="24"/>
  <c r="J33" i="24"/>
  <c r="K33" i="24"/>
  <c r="B34" i="24"/>
  <c r="C34" i="24"/>
  <c r="D34" i="24"/>
  <c r="E34" i="24"/>
  <c r="F34" i="24"/>
  <c r="G34" i="24"/>
  <c r="H34" i="24"/>
  <c r="I34" i="24"/>
  <c r="J34" i="24"/>
  <c r="K34" i="24"/>
  <c r="B35" i="24"/>
  <c r="C35" i="24"/>
  <c r="D35" i="24"/>
  <c r="E35" i="24"/>
  <c r="F35" i="24"/>
  <c r="G35" i="24"/>
  <c r="H35" i="24"/>
  <c r="I35" i="24"/>
  <c r="J35" i="24"/>
  <c r="K35" i="24"/>
  <c r="B36" i="24"/>
  <c r="C36" i="24"/>
  <c r="D36" i="24"/>
  <c r="E36" i="24"/>
  <c r="F36" i="24"/>
  <c r="G36" i="24"/>
  <c r="H36" i="24"/>
  <c r="I36" i="24"/>
  <c r="J36" i="24"/>
  <c r="K36" i="24"/>
  <c r="B37" i="24"/>
  <c r="C37" i="24"/>
  <c r="D37" i="24"/>
  <c r="E37" i="24"/>
  <c r="F37" i="24"/>
  <c r="G37" i="24"/>
  <c r="H37" i="24"/>
  <c r="I37" i="24"/>
  <c r="J37" i="24"/>
  <c r="K37" i="24"/>
  <c r="B41" i="32"/>
  <c r="B26" i="26"/>
  <c r="B26" i="29"/>
  <c r="C26" i="26"/>
  <c r="C26" i="29"/>
  <c r="D26" i="26"/>
  <c r="D26" i="29"/>
  <c r="E26" i="26"/>
  <c r="E26" i="29"/>
  <c r="F26" i="26"/>
  <c r="F26" i="29"/>
  <c r="G26" i="26"/>
  <c r="G26" i="29"/>
  <c r="H26" i="26"/>
  <c r="H26" i="29"/>
  <c r="I26" i="26"/>
  <c r="I26" i="29"/>
  <c r="J26" i="26"/>
  <c r="J26" i="29"/>
  <c r="K26" i="26"/>
  <c r="K26" i="29"/>
  <c r="J33" i="12"/>
  <c r="C1" i="28"/>
  <c r="C2" i="28"/>
  <c r="C3" i="28"/>
  <c r="C39" i="26"/>
  <c r="C39" i="24"/>
  <c r="C46" i="29"/>
  <c r="E21" i="32"/>
  <c r="F21" i="32"/>
  <c r="C35" i="32"/>
  <c r="C38" i="32"/>
  <c r="D35" i="32"/>
  <c r="D38" i="32"/>
  <c r="E35" i="32"/>
  <c r="E38" i="32"/>
  <c r="F35" i="32"/>
  <c r="F38" i="32"/>
  <c r="C36" i="32"/>
  <c r="C39" i="32"/>
  <c r="D36" i="32"/>
  <c r="D39" i="32"/>
  <c r="E36" i="32"/>
  <c r="E39" i="32"/>
  <c r="F36" i="32"/>
  <c r="F39" i="32"/>
  <c r="B35" i="32"/>
  <c r="B36" i="32"/>
  <c r="B39" i="32"/>
  <c r="B38" i="32"/>
  <c r="C45" i="26"/>
  <c r="K17" i="33"/>
  <c r="J18" i="33"/>
  <c r="I19" i="33"/>
  <c r="H20" i="33"/>
  <c r="C17" i="33"/>
  <c r="D17" i="33"/>
  <c r="E17" i="33"/>
  <c r="F17" i="33"/>
  <c r="G17" i="33"/>
  <c r="H17" i="33"/>
  <c r="I17" i="33"/>
  <c r="J17" i="33"/>
  <c r="C18" i="33"/>
  <c r="D18" i="33"/>
  <c r="E18" i="33"/>
  <c r="F18" i="33"/>
  <c r="G18" i="33"/>
  <c r="H18" i="33"/>
  <c r="I18" i="33"/>
  <c r="K18" i="33"/>
  <c r="C19" i="33"/>
  <c r="D19" i="33"/>
  <c r="E19" i="33"/>
  <c r="F19" i="33"/>
  <c r="G19" i="33"/>
  <c r="H19" i="33"/>
  <c r="J19" i="33"/>
  <c r="K19" i="33"/>
  <c r="C20" i="33"/>
  <c r="D20" i="33"/>
  <c r="E20" i="33"/>
  <c r="F20" i="33"/>
  <c r="G20" i="33"/>
  <c r="I20" i="33"/>
  <c r="J20" i="33"/>
  <c r="K20" i="33"/>
  <c r="C21" i="33"/>
  <c r="D21" i="33"/>
  <c r="E21" i="33"/>
  <c r="F21" i="33"/>
  <c r="G21" i="33"/>
  <c r="H21" i="33"/>
  <c r="I21" i="33"/>
  <c r="J21" i="33"/>
  <c r="K21" i="33"/>
  <c r="C22" i="33"/>
  <c r="D22" i="33"/>
  <c r="E22" i="33"/>
  <c r="F22" i="33"/>
  <c r="G22" i="33"/>
  <c r="H22" i="33"/>
  <c r="I22" i="33"/>
  <c r="J22" i="33"/>
  <c r="K22" i="33"/>
  <c r="C23" i="33"/>
  <c r="D23" i="33"/>
  <c r="E23" i="33"/>
  <c r="F23" i="33"/>
  <c r="G23" i="33"/>
  <c r="H23" i="33"/>
  <c r="I23" i="33"/>
  <c r="J23" i="33"/>
  <c r="K23" i="33"/>
  <c r="C24" i="33"/>
  <c r="D24" i="33"/>
  <c r="E24" i="33"/>
  <c r="F24" i="33"/>
  <c r="G24" i="33"/>
  <c r="H24" i="33"/>
  <c r="I24" i="33"/>
  <c r="J24" i="33"/>
  <c r="K24" i="33"/>
  <c r="C25" i="33"/>
  <c r="D25" i="33"/>
  <c r="E25" i="33"/>
  <c r="F25" i="33"/>
  <c r="G25" i="33"/>
  <c r="H25" i="33"/>
  <c r="I25" i="33"/>
  <c r="J25" i="33"/>
  <c r="K25" i="33"/>
  <c r="O11" i="33"/>
  <c r="B38" i="33"/>
  <c r="T38" i="33"/>
  <c r="O12" i="33"/>
  <c r="B39" i="33"/>
  <c r="T39" i="33"/>
  <c r="O13" i="33"/>
  <c r="B40" i="33"/>
  <c r="T40" i="33"/>
  <c r="O14" i="33"/>
  <c r="B41" i="33"/>
  <c r="T41" i="33"/>
  <c r="O15" i="33"/>
  <c r="B42" i="33"/>
  <c r="T42" i="33"/>
  <c r="T43" i="33"/>
  <c r="U39" i="33"/>
  <c r="U40" i="33"/>
  <c r="U41" i="33"/>
  <c r="U42" i="33"/>
  <c r="U43" i="33"/>
  <c r="V40" i="33"/>
  <c r="V41" i="33"/>
  <c r="V42" i="33"/>
  <c r="V43" i="33"/>
  <c r="W41" i="33"/>
  <c r="W42" i="33"/>
  <c r="W43" i="33"/>
  <c r="O3" i="33"/>
  <c r="B30" i="33"/>
  <c r="C30" i="33"/>
  <c r="C43" i="33"/>
  <c r="D30" i="33"/>
  <c r="O4" i="33"/>
  <c r="B31" i="33"/>
  <c r="D31" i="33"/>
  <c r="D43" i="33"/>
  <c r="E30" i="33"/>
  <c r="E31" i="33"/>
  <c r="O5" i="33"/>
  <c r="B32" i="33"/>
  <c r="E32" i="33"/>
  <c r="E43" i="33"/>
  <c r="F30" i="33"/>
  <c r="F31" i="33"/>
  <c r="F32" i="33"/>
  <c r="O6" i="33"/>
  <c r="B33" i="33"/>
  <c r="F33" i="33"/>
  <c r="F43" i="33"/>
  <c r="G30" i="33"/>
  <c r="G31" i="33"/>
  <c r="G32" i="33"/>
  <c r="G33" i="33"/>
  <c r="O7" i="33"/>
  <c r="B34" i="33"/>
  <c r="G34" i="33"/>
  <c r="G43" i="33"/>
  <c r="H30" i="33"/>
  <c r="H31" i="33"/>
  <c r="H32" i="33"/>
  <c r="H33" i="33"/>
  <c r="H34" i="33"/>
  <c r="O8" i="33"/>
  <c r="B35" i="33"/>
  <c r="H35" i="33"/>
  <c r="H43" i="33"/>
  <c r="I30" i="33"/>
  <c r="I31" i="33"/>
  <c r="I32" i="33"/>
  <c r="I33" i="33"/>
  <c r="I34" i="33"/>
  <c r="I35" i="33"/>
  <c r="O9" i="33"/>
  <c r="B36" i="33"/>
  <c r="I36" i="33"/>
  <c r="I43" i="33"/>
  <c r="J30" i="33"/>
  <c r="J31" i="33"/>
  <c r="J32" i="33"/>
  <c r="J33" i="33"/>
  <c r="J34" i="33"/>
  <c r="J35" i="33"/>
  <c r="J36" i="33"/>
  <c r="O10" i="33"/>
  <c r="B37" i="33"/>
  <c r="J37" i="33"/>
  <c r="J43" i="33"/>
  <c r="K30" i="33"/>
  <c r="K31" i="33"/>
  <c r="K32" i="33"/>
  <c r="K33" i="33"/>
  <c r="K34" i="33"/>
  <c r="K35" i="33"/>
  <c r="K36" i="33"/>
  <c r="K37" i="33"/>
  <c r="K38" i="33"/>
  <c r="K43" i="33"/>
  <c r="L30" i="33"/>
  <c r="L31" i="33"/>
  <c r="L32" i="33"/>
  <c r="L33" i="33"/>
  <c r="L34" i="33"/>
  <c r="L35" i="33"/>
  <c r="L36" i="33"/>
  <c r="L37" i="33"/>
  <c r="L38" i="33"/>
  <c r="L39" i="33"/>
  <c r="L43" i="33"/>
  <c r="M31" i="33"/>
  <c r="M32" i="33"/>
  <c r="M33" i="33"/>
  <c r="M34" i="33"/>
  <c r="M35" i="33"/>
  <c r="M36" i="33"/>
  <c r="M37" i="33"/>
  <c r="M38" i="33"/>
  <c r="M39" i="33"/>
  <c r="M40" i="33"/>
  <c r="M43" i="33"/>
  <c r="N32" i="33"/>
  <c r="N33" i="33"/>
  <c r="N34" i="33"/>
  <c r="N35" i="33"/>
  <c r="N36" i="33"/>
  <c r="N37" i="33"/>
  <c r="N38" i="33"/>
  <c r="N39" i="33"/>
  <c r="N40" i="33"/>
  <c r="N41" i="33"/>
  <c r="N43" i="33"/>
  <c r="O33" i="33"/>
  <c r="O34" i="33"/>
  <c r="O35" i="33"/>
  <c r="O36" i="33"/>
  <c r="O37" i="33"/>
  <c r="O38" i="33"/>
  <c r="O39" i="33"/>
  <c r="O40" i="33"/>
  <c r="O41" i="33"/>
  <c r="O42" i="33"/>
  <c r="O43" i="33"/>
  <c r="P34" i="33"/>
  <c r="P35" i="33"/>
  <c r="P36" i="33"/>
  <c r="P37" i="33"/>
  <c r="P38" i="33"/>
  <c r="P39" i="33"/>
  <c r="P40" i="33"/>
  <c r="P41" i="33"/>
  <c r="P42" i="33"/>
  <c r="P43" i="33"/>
  <c r="Q35" i="33"/>
  <c r="Q36" i="33"/>
  <c r="Q37" i="33"/>
  <c r="Q38" i="33"/>
  <c r="Q39" i="33"/>
  <c r="Q40" i="33"/>
  <c r="Q41" i="33"/>
  <c r="Q42" i="33"/>
  <c r="Q43" i="33"/>
  <c r="R36" i="33"/>
  <c r="R37" i="33"/>
  <c r="R38" i="33"/>
  <c r="R39" i="33"/>
  <c r="R40" i="33"/>
  <c r="R41" i="33"/>
  <c r="R42" i="33"/>
  <c r="R43" i="33"/>
  <c r="S37" i="33"/>
  <c r="S38" i="33"/>
  <c r="S39" i="33"/>
  <c r="S40" i="33"/>
  <c r="S41" i="33"/>
  <c r="S42" i="33"/>
  <c r="S43" i="33"/>
  <c r="X42" i="33"/>
  <c r="X43" i="33"/>
  <c r="T56" i="33"/>
  <c r="F119" i="33"/>
  <c r="L21" i="33"/>
  <c r="G26" i="33"/>
  <c r="R8" i="33"/>
  <c r="B51" i="33"/>
  <c r="Q51" i="33"/>
  <c r="L22" i="33"/>
  <c r="H26" i="33"/>
  <c r="R9" i="33"/>
  <c r="B52" i="33"/>
  <c r="Q52" i="33"/>
  <c r="Q53" i="33"/>
  <c r="O56" i="33"/>
  <c r="R52" i="33"/>
  <c r="R53" i="33"/>
  <c r="P56" i="33"/>
  <c r="S53" i="33"/>
  <c r="Q56" i="33"/>
  <c r="T53" i="33"/>
  <c r="R56" i="33"/>
  <c r="U53" i="33"/>
  <c r="S56" i="33"/>
  <c r="L26" i="33"/>
  <c r="R3" i="33"/>
  <c r="B46" i="33"/>
  <c r="I46" i="33"/>
  <c r="L17" i="33"/>
  <c r="C26" i="33"/>
  <c r="R4" i="33"/>
  <c r="B47" i="33"/>
  <c r="I47" i="33"/>
  <c r="L18" i="33"/>
  <c r="D26" i="33"/>
  <c r="R5" i="33"/>
  <c r="B48" i="33"/>
  <c r="I48" i="33"/>
  <c r="L19" i="33"/>
  <c r="E26" i="33"/>
  <c r="R6" i="33"/>
  <c r="B49" i="33"/>
  <c r="I49" i="33"/>
  <c r="L20" i="33"/>
  <c r="F26" i="33"/>
  <c r="R7" i="33"/>
  <c r="B50" i="33"/>
  <c r="I50" i="33"/>
  <c r="I51" i="33"/>
  <c r="I52" i="33"/>
  <c r="I53" i="33"/>
  <c r="Q57" i="33"/>
  <c r="J46" i="33"/>
  <c r="J47" i="33"/>
  <c r="J48" i="33"/>
  <c r="J49" i="33"/>
  <c r="J50" i="33"/>
  <c r="J51" i="33"/>
  <c r="J52" i="33"/>
  <c r="J53" i="33"/>
  <c r="R57" i="33"/>
  <c r="K46" i="33"/>
  <c r="K47" i="33"/>
  <c r="K48" i="33"/>
  <c r="K49" i="33"/>
  <c r="K50" i="33"/>
  <c r="K51" i="33"/>
  <c r="K52" i="33"/>
  <c r="K53" i="33"/>
  <c r="S57" i="33"/>
  <c r="V56" i="33"/>
  <c r="E119" i="33"/>
  <c r="O16" i="33"/>
  <c r="O17" i="33"/>
  <c r="O18" i="33"/>
  <c r="O19" i="33"/>
  <c r="L23" i="33"/>
  <c r="I26" i="33"/>
  <c r="R10" i="33"/>
  <c r="L24" i="33"/>
  <c r="J26" i="33"/>
  <c r="R11" i="33"/>
  <c r="L25" i="33"/>
  <c r="K26" i="33"/>
  <c r="R12" i="33"/>
  <c r="T23" i="33"/>
  <c r="W56" i="33"/>
  <c r="V85" i="33"/>
  <c r="U113" i="33"/>
  <c r="E118" i="33"/>
  <c r="G118" i="33"/>
  <c r="G119" i="33"/>
  <c r="L46" i="33"/>
  <c r="L47" i="33"/>
  <c r="L48" i="33"/>
  <c r="L49" i="33"/>
  <c r="L50" i="33"/>
  <c r="L51" i="33"/>
  <c r="L52" i="33"/>
  <c r="L53" i="33"/>
  <c r="J56" i="33"/>
  <c r="B68" i="33"/>
  <c r="S68" i="33"/>
  <c r="M47" i="33"/>
  <c r="M48" i="33"/>
  <c r="M49" i="33"/>
  <c r="M50" i="33"/>
  <c r="M51" i="33"/>
  <c r="M52" i="33"/>
  <c r="M53" i="33"/>
  <c r="K56" i="33"/>
  <c r="B69" i="33"/>
  <c r="S69" i="33"/>
  <c r="N48" i="33"/>
  <c r="N49" i="33"/>
  <c r="N50" i="33"/>
  <c r="N51" i="33"/>
  <c r="N52" i="33"/>
  <c r="N53" i="33"/>
  <c r="L56" i="33"/>
  <c r="B70" i="33"/>
  <c r="S70" i="33"/>
  <c r="O49" i="33"/>
  <c r="O50" i="33"/>
  <c r="O51" i="33"/>
  <c r="O52" i="33"/>
  <c r="O53" i="33"/>
  <c r="M56" i="33"/>
  <c r="B71" i="33"/>
  <c r="S71" i="33"/>
  <c r="P50" i="33"/>
  <c r="P51" i="33"/>
  <c r="P52" i="33"/>
  <c r="P53" i="33"/>
  <c r="N56" i="33"/>
  <c r="B72" i="33"/>
  <c r="S72" i="33"/>
  <c r="S73" i="33"/>
  <c r="T69" i="33"/>
  <c r="T70" i="33"/>
  <c r="T71" i="33"/>
  <c r="T72" i="33"/>
  <c r="T73" i="33"/>
  <c r="U70" i="33"/>
  <c r="U71" i="33"/>
  <c r="U72" i="33"/>
  <c r="U73" i="33"/>
  <c r="V71" i="33"/>
  <c r="V72" i="33"/>
  <c r="V73" i="33"/>
  <c r="C56" i="33"/>
  <c r="B61" i="33"/>
  <c r="C61" i="33"/>
  <c r="C73" i="33"/>
  <c r="D61" i="33"/>
  <c r="D56" i="33"/>
  <c r="B62" i="33"/>
  <c r="D62" i="33"/>
  <c r="D73" i="33"/>
  <c r="E61" i="33"/>
  <c r="E62" i="33"/>
  <c r="E56" i="33"/>
  <c r="B63" i="33"/>
  <c r="E63" i="33"/>
  <c r="E73" i="33"/>
  <c r="F61" i="33"/>
  <c r="F62" i="33"/>
  <c r="F63" i="33"/>
  <c r="F56" i="33"/>
  <c r="B64" i="33"/>
  <c r="F64" i="33"/>
  <c r="F73" i="33"/>
  <c r="G61" i="33"/>
  <c r="G62" i="33"/>
  <c r="G63" i="33"/>
  <c r="G64" i="33"/>
  <c r="G56" i="33"/>
  <c r="B65" i="33"/>
  <c r="G65" i="33"/>
  <c r="G73" i="33"/>
  <c r="H61" i="33"/>
  <c r="H62" i="33"/>
  <c r="H63" i="33"/>
  <c r="H64" i="33"/>
  <c r="H65" i="33"/>
  <c r="H56" i="33"/>
  <c r="B66" i="33"/>
  <c r="H66" i="33"/>
  <c r="H73" i="33"/>
  <c r="I61" i="33"/>
  <c r="I62" i="33"/>
  <c r="I63" i="33"/>
  <c r="I64" i="33"/>
  <c r="I65" i="33"/>
  <c r="I66" i="33"/>
  <c r="I56" i="33"/>
  <c r="B67" i="33"/>
  <c r="I67" i="33"/>
  <c r="I73" i="33"/>
  <c r="J61" i="33"/>
  <c r="J62" i="33"/>
  <c r="J63" i="33"/>
  <c r="J64" i="33"/>
  <c r="J65" i="33"/>
  <c r="J66" i="33"/>
  <c r="J67" i="33"/>
  <c r="J68" i="33"/>
  <c r="J73" i="33"/>
  <c r="K61" i="33"/>
  <c r="K62" i="33"/>
  <c r="K63" i="33"/>
  <c r="K64" i="33"/>
  <c r="K65" i="33"/>
  <c r="K66" i="33"/>
  <c r="K67" i="33"/>
  <c r="K68" i="33"/>
  <c r="K69" i="33"/>
  <c r="K73" i="33"/>
  <c r="L61" i="33"/>
  <c r="L62" i="33"/>
  <c r="L63" i="33"/>
  <c r="L64" i="33"/>
  <c r="L65" i="33"/>
  <c r="L66" i="33"/>
  <c r="L67" i="33"/>
  <c r="L68" i="33"/>
  <c r="L69" i="33"/>
  <c r="L70" i="33"/>
  <c r="L73" i="33"/>
  <c r="M62" i="33"/>
  <c r="M63" i="33"/>
  <c r="M64" i="33"/>
  <c r="M65" i="33"/>
  <c r="M66" i="33"/>
  <c r="M67" i="33"/>
  <c r="M68" i="33"/>
  <c r="M69" i="33"/>
  <c r="M70" i="33"/>
  <c r="M71" i="33"/>
  <c r="M73" i="33"/>
  <c r="N63" i="33"/>
  <c r="N64" i="33"/>
  <c r="N65" i="33"/>
  <c r="N66" i="33"/>
  <c r="N67" i="33"/>
  <c r="N68" i="33"/>
  <c r="N69" i="33"/>
  <c r="N70" i="33"/>
  <c r="N71" i="33"/>
  <c r="N72" i="33"/>
  <c r="N73" i="33"/>
  <c r="O64" i="33"/>
  <c r="O65" i="33"/>
  <c r="O66" i="33"/>
  <c r="O67" i="33"/>
  <c r="O68" i="33"/>
  <c r="O69" i="33"/>
  <c r="O70" i="33"/>
  <c r="O71" i="33"/>
  <c r="O72" i="33"/>
  <c r="O73" i="33"/>
  <c r="P65" i="33"/>
  <c r="P66" i="33"/>
  <c r="P67" i="33"/>
  <c r="P68" i="33"/>
  <c r="P69" i="33"/>
  <c r="P70" i="33"/>
  <c r="P71" i="33"/>
  <c r="P72" i="33"/>
  <c r="P73" i="33"/>
  <c r="Q66" i="33"/>
  <c r="Q67" i="33"/>
  <c r="Q68" i="33"/>
  <c r="Q69" i="33"/>
  <c r="Q70" i="33"/>
  <c r="Q71" i="33"/>
  <c r="Q72" i="33"/>
  <c r="Q73" i="33"/>
  <c r="R67" i="33"/>
  <c r="R68" i="33"/>
  <c r="R69" i="33"/>
  <c r="R70" i="33"/>
  <c r="R71" i="33"/>
  <c r="R72" i="33"/>
  <c r="R73" i="33"/>
  <c r="W72" i="33"/>
  <c r="W73" i="33"/>
  <c r="S85" i="33"/>
  <c r="F120" i="33"/>
  <c r="G46" i="33"/>
  <c r="G47" i="33"/>
  <c r="G48" i="33"/>
  <c r="G49" i="33"/>
  <c r="G50" i="33"/>
  <c r="G53" i="33"/>
  <c r="O57" i="33"/>
  <c r="B80" i="33"/>
  <c r="P80" i="33"/>
  <c r="H46" i="33"/>
  <c r="H47" i="33"/>
  <c r="H48" i="33"/>
  <c r="H49" i="33"/>
  <c r="H50" i="33"/>
  <c r="H51" i="33"/>
  <c r="H53" i="33"/>
  <c r="P57" i="33"/>
  <c r="B81" i="33"/>
  <c r="P81" i="33"/>
  <c r="P82" i="33"/>
  <c r="N85" i="33"/>
  <c r="Q81" i="33"/>
  <c r="Q82" i="33"/>
  <c r="O85" i="33"/>
  <c r="R82" i="33"/>
  <c r="P85" i="33"/>
  <c r="S82" i="33"/>
  <c r="Q85" i="33"/>
  <c r="T82" i="33"/>
  <c r="R85" i="33"/>
  <c r="C46" i="33"/>
  <c r="C53" i="33"/>
  <c r="K57" i="33"/>
  <c r="B76" i="33"/>
  <c r="H76" i="33"/>
  <c r="D46" i="33"/>
  <c r="D47" i="33"/>
  <c r="D53" i="33"/>
  <c r="L57" i="33"/>
  <c r="B77" i="33"/>
  <c r="H77" i="33"/>
  <c r="E46" i="33"/>
  <c r="E47" i="33"/>
  <c r="E48" i="33"/>
  <c r="E53" i="33"/>
  <c r="M57" i="33"/>
  <c r="B78" i="33"/>
  <c r="H78" i="33"/>
  <c r="F46" i="33"/>
  <c r="F47" i="33"/>
  <c r="F48" i="33"/>
  <c r="F49" i="33"/>
  <c r="F53" i="33"/>
  <c r="N57" i="33"/>
  <c r="B79" i="33"/>
  <c r="H79" i="33"/>
  <c r="H80" i="33"/>
  <c r="H81" i="33"/>
  <c r="H82" i="33"/>
  <c r="P86" i="33"/>
  <c r="I76" i="33"/>
  <c r="I77" i="33"/>
  <c r="I78" i="33"/>
  <c r="I79" i="33"/>
  <c r="I80" i="33"/>
  <c r="I81" i="33"/>
  <c r="I82" i="33"/>
  <c r="Q86" i="33"/>
  <c r="J76" i="33"/>
  <c r="J77" i="33"/>
  <c r="J78" i="33"/>
  <c r="J79" i="33"/>
  <c r="J80" i="33"/>
  <c r="J81" i="33"/>
  <c r="J82" i="33"/>
  <c r="R86" i="33"/>
  <c r="U85" i="33"/>
  <c r="E120" i="33"/>
  <c r="G120" i="33"/>
  <c r="K76" i="33"/>
  <c r="K77" i="33"/>
  <c r="K78" i="33"/>
  <c r="K79" i="33"/>
  <c r="K80" i="33"/>
  <c r="K81" i="33"/>
  <c r="K82" i="33"/>
  <c r="I85" i="33"/>
  <c r="B97" i="33"/>
  <c r="R97" i="33"/>
  <c r="L76" i="33"/>
  <c r="L77" i="33"/>
  <c r="L78" i="33"/>
  <c r="L79" i="33"/>
  <c r="L80" i="33"/>
  <c r="L81" i="33"/>
  <c r="L82" i="33"/>
  <c r="J85" i="33"/>
  <c r="B98" i="33"/>
  <c r="R98" i="33"/>
  <c r="M77" i="33"/>
  <c r="M78" i="33"/>
  <c r="M79" i="33"/>
  <c r="M80" i="33"/>
  <c r="M81" i="33"/>
  <c r="M82" i="33"/>
  <c r="K85" i="33"/>
  <c r="B99" i="33"/>
  <c r="R99" i="33"/>
  <c r="N78" i="33"/>
  <c r="N79" i="33"/>
  <c r="N80" i="33"/>
  <c r="N81" i="33"/>
  <c r="N82" i="33"/>
  <c r="L85" i="33"/>
  <c r="B100" i="33"/>
  <c r="R100" i="33"/>
  <c r="O79" i="33"/>
  <c r="O80" i="33"/>
  <c r="O81" i="33"/>
  <c r="O82" i="33"/>
  <c r="M85" i="33"/>
  <c r="B101" i="33"/>
  <c r="R101" i="33"/>
  <c r="R102" i="33"/>
  <c r="S98" i="33"/>
  <c r="S99" i="33"/>
  <c r="S100" i="33"/>
  <c r="S101" i="33"/>
  <c r="S102" i="33"/>
  <c r="T99" i="33"/>
  <c r="T100" i="33"/>
  <c r="T101" i="33"/>
  <c r="T102" i="33"/>
  <c r="U100" i="33"/>
  <c r="U101" i="33"/>
  <c r="U102" i="33"/>
  <c r="C85" i="33"/>
  <c r="B91" i="33"/>
  <c r="C91" i="33"/>
  <c r="C102" i="33"/>
  <c r="D91" i="33"/>
  <c r="D85" i="33"/>
  <c r="B92" i="33"/>
  <c r="D92" i="33"/>
  <c r="D102" i="33"/>
  <c r="E91" i="33"/>
  <c r="E92" i="33"/>
  <c r="E85" i="33"/>
  <c r="B93" i="33"/>
  <c r="E93" i="33"/>
  <c r="E102" i="33"/>
  <c r="F91" i="33"/>
  <c r="F92" i="33"/>
  <c r="F93" i="33"/>
  <c r="F85" i="33"/>
  <c r="B94" i="33"/>
  <c r="F94" i="33"/>
  <c r="F102" i="33"/>
  <c r="G91" i="33"/>
  <c r="G92" i="33"/>
  <c r="G93" i="33"/>
  <c r="G94" i="33"/>
  <c r="G85" i="33"/>
  <c r="B95" i="33"/>
  <c r="G95" i="33"/>
  <c r="G102" i="33"/>
  <c r="H91" i="33"/>
  <c r="H92" i="33"/>
  <c r="H93" i="33"/>
  <c r="H94" i="33"/>
  <c r="H95" i="33"/>
  <c r="H85" i="33"/>
  <c r="B96" i="33"/>
  <c r="H96" i="33"/>
  <c r="H102" i="33"/>
  <c r="I91" i="33"/>
  <c r="I92" i="33"/>
  <c r="I93" i="33"/>
  <c r="I94" i="33"/>
  <c r="I95" i="33"/>
  <c r="I96" i="33"/>
  <c r="I97" i="33"/>
  <c r="I102" i="33"/>
  <c r="J91" i="33"/>
  <c r="J92" i="33"/>
  <c r="J93" i="33"/>
  <c r="J94" i="33"/>
  <c r="J95" i="33"/>
  <c r="J96" i="33"/>
  <c r="J97" i="33"/>
  <c r="J98" i="33"/>
  <c r="J102" i="33"/>
  <c r="K91" i="33"/>
  <c r="K92" i="33"/>
  <c r="K93" i="33"/>
  <c r="K94" i="33"/>
  <c r="K95" i="33"/>
  <c r="K96" i="33"/>
  <c r="K97" i="33"/>
  <c r="K98" i="33"/>
  <c r="K99" i="33"/>
  <c r="K102" i="33"/>
  <c r="L91" i="33"/>
  <c r="L92" i="33"/>
  <c r="L93" i="33"/>
  <c r="L94" i="33"/>
  <c r="L95" i="33"/>
  <c r="L96" i="33"/>
  <c r="L97" i="33"/>
  <c r="L98" i="33"/>
  <c r="L99" i="33"/>
  <c r="L100" i="33"/>
  <c r="L102" i="33"/>
  <c r="M92" i="33"/>
  <c r="M93" i="33"/>
  <c r="M94" i="33"/>
  <c r="M95" i="33"/>
  <c r="M96" i="33"/>
  <c r="M97" i="33"/>
  <c r="M98" i="33"/>
  <c r="M99" i="33"/>
  <c r="M100" i="33"/>
  <c r="M101" i="33"/>
  <c r="M102" i="33"/>
  <c r="N93" i="33"/>
  <c r="N94" i="33"/>
  <c r="N95" i="33"/>
  <c r="N96" i="33"/>
  <c r="N97" i="33"/>
  <c r="N98" i="33"/>
  <c r="N99" i="33"/>
  <c r="N100" i="33"/>
  <c r="N101" i="33"/>
  <c r="N102" i="33"/>
  <c r="O94" i="33"/>
  <c r="O95" i="33"/>
  <c r="O96" i="33"/>
  <c r="O97" i="33"/>
  <c r="O98" i="33"/>
  <c r="O99" i="33"/>
  <c r="O100" i="33"/>
  <c r="O101" i="33"/>
  <c r="O102" i="33"/>
  <c r="P95" i="33"/>
  <c r="P96" i="33"/>
  <c r="P97" i="33"/>
  <c r="P98" i="33"/>
  <c r="P99" i="33"/>
  <c r="P100" i="33"/>
  <c r="P101" i="33"/>
  <c r="P102" i="33"/>
  <c r="Q96" i="33"/>
  <c r="Q97" i="33"/>
  <c r="Q98" i="33"/>
  <c r="Q99" i="33"/>
  <c r="Q100" i="33"/>
  <c r="Q101" i="33"/>
  <c r="Q102" i="33"/>
  <c r="V101" i="33"/>
  <c r="V102" i="33"/>
  <c r="R113" i="33"/>
  <c r="F121" i="33"/>
  <c r="G121" i="33"/>
  <c r="G122" i="33"/>
  <c r="C46" i="26"/>
  <c r="W14" i="12"/>
  <c r="B14" i="12"/>
  <c r="B26" i="25"/>
  <c r="C26" i="25"/>
  <c r="D26" i="25"/>
  <c r="E26" i="25"/>
  <c r="F26" i="25"/>
  <c r="G26" i="25"/>
  <c r="H26" i="25"/>
  <c r="I26" i="25"/>
  <c r="J26" i="25"/>
  <c r="K26" i="25"/>
  <c r="E4" i="15"/>
  <c r="F4" i="15"/>
  <c r="G4" i="15"/>
  <c r="H4" i="15"/>
  <c r="C44" i="26"/>
  <c r="B33" i="27"/>
  <c r="B32" i="27"/>
  <c r="D2" i="34"/>
  <c r="C2" i="34"/>
  <c r="B2" i="34"/>
  <c r="B15" i="12"/>
  <c r="B16" i="12"/>
  <c r="B17" i="12"/>
  <c r="B19" i="12"/>
  <c r="B18" i="12"/>
  <c r="C4" i="33"/>
  <c r="D4" i="33"/>
  <c r="E4" i="33"/>
  <c r="F4" i="33"/>
  <c r="G4" i="33"/>
  <c r="H4" i="33"/>
  <c r="I4" i="33"/>
  <c r="J4" i="33"/>
  <c r="K4" i="33"/>
  <c r="C5" i="33"/>
  <c r="D5" i="33"/>
  <c r="E5" i="33"/>
  <c r="F5" i="33"/>
  <c r="G5" i="33"/>
  <c r="H5" i="33"/>
  <c r="I5" i="33"/>
  <c r="J5" i="33"/>
  <c r="K5" i="33"/>
  <c r="C6" i="33"/>
  <c r="D6" i="33"/>
  <c r="E6" i="33"/>
  <c r="F6" i="33"/>
  <c r="G6" i="33"/>
  <c r="H6" i="33"/>
  <c r="I6" i="33"/>
  <c r="J6" i="33"/>
  <c r="K6" i="33"/>
  <c r="C7" i="33"/>
  <c r="D7" i="33"/>
  <c r="E7" i="33"/>
  <c r="F7" i="33"/>
  <c r="G7" i="33"/>
  <c r="H7" i="33"/>
  <c r="I7" i="33"/>
  <c r="J7" i="33"/>
  <c r="K7" i="33"/>
  <c r="C8" i="33"/>
  <c r="D8" i="33"/>
  <c r="E8" i="33"/>
  <c r="F8" i="33"/>
  <c r="G8" i="33"/>
  <c r="H8" i="33"/>
  <c r="I8" i="33"/>
  <c r="J8" i="33"/>
  <c r="K8" i="33"/>
  <c r="C9" i="33"/>
  <c r="D9" i="33"/>
  <c r="E9" i="33"/>
  <c r="F9" i="33"/>
  <c r="G9" i="33"/>
  <c r="H9" i="33"/>
  <c r="I9" i="33"/>
  <c r="J9" i="33"/>
  <c r="K9" i="33"/>
  <c r="C10" i="33"/>
  <c r="D10" i="33"/>
  <c r="E10" i="33"/>
  <c r="F10" i="33"/>
  <c r="G10" i="33"/>
  <c r="H10" i="33"/>
  <c r="I10" i="33"/>
  <c r="J10" i="33"/>
  <c r="K10" i="33"/>
  <c r="C11" i="33"/>
  <c r="D11" i="33"/>
  <c r="E11" i="33"/>
  <c r="F11" i="33"/>
  <c r="G11" i="33"/>
  <c r="H11" i="33"/>
  <c r="I11" i="33"/>
  <c r="J11" i="33"/>
  <c r="K11" i="33"/>
  <c r="C12" i="33"/>
  <c r="D12" i="33"/>
  <c r="E12" i="33"/>
  <c r="F12" i="33"/>
  <c r="G12" i="33"/>
  <c r="H12" i="33"/>
  <c r="I12" i="33"/>
  <c r="J12" i="33"/>
  <c r="K12" i="33"/>
  <c r="Y43" i="33"/>
  <c r="Z43" i="33"/>
  <c r="AA43" i="33"/>
  <c r="AB43" i="33"/>
  <c r="L4" i="33"/>
  <c r="L5" i="33"/>
  <c r="L6" i="33"/>
  <c r="L7" i="33"/>
  <c r="L8" i="33"/>
  <c r="L9" i="33"/>
  <c r="L10" i="33"/>
  <c r="L11" i="33"/>
  <c r="L12" i="33"/>
  <c r="L13" i="33"/>
  <c r="C13" i="33"/>
  <c r="D13" i="33"/>
  <c r="E13" i="33"/>
  <c r="F13" i="33"/>
  <c r="G13" i="33"/>
  <c r="H13" i="33"/>
  <c r="I13" i="33"/>
  <c r="J13" i="33"/>
  <c r="K13" i="33"/>
  <c r="X73" i="33"/>
  <c r="Y73" i="33"/>
  <c r="Z73" i="33"/>
  <c r="AA73" i="33"/>
  <c r="AB73" i="33"/>
  <c r="E122" i="33"/>
  <c r="W102" i="33"/>
  <c r="X102" i="33"/>
  <c r="Y102" i="33"/>
  <c r="Z102" i="33"/>
  <c r="AA102" i="33"/>
  <c r="AB102" i="33"/>
  <c r="F122" i="33"/>
  <c r="H122" i="33"/>
  <c r="H119" i="33"/>
  <c r="H120" i="33"/>
  <c r="T113" i="33"/>
  <c r="H121" i="33"/>
  <c r="H118" i="33"/>
  <c r="C113" i="33"/>
  <c r="D113" i="33"/>
  <c r="E113" i="33"/>
  <c r="F113" i="33"/>
  <c r="G113" i="33"/>
  <c r="C76" i="33"/>
  <c r="C82" i="33"/>
  <c r="K86" i="33"/>
  <c r="B105" i="33"/>
  <c r="J105" i="33"/>
  <c r="D76" i="33"/>
  <c r="D77" i="33"/>
  <c r="D82" i="33"/>
  <c r="L86" i="33"/>
  <c r="B106" i="33"/>
  <c r="J106" i="33"/>
  <c r="E76" i="33"/>
  <c r="E77" i="33"/>
  <c r="E78" i="33"/>
  <c r="E82" i="33"/>
  <c r="M86" i="33"/>
  <c r="B107" i="33"/>
  <c r="J107" i="33"/>
  <c r="F76" i="33"/>
  <c r="F77" i="33"/>
  <c r="F78" i="33"/>
  <c r="F79" i="33"/>
  <c r="F82" i="33"/>
  <c r="N86" i="33"/>
  <c r="B108" i="33"/>
  <c r="J108" i="33"/>
  <c r="G76" i="33"/>
  <c r="G77" i="33"/>
  <c r="G78" i="33"/>
  <c r="G79" i="33"/>
  <c r="G80" i="33"/>
  <c r="G82" i="33"/>
  <c r="O86" i="33"/>
  <c r="B109" i="33"/>
  <c r="J109" i="33"/>
  <c r="J110" i="33"/>
  <c r="H113" i="33"/>
  <c r="K105" i="33"/>
  <c r="K106" i="33"/>
  <c r="K107" i="33"/>
  <c r="K108" i="33"/>
  <c r="K109" i="33"/>
  <c r="K110" i="33"/>
  <c r="I113" i="33"/>
  <c r="L105" i="33"/>
  <c r="L106" i="33"/>
  <c r="L107" i="33"/>
  <c r="L108" i="33"/>
  <c r="L109" i="33"/>
  <c r="L110" i="33"/>
  <c r="J113" i="33"/>
  <c r="M106" i="33"/>
  <c r="M107" i="33"/>
  <c r="M108" i="33"/>
  <c r="M109" i="33"/>
  <c r="M110" i="33"/>
  <c r="K113" i="33"/>
  <c r="N107" i="33"/>
  <c r="N108" i="33"/>
  <c r="N109" i="33"/>
  <c r="N110" i="33"/>
  <c r="L113" i="33"/>
  <c r="O108" i="33"/>
  <c r="O109" i="33"/>
  <c r="O110" i="33"/>
  <c r="M113" i="33"/>
  <c r="P109" i="33"/>
  <c r="P110" i="33"/>
  <c r="N113" i="33"/>
  <c r="Q110" i="33"/>
  <c r="O113" i="33"/>
  <c r="R110" i="33"/>
  <c r="P113" i="33"/>
  <c r="S110" i="33"/>
  <c r="Q113" i="33"/>
  <c r="S113" i="33"/>
  <c r="R114" i="33"/>
  <c r="C114" i="33"/>
  <c r="D114" i="33"/>
  <c r="E114" i="33"/>
  <c r="F114" i="33"/>
  <c r="G114" i="33"/>
  <c r="H114" i="33"/>
  <c r="I114" i="33"/>
  <c r="J114" i="33"/>
  <c r="C105" i="33"/>
  <c r="C110" i="33"/>
  <c r="K114" i="33"/>
  <c r="D105" i="33"/>
  <c r="D106" i="33"/>
  <c r="D110" i="33"/>
  <c r="L114" i="33"/>
  <c r="E105" i="33"/>
  <c r="E106" i="33"/>
  <c r="E107" i="33"/>
  <c r="E110" i="33"/>
  <c r="M114" i="33"/>
  <c r="F105" i="33"/>
  <c r="F106" i="33"/>
  <c r="F107" i="33"/>
  <c r="F108" i="33"/>
  <c r="F110" i="33"/>
  <c r="N114" i="33"/>
  <c r="G105" i="33"/>
  <c r="G106" i="33"/>
  <c r="G107" i="33"/>
  <c r="G108" i="33"/>
  <c r="G109" i="33"/>
  <c r="G110" i="33"/>
  <c r="O114" i="33"/>
  <c r="H105" i="33"/>
  <c r="H106" i="33"/>
  <c r="H107" i="33"/>
  <c r="H108" i="33"/>
  <c r="H109" i="33"/>
  <c r="H110" i="33"/>
  <c r="P114" i="33"/>
  <c r="I105" i="33"/>
  <c r="I106" i="33"/>
  <c r="I107" i="33"/>
  <c r="I108" i="33"/>
  <c r="I109" i="33"/>
  <c r="I110" i="33"/>
  <c r="Q114" i="33"/>
  <c r="S114" i="33"/>
  <c r="S115" i="33"/>
  <c r="W113" i="33"/>
  <c r="W85" i="33"/>
  <c r="V113" i="33"/>
  <c r="X115" i="33"/>
  <c r="T85" i="33"/>
  <c r="C86" i="33"/>
  <c r="D86" i="33"/>
  <c r="E86" i="33"/>
  <c r="F86" i="33"/>
  <c r="G86" i="33"/>
  <c r="H86" i="33"/>
  <c r="I86" i="33"/>
  <c r="J86" i="33"/>
  <c r="S86" i="33"/>
  <c r="T86" i="33"/>
  <c r="T87" i="33"/>
  <c r="W87" i="33"/>
  <c r="U56" i="33"/>
  <c r="C57" i="33"/>
  <c r="D57" i="33"/>
  <c r="E57" i="33"/>
  <c r="F57" i="33"/>
  <c r="G57" i="33"/>
  <c r="H57" i="33"/>
  <c r="I57" i="33"/>
  <c r="J57" i="33"/>
  <c r="U57" i="33"/>
  <c r="U58" i="33"/>
  <c r="T110" i="33"/>
  <c r="R14" i="33"/>
  <c r="O23" i="33"/>
  <c r="R15" i="33"/>
  <c r="W20" i="12"/>
  <c r="Q20" i="12"/>
  <c r="P20" i="12"/>
  <c r="O20" i="12"/>
  <c r="N20" i="12"/>
  <c r="M20" i="12"/>
  <c r="K20" i="12"/>
  <c r="L20" i="12"/>
  <c r="I20" i="12"/>
  <c r="J20" i="12"/>
  <c r="M30" i="12"/>
  <c r="N30" i="12"/>
  <c r="O30" i="12"/>
  <c r="P30" i="12"/>
  <c r="Q30" i="12"/>
  <c r="H30" i="12"/>
  <c r="G20" i="12"/>
  <c r="H20" i="12"/>
  <c r="G30" i="12"/>
  <c r="F30" i="12"/>
  <c r="E20" i="12"/>
  <c r="F20" i="12"/>
  <c r="E30" i="12"/>
  <c r="D30" i="12"/>
  <c r="C20" i="12"/>
  <c r="C9" i="12"/>
  <c r="C10" i="12"/>
  <c r="D20" i="12"/>
  <c r="D9" i="12"/>
  <c r="D10" i="12"/>
  <c r="E9" i="12"/>
  <c r="E10" i="12"/>
  <c r="F9" i="12"/>
  <c r="F10" i="12"/>
  <c r="G9" i="12"/>
  <c r="G10" i="12"/>
  <c r="H9" i="12"/>
  <c r="H10" i="12"/>
  <c r="I9" i="12"/>
  <c r="I10" i="12"/>
  <c r="J9" i="12"/>
  <c r="J10" i="12"/>
  <c r="K9" i="12"/>
  <c r="K10" i="12"/>
  <c r="C30" i="12"/>
  <c r="L9" i="12"/>
  <c r="L10" i="12"/>
  <c r="B9" i="12"/>
  <c r="B10" i="12"/>
  <c r="R31" i="12"/>
  <c r="S31" i="12"/>
  <c r="T31" i="12"/>
  <c r="U31" i="12"/>
  <c r="V31" i="12"/>
  <c r="W24" i="12"/>
  <c r="W30" i="12"/>
  <c r="W31" i="12"/>
  <c r="B24" i="12"/>
  <c r="B30" i="12"/>
  <c r="B25" i="12"/>
  <c r="B26" i="12"/>
  <c r="B27" i="12"/>
  <c r="B28" i="12"/>
  <c r="B29" i="12"/>
  <c r="B31" i="12"/>
  <c r="C31" i="12"/>
  <c r="D31" i="12"/>
  <c r="E31" i="12"/>
  <c r="F31" i="12"/>
  <c r="G31" i="12"/>
  <c r="H31" i="12"/>
  <c r="I31" i="12"/>
  <c r="J31" i="12"/>
  <c r="K31" i="12"/>
  <c r="L31" i="12"/>
  <c r="N31" i="12"/>
  <c r="O31" i="12"/>
  <c r="P31" i="12"/>
  <c r="Q31" i="12"/>
  <c r="M31" i="12"/>
  <c r="B20" i="12"/>
  <c r="R24" i="12"/>
  <c r="S24" i="12"/>
  <c r="T24" i="12"/>
  <c r="U24" i="12"/>
  <c r="V24" i="12"/>
  <c r="R25" i="12"/>
  <c r="S25" i="12"/>
  <c r="T25" i="12"/>
  <c r="U25" i="12"/>
  <c r="V25" i="12"/>
  <c r="W25" i="12"/>
  <c r="R26" i="12"/>
  <c r="S26" i="12"/>
  <c r="T26" i="12"/>
  <c r="U26" i="12"/>
  <c r="V26" i="12"/>
  <c r="W26" i="12"/>
  <c r="R27" i="12"/>
  <c r="S27" i="12"/>
  <c r="T27" i="12"/>
  <c r="U27" i="12"/>
  <c r="V27" i="12"/>
  <c r="W27" i="12"/>
  <c r="R28" i="12"/>
  <c r="S28" i="12"/>
  <c r="T28" i="12"/>
  <c r="U28" i="12"/>
  <c r="V28" i="12"/>
  <c r="W28" i="12"/>
  <c r="R29" i="12"/>
  <c r="S29" i="12"/>
  <c r="T29" i="12"/>
  <c r="U29" i="12"/>
  <c r="V29" i="12"/>
  <c r="W29" i="12"/>
  <c r="R30" i="12"/>
  <c r="S30" i="12"/>
  <c r="T30" i="12"/>
  <c r="U30" i="12"/>
  <c r="V3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4" i="15"/>
  <c r="R4" i="18"/>
  <c r="R4" i="20"/>
  <c r="C41" i="32"/>
  <c r="D41" i="32"/>
  <c r="E41" i="32"/>
  <c r="F41" i="32"/>
  <c r="C3" i="22"/>
  <c r="D3" i="22"/>
  <c r="E3" i="22"/>
  <c r="F3" i="22"/>
  <c r="G3" i="22"/>
  <c r="H3" i="22"/>
  <c r="I3" i="22"/>
  <c r="J3" i="22"/>
  <c r="K3" i="22"/>
  <c r="B3" i="22"/>
  <c r="I34" i="32"/>
  <c r="B33" i="31"/>
  <c r="E19" i="32"/>
  <c r="G41" i="26"/>
  <c r="G42" i="26"/>
  <c r="G43" i="26"/>
  <c r="C4" i="22"/>
  <c r="D4" i="22"/>
  <c r="E4" i="22"/>
  <c r="F4" i="22"/>
  <c r="G4" i="22"/>
  <c r="H4" i="22"/>
  <c r="I4" i="22"/>
  <c r="J4" i="22"/>
  <c r="K4" i="22"/>
  <c r="C5" i="22"/>
  <c r="D5" i="22"/>
  <c r="E5" i="22"/>
  <c r="F5" i="22"/>
  <c r="G5" i="22"/>
  <c r="H5" i="22"/>
  <c r="I5" i="22"/>
  <c r="J5" i="22"/>
  <c r="K5" i="22"/>
  <c r="C6" i="22"/>
  <c r="D6" i="22"/>
  <c r="E6" i="22"/>
  <c r="F6" i="22"/>
  <c r="G6" i="22"/>
  <c r="H6" i="22"/>
  <c r="I6" i="22"/>
  <c r="J6" i="22"/>
  <c r="K6" i="22"/>
  <c r="C7" i="22"/>
  <c r="D7" i="22"/>
  <c r="E7" i="22"/>
  <c r="F7" i="22"/>
  <c r="G7" i="22"/>
  <c r="H7" i="22"/>
  <c r="I7" i="22"/>
  <c r="J7" i="22"/>
  <c r="K7" i="22"/>
  <c r="C8" i="22"/>
  <c r="D8" i="22"/>
  <c r="E8" i="22"/>
  <c r="F8" i="22"/>
  <c r="G8" i="22"/>
  <c r="H8" i="22"/>
  <c r="I8" i="22"/>
  <c r="J8" i="22"/>
  <c r="K8" i="22"/>
  <c r="C9" i="22"/>
  <c r="D9" i="22"/>
  <c r="E9" i="22"/>
  <c r="F9" i="22"/>
  <c r="G9" i="22"/>
  <c r="H9" i="22"/>
  <c r="I9" i="22"/>
  <c r="J9" i="22"/>
  <c r="K9" i="22"/>
  <c r="C10" i="22"/>
  <c r="D10" i="22"/>
  <c r="E10" i="22"/>
  <c r="F10" i="22"/>
  <c r="G10" i="22"/>
  <c r="H10" i="22"/>
  <c r="I10" i="22"/>
  <c r="J10" i="22"/>
  <c r="K10" i="22"/>
  <c r="C11" i="22"/>
  <c r="D11" i="22"/>
  <c r="E11" i="22"/>
  <c r="F11" i="22"/>
  <c r="G11" i="22"/>
  <c r="H11" i="22"/>
  <c r="I11" i="22"/>
  <c r="J11" i="22"/>
  <c r="K11" i="22"/>
  <c r="C12" i="22"/>
  <c r="D12" i="22"/>
  <c r="E12" i="22"/>
  <c r="F12" i="22"/>
  <c r="G12" i="22"/>
  <c r="H12" i="22"/>
  <c r="I12" i="22"/>
  <c r="J12" i="22"/>
  <c r="K12" i="22"/>
  <c r="B5" i="22"/>
  <c r="B6" i="22"/>
  <c r="B7" i="22"/>
  <c r="B8" i="22"/>
  <c r="B9" i="22"/>
  <c r="B10" i="22"/>
  <c r="B11" i="22"/>
  <c r="B12" i="22"/>
  <c r="B4" i="22"/>
  <c r="D21" i="32"/>
  <c r="D22" i="32"/>
  <c r="E22" i="32"/>
  <c r="F22" i="32"/>
  <c r="C23" i="32"/>
  <c r="D23" i="32"/>
  <c r="E23" i="32"/>
  <c r="F23" i="32"/>
  <c r="C24" i="32"/>
  <c r="D24" i="32"/>
  <c r="C42" i="25"/>
  <c r="O10" i="29"/>
  <c r="C43" i="25"/>
  <c r="O9" i="29"/>
  <c r="D41" i="26"/>
  <c r="C44" i="25"/>
  <c r="A29" i="32"/>
  <c r="C29" i="32"/>
  <c r="D29" i="32"/>
  <c r="E29" i="32"/>
  <c r="F29" i="32"/>
  <c r="B29" i="32"/>
  <c r="C28" i="32"/>
  <c r="D28" i="32"/>
  <c r="E28" i="32"/>
  <c r="F28" i="32"/>
  <c r="B28" i="32"/>
  <c r="F30" i="32"/>
  <c r="F31" i="32"/>
  <c r="E30" i="32"/>
  <c r="E31" i="32"/>
  <c r="D30" i="32"/>
  <c r="D31" i="32"/>
  <c r="C30" i="32"/>
  <c r="C31" i="32"/>
  <c r="B30" i="32"/>
  <c r="B31" i="32"/>
  <c r="Q5" i="31"/>
  <c r="Q4" i="31"/>
  <c r="Q7" i="31"/>
  <c r="Q6" i="31"/>
  <c r="B32" i="31"/>
  <c r="P3" i="31"/>
  <c r="M38" i="12"/>
  <c r="N38" i="12"/>
  <c r="O38" i="12"/>
  <c r="M37" i="12"/>
  <c r="N37" i="12"/>
  <c r="O37" i="12"/>
  <c r="M36" i="12"/>
  <c r="N36" i="12"/>
  <c r="O36" i="12"/>
  <c r="M35" i="12"/>
  <c r="N35" i="12"/>
  <c r="O35" i="12"/>
  <c r="M34" i="12"/>
  <c r="N34" i="12"/>
  <c r="O34" i="12"/>
  <c r="C5" i="32"/>
  <c r="B45" i="17"/>
  <c r="B45" i="20"/>
  <c r="B46" i="17"/>
  <c r="B46" i="20"/>
  <c r="B47" i="17"/>
  <c r="B47" i="20"/>
  <c r="B48" i="17"/>
  <c r="B48" i="20"/>
  <c r="B49" i="17"/>
  <c r="B49" i="20"/>
  <c r="B50" i="17"/>
  <c r="B50" i="20"/>
  <c r="B51" i="17"/>
  <c r="B51" i="20"/>
  <c r="B52" i="17"/>
  <c r="B52" i="20"/>
  <c r="B53" i="17"/>
  <c r="B53" i="20"/>
  <c r="B21" i="17"/>
  <c r="B54" i="17"/>
  <c r="B54" i="20"/>
  <c r="B3" i="14"/>
  <c r="B3" i="15"/>
  <c r="B3" i="17"/>
  <c r="B3" i="20"/>
  <c r="B21" i="20"/>
  <c r="B22" i="20"/>
  <c r="B23" i="20"/>
  <c r="B24" i="20"/>
  <c r="B25" i="20"/>
  <c r="B26" i="20"/>
  <c r="B27" i="20"/>
  <c r="B28" i="20"/>
  <c r="B29" i="20"/>
  <c r="B30" i="20"/>
  <c r="B31" i="20"/>
  <c r="B2" i="14"/>
  <c r="B2" i="15"/>
  <c r="B2" i="17"/>
  <c r="B2" i="20"/>
  <c r="K21" i="17"/>
  <c r="K54" i="17"/>
  <c r="J21" i="17"/>
  <c r="J54" i="17"/>
  <c r="J54" i="20"/>
  <c r="I21" i="17"/>
  <c r="I54" i="17"/>
  <c r="H21" i="17"/>
  <c r="H54" i="17"/>
  <c r="G21" i="17"/>
  <c r="G54" i="17"/>
  <c r="F21" i="17"/>
  <c r="F54" i="17"/>
  <c r="E21" i="17"/>
  <c r="E54" i="17"/>
  <c r="D21" i="17"/>
  <c r="D54" i="17"/>
  <c r="C21" i="17"/>
  <c r="C54" i="17"/>
  <c r="J53" i="17"/>
  <c r="J53" i="20"/>
  <c r="J52" i="17"/>
  <c r="J52" i="20"/>
  <c r="J51" i="17"/>
  <c r="J51" i="20"/>
  <c r="J50" i="17"/>
  <c r="J50" i="20"/>
  <c r="J49" i="17"/>
  <c r="J49" i="20"/>
  <c r="J48" i="17"/>
  <c r="J48" i="20"/>
  <c r="J47" i="17"/>
  <c r="J47" i="20"/>
  <c r="J46" i="17"/>
  <c r="J46" i="20"/>
  <c r="J45" i="17"/>
  <c r="J45" i="20"/>
  <c r="J3" i="14"/>
  <c r="J3" i="15"/>
  <c r="J3" i="17"/>
  <c r="J3" i="20"/>
  <c r="J21" i="20"/>
  <c r="C22" i="20"/>
  <c r="D22" i="20"/>
  <c r="E22" i="20"/>
  <c r="F22" i="20"/>
  <c r="G22" i="20"/>
  <c r="H22" i="20"/>
  <c r="I22" i="20"/>
  <c r="J22" i="20"/>
  <c r="K22" i="20"/>
  <c r="C23" i="20"/>
  <c r="D23" i="20"/>
  <c r="E23" i="20"/>
  <c r="F23" i="20"/>
  <c r="G23" i="20"/>
  <c r="H23" i="20"/>
  <c r="I23" i="20"/>
  <c r="J23" i="20"/>
  <c r="K23" i="20"/>
  <c r="C24" i="20"/>
  <c r="D24" i="20"/>
  <c r="E24" i="20"/>
  <c r="F24" i="20"/>
  <c r="G24" i="20"/>
  <c r="H24" i="20"/>
  <c r="I24" i="20"/>
  <c r="J24" i="20"/>
  <c r="K24" i="20"/>
  <c r="C25" i="20"/>
  <c r="D25" i="20"/>
  <c r="E25" i="20"/>
  <c r="F25" i="20"/>
  <c r="G25" i="20"/>
  <c r="H25" i="20"/>
  <c r="I25" i="20"/>
  <c r="J25" i="20"/>
  <c r="K25" i="20"/>
  <c r="C26" i="20"/>
  <c r="D26" i="20"/>
  <c r="E26" i="20"/>
  <c r="F26" i="20"/>
  <c r="G26" i="20"/>
  <c r="H26" i="20"/>
  <c r="I26" i="20"/>
  <c r="J26" i="20"/>
  <c r="K26" i="20"/>
  <c r="C27" i="20"/>
  <c r="D27" i="20"/>
  <c r="E27" i="20"/>
  <c r="F27" i="20"/>
  <c r="G27" i="20"/>
  <c r="H27" i="20"/>
  <c r="I27" i="20"/>
  <c r="J27" i="20"/>
  <c r="K27" i="20"/>
  <c r="C28" i="20"/>
  <c r="D28" i="20"/>
  <c r="E28" i="20"/>
  <c r="F28" i="20"/>
  <c r="G28" i="20"/>
  <c r="H28" i="20"/>
  <c r="I28" i="20"/>
  <c r="J28" i="20"/>
  <c r="K28" i="20"/>
  <c r="C29" i="20"/>
  <c r="D29" i="20"/>
  <c r="E29" i="20"/>
  <c r="F29" i="20"/>
  <c r="G29" i="20"/>
  <c r="H29" i="20"/>
  <c r="I29" i="20"/>
  <c r="J29" i="20"/>
  <c r="K29" i="20"/>
  <c r="C30" i="20"/>
  <c r="D30" i="20"/>
  <c r="E30" i="20"/>
  <c r="F30" i="20"/>
  <c r="G30" i="20"/>
  <c r="H30" i="20"/>
  <c r="I30" i="20"/>
  <c r="J30" i="20"/>
  <c r="K30" i="20"/>
  <c r="C31" i="20"/>
  <c r="D31" i="20"/>
  <c r="E31" i="20"/>
  <c r="F31" i="20"/>
  <c r="G31" i="20"/>
  <c r="H31" i="20"/>
  <c r="I31" i="20"/>
  <c r="J31" i="20"/>
  <c r="K31" i="20"/>
  <c r="J2" i="14"/>
  <c r="J2" i="15"/>
  <c r="J2" i="17"/>
  <c r="J2" i="20"/>
  <c r="B35" i="18"/>
  <c r="O35" i="15"/>
  <c r="O35" i="18"/>
  <c r="J35" i="18"/>
  <c r="W35" i="15"/>
  <c r="W35" i="18"/>
  <c r="B45" i="18"/>
  <c r="O45" i="15"/>
  <c r="O45" i="18"/>
  <c r="J45" i="18"/>
  <c r="W45" i="15"/>
  <c r="W45" i="18"/>
  <c r="B46" i="18"/>
  <c r="O46" i="15"/>
  <c r="O46" i="18"/>
  <c r="J46" i="18"/>
  <c r="W46" i="15"/>
  <c r="W46" i="18"/>
  <c r="B47" i="18"/>
  <c r="O47" i="15"/>
  <c r="O47" i="18"/>
  <c r="J47" i="18"/>
  <c r="W47" i="15"/>
  <c r="W47" i="18"/>
  <c r="B48" i="18"/>
  <c r="O48" i="15"/>
  <c r="O48" i="18"/>
  <c r="J48" i="18"/>
  <c r="W48" i="15"/>
  <c r="W48" i="18"/>
  <c r="B49" i="18"/>
  <c r="O49" i="15"/>
  <c r="O49" i="18"/>
  <c r="J49" i="18"/>
  <c r="W49" i="15"/>
  <c r="W49" i="18"/>
  <c r="B50" i="18"/>
  <c r="O50" i="15"/>
  <c r="O50" i="18"/>
  <c r="J50" i="18"/>
  <c r="W50" i="15"/>
  <c r="W50" i="18"/>
  <c r="B51" i="18"/>
  <c r="O51" i="15"/>
  <c r="O51" i="18"/>
  <c r="J51" i="18"/>
  <c r="W51" i="15"/>
  <c r="W51" i="18"/>
  <c r="B52" i="18"/>
  <c r="O52" i="15"/>
  <c r="O52" i="18"/>
  <c r="J52" i="18"/>
  <c r="W52" i="15"/>
  <c r="W52" i="18"/>
  <c r="B53" i="18"/>
  <c r="O53" i="15"/>
  <c r="O53" i="18"/>
  <c r="J53" i="18"/>
  <c r="W53" i="15"/>
  <c r="W53" i="18"/>
  <c r="B54" i="18"/>
  <c r="O54" i="15"/>
  <c r="O54" i="18"/>
  <c r="J54" i="18"/>
  <c r="W54" i="15"/>
  <c r="W54" i="18"/>
  <c r="B3" i="18"/>
  <c r="O3" i="15"/>
  <c r="O3" i="18"/>
  <c r="J3" i="18"/>
  <c r="W3" i="15"/>
  <c r="W3" i="18"/>
  <c r="B21" i="18"/>
  <c r="O21" i="15"/>
  <c r="O21" i="18"/>
  <c r="J21" i="18"/>
  <c r="W21" i="15"/>
  <c r="W21" i="18"/>
  <c r="O22" i="18"/>
  <c r="P22" i="18"/>
  <c r="Q22" i="18"/>
  <c r="R22" i="18"/>
  <c r="S22" i="18"/>
  <c r="T22" i="18"/>
  <c r="U22" i="18"/>
  <c r="V22" i="18"/>
  <c r="W22" i="18"/>
  <c r="X22" i="18"/>
  <c r="O23" i="18"/>
  <c r="P23" i="18"/>
  <c r="Q23" i="18"/>
  <c r="R23" i="18"/>
  <c r="S23" i="18"/>
  <c r="T23" i="18"/>
  <c r="U23" i="18"/>
  <c r="V23" i="18"/>
  <c r="W23" i="18"/>
  <c r="X23" i="18"/>
  <c r="O24" i="18"/>
  <c r="P24" i="18"/>
  <c r="Q24" i="18"/>
  <c r="R24" i="18"/>
  <c r="S24" i="18"/>
  <c r="T24" i="18"/>
  <c r="U24" i="18"/>
  <c r="V24" i="18"/>
  <c r="W24" i="18"/>
  <c r="X24" i="18"/>
  <c r="O25" i="18"/>
  <c r="P25" i="18"/>
  <c r="Q25" i="18"/>
  <c r="R25" i="18"/>
  <c r="S25" i="18"/>
  <c r="T25" i="18"/>
  <c r="U25" i="18"/>
  <c r="V25" i="18"/>
  <c r="W25" i="18"/>
  <c r="X25" i="18"/>
  <c r="O26" i="18"/>
  <c r="P26" i="18"/>
  <c r="Q26" i="18"/>
  <c r="R26" i="18"/>
  <c r="S26" i="18"/>
  <c r="T26" i="18"/>
  <c r="U26" i="18"/>
  <c r="V26" i="18"/>
  <c r="W26" i="18"/>
  <c r="X26" i="18"/>
  <c r="O27" i="18"/>
  <c r="P27" i="18"/>
  <c r="Q27" i="18"/>
  <c r="R27" i="18"/>
  <c r="S27" i="18"/>
  <c r="T27" i="18"/>
  <c r="U27" i="18"/>
  <c r="V27" i="18"/>
  <c r="W27" i="18"/>
  <c r="X27" i="18"/>
  <c r="O28" i="18"/>
  <c r="P28" i="18"/>
  <c r="Q28" i="18"/>
  <c r="R28" i="18"/>
  <c r="S28" i="18"/>
  <c r="T28" i="18"/>
  <c r="U28" i="18"/>
  <c r="V28" i="18"/>
  <c r="W28" i="18"/>
  <c r="X28" i="18"/>
  <c r="O29" i="18"/>
  <c r="P29" i="18"/>
  <c r="Q29" i="18"/>
  <c r="R29" i="18"/>
  <c r="S29" i="18"/>
  <c r="T29" i="18"/>
  <c r="U29" i="18"/>
  <c r="V29" i="18"/>
  <c r="W29" i="18"/>
  <c r="X29" i="18"/>
  <c r="O30" i="18"/>
  <c r="P30" i="18"/>
  <c r="Q30" i="18"/>
  <c r="R30" i="18"/>
  <c r="S30" i="18"/>
  <c r="T30" i="18"/>
  <c r="U30" i="18"/>
  <c r="V30" i="18"/>
  <c r="W30" i="18"/>
  <c r="X30" i="18"/>
  <c r="O31" i="18"/>
  <c r="P31" i="18"/>
  <c r="Q31" i="18"/>
  <c r="R31" i="18"/>
  <c r="S31" i="18"/>
  <c r="T31" i="18"/>
  <c r="U31" i="18"/>
  <c r="V31" i="18"/>
  <c r="W31" i="18"/>
  <c r="X31" i="18"/>
  <c r="J2" i="18"/>
  <c r="W2" i="15"/>
  <c r="W2" i="18"/>
  <c r="B2" i="18"/>
  <c r="O2" i="15"/>
  <c r="O2" i="18"/>
  <c r="C23" i="27"/>
  <c r="J24" i="32"/>
  <c r="K23" i="27"/>
  <c r="R24" i="32"/>
  <c r="C24" i="27"/>
  <c r="J25" i="32"/>
  <c r="K24" i="27"/>
  <c r="R25" i="32"/>
  <c r="C25" i="27"/>
  <c r="J26" i="32"/>
  <c r="K25" i="27"/>
  <c r="R26" i="32"/>
  <c r="C26" i="27"/>
  <c r="J27" i="32"/>
  <c r="K26" i="27"/>
  <c r="R27" i="32"/>
  <c r="C27" i="27"/>
  <c r="J28" i="32"/>
  <c r="K27" i="27"/>
  <c r="R28" i="32"/>
  <c r="C28" i="27"/>
  <c r="J29" i="32"/>
  <c r="K28" i="27"/>
  <c r="R29" i="32"/>
  <c r="C29" i="27"/>
  <c r="J30" i="32"/>
  <c r="K29" i="27"/>
  <c r="R30" i="32"/>
  <c r="C30" i="27"/>
  <c r="J31" i="32"/>
  <c r="K30" i="27"/>
  <c r="R31" i="32"/>
  <c r="C31" i="27"/>
  <c r="J32" i="32"/>
  <c r="K31" i="27"/>
  <c r="R32" i="32"/>
  <c r="K22" i="27"/>
  <c r="R23" i="32"/>
  <c r="C22" i="27"/>
  <c r="J23" i="32"/>
  <c r="C15" i="27"/>
  <c r="J16" i="32"/>
  <c r="K15" i="27"/>
  <c r="R16" i="32"/>
  <c r="C16" i="27"/>
  <c r="J17" i="32"/>
  <c r="K16" i="27"/>
  <c r="R17" i="32"/>
  <c r="C17" i="27"/>
  <c r="J18" i="32"/>
  <c r="K17" i="27"/>
  <c r="R18" i="32"/>
  <c r="C18" i="27"/>
  <c r="J19" i="32"/>
  <c r="K18" i="27"/>
  <c r="R19" i="32"/>
  <c r="C19" i="27"/>
  <c r="J20" i="32"/>
  <c r="K19" i="27"/>
  <c r="R20" i="32"/>
  <c r="C20" i="27"/>
  <c r="J21" i="32"/>
  <c r="K20" i="27"/>
  <c r="R21" i="32"/>
  <c r="K14" i="27"/>
  <c r="R15" i="32"/>
  <c r="C14" i="27"/>
  <c r="J15" i="32"/>
  <c r="C4" i="27"/>
  <c r="J5" i="32"/>
  <c r="K4" i="27"/>
  <c r="R5" i="32"/>
  <c r="C5" i="27"/>
  <c r="J6" i="32"/>
  <c r="K5" i="27"/>
  <c r="R6" i="32"/>
  <c r="C6" i="27"/>
  <c r="J7" i="32"/>
  <c r="K6" i="27"/>
  <c r="R7" i="32"/>
  <c r="C7" i="27"/>
  <c r="J8" i="32"/>
  <c r="K7" i="27"/>
  <c r="R8" i="32"/>
  <c r="C8" i="27"/>
  <c r="J9" i="32"/>
  <c r="K8" i="27"/>
  <c r="R9" i="32"/>
  <c r="C9" i="27"/>
  <c r="J10" i="32"/>
  <c r="K9" i="27"/>
  <c r="R10" i="32"/>
  <c r="C10" i="27"/>
  <c r="J11" i="32"/>
  <c r="K10" i="27"/>
  <c r="R11" i="32"/>
  <c r="C11" i="27"/>
  <c r="J12" i="32"/>
  <c r="K11" i="27"/>
  <c r="R12" i="32"/>
  <c r="C12" i="27"/>
  <c r="J13" i="32"/>
  <c r="K12" i="27"/>
  <c r="R13" i="32"/>
  <c r="K3" i="27"/>
  <c r="R4" i="32"/>
  <c r="C3" i="27"/>
  <c r="J4" i="32"/>
  <c r="O35" i="20"/>
  <c r="W35" i="20"/>
  <c r="O45" i="20"/>
  <c r="W45" i="20"/>
  <c r="O46" i="20"/>
  <c r="W46" i="20"/>
  <c r="O47" i="20"/>
  <c r="W47" i="20"/>
  <c r="O48" i="20"/>
  <c r="W48" i="20"/>
  <c r="O49" i="20"/>
  <c r="W49" i="20"/>
  <c r="O50" i="20"/>
  <c r="W50" i="20"/>
  <c r="O51" i="20"/>
  <c r="W51" i="20"/>
  <c r="O52" i="20"/>
  <c r="W52" i="20"/>
  <c r="O53" i="20"/>
  <c r="W53" i="20"/>
  <c r="O54" i="20"/>
  <c r="W54" i="20"/>
  <c r="O3" i="20"/>
  <c r="W3" i="20"/>
  <c r="O21" i="20"/>
  <c r="W21" i="20"/>
  <c r="B22" i="18"/>
  <c r="O22" i="20"/>
  <c r="P22" i="20"/>
  <c r="Q22" i="20"/>
  <c r="R22" i="20"/>
  <c r="S22" i="20"/>
  <c r="T22" i="20"/>
  <c r="U22" i="20"/>
  <c r="V22" i="20"/>
  <c r="W22" i="20"/>
  <c r="X22" i="20"/>
  <c r="B23" i="18"/>
  <c r="O23" i="20"/>
  <c r="C23" i="18"/>
  <c r="P23" i="20"/>
  <c r="D23" i="18"/>
  <c r="Q23" i="20"/>
  <c r="E23" i="18"/>
  <c r="R23" i="20"/>
  <c r="F23" i="18"/>
  <c r="S23" i="20"/>
  <c r="G23" i="18"/>
  <c r="T23" i="20"/>
  <c r="H23" i="18"/>
  <c r="U23" i="20"/>
  <c r="I23" i="18"/>
  <c r="V23" i="20"/>
  <c r="J23" i="18"/>
  <c r="W23" i="20"/>
  <c r="K23" i="18"/>
  <c r="X23" i="20"/>
  <c r="B24" i="18"/>
  <c r="O24" i="20"/>
  <c r="P24" i="20"/>
  <c r="Q24" i="20"/>
  <c r="E24" i="18"/>
  <c r="R24" i="20"/>
  <c r="F24" i="18"/>
  <c r="S24" i="20"/>
  <c r="G24" i="18"/>
  <c r="T24" i="20"/>
  <c r="H24" i="18"/>
  <c r="U24" i="20"/>
  <c r="I24" i="18"/>
  <c r="V24" i="20"/>
  <c r="J24" i="18"/>
  <c r="W24" i="20"/>
  <c r="K24" i="18"/>
  <c r="X24" i="20"/>
  <c r="B25" i="18"/>
  <c r="O25" i="20"/>
  <c r="P25" i="20"/>
  <c r="D25" i="18"/>
  <c r="Q25" i="20"/>
  <c r="E25" i="18"/>
  <c r="R25" i="20"/>
  <c r="F25" i="18"/>
  <c r="S25" i="20"/>
  <c r="G25" i="18"/>
  <c r="T25" i="20"/>
  <c r="H25" i="18"/>
  <c r="U25" i="20"/>
  <c r="I25" i="18"/>
  <c r="V25" i="20"/>
  <c r="J25" i="18"/>
  <c r="W25" i="20"/>
  <c r="K25" i="18"/>
  <c r="X25" i="20"/>
  <c r="B26" i="18"/>
  <c r="O26" i="20"/>
  <c r="P26" i="20"/>
  <c r="D26" i="18"/>
  <c r="Q26" i="20"/>
  <c r="E26" i="18"/>
  <c r="R26" i="20"/>
  <c r="F26" i="18"/>
  <c r="S26" i="20"/>
  <c r="G26" i="18"/>
  <c r="T26" i="20"/>
  <c r="H26" i="18"/>
  <c r="U26" i="20"/>
  <c r="I26" i="18"/>
  <c r="V26" i="20"/>
  <c r="J26" i="18"/>
  <c r="W26" i="20"/>
  <c r="K26" i="18"/>
  <c r="X26" i="20"/>
  <c r="B27" i="18"/>
  <c r="O27" i="20"/>
  <c r="C27" i="18"/>
  <c r="P27" i="20"/>
  <c r="D27" i="18"/>
  <c r="Q27" i="20"/>
  <c r="E27" i="18"/>
  <c r="R27" i="20"/>
  <c r="F27" i="18"/>
  <c r="S27" i="20"/>
  <c r="G27" i="18"/>
  <c r="T27" i="20"/>
  <c r="H27" i="18"/>
  <c r="U27" i="20"/>
  <c r="I27" i="18"/>
  <c r="V27" i="20"/>
  <c r="J27" i="18"/>
  <c r="W27" i="20"/>
  <c r="K27" i="18"/>
  <c r="X27" i="20"/>
  <c r="B28" i="18"/>
  <c r="O28" i="20"/>
  <c r="C28" i="18"/>
  <c r="P28" i="20"/>
  <c r="D28" i="18"/>
  <c r="Q28" i="20"/>
  <c r="E28" i="18"/>
  <c r="R28" i="20"/>
  <c r="F28" i="18"/>
  <c r="S28" i="20"/>
  <c r="G28" i="18"/>
  <c r="T28" i="20"/>
  <c r="H28" i="18"/>
  <c r="U28" i="20"/>
  <c r="I28" i="18"/>
  <c r="V28" i="20"/>
  <c r="J28" i="18"/>
  <c r="W28" i="20"/>
  <c r="K28" i="18"/>
  <c r="X28" i="20"/>
  <c r="B29" i="18"/>
  <c r="O29" i="20"/>
  <c r="C29" i="18"/>
  <c r="P29" i="20"/>
  <c r="D29" i="18"/>
  <c r="Q29" i="20"/>
  <c r="E29" i="18"/>
  <c r="R29" i="20"/>
  <c r="F29" i="18"/>
  <c r="S29" i="20"/>
  <c r="G29" i="18"/>
  <c r="T29" i="20"/>
  <c r="H29" i="18"/>
  <c r="U29" i="20"/>
  <c r="I29" i="18"/>
  <c r="V29" i="20"/>
  <c r="J29" i="18"/>
  <c r="W29" i="20"/>
  <c r="K29" i="18"/>
  <c r="X29" i="20"/>
  <c r="B30" i="18"/>
  <c r="O30" i="20"/>
  <c r="C30" i="18"/>
  <c r="P30" i="20"/>
  <c r="D30" i="18"/>
  <c r="Q30" i="20"/>
  <c r="E30" i="18"/>
  <c r="R30" i="20"/>
  <c r="F30" i="18"/>
  <c r="S30" i="20"/>
  <c r="G30" i="18"/>
  <c r="T30" i="20"/>
  <c r="H30" i="18"/>
  <c r="U30" i="20"/>
  <c r="I30" i="18"/>
  <c r="V30" i="20"/>
  <c r="J30" i="18"/>
  <c r="W30" i="20"/>
  <c r="K30" i="18"/>
  <c r="X30" i="20"/>
  <c r="B31" i="18"/>
  <c r="O31" i="20"/>
  <c r="C31" i="18"/>
  <c r="P31" i="20"/>
  <c r="D31" i="18"/>
  <c r="Q31" i="20"/>
  <c r="E31" i="18"/>
  <c r="R31" i="20"/>
  <c r="F31" i="18"/>
  <c r="S31" i="20"/>
  <c r="G31" i="18"/>
  <c r="T31" i="20"/>
  <c r="H31" i="18"/>
  <c r="U31" i="20"/>
  <c r="I31" i="18"/>
  <c r="V31" i="20"/>
  <c r="J31" i="18"/>
  <c r="W31" i="20"/>
  <c r="K31" i="18"/>
  <c r="X31" i="20"/>
  <c r="W2" i="20"/>
  <c r="O2" i="20"/>
  <c r="C22" i="18"/>
  <c r="D22" i="18"/>
  <c r="E22" i="18"/>
  <c r="F22" i="18"/>
  <c r="G22" i="18"/>
  <c r="H22" i="18"/>
  <c r="I22" i="18"/>
  <c r="J22" i="18"/>
  <c r="K22" i="18"/>
  <c r="C24" i="18"/>
  <c r="D24" i="18"/>
  <c r="C25" i="18"/>
  <c r="C26" i="18"/>
  <c r="F43" i="12"/>
  <c r="F42" i="12"/>
  <c r="F41" i="12"/>
  <c r="F40" i="12"/>
  <c r="F39" i="12"/>
  <c r="F38" i="12"/>
  <c r="F37" i="12"/>
  <c r="F36" i="12"/>
  <c r="F35" i="12"/>
  <c r="F34" i="12"/>
  <c r="O36" i="31"/>
  <c r="O37" i="31"/>
  <c r="O38" i="31"/>
  <c r="O39" i="31"/>
  <c r="X39" i="31"/>
  <c r="X38" i="31"/>
  <c r="X37" i="31"/>
  <c r="X36" i="31"/>
  <c r="X35" i="31"/>
  <c r="Y35" i="31"/>
  <c r="Y36" i="31"/>
  <c r="Y37" i="31"/>
  <c r="Y38" i="31"/>
  <c r="Y39" i="31"/>
  <c r="V39" i="31"/>
  <c r="V38" i="31"/>
  <c r="V37" i="31"/>
  <c r="V36" i="31"/>
  <c r="V35" i="31"/>
  <c r="W35" i="31"/>
  <c r="W36" i="31"/>
  <c r="W37" i="31"/>
  <c r="W38" i="31"/>
  <c r="W39" i="31"/>
  <c r="T39" i="31"/>
  <c r="T38" i="31"/>
  <c r="T37" i="31"/>
  <c r="T36" i="31"/>
  <c r="T35" i="31"/>
  <c r="U35" i="31"/>
  <c r="U36" i="31"/>
  <c r="U37" i="31"/>
  <c r="U38" i="31"/>
  <c r="U39" i="31"/>
  <c r="R39" i="31"/>
  <c r="R38" i="31"/>
  <c r="R37" i="31"/>
  <c r="R36" i="31"/>
  <c r="R35" i="31"/>
  <c r="S35" i="31"/>
  <c r="S36" i="31"/>
  <c r="S37" i="31"/>
  <c r="S38" i="31"/>
  <c r="S39" i="31"/>
  <c r="P39" i="31"/>
  <c r="P38" i="31"/>
  <c r="P37" i="31"/>
  <c r="P36" i="31"/>
  <c r="P35" i="31"/>
  <c r="Q35" i="31"/>
  <c r="Q36" i="31"/>
  <c r="Q37" i="31"/>
  <c r="Q38" i="31"/>
  <c r="Q39" i="31"/>
  <c r="O30" i="31"/>
  <c r="O31" i="31"/>
  <c r="O32" i="31"/>
  <c r="O33" i="31"/>
  <c r="X33" i="31"/>
  <c r="X32" i="31"/>
  <c r="X31" i="31"/>
  <c r="X30" i="31"/>
  <c r="X29" i="31"/>
  <c r="Y29" i="31"/>
  <c r="Y30" i="31"/>
  <c r="Y31" i="31"/>
  <c r="Y32" i="31"/>
  <c r="Y33" i="31"/>
  <c r="V33" i="31"/>
  <c r="V32" i="31"/>
  <c r="V31" i="31"/>
  <c r="V30" i="31"/>
  <c r="V29" i="31"/>
  <c r="W29" i="31"/>
  <c r="W30" i="31"/>
  <c r="W31" i="31"/>
  <c r="W32" i="31"/>
  <c r="W33" i="31"/>
  <c r="T33" i="31"/>
  <c r="T32" i="31"/>
  <c r="T31" i="31"/>
  <c r="T30" i="31"/>
  <c r="T29" i="31"/>
  <c r="U29" i="31"/>
  <c r="U30" i="31"/>
  <c r="U31" i="31"/>
  <c r="U32" i="31"/>
  <c r="U33" i="31"/>
  <c r="R33" i="31"/>
  <c r="R32" i="31"/>
  <c r="R31" i="31"/>
  <c r="R30" i="31"/>
  <c r="R29" i="31"/>
  <c r="S29" i="31"/>
  <c r="S30" i="31"/>
  <c r="S31" i="31"/>
  <c r="S32" i="31"/>
  <c r="S33" i="31"/>
  <c r="P33" i="31"/>
  <c r="P32" i="31"/>
  <c r="P31" i="31"/>
  <c r="P30" i="31"/>
  <c r="P29" i="31"/>
  <c r="Q29" i="31"/>
  <c r="Q30" i="31"/>
  <c r="Q31" i="31"/>
  <c r="Q32" i="31"/>
  <c r="Q33" i="31"/>
  <c r="O24" i="31"/>
  <c r="O25" i="31"/>
  <c r="O26" i="31"/>
  <c r="O27" i="31"/>
  <c r="O18" i="31"/>
  <c r="O19" i="31"/>
  <c r="O20" i="31"/>
  <c r="O21" i="31"/>
  <c r="X27" i="31"/>
  <c r="X26" i="31"/>
  <c r="X25" i="31"/>
  <c r="X24" i="31"/>
  <c r="X23" i="31"/>
  <c r="Y23" i="31"/>
  <c r="Y24" i="31"/>
  <c r="Y25" i="31"/>
  <c r="Y26" i="31"/>
  <c r="Y27" i="31"/>
  <c r="V27" i="31"/>
  <c r="V26" i="31"/>
  <c r="V25" i="31"/>
  <c r="V24" i="31"/>
  <c r="V23" i="31"/>
  <c r="W23" i="31"/>
  <c r="W24" i="31"/>
  <c r="W25" i="31"/>
  <c r="W26" i="31"/>
  <c r="W27" i="31"/>
  <c r="T27" i="31"/>
  <c r="T26" i="31"/>
  <c r="T25" i="31"/>
  <c r="T24" i="31"/>
  <c r="T23" i="31"/>
  <c r="U23" i="31"/>
  <c r="U24" i="31"/>
  <c r="U25" i="31"/>
  <c r="U26" i="31"/>
  <c r="U27" i="31"/>
  <c r="R27" i="31"/>
  <c r="R26" i="31"/>
  <c r="R25" i="31"/>
  <c r="R24" i="31"/>
  <c r="R23" i="31"/>
  <c r="S23" i="31"/>
  <c r="S24" i="31"/>
  <c r="S25" i="31"/>
  <c r="S26" i="31"/>
  <c r="S27" i="31"/>
  <c r="P27" i="31"/>
  <c r="P26" i="31"/>
  <c r="P25" i="31"/>
  <c r="P24" i="31"/>
  <c r="P23" i="31"/>
  <c r="Q23" i="31"/>
  <c r="Q24" i="31"/>
  <c r="Q25" i="31"/>
  <c r="Q26" i="31"/>
  <c r="Q27" i="31"/>
  <c r="X21" i="31"/>
  <c r="X20" i="31"/>
  <c r="X19" i="31"/>
  <c r="X18" i="31"/>
  <c r="X17" i="31"/>
  <c r="Y17" i="31"/>
  <c r="Y18" i="31"/>
  <c r="Y19" i="31"/>
  <c r="Y20" i="31"/>
  <c r="Y21" i="31"/>
  <c r="V17" i="31"/>
  <c r="W17" i="31"/>
  <c r="V21" i="31"/>
  <c r="V20" i="31"/>
  <c r="V19" i="31"/>
  <c r="V18" i="31"/>
  <c r="T17" i="31"/>
  <c r="U17" i="31"/>
  <c r="T21" i="31"/>
  <c r="T20" i="31"/>
  <c r="T19" i="31"/>
  <c r="T18" i="31"/>
  <c r="R18" i="31"/>
  <c r="R17" i="31"/>
  <c r="S17" i="31"/>
  <c r="S18" i="31"/>
  <c r="R19" i="31"/>
  <c r="R20" i="31"/>
  <c r="R21" i="31"/>
  <c r="P18" i="31"/>
  <c r="P17" i="31"/>
  <c r="W18" i="31"/>
  <c r="W19" i="31"/>
  <c r="W20" i="31"/>
  <c r="W21" i="31"/>
  <c r="U18" i="31"/>
  <c r="U19" i="31"/>
  <c r="U20" i="31"/>
  <c r="U21" i="31"/>
  <c r="S19" i="31"/>
  <c r="S20" i="31"/>
  <c r="S21" i="31"/>
  <c r="X12" i="31"/>
  <c r="X13" i="31"/>
  <c r="X14" i="31"/>
  <c r="X15" i="31"/>
  <c r="Y11" i="31"/>
  <c r="Y12" i="31"/>
  <c r="Y13" i="31"/>
  <c r="Y14" i="31"/>
  <c r="Y15" i="31"/>
  <c r="V12" i="31"/>
  <c r="V13" i="31"/>
  <c r="V14" i="31"/>
  <c r="V15" i="31"/>
  <c r="W11" i="31"/>
  <c r="W12" i="31"/>
  <c r="W13" i="31"/>
  <c r="W14" i="31"/>
  <c r="W15" i="31"/>
  <c r="T12" i="31"/>
  <c r="T13" i="31"/>
  <c r="T14" i="31"/>
  <c r="T15" i="31"/>
  <c r="U11" i="31"/>
  <c r="U12" i="31"/>
  <c r="U13" i="31"/>
  <c r="U14" i="31"/>
  <c r="U15" i="31"/>
  <c r="R12" i="31"/>
  <c r="R13" i="31"/>
  <c r="S11" i="31"/>
  <c r="S12" i="31"/>
  <c r="S13" i="31"/>
  <c r="R14" i="31"/>
  <c r="S14" i="31"/>
  <c r="R15" i="31"/>
  <c r="S15" i="31"/>
  <c r="P12" i="31"/>
  <c r="P13" i="31"/>
  <c r="Q11" i="31"/>
  <c r="Q12" i="31"/>
  <c r="Q13" i="31"/>
  <c r="P14" i="31"/>
  <c r="Q14" i="31"/>
  <c r="P15" i="31"/>
  <c r="Q15" i="31"/>
  <c r="Q17" i="31"/>
  <c r="Q18" i="31"/>
  <c r="P19" i="31"/>
  <c r="Q19" i="31"/>
  <c r="P20" i="31"/>
  <c r="Q20" i="31"/>
  <c r="P21" i="31"/>
  <c r="Q21" i="31"/>
  <c r="K31" i="31"/>
  <c r="C31" i="31"/>
  <c r="K30" i="31"/>
  <c r="C30" i="31"/>
  <c r="K29" i="31"/>
  <c r="C29" i="31"/>
  <c r="K28" i="31"/>
  <c r="C28" i="31"/>
  <c r="K27" i="31"/>
  <c r="C27" i="31"/>
  <c r="K26" i="31"/>
  <c r="C26" i="31"/>
  <c r="K25" i="31"/>
  <c r="C25" i="31"/>
  <c r="K24" i="31"/>
  <c r="C24" i="31"/>
  <c r="K23" i="31"/>
  <c r="C23" i="31"/>
  <c r="K22" i="31"/>
  <c r="C22" i="31"/>
  <c r="K20" i="31"/>
  <c r="C20" i="31"/>
  <c r="K19" i="31"/>
  <c r="C19" i="31"/>
  <c r="K18" i="31"/>
  <c r="C18" i="31"/>
  <c r="K17" i="31"/>
  <c r="C17" i="31"/>
  <c r="K16" i="31"/>
  <c r="C16" i="31"/>
  <c r="K15" i="31"/>
  <c r="C15" i="31"/>
  <c r="K14" i="31"/>
  <c r="C14" i="31"/>
  <c r="K12" i="31"/>
  <c r="C12" i="31"/>
  <c r="K11" i="31"/>
  <c r="C11" i="31"/>
  <c r="K10" i="31"/>
  <c r="C10" i="31"/>
  <c r="K9" i="31"/>
  <c r="C9" i="31"/>
  <c r="K8" i="31"/>
  <c r="C8" i="31"/>
  <c r="K7" i="31"/>
  <c r="C7" i="31"/>
  <c r="K6" i="31"/>
  <c r="C6" i="31"/>
  <c r="K5" i="31"/>
  <c r="C5" i="31"/>
  <c r="K4" i="31"/>
  <c r="C4" i="31"/>
  <c r="K3" i="31"/>
  <c r="C3" i="31"/>
  <c r="B41" i="29"/>
  <c r="B39" i="29"/>
  <c r="B44" i="29"/>
  <c r="J41" i="29"/>
  <c r="J39" i="29"/>
  <c r="J44" i="29"/>
  <c r="B43" i="29"/>
  <c r="J43" i="29"/>
  <c r="J42" i="29"/>
  <c r="B42" i="29"/>
  <c r="J40" i="29"/>
  <c r="B40" i="29"/>
  <c r="M39" i="12"/>
  <c r="N39" i="12"/>
  <c r="M40" i="12"/>
  <c r="N40" i="12"/>
  <c r="M41" i="12"/>
  <c r="N41" i="12"/>
  <c r="M42" i="12"/>
  <c r="N42" i="12"/>
  <c r="M43" i="12"/>
  <c r="N43" i="12"/>
  <c r="M44" i="12"/>
  <c r="N44" i="12"/>
  <c r="M45" i="12"/>
  <c r="N45" i="12"/>
  <c r="N46" i="12"/>
  <c r="M46" i="12"/>
  <c r="C34" i="12"/>
  <c r="C35" i="12"/>
  <c r="C36" i="12"/>
  <c r="C37" i="12"/>
  <c r="C38" i="12"/>
  <c r="C39" i="12"/>
  <c r="D34" i="12"/>
  <c r="D42" i="12"/>
  <c r="C40" i="12"/>
  <c r="C41" i="12"/>
  <c r="C42" i="12"/>
  <c r="C43" i="12"/>
  <c r="O40" i="12"/>
  <c r="O41" i="12"/>
  <c r="O42" i="12"/>
  <c r="O43" i="12"/>
  <c r="O44" i="12"/>
  <c r="O45" i="12"/>
  <c r="O39" i="12"/>
  <c r="M39" i="24"/>
  <c r="M40" i="24"/>
  <c r="J52" i="24"/>
  <c r="I52" i="24"/>
  <c r="H52" i="24"/>
  <c r="G52" i="24"/>
  <c r="F52" i="24"/>
  <c r="E52" i="24"/>
  <c r="D52" i="24"/>
  <c r="C52" i="24"/>
  <c r="K51" i="24"/>
  <c r="I51" i="24"/>
  <c r="H51" i="24"/>
  <c r="G51" i="24"/>
  <c r="F51" i="24"/>
  <c r="E51" i="24"/>
  <c r="D51" i="24"/>
  <c r="C51" i="24"/>
  <c r="K50" i="24"/>
  <c r="J50" i="24"/>
  <c r="H50" i="24"/>
  <c r="G50" i="24"/>
  <c r="F50" i="24"/>
  <c r="E50" i="24"/>
  <c r="D50" i="24"/>
  <c r="C50" i="24"/>
  <c r="K49" i="24"/>
  <c r="J49" i="24"/>
  <c r="I49" i="24"/>
  <c r="G49" i="24"/>
  <c r="F49" i="24"/>
  <c r="E49" i="24"/>
  <c r="D49" i="24"/>
  <c r="C49" i="24"/>
  <c r="K48" i="24"/>
  <c r="J48" i="24"/>
  <c r="I48" i="24"/>
  <c r="H48" i="24"/>
  <c r="F48" i="24"/>
  <c r="E48" i="24"/>
  <c r="D48" i="24"/>
  <c r="C48" i="24"/>
  <c r="K47" i="24"/>
  <c r="J47" i="24"/>
  <c r="I47" i="24"/>
  <c r="H47" i="24"/>
  <c r="G47" i="24"/>
  <c r="E47" i="24"/>
  <c r="D47" i="24"/>
  <c r="C47" i="24"/>
  <c r="K46" i="24"/>
  <c r="J46" i="24"/>
  <c r="I46" i="24"/>
  <c r="H46" i="24"/>
  <c r="G46" i="24"/>
  <c r="F46" i="24"/>
  <c r="D46" i="24"/>
  <c r="C46" i="24"/>
  <c r="K45" i="24"/>
  <c r="J45" i="24"/>
  <c r="I45" i="24"/>
  <c r="H45" i="24"/>
  <c r="G45" i="24"/>
  <c r="F45" i="24"/>
  <c r="E45" i="24"/>
  <c r="C45" i="24"/>
  <c r="K44" i="24"/>
  <c r="J44" i="24"/>
  <c r="I44" i="24"/>
  <c r="H44" i="24"/>
  <c r="G44" i="24"/>
  <c r="F44" i="24"/>
  <c r="E44" i="24"/>
  <c r="D44" i="24"/>
  <c r="M37" i="24"/>
  <c r="M26" i="24"/>
  <c r="E84" i="24"/>
  <c r="E70" i="24"/>
  <c r="E71" i="24"/>
  <c r="E73" i="24"/>
  <c r="E75" i="24"/>
  <c r="E77" i="24"/>
  <c r="E79" i="24"/>
  <c r="E81" i="24"/>
  <c r="E83" i="24"/>
  <c r="E80" i="24"/>
  <c r="E76" i="24"/>
  <c r="E72" i="24"/>
  <c r="C86" i="24"/>
  <c r="E82" i="24"/>
  <c r="E78" i="24"/>
  <c r="E74" i="24"/>
  <c r="M16" i="24"/>
  <c r="B22" i="15"/>
  <c r="C22" i="15"/>
  <c r="D22" i="15"/>
  <c r="E22" i="15"/>
  <c r="F22" i="15"/>
  <c r="G22" i="15"/>
  <c r="H22" i="15"/>
  <c r="I22" i="15"/>
  <c r="J22" i="15"/>
  <c r="K22" i="15"/>
  <c r="B23" i="15"/>
  <c r="C23" i="15"/>
  <c r="D23" i="15"/>
  <c r="E23" i="15"/>
  <c r="F23" i="15"/>
  <c r="G23" i="15"/>
  <c r="H23" i="15"/>
  <c r="I23" i="15"/>
  <c r="J23" i="15"/>
  <c r="K23" i="15"/>
  <c r="B24" i="15"/>
  <c r="C24" i="15"/>
  <c r="D24" i="15"/>
  <c r="E24" i="15"/>
  <c r="F24" i="15"/>
  <c r="G24" i="15"/>
  <c r="H24" i="15"/>
  <c r="I24" i="15"/>
  <c r="J24" i="15"/>
  <c r="K24" i="15"/>
  <c r="B25" i="15"/>
  <c r="C25" i="15"/>
  <c r="D25" i="15"/>
  <c r="E25" i="15"/>
  <c r="F25" i="15"/>
  <c r="G25" i="15"/>
  <c r="H25" i="15"/>
  <c r="I25" i="15"/>
  <c r="J25" i="15"/>
  <c r="K25" i="15"/>
  <c r="B26" i="15"/>
  <c r="C26" i="15"/>
  <c r="D26" i="15"/>
  <c r="E26" i="15"/>
  <c r="F26" i="15"/>
  <c r="G26" i="15"/>
  <c r="H26" i="15"/>
  <c r="I26" i="15"/>
  <c r="J26" i="15"/>
  <c r="K26" i="15"/>
  <c r="B27" i="15"/>
  <c r="C27" i="15"/>
  <c r="D27" i="15"/>
  <c r="E27" i="15"/>
  <c r="F27" i="15"/>
  <c r="G27" i="15"/>
  <c r="H27" i="15"/>
  <c r="I27" i="15"/>
  <c r="J27" i="15"/>
  <c r="K27" i="15"/>
  <c r="B28" i="15"/>
  <c r="C28" i="15"/>
  <c r="D28" i="15"/>
  <c r="E28" i="15"/>
  <c r="F28" i="15"/>
  <c r="G28" i="15"/>
  <c r="H28" i="15"/>
  <c r="I28" i="15"/>
  <c r="J28" i="15"/>
  <c r="K28" i="15"/>
  <c r="B29" i="15"/>
  <c r="C29" i="15"/>
  <c r="D29" i="15"/>
  <c r="E29" i="15"/>
  <c r="F29" i="15"/>
  <c r="G29" i="15"/>
  <c r="H29" i="15"/>
  <c r="I29" i="15"/>
  <c r="J29" i="15"/>
  <c r="K29" i="15"/>
  <c r="B30" i="15"/>
  <c r="C30" i="15"/>
  <c r="D30" i="15"/>
  <c r="E30" i="15"/>
  <c r="F30" i="15"/>
  <c r="G30" i="15"/>
  <c r="H30" i="15"/>
  <c r="I30" i="15"/>
  <c r="J30" i="15"/>
  <c r="K30" i="15"/>
  <c r="B31" i="15"/>
  <c r="C31" i="15"/>
  <c r="D31" i="15"/>
  <c r="E31" i="15"/>
  <c r="F31" i="15"/>
  <c r="G31" i="15"/>
  <c r="H31" i="15"/>
  <c r="I31" i="15"/>
  <c r="J31" i="15"/>
  <c r="K31" i="15"/>
  <c r="P23" i="15"/>
  <c r="R23" i="15"/>
  <c r="T23" i="15"/>
  <c r="V23" i="15"/>
  <c r="X23" i="15"/>
  <c r="P24" i="15"/>
  <c r="R24" i="15"/>
  <c r="T24" i="15"/>
  <c r="V24" i="15"/>
  <c r="X24" i="15"/>
  <c r="P25" i="15"/>
  <c r="R25" i="15"/>
  <c r="T25" i="15"/>
  <c r="V25" i="15"/>
  <c r="X25" i="15"/>
  <c r="P26" i="15"/>
  <c r="R26" i="15"/>
  <c r="T26" i="15"/>
  <c r="V26" i="15"/>
  <c r="X26" i="15"/>
  <c r="P27" i="15"/>
  <c r="R27" i="15"/>
  <c r="T27" i="15"/>
  <c r="V27" i="15"/>
  <c r="X27" i="15"/>
  <c r="P28" i="15"/>
  <c r="R28" i="15"/>
  <c r="T28" i="15"/>
  <c r="V28" i="15"/>
  <c r="X28" i="15"/>
  <c r="P29" i="15"/>
  <c r="R29" i="15"/>
  <c r="T29" i="15"/>
  <c r="V29" i="15"/>
  <c r="X29" i="15"/>
  <c r="P30" i="15"/>
  <c r="R30" i="15"/>
  <c r="T30" i="15"/>
  <c r="V30" i="15"/>
  <c r="X30" i="15"/>
  <c r="P31" i="15"/>
  <c r="R31" i="15"/>
  <c r="T31" i="15"/>
  <c r="V31" i="15"/>
  <c r="X31" i="15"/>
  <c r="O22" i="15"/>
  <c r="Q22" i="15"/>
  <c r="S22" i="15"/>
  <c r="U22" i="15"/>
  <c r="W22" i="15"/>
  <c r="O23" i="15"/>
  <c r="Q23" i="15"/>
  <c r="S23" i="15"/>
  <c r="U23" i="15"/>
  <c r="W23" i="15"/>
  <c r="O24" i="15"/>
  <c r="Q24" i="15"/>
  <c r="S24" i="15"/>
  <c r="U24" i="15"/>
  <c r="W24" i="15"/>
  <c r="O25" i="15"/>
  <c r="Q25" i="15"/>
  <c r="S25" i="15"/>
  <c r="U25" i="15"/>
  <c r="W25" i="15"/>
  <c r="O26" i="15"/>
  <c r="Q26" i="15"/>
  <c r="S26" i="15"/>
  <c r="U26" i="15"/>
  <c r="W26" i="15"/>
  <c r="O27" i="15"/>
  <c r="Q27" i="15"/>
  <c r="S27" i="15"/>
  <c r="U27" i="15"/>
  <c r="W27" i="15"/>
  <c r="O28" i="15"/>
  <c r="Q28" i="15"/>
  <c r="S28" i="15"/>
  <c r="U28" i="15"/>
  <c r="W28" i="15"/>
  <c r="O29" i="15"/>
  <c r="Q29" i="15"/>
  <c r="S29" i="15"/>
  <c r="U29" i="15"/>
  <c r="W29" i="15"/>
  <c r="O30" i="15"/>
  <c r="Q30" i="15"/>
  <c r="S30" i="15"/>
  <c r="U30" i="15"/>
  <c r="W30" i="15"/>
  <c r="O31" i="15"/>
  <c r="Q31" i="15"/>
  <c r="S31" i="15"/>
  <c r="U31" i="15"/>
  <c r="W31" i="15"/>
  <c r="F44" i="12"/>
  <c r="X22" i="15"/>
  <c r="V22" i="15"/>
  <c r="T22" i="15"/>
  <c r="R22" i="15"/>
  <c r="P22" i="15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E42" i="12"/>
  <c r="G42" i="12"/>
  <c r="E34" i="12"/>
  <c r="G34" i="12"/>
  <c r="D35" i="12"/>
  <c r="G35" i="12"/>
  <c r="E35" i="12"/>
  <c r="D36" i="12"/>
  <c r="E36" i="12"/>
  <c r="D38" i="12"/>
  <c r="G38" i="12"/>
  <c r="E38" i="12"/>
  <c r="G36" i="12"/>
  <c r="D37" i="12"/>
  <c r="G37" i="12"/>
  <c r="E37" i="12"/>
  <c r="D40" i="12"/>
  <c r="G40" i="12"/>
  <c r="E40" i="12"/>
  <c r="D39" i="12"/>
  <c r="G39" i="12"/>
  <c r="E39" i="12"/>
  <c r="D41" i="12"/>
  <c r="E41" i="12"/>
  <c r="G41" i="12"/>
  <c r="D43" i="12"/>
  <c r="E43" i="12"/>
  <c r="G43" i="12"/>
  <c r="C44" i="12"/>
  <c r="D44" i="12"/>
  <c r="O6" i="29"/>
  <c r="P6" i="29"/>
  <c r="Q4" i="29"/>
  <c r="R4" i="29"/>
  <c r="Q6" i="29"/>
  <c r="R6" i="29"/>
  <c r="Q5" i="29"/>
  <c r="R5" i="29"/>
  <c r="C41" i="29"/>
  <c r="C39" i="29"/>
  <c r="C44" i="29"/>
  <c r="D41" i="29"/>
  <c r="D39" i="29"/>
  <c r="D44" i="29"/>
  <c r="E41" i="29"/>
  <c r="E39" i="29"/>
  <c r="E44" i="29"/>
  <c r="F41" i="29"/>
  <c r="F39" i="29"/>
  <c r="F44" i="29"/>
  <c r="G41" i="29"/>
  <c r="G39" i="29"/>
  <c r="G44" i="29"/>
  <c r="H41" i="29"/>
  <c r="H39" i="29"/>
  <c r="H44" i="29"/>
  <c r="I41" i="29"/>
  <c r="I39" i="29"/>
  <c r="I44" i="29"/>
  <c r="K41" i="29"/>
  <c r="K39" i="29"/>
  <c r="K44" i="29"/>
  <c r="C47" i="29"/>
  <c r="C48" i="29"/>
  <c r="O7" i="29"/>
  <c r="P5" i="29"/>
  <c r="P4" i="29"/>
  <c r="P7" i="29"/>
  <c r="K40" i="29"/>
  <c r="I40" i="29"/>
  <c r="H40" i="29"/>
  <c r="G40" i="29"/>
  <c r="F40" i="29"/>
  <c r="E40" i="29"/>
  <c r="D40" i="29"/>
  <c r="C40" i="29"/>
  <c r="K42" i="29"/>
  <c r="I42" i="29"/>
  <c r="H42" i="29"/>
  <c r="G42" i="29"/>
  <c r="F42" i="29"/>
  <c r="E42" i="29"/>
  <c r="D42" i="29"/>
  <c r="C42" i="29"/>
  <c r="C43" i="29"/>
  <c r="D43" i="29"/>
  <c r="E43" i="29"/>
  <c r="F43" i="29"/>
  <c r="G43" i="29"/>
  <c r="H43" i="29"/>
  <c r="I43" i="29"/>
  <c r="K43" i="29"/>
  <c r="L43" i="29"/>
  <c r="L44" i="29"/>
  <c r="D47" i="26"/>
  <c r="E42" i="25"/>
  <c r="D42" i="25"/>
  <c r="D43" i="25"/>
  <c r="E43" i="25"/>
  <c r="C45" i="25"/>
  <c r="D44" i="25"/>
  <c r="E44" i="25"/>
  <c r="D3" i="31"/>
  <c r="E3" i="31"/>
  <c r="F3" i="31"/>
  <c r="G3" i="31"/>
  <c r="H3" i="31"/>
  <c r="I3" i="31"/>
  <c r="J3" i="31"/>
  <c r="L3" i="31"/>
  <c r="D4" i="31"/>
  <c r="E4" i="31"/>
  <c r="F4" i="31"/>
  <c r="G4" i="31"/>
  <c r="H4" i="31"/>
  <c r="I4" i="31"/>
  <c r="J4" i="31"/>
  <c r="L4" i="31"/>
  <c r="D5" i="31"/>
  <c r="E5" i="31"/>
  <c r="F5" i="31"/>
  <c r="G5" i="31"/>
  <c r="H5" i="31"/>
  <c r="I5" i="31"/>
  <c r="J5" i="31"/>
  <c r="L5" i="31"/>
  <c r="D6" i="31"/>
  <c r="E6" i="31"/>
  <c r="F6" i="31"/>
  <c r="G6" i="31"/>
  <c r="H6" i="31"/>
  <c r="I6" i="31"/>
  <c r="J6" i="31"/>
  <c r="L6" i="31"/>
  <c r="D7" i="31"/>
  <c r="E7" i="31"/>
  <c r="F7" i="31"/>
  <c r="G7" i="31"/>
  <c r="H7" i="31"/>
  <c r="I7" i="31"/>
  <c r="J7" i="31"/>
  <c r="L7" i="31"/>
  <c r="D8" i="31"/>
  <c r="E8" i="31"/>
  <c r="F8" i="31"/>
  <c r="G8" i="31"/>
  <c r="H8" i="31"/>
  <c r="I8" i="31"/>
  <c r="J8" i="31"/>
  <c r="L8" i="31"/>
  <c r="D9" i="31"/>
  <c r="E9" i="31"/>
  <c r="F9" i="31"/>
  <c r="G9" i="31"/>
  <c r="H9" i="31"/>
  <c r="I9" i="31"/>
  <c r="J9" i="31"/>
  <c r="L9" i="31"/>
  <c r="D10" i="31"/>
  <c r="E10" i="31"/>
  <c r="F10" i="31"/>
  <c r="G10" i="31"/>
  <c r="H10" i="31"/>
  <c r="I10" i="31"/>
  <c r="J10" i="31"/>
  <c r="L10" i="31"/>
  <c r="D11" i="31"/>
  <c r="E11" i="31"/>
  <c r="F11" i="31"/>
  <c r="G11" i="31"/>
  <c r="H11" i="31"/>
  <c r="I11" i="31"/>
  <c r="J11" i="31"/>
  <c r="L11" i="31"/>
  <c r="D12" i="31"/>
  <c r="E12" i="31"/>
  <c r="F12" i="31"/>
  <c r="G12" i="31"/>
  <c r="H12" i="31"/>
  <c r="I12" i="31"/>
  <c r="J12" i="31"/>
  <c r="L12" i="31"/>
  <c r="D14" i="31"/>
  <c r="E14" i="31"/>
  <c r="F14" i="31"/>
  <c r="G14" i="31"/>
  <c r="H14" i="31"/>
  <c r="I14" i="31"/>
  <c r="J14" i="31"/>
  <c r="L14" i="31"/>
  <c r="D15" i="31"/>
  <c r="E15" i="31"/>
  <c r="F15" i="31"/>
  <c r="G15" i="31"/>
  <c r="H15" i="31"/>
  <c r="I15" i="31"/>
  <c r="J15" i="31"/>
  <c r="L15" i="31"/>
  <c r="D16" i="31"/>
  <c r="E16" i="31"/>
  <c r="F16" i="31"/>
  <c r="G16" i="31"/>
  <c r="H16" i="31"/>
  <c r="I16" i="31"/>
  <c r="J16" i="31"/>
  <c r="L16" i="31"/>
  <c r="D17" i="31"/>
  <c r="E17" i="31"/>
  <c r="F17" i="31"/>
  <c r="G17" i="31"/>
  <c r="H17" i="31"/>
  <c r="I17" i="31"/>
  <c r="J17" i="31"/>
  <c r="L17" i="31"/>
  <c r="D18" i="31"/>
  <c r="E18" i="31"/>
  <c r="F18" i="31"/>
  <c r="G18" i="31"/>
  <c r="H18" i="31"/>
  <c r="I18" i="31"/>
  <c r="J18" i="31"/>
  <c r="L18" i="31"/>
  <c r="D19" i="31"/>
  <c r="E19" i="31"/>
  <c r="F19" i="31"/>
  <c r="G19" i="31"/>
  <c r="H19" i="31"/>
  <c r="I19" i="31"/>
  <c r="J19" i="31"/>
  <c r="L19" i="31"/>
  <c r="D20" i="31"/>
  <c r="E20" i="31"/>
  <c r="F20" i="31"/>
  <c r="G20" i="31"/>
  <c r="H20" i="31"/>
  <c r="I20" i="31"/>
  <c r="J20" i="31"/>
  <c r="L20" i="31"/>
  <c r="D22" i="31"/>
  <c r="E22" i="31"/>
  <c r="F22" i="31"/>
  <c r="G22" i="31"/>
  <c r="H22" i="31"/>
  <c r="I22" i="31"/>
  <c r="J22" i="31"/>
  <c r="L22" i="31"/>
  <c r="D23" i="31"/>
  <c r="E23" i="31"/>
  <c r="F23" i="31"/>
  <c r="S4" i="15"/>
  <c r="S4" i="18"/>
  <c r="S4" i="20"/>
  <c r="G23" i="31"/>
  <c r="T4" i="15"/>
  <c r="T4" i="18"/>
  <c r="T4" i="20"/>
  <c r="H23" i="31"/>
  <c r="U4" i="15"/>
  <c r="U4" i="18"/>
  <c r="U4" i="20"/>
  <c r="I23" i="31"/>
  <c r="J23" i="31"/>
  <c r="L23" i="31"/>
  <c r="D24" i="31"/>
  <c r="E24" i="31"/>
  <c r="F24" i="31"/>
  <c r="G24" i="31"/>
  <c r="H24" i="31"/>
  <c r="I24" i="31"/>
  <c r="J24" i="31"/>
  <c r="L24" i="31"/>
  <c r="D25" i="31"/>
  <c r="E25" i="31"/>
  <c r="F25" i="31"/>
  <c r="G25" i="31"/>
  <c r="H25" i="31"/>
  <c r="I25" i="31"/>
  <c r="J25" i="31"/>
  <c r="L25" i="31"/>
  <c r="D26" i="31"/>
  <c r="E26" i="31"/>
  <c r="F26" i="31"/>
  <c r="G26" i="31"/>
  <c r="H26" i="31"/>
  <c r="I26" i="31"/>
  <c r="J26" i="31"/>
  <c r="L26" i="31"/>
  <c r="D27" i="31"/>
  <c r="E27" i="31"/>
  <c r="F27" i="31"/>
  <c r="G27" i="31"/>
  <c r="H27" i="31"/>
  <c r="I27" i="31"/>
  <c r="J27" i="31"/>
  <c r="L27" i="31"/>
  <c r="D28" i="31"/>
  <c r="E28" i="31"/>
  <c r="F28" i="31"/>
  <c r="G28" i="31"/>
  <c r="H28" i="31"/>
  <c r="I28" i="31"/>
  <c r="J28" i="31"/>
  <c r="L28" i="31"/>
  <c r="D29" i="31"/>
  <c r="E29" i="31"/>
  <c r="F29" i="31"/>
  <c r="G29" i="31"/>
  <c r="H29" i="31"/>
  <c r="I29" i="31"/>
  <c r="J29" i="31"/>
  <c r="L29" i="31"/>
  <c r="D30" i="31"/>
  <c r="E30" i="31"/>
  <c r="F30" i="31"/>
  <c r="G30" i="31"/>
  <c r="H30" i="31"/>
  <c r="I30" i="31"/>
  <c r="J30" i="31"/>
  <c r="L30" i="31"/>
  <c r="D31" i="31"/>
  <c r="E31" i="31"/>
  <c r="F31" i="31"/>
  <c r="G31" i="31"/>
  <c r="H31" i="31"/>
  <c r="I31" i="31"/>
  <c r="J31" i="31"/>
  <c r="L31" i="31"/>
  <c r="P6" i="31"/>
  <c r="R6" i="31"/>
  <c r="S6" i="31"/>
  <c r="P7" i="31"/>
  <c r="R4" i="31"/>
  <c r="S4" i="31"/>
  <c r="U4" i="31"/>
  <c r="R5" i="31"/>
  <c r="U5" i="31"/>
  <c r="U6" i="31"/>
  <c r="U7" i="31"/>
  <c r="V4" i="31"/>
  <c r="V5" i="31"/>
  <c r="V6" i="31"/>
  <c r="V7" i="31"/>
  <c r="W4" i="31"/>
  <c r="W5" i="31"/>
  <c r="W6" i="31"/>
  <c r="W7" i="31"/>
  <c r="X4" i="31"/>
  <c r="X5" i="31"/>
  <c r="X6" i="31"/>
  <c r="X7" i="31"/>
  <c r="Y4" i="31"/>
  <c r="Y5" i="31"/>
  <c r="Y6" i="31"/>
  <c r="Y7" i="31"/>
  <c r="K2" i="14"/>
  <c r="K2" i="15"/>
  <c r="K2" i="17"/>
  <c r="K2" i="20"/>
  <c r="K2" i="18"/>
  <c r="X2" i="15"/>
  <c r="X2" i="18"/>
  <c r="X2" i="20"/>
  <c r="I2" i="14"/>
  <c r="I2" i="15"/>
  <c r="I2" i="17"/>
  <c r="I2" i="20"/>
  <c r="I2" i="18"/>
  <c r="V2" i="15"/>
  <c r="V2" i="18"/>
  <c r="V2" i="20"/>
  <c r="H2" i="14"/>
  <c r="H2" i="15"/>
  <c r="H2" i="17"/>
  <c r="H2" i="20"/>
  <c r="H2" i="18"/>
  <c r="U2" i="15"/>
  <c r="U2" i="18"/>
  <c r="U2" i="20"/>
  <c r="G2" i="14"/>
  <c r="G2" i="15"/>
  <c r="G2" i="17"/>
  <c r="G2" i="20"/>
  <c r="G2" i="18"/>
  <c r="T2" i="15"/>
  <c r="T2" i="18"/>
  <c r="T2" i="20"/>
  <c r="F2" i="14"/>
  <c r="F2" i="15"/>
  <c r="F2" i="17"/>
  <c r="F2" i="20"/>
  <c r="F2" i="18"/>
  <c r="S2" i="15"/>
  <c r="S2" i="18"/>
  <c r="S2" i="20"/>
  <c r="E2" i="14"/>
  <c r="E2" i="15"/>
  <c r="E2" i="17"/>
  <c r="E2" i="20"/>
  <c r="E2" i="18"/>
  <c r="R2" i="15"/>
  <c r="R2" i="18"/>
  <c r="R2" i="20"/>
  <c r="D2" i="14"/>
  <c r="D2" i="15"/>
  <c r="D2" i="17"/>
  <c r="D2" i="20"/>
  <c r="D2" i="18"/>
  <c r="Q2" i="15"/>
  <c r="Q2" i="18"/>
  <c r="Q2" i="20"/>
  <c r="C2" i="14"/>
  <c r="C2" i="15"/>
  <c r="C2" i="17"/>
  <c r="C2" i="20"/>
  <c r="C2" i="18"/>
  <c r="P2" i="15"/>
  <c r="P2" i="18"/>
  <c r="P2" i="20"/>
  <c r="K21" i="20"/>
  <c r="K21" i="18"/>
  <c r="X21" i="15"/>
  <c r="X21" i="18"/>
  <c r="X21" i="20"/>
  <c r="I21" i="20"/>
  <c r="I21" i="18"/>
  <c r="V21" i="15"/>
  <c r="V21" i="18"/>
  <c r="V21" i="20"/>
  <c r="H21" i="20"/>
  <c r="H21" i="18"/>
  <c r="U21" i="15"/>
  <c r="U21" i="18"/>
  <c r="U21" i="20"/>
  <c r="G21" i="20"/>
  <c r="G21" i="18"/>
  <c r="T21" i="15"/>
  <c r="T21" i="18"/>
  <c r="T21" i="20"/>
  <c r="F21" i="20"/>
  <c r="F21" i="18"/>
  <c r="S21" i="15"/>
  <c r="S21" i="18"/>
  <c r="S21" i="20"/>
  <c r="E21" i="20"/>
  <c r="E21" i="18"/>
  <c r="R21" i="15"/>
  <c r="R21" i="18"/>
  <c r="R21" i="20"/>
  <c r="D21" i="20"/>
  <c r="D21" i="18"/>
  <c r="Q21" i="15"/>
  <c r="Q21" i="18"/>
  <c r="Q21" i="20"/>
  <c r="C21" i="20"/>
  <c r="C21" i="18"/>
  <c r="P21" i="15"/>
  <c r="P21" i="18"/>
  <c r="P21" i="20"/>
  <c r="K3" i="14"/>
  <c r="K3" i="15"/>
  <c r="K3" i="17"/>
  <c r="K3" i="20"/>
  <c r="K3" i="18"/>
  <c r="X3" i="15"/>
  <c r="X3" i="18"/>
  <c r="X3" i="20"/>
  <c r="I3" i="14"/>
  <c r="I3" i="15"/>
  <c r="I3" i="17"/>
  <c r="I3" i="20"/>
  <c r="I3" i="18"/>
  <c r="V3" i="15"/>
  <c r="V3" i="18"/>
  <c r="V3" i="20"/>
  <c r="H3" i="14"/>
  <c r="H3" i="15"/>
  <c r="H3" i="17"/>
  <c r="H3" i="20"/>
  <c r="H3" i="18"/>
  <c r="U3" i="15"/>
  <c r="U3" i="18"/>
  <c r="U3" i="20"/>
  <c r="G3" i="14"/>
  <c r="G3" i="15"/>
  <c r="G3" i="17"/>
  <c r="G3" i="20"/>
  <c r="G3" i="18"/>
  <c r="T3" i="15"/>
  <c r="T3" i="18"/>
  <c r="T3" i="20"/>
  <c r="F3" i="14"/>
  <c r="F3" i="15"/>
  <c r="F3" i="17"/>
  <c r="F3" i="20"/>
  <c r="F3" i="18"/>
  <c r="S3" i="15"/>
  <c r="S3" i="18"/>
  <c r="S3" i="20"/>
  <c r="E3" i="14"/>
  <c r="E3" i="15"/>
  <c r="E3" i="17"/>
  <c r="E3" i="20"/>
  <c r="E3" i="18"/>
  <c r="R3" i="15"/>
  <c r="R3" i="18"/>
  <c r="R3" i="20"/>
  <c r="D3" i="14"/>
  <c r="D3" i="15"/>
  <c r="D3" i="17"/>
  <c r="D3" i="20"/>
  <c r="D3" i="18"/>
  <c r="Q3" i="15"/>
  <c r="Q3" i="18"/>
  <c r="Q3" i="20"/>
  <c r="C3" i="14"/>
  <c r="C3" i="15"/>
  <c r="C3" i="17"/>
  <c r="C3" i="20"/>
  <c r="C3" i="18"/>
  <c r="P3" i="15"/>
  <c r="P3" i="18"/>
  <c r="P3" i="20"/>
  <c r="K54" i="20"/>
  <c r="K54" i="18"/>
  <c r="X54" i="15"/>
  <c r="X54" i="18"/>
  <c r="X54" i="20"/>
  <c r="I54" i="20"/>
  <c r="I54" i="18"/>
  <c r="V54" i="15"/>
  <c r="V54" i="18"/>
  <c r="V54" i="20"/>
  <c r="H54" i="20"/>
  <c r="H54" i="18"/>
  <c r="U54" i="15"/>
  <c r="U54" i="18"/>
  <c r="U54" i="20"/>
  <c r="G54" i="20"/>
  <c r="G54" i="18"/>
  <c r="T54" i="15"/>
  <c r="T54" i="18"/>
  <c r="T54" i="20"/>
  <c r="F54" i="20"/>
  <c r="F54" i="18"/>
  <c r="S54" i="15"/>
  <c r="S54" i="18"/>
  <c r="S54" i="20"/>
  <c r="E54" i="20"/>
  <c r="E54" i="18"/>
  <c r="R54" i="15"/>
  <c r="R54" i="18"/>
  <c r="R54" i="20"/>
  <c r="D54" i="20"/>
  <c r="D54" i="18"/>
  <c r="Q54" i="15"/>
  <c r="Q54" i="18"/>
  <c r="Q54" i="20"/>
  <c r="C54" i="20"/>
  <c r="C54" i="18"/>
  <c r="P54" i="15"/>
  <c r="P54" i="18"/>
  <c r="P54" i="20"/>
  <c r="K53" i="17"/>
  <c r="K53" i="20"/>
  <c r="K53" i="18"/>
  <c r="X53" i="15"/>
  <c r="X53" i="18"/>
  <c r="X53" i="20"/>
  <c r="I53" i="17"/>
  <c r="I53" i="20"/>
  <c r="I53" i="18"/>
  <c r="V53" i="15"/>
  <c r="V53" i="18"/>
  <c r="V53" i="20"/>
  <c r="H53" i="17"/>
  <c r="H53" i="20"/>
  <c r="H53" i="18"/>
  <c r="U53" i="15"/>
  <c r="U53" i="18"/>
  <c r="U53" i="20"/>
  <c r="G53" i="17"/>
  <c r="G53" i="20"/>
  <c r="G53" i="18"/>
  <c r="T53" i="15"/>
  <c r="T53" i="18"/>
  <c r="T53" i="20"/>
  <c r="F53" i="17"/>
  <c r="F53" i="20"/>
  <c r="F53" i="18"/>
  <c r="S53" i="15"/>
  <c r="S53" i="18"/>
  <c r="S53" i="20"/>
  <c r="E53" i="17"/>
  <c r="E53" i="20"/>
  <c r="E53" i="18"/>
  <c r="R53" i="15"/>
  <c r="R53" i="18"/>
  <c r="R53" i="20"/>
  <c r="D53" i="17"/>
  <c r="D53" i="20"/>
  <c r="D53" i="18"/>
  <c r="Q53" i="15"/>
  <c r="Q53" i="18"/>
  <c r="Q53" i="20"/>
  <c r="C53" i="17"/>
  <c r="C53" i="20"/>
  <c r="C53" i="18"/>
  <c r="P53" i="15"/>
  <c r="P53" i="18"/>
  <c r="P53" i="20"/>
  <c r="K52" i="17"/>
  <c r="K52" i="20"/>
  <c r="K52" i="18"/>
  <c r="X52" i="15"/>
  <c r="X52" i="18"/>
  <c r="X52" i="20"/>
  <c r="I52" i="17"/>
  <c r="I52" i="20"/>
  <c r="I52" i="18"/>
  <c r="V52" i="15"/>
  <c r="V52" i="18"/>
  <c r="V52" i="20"/>
  <c r="H52" i="17"/>
  <c r="H52" i="20"/>
  <c r="H52" i="18"/>
  <c r="U52" i="15"/>
  <c r="U52" i="18"/>
  <c r="U52" i="20"/>
  <c r="G52" i="17"/>
  <c r="G52" i="20"/>
  <c r="G52" i="18"/>
  <c r="T52" i="15"/>
  <c r="T52" i="18"/>
  <c r="T52" i="20"/>
  <c r="F52" i="17"/>
  <c r="F52" i="20"/>
  <c r="F52" i="18"/>
  <c r="S52" i="15"/>
  <c r="S52" i="18"/>
  <c r="S52" i="20"/>
  <c r="E52" i="17"/>
  <c r="E52" i="20"/>
  <c r="E52" i="18"/>
  <c r="R52" i="15"/>
  <c r="R52" i="18"/>
  <c r="R52" i="20"/>
  <c r="D52" i="17"/>
  <c r="D52" i="20"/>
  <c r="D52" i="18"/>
  <c r="Q52" i="15"/>
  <c r="Q52" i="18"/>
  <c r="Q52" i="20"/>
  <c r="C52" i="17"/>
  <c r="C52" i="20"/>
  <c r="C52" i="18"/>
  <c r="P52" i="15"/>
  <c r="P52" i="18"/>
  <c r="P52" i="20"/>
  <c r="K51" i="17"/>
  <c r="K51" i="20"/>
  <c r="K51" i="18"/>
  <c r="X51" i="15"/>
  <c r="X51" i="18"/>
  <c r="X51" i="20"/>
  <c r="I51" i="17"/>
  <c r="I51" i="20"/>
  <c r="I51" i="18"/>
  <c r="V51" i="15"/>
  <c r="V51" i="18"/>
  <c r="V51" i="20"/>
  <c r="H51" i="17"/>
  <c r="H51" i="20"/>
  <c r="H51" i="18"/>
  <c r="U51" i="15"/>
  <c r="U51" i="18"/>
  <c r="U51" i="20"/>
  <c r="G51" i="17"/>
  <c r="G51" i="20"/>
  <c r="G51" i="18"/>
  <c r="T51" i="15"/>
  <c r="T51" i="18"/>
  <c r="T51" i="20"/>
  <c r="F51" i="17"/>
  <c r="F51" i="20"/>
  <c r="F51" i="18"/>
  <c r="S51" i="15"/>
  <c r="S51" i="18"/>
  <c r="S51" i="20"/>
  <c r="E51" i="17"/>
  <c r="E51" i="20"/>
  <c r="E51" i="18"/>
  <c r="R51" i="15"/>
  <c r="R51" i="18"/>
  <c r="R51" i="20"/>
  <c r="D51" i="17"/>
  <c r="D51" i="20"/>
  <c r="D51" i="18"/>
  <c r="Q51" i="15"/>
  <c r="Q51" i="18"/>
  <c r="Q51" i="20"/>
  <c r="C51" i="17"/>
  <c r="C51" i="20"/>
  <c r="C51" i="18"/>
  <c r="P51" i="15"/>
  <c r="P51" i="18"/>
  <c r="P51" i="20"/>
  <c r="K50" i="17"/>
  <c r="K50" i="20"/>
  <c r="K50" i="18"/>
  <c r="X50" i="15"/>
  <c r="X50" i="18"/>
  <c r="X50" i="20"/>
  <c r="I50" i="17"/>
  <c r="I50" i="20"/>
  <c r="I50" i="18"/>
  <c r="V50" i="15"/>
  <c r="V50" i="18"/>
  <c r="V50" i="20"/>
  <c r="H50" i="17"/>
  <c r="H50" i="20"/>
  <c r="H50" i="18"/>
  <c r="U50" i="15"/>
  <c r="U50" i="18"/>
  <c r="U50" i="20"/>
  <c r="G50" i="17"/>
  <c r="G50" i="20"/>
  <c r="G50" i="18"/>
  <c r="T50" i="15"/>
  <c r="T50" i="18"/>
  <c r="T50" i="20"/>
  <c r="F50" i="17"/>
  <c r="F50" i="20"/>
  <c r="F50" i="18"/>
  <c r="S50" i="15"/>
  <c r="S50" i="18"/>
  <c r="S50" i="20"/>
  <c r="E50" i="17"/>
  <c r="E50" i="20"/>
  <c r="E50" i="18"/>
  <c r="R50" i="15"/>
  <c r="R50" i="18"/>
  <c r="R50" i="20"/>
  <c r="D50" i="17"/>
  <c r="D50" i="20"/>
  <c r="D50" i="18"/>
  <c r="Q50" i="15"/>
  <c r="Q50" i="18"/>
  <c r="Q50" i="20"/>
  <c r="C50" i="17"/>
  <c r="C50" i="20"/>
  <c r="C50" i="18"/>
  <c r="P50" i="15"/>
  <c r="P50" i="18"/>
  <c r="P50" i="20"/>
  <c r="K49" i="17"/>
  <c r="K49" i="20"/>
  <c r="K49" i="18"/>
  <c r="X49" i="15"/>
  <c r="X49" i="18"/>
  <c r="X49" i="20"/>
  <c r="I49" i="17"/>
  <c r="I49" i="20"/>
  <c r="I49" i="18"/>
  <c r="V49" i="15"/>
  <c r="V49" i="18"/>
  <c r="V49" i="20"/>
  <c r="H49" i="17"/>
  <c r="H49" i="20"/>
  <c r="H49" i="18"/>
  <c r="U49" i="15"/>
  <c r="U49" i="18"/>
  <c r="U49" i="20"/>
  <c r="G49" i="17"/>
  <c r="G49" i="20"/>
  <c r="G49" i="18"/>
  <c r="T49" i="15"/>
  <c r="T49" i="18"/>
  <c r="T49" i="20"/>
  <c r="F49" i="17"/>
  <c r="F49" i="20"/>
  <c r="F49" i="18"/>
  <c r="S49" i="15"/>
  <c r="S49" i="18"/>
  <c r="S49" i="20"/>
  <c r="E49" i="17"/>
  <c r="E49" i="20"/>
  <c r="E49" i="18"/>
  <c r="R49" i="15"/>
  <c r="R49" i="18"/>
  <c r="R49" i="20"/>
  <c r="D49" i="17"/>
  <c r="D49" i="20"/>
  <c r="D49" i="18"/>
  <c r="Q49" i="15"/>
  <c r="Q49" i="18"/>
  <c r="Q49" i="20"/>
  <c r="C49" i="17"/>
  <c r="C49" i="20"/>
  <c r="C49" i="18"/>
  <c r="P49" i="15"/>
  <c r="P49" i="18"/>
  <c r="P49" i="20"/>
  <c r="K48" i="17"/>
  <c r="K48" i="20"/>
  <c r="K48" i="18"/>
  <c r="X48" i="15"/>
  <c r="X48" i="18"/>
  <c r="X48" i="20"/>
  <c r="I48" i="17"/>
  <c r="I48" i="20"/>
  <c r="I48" i="18"/>
  <c r="V48" i="15"/>
  <c r="V48" i="18"/>
  <c r="V48" i="20"/>
  <c r="H48" i="17"/>
  <c r="H48" i="20"/>
  <c r="H48" i="18"/>
  <c r="U48" i="15"/>
  <c r="U48" i="18"/>
  <c r="U48" i="20"/>
  <c r="G48" i="17"/>
  <c r="G48" i="20"/>
  <c r="G48" i="18"/>
  <c r="T48" i="15"/>
  <c r="T48" i="18"/>
  <c r="T48" i="20"/>
  <c r="F48" i="17"/>
  <c r="F48" i="20"/>
  <c r="F48" i="18"/>
  <c r="S48" i="15"/>
  <c r="S48" i="18"/>
  <c r="S48" i="20"/>
  <c r="E48" i="17"/>
  <c r="E48" i="20"/>
  <c r="E48" i="18"/>
  <c r="R48" i="15"/>
  <c r="R48" i="18"/>
  <c r="R48" i="20"/>
  <c r="D48" i="17"/>
  <c r="D48" i="20"/>
  <c r="D48" i="18"/>
  <c r="Q48" i="15"/>
  <c r="Q48" i="18"/>
  <c r="Q48" i="20"/>
  <c r="C48" i="17"/>
  <c r="C48" i="20"/>
  <c r="C48" i="18"/>
  <c r="P48" i="15"/>
  <c r="P48" i="18"/>
  <c r="P48" i="20"/>
  <c r="K47" i="17"/>
  <c r="K47" i="20"/>
  <c r="K47" i="18"/>
  <c r="X47" i="15"/>
  <c r="X47" i="18"/>
  <c r="X47" i="20"/>
  <c r="I47" i="17"/>
  <c r="I47" i="20"/>
  <c r="I47" i="18"/>
  <c r="V47" i="15"/>
  <c r="V47" i="18"/>
  <c r="V47" i="20"/>
  <c r="H47" i="17"/>
  <c r="H47" i="20"/>
  <c r="H47" i="18"/>
  <c r="U47" i="15"/>
  <c r="U47" i="18"/>
  <c r="U47" i="20"/>
  <c r="G47" i="17"/>
  <c r="G47" i="20"/>
  <c r="G47" i="18"/>
  <c r="T47" i="15"/>
  <c r="T47" i="18"/>
  <c r="T47" i="20"/>
  <c r="F47" i="17"/>
  <c r="F47" i="20"/>
  <c r="F47" i="18"/>
  <c r="S47" i="15"/>
  <c r="S47" i="18"/>
  <c r="S47" i="20"/>
  <c r="E47" i="17"/>
  <c r="E47" i="20"/>
  <c r="E47" i="18"/>
  <c r="R47" i="15"/>
  <c r="R47" i="18"/>
  <c r="R47" i="20"/>
  <c r="D47" i="17"/>
  <c r="D47" i="20"/>
  <c r="D47" i="18"/>
  <c r="Q47" i="15"/>
  <c r="Q47" i="18"/>
  <c r="Q47" i="20"/>
  <c r="C47" i="17"/>
  <c r="C47" i="20"/>
  <c r="C47" i="18"/>
  <c r="P47" i="15"/>
  <c r="P47" i="18"/>
  <c r="P47" i="20"/>
  <c r="K46" i="17"/>
  <c r="K46" i="20"/>
  <c r="K46" i="18"/>
  <c r="X46" i="15"/>
  <c r="X46" i="18"/>
  <c r="X46" i="20"/>
  <c r="I46" i="17"/>
  <c r="I46" i="20"/>
  <c r="I46" i="18"/>
  <c r="V46" i="15"/>
  <c r="V46" i="18"/>
  <c r="V46" i="20"/>
  <c r="H46" i="17"/>
  <c r="H46" i="20"/>
  <c r="H46" i="18"/>
  <c r="U46" i="15"/>
  <c r="U46" i="18"/>
  <c r="U46" i="20"/>
  <c r="G46" i="17"/>
  <c r="G46" i="20"/>
  <c r="G46" i="18"/>
  <c r="T46" i="15"/>
  <c r="T46" i="18"/>
  <c r="T46" i="20"/>
  <c r="F46" i="17"/>
  <c r="F46" i="20"/>
  <c r="F46" i="18"/>
  <c r="S46" i="15"/>
  <c r="S46" i="18"/>
  <c r="S46" i="20"/>
  <c r="E46" i="17"/>
  <c r="E46" i="20"/>
  <c r="E46" i="18"/>
  <c r="R46" i="15"/>
  <c r="R46" i="18"/>
  <c r="R46" i="20"/>
  <c r="D46" i="17"/>
  <c r="D46" i="20"/>
  <c r="D46" i="18"/>
  <c r="Q46" i="15"/>
  <c r="Q46" i="18"/>
  <c r="Q46" i="20"/>
  <c r="C46" i="17"/>
  <c r="C46" i="20"/>
  <c r="C46" i="18"/>
  <c r="P46" i="15"/>
  <c r="P46" i="18"/>
  <c r="P46" i="20"/>
  <c r="K45" i="17"/>
  <c r="K45" i="20"/>
  <c r="K45" i="18"/>
  <c r="X45" i="15"/>
  <c r="X45" i="18"/>
  <c r="X45" i="20"/>
  <c r="I45" i="17"/>
  <c r="I45" i="20"/>
  <c r="I45" i="18"/>
  <c r="V45" i="15"/>
  <c r="V45" i="18"/>
  <c r="V45" i="20"/>
  <c r="H45" i="17"/>
  <c r="H45" i="20"/>
  <c r="H45" i="18"/>
  <c r="U45" i="15"/>
  <c r="U45" i="18"/>
  <c r="U45" i="20"/>
  <c r="G45" i="17"/>
  <c r="G45" i="20"/>
  <c r="G45" i="18"/>
  <c r="T45" i="15"/>
  <c r="T45" i="18"/>
  <c r="T45" i="20"/>
  <c r="F45" i="17"/>
  <c r="F45" i="20"/>
  <c r="F45" i="18"/>
  <c r="S45" i="15"/>
  <c r="S45" i="18"/>
  <c r="S45" i="20"/>
  <c r="E45" i="17"/>
  <c r="E45" i="20"/>
  <c r="E45" i="18"/>
  <c r="R45" i="15"/>
  <c r="R45" i="18"/>
  <c r="R45" i="20"/>
  <c r="D45" i="17"/>
  <c r="D45" i="20"/>
  <c r="D45" i="18"/>
  <c r="Q45" i="15"/>
  <c r="Q45" i="18"/>
  <c r="Q45" i="20"/>
  <c r="C45" i="17"/>
  <c r="C45" i="20"/>
  <c r="C45" i="18"/>
  <c r="P45" i="15"/>
  <c r="P45" i="18"/>
  <c r="P45" i="20"/>
  <c r="K35" i="18"/>
  <c r="X35" i="15"/>
  <c r="X35" i="18"/>
  <c r="X35" i="20"/>
  <c r="I35" i="18"/>
  <c r="V35" i="15"/>
  <c r="V35" i="18"/>
  <c r="V35" i="20"/>
  <c r="H35" i="18"/>
  <c r="U35" i="15"/>
  <c r="U35" i="18"/>
  <c r="U35" i="20"/>
  <c r="G35" i="18"/>
  <c r="T35" i="15"/>
  <c r="T35" i="18"/>
  <c r="T35" i="20"/>
  <c r="F35" i="18"/>
  <c r="S35" i="15"/>
  <c r="S35" i="18"/>
  <c r="S35" i="20"/>
  <c r="E35" i="18"/>
  <c r="R35" i="15"/>
  <c r="R35" i="18"/>
  <c r="R35" i="20"/>
  <c r="D35" i="18"/>
  <c r="Q35" i="15"/>
  <c r="Q35" i="18"/>
  <c r="Q35" i="20"/>
  <c r="C35" i="18"/>
  <c r="P35" i="15"/>
  <c r="P35" i="18"/>
  <c r="P35" i="20"/>
  <c r="L3" i="27"/>
  <c r="S4" i="32"/>
  <c r="J3" i="27"/>
  <c r="Q4" i="32"/>
  <c r="I3" i="27"/>
  <c r="P4" i="32"/>
  <c r="H3" i="27"/>
  <c r="O4" i="32"/>
  <c r="G3" i="27"/>
  <c r="N4" i="32"/>
  <c r="F3" i="27"/>
  <c r="M4" i="32"/>
  <c r="E3" i="27"/>
  <c r="L4" i="32"/>
  <c r="D3" i="27"/>
  <c r="K4" i="32"/>
  <c r="L12" i="27"/>
  <c r="S13" i="32"/>
  <c r="J12" i="27"/>
  <c r="Q13" i="32"/>
  <c r="I12" i="27"/>
  <c r="P13" i="32"/>
  <c r="H12" i="27"/>
  <c r="O13" i="32"/>
  <c r="G12" i="27"/>
  <c r="N13" i="32"/>
  <c r="F12" i="27"/>
  <c r="M13" i="32"/>
  <c r="E12" i="27"/>
  <c r="L13" i="32"/>
  <c r="D12" i="27"/>
  <c r="K13" i="32"/>
  <c r="L11" i="27"/>
  <c r="S12" i="32"/>
  <c r="J11" i="27"/>
  <c r="Q12" i="32"/>
  <c r="I11" i="27"/>
  <c r="P12" i="32"/>
  <c r="H11" i="27"/>
  <c r="O12" i="32"/>
  <c r="G11" i="27"/>
  <c r="N12" i="32"/>
  <c r="F11" i="27"/>
  <c r="M12" i="32"/>
  <c r="E11" i="27"/>
  <c r="L12" i="32"/>
  <c r="D11" i="27"/>
  <c r="K12" i="32"/>
  <c r="L10" i="27"/>
  <c r="S11" i="32"/>
  <c r="J10" i="27"/>
  <c r="Q11" i="32"/>
  <c r="I10" i="27"/>
  <c r="P11" i="32"/>
  <c r="H10" i="27"/>
  <c r="O11" i="32"/>
  <c r="G10" i="27"/>
  <c r="N11" i="32"/>
  <c r="F10" i="27"/>
  <c r="M11" i="32"/>
  <c r="E10" i="27"/>
  <c r="L11" i="32"/>
  <c r="D10" i="27"/>
  <c r="K11" i="32"/>
  <c r="L9" i="27"/>
  <c r="S10" i="32"/>
  <c r="J9" i="27"/>
  <c r="Q10" i="32"/>
  <c r="I9" i="27"/>
  <c r="P10" i="32"/>
  <c r="H9" i="27"/>
  <c r="O10" i="32"/>
  <c r="G9" i="27"/>
  <c r="N10" i="32"/>
  <c r="F9" i="27"/>
  <c r="M10" i="32"/>
  <c r="E9" i="27"/>
  <c r="L10" i="32"/>
  <c r="D9" i="27"/>
  <c r="K10" i="32"/>
  <c r="L8" i="27"/>
  <c r="S9" i="32"/>
  <c r="J8" i="27"/>
  <c r="Q9" i="32"/>
  <c r="I8" i="27"/>
  <c r="P9" i="32"/>
  <c r="H8" i="27"/>
  <c r="O9" i="32"/>
  <c r="G8" i="27"/>
  <c r="N9" i="32"/>
  <c r="F8" i="27"/>
  <c r="M9" i="32"/>
  <c r="E8" i="27"/>
  <c r="L9" i="32"/>
  <c r="D8" i="27"/>
  <c r="K9" i="32"/>
  <c r="L7" i="27"/>
  <c r="S8" i="32"/>
  <c r="J7" i="27"/>
  <c r="Q8" i="32"/>
  <c r="I7" i="27"/>
  <c r="P8" i="32"/>
  <c r="H7" i="27"/>
  <c r="O8" i="32"/>
  <c r="G7" i="27"/>
  <c r="N8" i="32"/>
  <c r="F7" i="27"/>
  <c r="M8" i="32"/>
  <c r="E7" i="27"/>
  <c r="L8" i="32"/>
  <c r="D7" i="27"/>
  <c r="K8" i="32"/>
  <c r="L6" i="27"/>
  <c r="S7" i="32"/>
  <c r="J6" i="27"/>
  <c r="Q7" i="32"/>
  <c r="I6" i="27"/>
  <c r="P7" i="32"/>
  <c r="H6" i="27"/>
  <c r="O7" i="32"/>
  <c r="G6" i="27"/>
  <c r="N7" i="32"/>
  <c r="F6" i="27"/>
  <c r="M7" i="32"/>
  <c r="E6" i="27"/>
  <c r="L7" i="32"/>
  <c r="D6" i="27"/>
  <c r="K7" i="32"/>
  <c r="L5" i="27"/>
  <c r="S6" i="32"/>
  <c r="J5" i="27"/>
  <c r="Q6" i="32"/>
  <c r="I5" i="27"/>
  <c r="P6" i="32"/>
  <c r="H5" i="27"/>
  <c r="O6" i="32"/>
  <c r="G5" i="27"/>
  <c r="N6" i="32"/>
  <c r="F5" i="27"/>
  <c r="M6" i="32"/>
  <c r="E5" i="27"/>
  <c r="L6" i="32"/>
  <c r="D5" i="27"/>
  <c r="K6" i="32"/>
  <c r="L4" i="27"/>
  <c r="S5" i="32"/>
  <c r="J4" i="27"/>
  <c r="Q5" i="32"/>
  <c r="I4" i="27"/>
  <c r="P5" i="32"/>
  <c r="H4" i="27"/>
  <c r="O5" i="32"/>
  <c r="G4" i="27"/>
  <c r="N5" i="32"/>
  <c r="F4" i="27"/>
  <c r="M5" i="32"/>
  <c r="E4" i="27"/>
  <c r="L5" i="32"/>
  <c r="D4" i="27"/>
  <c r="K5" i="32"/>
  <c r="L14" i="27"/>
  <c r="S15" i="32"/>
  <c r="J14" i="27"/>
  <c r="Q15" i="32"/>
  <c r="I14" i="27"/>
  <c r="P15" i="32"/>
  <c r="H14" i="27"/>
  <c r="O15" i="32"/>
  <c r="G14" i="27"/>
  <c r="N15" i="32"/>
  <c r="F14" i="27"/>
  <c r="M15" i="32"/>
  <c r="E14" i="27"/>
  <c r="L15" i="32"/>
  <c r="D14" i="27"/>
  <c r="K15" i="32"/>
  <c r="L20" i="27"/>
  <c r="S21" i="32"/>
  <c r="J20" i="27"/>
  <c r="Q21" i="32"/>
  <c r="I20" i="27"/>
  <c r="P21" i="32"/>
  <c r="H20" i="27"/>
  <c r="O21" i="32"/>
  <c r="G20" i="27"/>
  <c r="N21" i="32"/>
  <c r="F20" i="27"/>
  <c r="M21" i="32"/>
  <c r="E20" i="27"/>
  <c r="L21" i="32"/>
  <c r="D20" i="27"/>
  <c r="K21" i="32"/>
  <c r="L19" i="27"/>
  <c r="S20" i="32"/>
  <c r="J19" i="27"/>
  <c r="Q20" i="32"/>
  <c r="I19" i="27"/>
  <c r="P20" i="32"/>
  <c r="H19" i="27"/>
  <c r="O20" i="32"/>
  <c r="G19" i="27"/>
  <c r="N20" i="32"/>
  <c r="F19" i="27"/>
  <c r="M20" i="32"/>
  <c r="E19" i="27"/>
  <c r="L20" i="32"/>
  <c r="D19" i="27"/>
  <c r="K20" i="32"/>
  <c r="L18" i="27"/>
  <c r="S19" i="32"/>
  <c r="J18" i="27"/>
  <c r="Q19" i="32"/>
  <c r="I18" i="27"/>
  <c r="P19" i="32"/>
  <c r="H18" i="27"/>
  <c r="O19" i="32"/>
  <c r="G18" i="27"/>
  <c r="N19" i="32"/>
  <c r="F18" i="27"/>
  <c r="M19" i="32"/>
  <c r="E18" i="27"/>
  <c r="L19" i="32"/>
  <c r="D18" i="27"/>
  <c r="K19" i="32"/>
  <c r="L17" i="27"/>
  <c r="S18" i="32"/>
  <c r="J17" i="27"/>
  <c r="Q18" i="32"/>
  <c r="I17" i="27"/>
  <c r="P18" i="32"/>
  <c r="H17" i="27"/>
  <c r="O18" i="32"/>
  <c r="G17" i="27"/>
  <c r="N18" i="32"/>
  <c r="F17" i="27"/>
  <c r="M18" i="32"/>
  <c r="E17" i="27"/>
  <c r="L18" i="32"/>
  <c r="D17" i="27"/>
  <c r="K18" i="32"/>
  <c r="L16" i="27"/>
  <c r="S17" i="32"/>
  <c r="J16" i="27"/>
  <c r="Q17" i="32"/>
  <c r="I16" i="27"/>
  <c r="P17" i="32"/>
  <c r="H16" i="27"/>
  <c r="O17" i="32"/>
  <c r="G16" i="27"/>
  <c r="N17" i="32"/>
  <c r="F16" i="27"/>
  <c r="M17" i="32"/>
  <c r="E16" i="27"/>
  <c r="L17" i="32"/>
  <c r="D16" i="27"/>
  <c r="K17" i="32"/>
  <c r="L15" i="27"/>
  <c r="S16" i="32"/>
  <c r="J15" i="27"/>
  <c r="Q16" i="32"/>
  <c r="I15" i="27"/>
  <c r="P16" i="32"/>
  <c r="H15" i="27"/>
  <c r="O16" i="32"/>
  <c r="G15" i="27"/>
  <c r="N16" i="32"/>
  <c r="F15" i="27"/>
  <c r="M16" i="32"/>
  <c r="E15" i="27"/>
  <c r="L16" i="32"/>
  <c r="D15" i="27"/>
  <c r="K16" i="32"/>
  <c r="L22" i="27"/>
  <c r="S23" i="32"/>
  <c r="J22" i="27"/>
  <c r="Q23" i="32"/>
  <c r="I22" i="27"/>
  <c r="P23" i="32"/>
  <c r="H22" i="27"/>
  <c r="O23" i="32"/>
  <c r="G22" i="27"/>
  <c r="N23" i="32"/>
  <c r="F22" i="27"/>
  <c r="M23" i="32"/>
  <c r="E22" i="27"/>
  <c r="L23" i="32"/>
  <c r="D22" i="27"/>
  <c r="K23" i="32"/>
  <c r="L31" i="27"/>
  <c r="S32" i="32"/>
  <c r="J31" i="27"/>
  <c r="Q32" i="32"/>
  <c r="I31" i="27"/>
  <c r="P32" i="32"/>
  <c r="H31" i="27"/>
  <c r="O32" i="32"/>
  <c r="G31" i="27"/>
  <c r="N32" i="32"/>
  <c r="F31" i="27"/>
  <c r="M32" i="32"/>
  <c r="E31" i="27"/>
  <c r="L32" i="32"/>
  <c r="D31" i="27"/>
  <c r="K32" i="32"/>
  <c r="L30" i="27"/>
  <c r="S31" i="32"/>
  <c r="J30" i="27"/>
  <c r="Q31" i="32"/>
  <c r="I30" i="27"/>
  <c r="P31" i="32"/>
  <c r="H30" i="27"/>
  <c r="O31" i="32"/>
  <c r="G30" i="27"/>
  <c r="N31" i="32"/>
  <c r="F30" i="27"/>
  <c r="M31" i="32"/>
  <c r="E30" i="27"/>
  <c r="L31" i="32"/>
  <c r="D30" i="27"/>
  <c r="K31" i="32"/>
  <c r="L29" i="27"/>
  <c r="S30" i="32"/>
  <c r="J29" i="27"/>
  <c r="Q30" i="32"/>
  <c r="I29" i="27"/>
  <c r="P30" i="32"/>
  <c r="H29" i="27"/>
  <c r="O30" i="32"/>
  <c r="G29" i="27"/>
  <c r="N30" i="32"/>
  <c r="F29" i="27"/>
  <c r="M30" i="32"/>
  <c r="E29" i="27"/>
  <c r="L30" i="32"/>
  <c r="D29" i="27"/>
  <c r="K30" i="32"/>
  <c r="L28" i="27"/>
  <c r="S29" i="32"/>
  <c r="J28" i="27"/>
  <c r="Q29" i="32"/>
  <c r="I28" i="27"/>
  <c r="P29" i="32"/>
  <c r="H28" i="27"/>
  <c r="O29" i="32"/>
  <c r="G28" i="27"/>
  <c r="N29" i="32"/>
  <c r="F28" i="27"/>
  <c r="M29" i="32"/>
  <c r="E28" i="27"/>
  <c r="L29" i="32"/>
  <c r="D28" i="27"/>
  <c r="K29" i="32"/>
  <c r="L27" i="27"/>
  <c r="S28" i="32"/>
  <c r="J27" i="27"/>
  <c r="Q28" i="32"/>
  <c r="I27" i="27"/>
  <c r="P28" i="32"/>
  <c r="H27" i="27"/>
  <c r="O28" i="32"/>
  <c r="G27" i="27"/>
  <c r="N28" i="32"/>
  <c r="F27" i="27"/>
  <c r="M28" i="32"/>
  <c r="E27" i="27"/>
  <c r="L28" i="32"/>
  <c r="D27" i="27"/>
  <c r="K28" i="32"/>
  <c r="L26" i="27"/>
  <c r="S27" i="32"/>
  <c r="J26" i="27"/>
  <c r="Q27" i="32"/>
  <c r="I26" i="27"/>
  <c r="P27" i="32"/>
  <c r="H26" i="27"/>
  <c r="O27" i="32"/>
  <c r="G26" i="27"/>
  <c r="N27" i="32"/>
  <c r="F26" i="27"/>
  <c r="M27" i="32"/>
  <c r="E26" i="27"/>
  <c r="L27" i="32"/>
  <c r="D26" i="27"/>
  <c r="K27" i="32"/>
  <c r="L25" i="27"/>
  <c r="S26" i="32"/>
  <c r="J25" i="27"/>
  <c r="Q26" i="32"/>
  <c r="I25" i="27"/>
  <c r="P26" i="32"/>
  <c r="H25" i="27"/>
  <c r="O26" i="32"/>
  <c r="G25" i="27"/>
  <c r="N26" i="32"/>
  <c r="F25" i="27"/>
  <c r="M26" i="32"/>
  <c r="E25" i="27"/>
  <c r="L26" i="32"/>
  <c r="D25" i="27"/>
  <c r="K26" i="32"/>
  <c r="L24" i="27"/>
  <c r="S25" i="32"/>
  <c r="J24" i="27"/>
  <c r="Q25" i="32"/>
  <c r="I24" i="27"/>
  <c r="P25" i="32"/>
  <c r="H24" i="27"/>
  <c r="O25" i="32"/>
  <c r="G24" i="27"/>
  <c r="N25" i="32"/>
  <c r="F24" i="27"/>
  <c r="M25" i="32"/>
  <c r="E24" i="27"/>
  <c r="L25" i="32"/>
  <c r="D24" i="27"/>
  <c r="K25" i="32"/>
  <c r="L23" i="27"/>
  <c r="S24" i="32"/>
  <c r="J23" i="27"/>
  <c r="Q24" i="32"/>
  <c r="I23" i="27"/>
  <c r="P24" i="32"/>
  <c r="H23" i="27"/>
  <c r="O24" i="32"/>
  <c r="G23" i="27"/>
  <c r="N24" i="32"/>
  <c r="F23" i="27"/>
  <c r="M24" i="32"/>
  <c r="E23" i="27"/>
  <c r="L24" i="32"/>
  <c r="D23" i="27"/>
  <c r="K24" i="32"/>
  <c r="I33" i="32"/>
</calcChain>
</file>

<file path=xl/sharedStrings.xml><?xml version="1.0" encoding="utf-8"?>
<sst xmlns="http://schemas.openxmlformats.org/spreadsheetml/2006/main" count="983" uniqueCount="221">
  <si>
    <t>Bust</t>
  </si>
  <si>
    <t>Ace</t>
  </si>
  <si>
    <t>Total</t>
  </si>
  <si>
    <t>OutCome</t>
  </si>
  <si>
    <t>Soft</t>
  </si>
  <si>
    <t>Start Card</t>
  </si>
  <si>
    <t>Stand</t>
  </si>
  <si>
    <t>Outcome</t>
  </si>
  <si>
    <t>Prob</t>
  </si>
  <si>
    <t>Hard</t>
  </si>
  <si>
    <t>Pair</t>
  </si>
  <si>
    <t>Dealer BJ</t>
  </si>
  <si>
    <t>Cards 2</t>
  </si>
  <si>
    <t>Cards1</t>
  </si>
  <si>
    <t>Probability</t>
  </si>
  <si>
    <t>%</t>
  </si>
  <si>
    <t>Hard Value EV</t>
  </si>
  <si>
    <t>Soft Value EV</t>
  </si>
  <si>
    <t>Pair Value EV</t>
  </si>
  <si>
    <t>Total EV</t>
  </si>
  <si>
    <t>5-8</t>
  </si>
  <si>
    <t>17-21</t>
  </si>
  <si>
    <t>A</t>
  </si>
  <si>
    <t>My Basic Strategy</t>
  </si>
  <si>
    <t>H = Hit</t>
  </si>
  <si>
    <t>D = Double</t>
  </si>
  <si>
    <t>S = Stand</t>
  </si>
  <si>
    <t>P = Split</t>
  </si>
  <si>
    <t>R = Surrender</t>
  </si>
  <si>
    <t>Dealer BlakJack EV</t>
  </si>
  <si>
    <t>Blackjack</t>
  </si>
  <si>
    <t>Dealer Blackjack</t>
  </si>
  <si>
    <t>Player Not Blackjack</t>
  </si>
  <si>
    <t>Value</t>
  </si>
  <si>
    <t>Total Win Prob</t>
  </si>
  <si>
    <t>Total Lost Prob</t>
  </si>
  <si>
    <t>Simplified</t>
  </si>
  <si>
    <t>Percentage</t>
  </si>
  <si>
    <t>Count</t>
  </si>
  <si>
    <t>Different</t>
  </si>
  <si>
    <t>Summary</t>
  </si>
  <si>
    <t>Win Prob</t>
  </si>
  <si>
    <t>Lose Prob</t>
  </si>
  <si>
    <t>Lose %</t>
  </si>
  <si>
    <t>Win %</t>
  </si>
  <si>
    <t>Differ</t>
  </si>
  <si>
    <t>Win ER</t>
  </si>
  <si>
    <t>Lose ER</t>
  </si>
  <si>
    <t>Total ER</t>
  </si>
  <si>
    <t>Level1</t>
  </si>
  <si>
    <t>Level2</t>
  </si>
  <si>
    <t>Level3</t>
  </si>
  <si>
    <t>Level4</t>
  </si>
  <si>
    <t>Level5</t>
  </si>
  <si>
    <t>Bank roll</t>
  </si>
  <si>
    <t>Let Lose</t>
  </si>
  <si>
    <t>Unit</t>
  </si>
  <si>
    <t>Multiplier</t>
  </si>
  <si>
    <t>Return</t>
  </si>
  <si>
    <t>Blackjack MAC</t>
  </si>
  <si>
    <t>EV</t>
  </si>
  <si>
    <t>Edge</t>
  </si>
  <si>
    <t>Rules</t>
  </si>
  <si>
    <t>Hit</t>
  </si>
  <si>
    <t>Options</t>
  </si>
  <si>
    <t>Rules!$B$4*</t>
  </si>
  <si>
    <t>Double</t>
  </si>
  <si>
    <t>9,10,11</t>
  </si>
  <si>
    <t>Yes</t>
  </si>
  <si>
    <t>No</t>
  </si>
  <si>
    <t>Surrender Ace</t>
  </si>
  <si>
    <t>Min :2</t>
  </si>
  <si>
    <t>Surrend Allow</t>
  </si>
  <si>
    <t>Pay 3 to 2</t>
  </si>
  <si>
    <t>Pay 6 to 5</t>
  </si>
  <si>
    <t>On Blackjack</t>
  </si>
  <si>
    <t>European</t>
  </si>
  <si>
    <t>American</t>
  </si>
  <si>
    <t>American Rule</t>
  </si>
  <si>
    <t>European Rule</t>
  </si>
  <si>
    <t>Expected Value</t>
  </si>
  <si>
    <t>Possitive</t>
  </si>
  <si>
    <t>Negatives</t>
  </si>
  <si>
    <t>Total Lost ER</t>
  </si>
  <si>
    <t>Total Win ER</t>
  </si>
  <si>
    <t>Split up to</t>
  </si>
  <si>
    <t>Hands</t>
  </si>
  <si>
    <t>Double After Split</t>
  </si>
  <si>
    <t>Any 2 Cards</t>
  </si>
  <si>
    <t>SPLIT TO 5 HANDS</t>
  </si>
  <si>
    <t>SPLIT TO 4 HANDS</t>
  </si>
  <si>
    <t>SPLIT TO 3 HANDS</t>
  </si>
  <si>
    <t>SPLIT TO 2 HANDS</t>
  </si>
  <si>
    <t>2 Level Bankroll</t>
  </si>
  <si>
    <t>3 Level Bankroll</t>
  </si>
  <si>
    <t>Levels</t>
  </si>
  <si>
    <t xml:space="preserve">x 2 </t>
  </si>
  <si>
    <t>x 3</t>
  </si>
  <si>
    <t>x 4</t>
  </si>
  <si>
    <t>x 5</t>
  </si>
  <si>
    <t>x 6</t>
  </si>
  <si>
    <t>Suggest Bankroll</t>
  </si>
  <si>
    <t>lost</t>
  </si>
  <si>
    <t>win</t>
  </si>
  <si>
    <t>Hit After Split Ace</t>
  </si>
  <si>
    <t>Max :5</t>
  </si>
  <si>
    <t>Max :100</t>
  </si>
  <si>
    <t>Min :0</t>
  </si>
  <si>
    <t>Pay Instantly</t>
  </si>
  <si>
    <t>Normal</t>
  </si>
  <si>
    <t>H</t>
  </si>
  <si>
    <t>D</t>
  </si>
  <si>
    <t>S</t>
  </si>
  <si>
    <t>R</t>
  </si>
  <si>
    <t xml:space="preserve">P </t>
  </si>
  <si>
    <t>Probabilities</t>
  </si>
  <si>
    <t>Actions</t>
  </si>
  <si>
    <t>Pay Even Money</t>
  </si>
  <si>
    <t>Split Ace to</t>
  </si>
  <si>
    <t>On Player 21</t>
  </si>
  <si>
    <t>On Dealer 22</t>
  </si>
  <si>
    <t>Busted</t>
  </si>
  <si>
    <t>Pushes</t>
  </si>
  <si>
    <t>Total Point</t>
  </si>
  <si>
    <t>Soft Point</t>
  </si>
  <si>
    <t>3RD Total</t>
  </si>
  <si>
    <t>4RD Total</t>
  </si>
  <si>
    <t>Check Sum</t>
  </si>
  <si>
    <t>Soft Value</t>
  </si>
  <si>
    <t>Softvalue</t>
  </si>
  <si>
    <t>Total Stop</t>
  </si>
  <si>
    <t>Hard Total</t>
  </si>
  <si>
    <t>Soft Total</t>
  </si>
  <si>
    <t>3Card Stop</t>
  </si>
  <si>
    <t>4Card Stop</t>
  </si>
  <si>
    <t>5RD Total</t>
  </si>
  <si>
    <t>2 Card</t>
  </si>
  <si>
    <t>3 Card</t>
  </si>
  <si>
    <t>4 Card</t>
  </si>
  <si>
    <t>5 Card</t>
  </si>
  <si>
    <t>ฺBust</t>
  </si>
  <si>
    <t>Stop</t>
  </si>
  <si>
    <t>Success</t>
  </si>
  <si>
    <t>2Card Stop</t>
  </si>
  <si>
    <t>5 Cards</t>
  </si>
  <si>
    <t>Three 7 Cards</t>
  </si>
  <si>
    <t>Pay Double</t>
  </si>
  <si>
    <t>Three 7 Cards EV</t>
  </si>
  <si>
    <t>2 Cards</t>
  </si>
  <si>
    <t>3 Cards</t>
  </si>
  <si>
    <t>7 Cards</t>
  </si>
  <si>
    <t>Cards</t>
  </si>
  <si>
    <t>for 8 times saftey</t>
  </si>
  <si>
    <t>Total Bankroll</t>
  </si>
  <si>
    <t>Blackjack Rules Expected Value</t>
  </si>
  <si>
    <t>Dealer on Soft 17</t>
  </si>
  <si>
    <t>No of 10 in Deck</t>
  </si>
  <si>
    <t>Wining</t>
  </si>
  <si>
    <t>Losing</t>
  </si>
  <si>
    <t>Win:</t>
  </si>
  <si>
    <t>Lose:</t>
  </si>
  <si>
    <t>EV:</t>
  </si>
  <si>
    <t>Strategy 1</t>
  </si>
  <si>
    <t>Sequence</t>
  </si>
  <si>
    <t>Strategy 2</t>
  </si>
  <si>
    <t>Strategy 3</t>
  </si>
  <si>
    <t>Strategy 4</t>
  </si>
  <si>
    <t>Win</t>
  </si>
  <si>
    <t>Lose</t>
  </si>
  <si>
    <t>INV</t>
  </si>
  <si>
    <t>Total INV</t>
  </si>
  <si>
    <t>AVG INV</t>
  </si>
  <si>
    <t>AVG Retrun</t>
  </si>
  <si>
    <t>ROI</t>
  </si>
  <si>
    <t>Bet Edge</t>
  </si>
  <si>
    <t>Just Enough</t>
  </si>
  <si>
    <t>1st</t>
  </si>
  <si>
    <t>2nd</t>
  </si>
  <si>
    <t>Kick Start</t>
  </si>
  <si>
    <t>Strategy:</t>
  </si>
  <si>
    <t>Half Edge</t>
  </si>
  <si>
    <t>3rd</t>
  </si>
  <si>
    <t>4th</t>
  </si>
  <si>
    <t>5th</t>
  </si>
  <si>
    <t>ROI:</t>
  </si>
  <si>
    <t>1 x 2</t>
  </si>
  <si>
    <t>1 x 3</t>
  </si>
  <si>
    <t>1 x 4</t>
  </si>
  <si>
    <t>1 x 5</t>
  </si>
  <si>
    <t>1 x 6</t>
  </si>
  <si>
    <t>Risk</t>
  </si>
  <si>
    <t>ER</t>
  </si>
  <si>
    <t>ER:</t>
  </si>
  <si>
    <t>2 x 3 x 2 M:2</t>
  </si>
  <si>
    <t>AVG INV:</t>
  </si>
  <si>
    <t>Exp Return:</t>
  </si>
  <si>
    <t>2 x 3 x 5 M:2</t>
  </si>
  <si>
    <t>Multiplier:</t>
  </si>
  <si>
    <t>2 x 3 x 6 M:2</t>
  </si>
  <si>
    <t>6th</t>
  </si>
  <si>
    <t>1 x 7</t>
  </si>
  <si>
    <t>1 x 8</t>
  </si>
  <si>
    <t>1 x 9</t>
  </si>
  <si>
    <t>1 x 10</t>
  </si>
  <si>
    <t>Enough</t>
  </si>
  <si>
    <t>Half</t>
  </si>
  <si>
    <t>Max Edge</t>
  </si>
  <si>
    <t>Half Max</t>
  </si>
  <si>
    <t>2 x 3 x inf</t>
  </si>
  <si>
    <t>Exp Return</t>
  </si>
  <si>
    <t>Rounds</t>
  </si>
  <si>
    <t>Infinit</t>
  </si>
  <si>
    <t>Strategy</t>
  </si>
  <si>
    <t>My Blackjack Strategy Plan</t>
  </si>
  <si>
    <t>Safe</t>
  </si>
  <si>
    <t>Required</t>
  </si>
  <si>
    <t>Max</t>
  </si>
  <si>
    <t>** Restart Progressing After you 100 x your initial bet **</t>
  </si>
  <si>
    <t>Start</t>
  </si>
  <si>
    <t>Target</t>
  </si>
  <si>
    <t>Safty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</si>
</sst>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%"/>
    <numFmt numFmtId="165" formatCode="0.0000%"/>
    <numFmt numFmtId="166" formatCode="_(* #,##0_);_(* \(#,##0\);_(* &quot;-&quot;??_);_(@_)"/>
    <numFmt numFmtId="167" formatCode="_(* #,##0.00000_);_(* \(#,##0.00000\);_(* &quot;-&quot;??_);_(@_)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25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1">
    <xf numFmtId="0" fontId="0" fillId="0" borderId="0" xfId="0"/>
    <xf numFmtId="0" fontId="0" fillId="0" borderId="1" xfId="0" applyBorder="1"/>
    <xf numFmtId="0" fontId="0" fillId="0" borderId="3" xfId="0" applyBorder="1"/>
    <xf numFmtId="0" fontId="7" fillId="0" borderId="6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8" fillId="3" borderId="5" xfId="0" applyFont="1" applyFill="1" applyBorder="1" applyAlignment="1">
      <alignment horizontal="center"/>
    </xf>
    <xf numFmtId="164" fontId="6" fillId="3" borderId="3" xfId="1" applyNumberFormat="1" applyFont="1" applyFill="1" applyBorder="1"/>
    <xf numFmtId="164" fontId="6" fillId="3" borderId="1" xfId="1" applyNumberFormat="1" applyFont="1" applyFill="1" applyBorder="1"/>
    <xf numFmtId="164" fontId="6" fillId="3" borderId="16" xfId="1" applyNumberFormat="1" applyFont="1" applyFill="1" applyBorder="1"/>
    <xf numFmtId="0" fontId="8" fillId="2" borderId="7" xfId="0" applyFont="1" applyFill="1" applyBorder="1" applyAlignment="1">
      <alignment horizontal="center"/>
    </xf>
    <xf numFmtId="164" fontId="6" fillId="2" borderId="8" xfId="1" applyNumberFormat="1" applyFont="1" applyFill="1" applyBorder="1"/>
    <xf numFmtId="164" fontId="6" fillId="2" borderId="9" xfId="1" applyNumberFormat="1" applyFont="1" applyFill="1" applyBorder="1"/>
    <xf numFmtId="164" fontId="6" fillId="2" borderId="15" xfId="1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4" xfId="0" applyBorder="1"/>
    <xf numFmtId="10" fontId="0" fillId="0" borderId="0" xfId="1" applyNumberFormat="1" applyFont="1"/>
    <xf numFmtId="0" fontId="0" fillId="0" borderId="0" xfId="0" applyAlignment="1">
      <alignment horizontal="center"/>
    </xf>
    <xf numFmtId="0" fontId="9" fillId="4" borderId="1" xfId="18" applyFont="1" applyFill="1" applyBorder="1" applyAlignment="1">
      <alignment horizontal="center" vertical="center"/>
    </xf>
    <xf numFmtId="0" fontId="2" fillId="0" borderId="0" xfId="18"/>
    <xf numFmtId="0" fontId="2" fillId="0" borderId="1" xfId="18" applyBorder="1" applyAlignment="1">
      <alignment horizontal="center" vertical="center"/>
    </xf>
    <xf numFmtId="0" fontId="11" fillId="4" borderId="1" xfId="18" applyFont="1" applyFill="1" applyBorder="1" applyAlignment="1">
      <alignment horizontal="center" vertical="center"/>
    </xf>
    <xf numFmtId="0" fontId="2" fillId="0" borderId="0" xfId="18" applyBorder="1" applyAlignment="1">
      <alignment horizontal="center" vertical="center"/>
    </xf>
    <xf numFmtId="0" fontId="9" fillId="4" borderId="24" xfId="18" applyFont="1" applyFill="1" applyBorder="1"/>
    <xf numFmtId="0" fontId="9" fillId="4" borderId="25" xfId="18" applyFont="1" applyFill="1" applyBorder="1"/>
    <xf numFmtId="0" fontId="2" fillId="0" borderId="9" xfId="18" applyBorder="1"/>
    <xf numFmtId="0" fontId="2" fillId="0" borderId="0" xfId="18" applyFill="1" applyBorder="1" applyAlignment="1">
      <alignment horizontal="center" vertical="center"/>
    </xf>
    <xf numFmtId="0" fontId="10" fillId="0" borderId="0" xfId="18" applyFont="1"/>
    <xf numFmtId="165" fontId="0" fillId="0" borderId="0" xfId="19" applyNumberFormat="1" applyFont="1"/>
    <xf numFmtId="0" fontId="9" fillId="4" borderId="26" xfId="18" applyFont="1" applyFill="1" applyBorder="1" applyAlignment="1">
      <alignment horizontal="center" vertical="center"/>
    </xf>
    <xf numFmtId="0" fontId="9" fillId="4" borderId="27" xfId="18" applyFont="1" applyFill="1" applyBorder="1" applyAlignment="1">
      <alignment horizontal="center" vertical="center"/>
    </xf>
    <xf numFmtId="0" fontId="9" fillId="4" borderId="28" xfId="18" applyFont="1" applyFill="1" applyBorder="1" applyAlignment="1">
      <alignment horizontal="center" vertical="center"/>
    </xf>
    <xf numFmtId="0" fontId="9" fillId="4" borderId="19" xfId="18" applyFont="1" applyFill="1" applyBorder="1" applyAlignment="1">
      <alignment horizontal="center" vertical="center"/>
    </xf>
    <xf numFmtId="0" fontId="2" fillId="0" borderId="14" xfId="18" applyBorder="1" applyAlignment="1">
      <alignment horizontal="center" vertical="center"/>
    </xf>
    <xf numFmtId="0" fontId="11" fillId="4" borderId="14" xfId="18" applyFont="1" applyFill="1" applyBorder="1" applyAlignment="1">
      <alignment horizontal="center" vertical="center"/>
    </xf>
    <xf numFmtId="0" fontId="9" fillId="4" borderId="29" xfId="18" applyFont="1" applyFill="1" applyBorder="1" applyAlignment="1">
      <alignment horizontal="center" vertical="center"/>
    </xf>
    <xf numFmtId="0" fontId="2" fillId="0" borderId="16" xfId="18" applyBorder="1" applyAlignment="1">
      <alignment horizontal="center" vertical="center"/>
    </xf>
    <xf numFmtId="0" fontId="2" fillId="0" borderId="17" xfId="18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23" xfId="18" applyFont="1" applyBorder="1"/>
    <xf numFmtId="0" fontId="10" fillId="0" borderId="32" xfId="18" applyFont="1" applyBorder="1"/>
    <xf numFmtId="0" fontId="10" fillId="0" borderId="24" xfId="18" applyFont="1" applyBorder="1"/>
    <xf numFmtId="0" fontId="13" fillId="7" borderId="17" xfId="18" applyFont="1" applyFill="1" applyBorder="1"/>
    <xf numFmtId="0" fontId="7" fillId="0" borderId="1" xfId="0" applyFont="1" applyBorder="1"/>
    <xf numFmtId="164" fontId="6" fillId="2" borderId="1" xfId="1" applyNumberFormat="1" applyFont="1" applyFill="1" applyBorder="1"/>
    <xf numFmtId="0" fontId="0" fillId="0" borderId="26" xfId="0" applyBorder="1" applyAlignment="1">
      <alignment horizontal="center"/>
    </xf>
    <xf numFmtId="164" fontId="6" fillId="2" borderId="27" xfId="1" applyNumberFormat="1" applyFont="1" applyFill="1" applyBorder="1"/>
    <xf numFmtId="164" fontId="6" fillId="3" borderId="27" xfId="1" applyNumberFormat="1" applyFont="1" applyFill="1" applyBorder="1"/>
    <xf numFmtId="0" fontId="0" fillId="0" borderId="28" xfId="0" applyBorder="1"/>
    <xf numFmtId="0" fontId="0" fillId="0" borderId="19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164" fontId="8" fillId="3" borderId="27" xfId="1" applyNumberFormat="1" applyFont="1" applyFill="1" applyBorder="1" applyAlignment="1">
      <alignment horizontal="center"/>
    </xf>
    <xf numFmtId="164" fontId="8" fillId="2" borderId="27" xfId="1" applyNumberFormat="1" applyFont="1" applyFill="1" applyBorder="1" applyAlignment="1">
      <alignment horizontal="center"/>
    </xf>
    <xf numFmtId="164" fontId="6" fillId="2" borderId="16" xfId="1" applyNumberFormat="1" applyFont="1" applyFill="1" applyBorder="1"/>
    <xf numFmtId="164" fontId="6" fillId="3" borderId="5" xfId="1" applyNumberFormat="1" applyFont="1" applyFill="1" applyBorder="1"/>
    <xf numFmtId="10" fontId="0" fillId="0" borderId="0" xfId="0" applyNumberFormat="1"/>
    <xf numFmtId="0" fontId="9" fillId="4" borderId="36" xfId="18" applyFont="1" applyFill="1" applyBorder="1" applyAlignment="1">
      <alignment horizontal="center" vertical="center"/>
    </xf>
    <xf numFmtId="0" fontId="2" fillId="0" borderId="22" xfId="18" applyBorder="1" applyAlignment="1">
      <alignment horizontal="center" vertical="center"/>
    </xf>
    <xf numFmtId="0" fontId="2" fillId="0" borderId="5" xfId="18" applyBorder="1" applyAlignment="1">
      <alignment horizontal="center" vertical="center"/>
    </xf>
    <xf numFmtId="0" fontId="2" fillId="0" borderId="6" xfId="18" applyBorder="1" applyAlignment="1">
      <alignment horizontal="center" vertical="center"/>
    </xf>
    <xf numFmtId="0" fontId="2" fillId="0" borderId="26" xfId="18" applyBorder="1"/>
    <xf numFmtId="0" fontId="2" fillId="0" borderId="28" xfId="18" applyBorder="1"/>
    <xf numFmtId="10" fontId="2" fillId="0" borderId="27" xfId="1" applyNumberFormat="1" applyFont="1" applyBorder="1"/>
    <xf numFmtId="2" fontId="2" fillId="0" borderId="27" xfId="18" applyNumberFormat="1" applyBorder="1"/>
    <xf numFmtId="0" fontId="10" fillId="0" borderId="39" xfId="18" applyFont="1" applyBorder="1"/>
    <xf numFmtId="0" fontId="10" fillId="0" borderId="40" xfId="18" applyFont="1" applyBorder="1"/>
    <xf numFmtId="0" fontId="10" fillId="0" borderId="41" xfId="18" applyFont="1" applyBorder="1"/>
    <xf numFmtId="0" fontId="2" fillId="0" borderId="36" xfId="18" applyBorder="1"/>
    <xf numFmtId="10" fontId="2" fillId="0" borderId="22" xfId="1" applyNumberFormat="1" applyFont="1" applyBorder="1"/>
    <xf numFmtId="2" fontId="2" fillId="0" borderId="22" xfId="18" applyNumberFormat="1" applyBorder="1"/>
    <xf numFmtId="0" fontId="2" fillId="0" borderId="23" xfId="18" applyBorder="1"/>
    <xf numFmtId="0" fontId="2" fillId="0" borderId="43" xfId="18" applyBorder="1"/>
    <xf numFmtId="10" fontId="2" fillId="0" borderId="45" xfId="1" applyNumberFormat="1" applyFont="1" applyBorder="1"/>
    <xf numFmtId="0" fontId="2" fillId="0" borderId="45" xfId="18" applyBorder="1"/>
    <xf numFmtId="0" fontId="2" fillId="0" borderId="46" xfId="18" applyBorder="1"/>
    <xf numFmtId="0" fontId="2" fillId="0" borderId="4" xfId="18" applyBorder="1"/>
    <xf numFmtId="10" fontId="2" fillId="0" borderId="5" xfId="1" applyNumberFormat="1" applyFont="1" applyBorder="1"/>
    <xf numFmtId="2" fontId="2" fillId="0" borderId="5" xfId="18" applyNumberFormat="1" applyBorder="1"/>
    <xf numFmtId="0" fontId="2" fillId="0" borderId="6" xfId="18" applyBorder="1"/>
    <xf numFmtId="0" fontId="2" fillId="0" borderId="1" xfId="18" applyBorder="1"/>
    <xf numFmtId="0" fontId="9" fillId="4" borderId="48" xfId="18" applyFont="1" applyFill="1" applyBorder="1" applyAlignment="1">
      <alignment horizontal="center" vertical="center"/>
    </xf>
    <xf numFmtId="10" fontId="2" fillId="0" borderId="49" xfId="1" applyNumberFormat="1" applyFont="1" applyBorder="1" applyAlignment="1">
      <alignment horizontal="center" vertical="center"/>
    </xf>
    <xf numFmtId="10" fontId="2" fillId="0" borderId="0" xfId="18" applyNumberFormat="1"/>
    <xf numFmtId="0" fontId="2" fillId="0" borderId="35" xfId="18" applyBorder="1"/>
    <xf numFmtId="0" fontId="9" fillId="4" borderId="50" xfId="18" applyFont="1" applyFill="1" applyBorder="1" applyAlignment="1">
      <alignment horizontal="center" vertical="center"/>
    </xf>
    <xf numFmtId="0" fontId="9" fillId="4" borderId="22" xfId="18" applyFont="1" applyFill="1" applyBorder="1" applyAlignment="1">
      <alignment horizontal="center" vertical="center"/>
    </xf>
    <xf numFmtId="0" fontId="11" fillId="4" borderId="22" xfId="18" applyFont="1" applyFill="1" applyBorder="1" applyAlignment="1">
      <alignment horizontal="center" vertical="center"/>
    </xf>
    <xf numFmtId="0" fontId="11" fillId="4" borderId="23" xfId="18" applyFont="1" applyFill="1" applyBorder="1" applyAlignment="1">
      <alignment horizontal="center" vertical="center"/>
    </xf>
    <xf numFmtId="0" fontId="2" fillId="0" borderId="26" xfId="18" applyBorder="1" applyAlignment="1">
      <alignment horizontal="center" vertical="center"/>
    </xf>
    <xf numFmtId="0" fontId="2" fillId="0" borderId="27" xfId="18" applyBorder="1" applyAlignment="1">
      <alignment horizontal="center" vertical="center"/>
    </xf>
    <xf numFmtId="0" fontId="2" fillId="0" borderId="28" xfId="18" applyBorder="1" applyAlignment="1">
      <alignment horizontal="center" vertical="center"/>
    </xf>
    <xf numFmtId="10" fontId="2" fillId="0" borderId="29" xfId="1" applyNumberFormat="1" applyFont="1" applyBorder="1" applyAlignment="1">
      <alignment horizontal="center" vertical="center"/>
    </xf>
    <xf numFmtId="10" fontId="2" fillId="0" borderId="16" xfId="1" applyNumberFormat="1" applyFont="1" applyBorder="1" applyAlignment="1">
      <alignment horizontal="center" vertical="center"/>
    </xf>
    <xf numFmtId="10" fontId="2" fillId="0" borderId="17" xfId="1" applyNumberFormat="1" applyFont="1" applyBorder="1" applyAlignment="1">
      <alignment horizontal="center" vertical="center"/>
    </xf>
    <xf numFmtId="0" fontId="9" fillId="4" borderId="34" xfId="18" applyFont="1" applyFill="1" applyBorder="1" applyAlignment="1">
      <alignment horizontal="center" vertical="center"/>
    </xf>
    <xf numFmtId="10" fontId="2" fillId="0" borderId="48" xfId="1" applyNumberFormat="1" applyFont="1" applyBorder="1" applyAlignment="1">
      <alignment horizontal="center" vertical="center"/>
    </xf>
    <xf numFmtId="10" fontId="2" fillId="0" borderId="51" xfId="1" applyNumberFormat="1" applyFont="1" applyBorder="1" applyAlignment="1">
      <alignment horizontal="center" vertical="center"/>
    </xf>
    <xf numFmtId="0" fontId="2" fillId="0" borderId="4" xfId="18" applyBorder="1" applyAlignment="1">
      <alignment horizontal="center" vertical="center"/>
    </xf>
    <xf numFmtId="10" fontId="13" fillId="7" borderId="2" xfId="1" applyNumberFormat="1" applyFont="1" applyFill="1" applyBorder="1"/>
    <xf numFmtId="0" fontId="0" fillId="0" borderId="19" xfId="0" applyBorder="1"/>
    <xf numFmtId="0" fontId="0" fillId="0" borderId="29" xfId="0" applyBorder="1"/>
    <xf numFmtId="0" fontId="0" fillId="0" borderId="33" xfId="0" applyBorder="1"/>
    <xf numFmtId="0" fontId="0" fillId="0" borderId="10" xfId="0" applyBorder="1"/>
    <xf numFmtId="0" fontId="0" fillId="0" borderId="11" xfId="0" applyBorder="1"/>
    <xf numFmtId="0" fontId="0" fillId="0" borderId="52" xfId="0" applyBorder="1"/>
    <xf numFmtId="0" fontId="0" fillId="0" borderId="25" xfId="0" applyBorder="1"/>
    <xf numFmtId="0" fontId="0" fillId="0" borderId="34" xfId="0" applyBorder="1"/>
    <xf numFmtId="0" fontId="0" fillId="0" borderId="55" xfId="0" applyBorder="1"/>
    <xf numFmtId="0" fontId="0" fillId="0" borderId="31" xfId="0" applyBorder="1"/>
    <xf numFmtId="0" fontId="0" fillId="0" borderId="56" xfId="0" applyBorder="1"/>
    <xf numFmtId="166" fontId="0" fillId="0" borderId="14" xfId="20" applyNumberFormat="1" applyFont="1" applyBorder="1"/>
    <xf numFmtId="166" fontId="0" fillId="0" borderId="17" xfId="20" applyNumberFormat="1" applyFont="1" applyBorder="1"/>
    <xf numFmtId="0" fontId="10" fillId="0" borderId="57" xfId="18" applyFont="1" applyBorder="1"/>
    <xf numFmtId="0" fontId="0" fillId="0" borderId="53" xfId="0" applyBorder="1"/>
    <xf numFmtId="166" fontId="0" fillId="0" borderId="28" xfId="20" applyNumberFormat="1" applyFont="1" applyBorder="1"/>
    <xf numFmtId="166" fontId="0" fillId="0" borderId="19" xfId="20" applyNumberFormat="1" applyFont="1" applyBorder="1"/>
    <xf numFmtId="166" fontId="0" fillId="0" borderId="29" xfId="20" applyNumberFormat="1" applyFont="1" applyBorder="1"/>
    <xf numFmtId="166" fontId="0" fillId="0" borderId="26" xfId="20" applyNumberFormat="1" applyFont="1" applyBorder="1"/>
    <xf numFmtId="0" fontId="0" fillId="0" borderId="21" xfId="0" applyBorder="1"/>
    <xf numFmtId="0" fontId="0" fillId="0" borderId="61" xfId="0" applyBorder="1"/>
    <xf numFmtId="0" fontId="0" fillId="0" borderId="36" xfId="0" applyBorder="1"/>
    <xf numFmtId="0" fontId="0" fillId="0" borderId="51" xfId="0" applyBorder="1"/>
    <xf numFmtId="0" fontId="0" fillId="0" borderId="37" xfId="0" applyBorder="1"/>
    <xf numFmtId="0" fontId="0" fillId="0" borderId="2" xfId="0" applyBorder="1"/>
    <xf numFmtId="0" fontId="0" fillId="0" borderId="4" xfId="0" applyBorder="1" applyAlignment="1"/>
    <xf numFmtId="0" fontId="0" fillId="0" borderId="39" xfId="0" applyBorder="1" applyAlignment="1"/>
    <xf numFmtId="0" fontId="0" fillId="0" borderId="41" xfId="0" applyBorder="1"/>
    <xf numFmtId="0" fontId="0" fillId="0" borderId="62" xfId="0" applyBorder="1"/>
    <xf numFmtId="0" fontId="10" fillId="0" borderId="26" xfId="18" applyFont="1" applyFill="1" applyBorder="1"/>
    <xf numFmtId="0" fontId="10" fillId="0" borderId="27" xfId="18" applyFont="1" applyFill="1" applyBorder="1"/>
    <xf numFmtId="0" fontId="10" fillId="0" borderId="28" xfId="18" applyFont="1" applyFill="1" applyBorder="1"/>
    <xf numFmtId="0" fontId="2" fillId="0" borderId="20" xfId="18" applyBorder="1"/>
    <xf numFmtId="10" fontId="0" fillId="0" borderId="3" xfId="1" applyNumberFormat="1" applyFont="1" applyBorder="1"/>
    <xf numFmtId="2" fontId="2" fillId="0" borderId="3" xfId="18" applyNumberFormat="1" applyBorder="1"/>
    <xf numFmtId="0" fontId="2" fillId="0" borderId="13" xfId="18" applyBorder="1"/>
    <xf numFmtId="0" fontId="2" fillId="0" borderId="34" xfId="18" applyBorder="1" applyAlignment="1">
      <alignment horizontal="center"/>
    </xf>
    <xf numFmtId="0" fontId="2" fillId="0" borderId="18" xfId="18" applyBorder="1" applyAlignment="1">
      <alignment horizontal="center"/>
    </xf>
    <xf numFmtId="0" fontId="10" fillId="0" borderId="29" xfId="18" applyFont="1" applyFill="1" applyBorder="1"/>
    <xf numFmtId="0" fontId="10" fillId="0" borderId="16" xfId="18" applyFont="1" applyFill="1" applyBorder="1"/>
    <xf numFmtId="0" fontId="10" fillId="0" borderId="17" xfId="18" applyFont="1" applyFill="1" applyBorder="1"/>
    <xf numFmtId="0" fontId="0" fillId="0" borderId="64" xfId="0" applyBorder="1"/>
    <xf numFmtId="167" fontId="2" fillId="0" borderId="5" xfId="20" applyNumberFormat="1" applyFont="1" applyBorder="1"/>
    <xf numFmtId="0" fontId="2" fillId="0" borderId="5" xfId="18" applyBorder="1"/>
    <xf numFmtId="0" fontId="2" fillId="0" borderId="47" xfId="18" applyBorder="1"/>
    <xf numFmtId="10" fontId="0" fillId="0" borderId="22" xfId="1" applyNumberFormat="1" applyFont="1" applyBorder="1"/>
    <xf numFmtId="0" fontId="12" fillId="0" borderId="0" xfId="0" applyFont="1" applyBorder="1" applyAlignment="1"/>
    <xf numFmtId="0" fontId="0" fillId="0" borderId="0" xfId="0" applyBorder="1"/>
    <xf numFmtId="0" fontId="0" fillId="0" borderId="50" xfId="0" applyBorder="1"/>
    <xf numFmtId="0" fontId="0" fillId="0" borderId="43" xfId="0" applyBorder="1"/>
    <xf numFmtId="0" fontId="0" fillId="0" borderId="45" xfId="0" applyBorder="1"/>
    <xf numFmtId="0" fontId="0" fillId="0" borderId="46" xfId="0" applyBorder="1"/>
    <xf numFmtId="0" fontId="0" fillId="0" borderId="26" xfId="0" applyBorder="1"/>
    <xf numFmtId="0" fontId="0" fillId="0" borderId="27" xfId="0" applyBorder="1"/>
    <xf numFmtId="0" fontId="0" fillId="0" borderId="16" xfId="0" applyBorder="1"/>
    <xf numFmtId="0" fontId="2" fillId="0" borderId="32" xfId="18" applyBorder="1" applyAlignment="1">
      <alignment horizontal="left"/>
    </xf>
    <xf numFmtId="0" fontId="2" fillId="0" borderId="42" xfId="18" applyBorder="1" applyAlignment="1">
      <alignment horizontal="left"/>
    </xf>
    <xf numFmtId="0" fontId="2" fillId="0" borderId="47" xfId="18" applyBorder="1" applyAlignment="1">
      <alignment horizontal="center"/>
    </xf>
    <xf numFmtId="0" fontId="2" fillId="0" borderId="44" xfId="18" applyBorder="1" applyAlignment="1">
      <alignment horizontal="center"/>
    </xf>
    <xf numFmtId="0" fontId="9" fillId="4" borderId="26" xfId="18" applyFont="1" applyFill="1" applyBorder="1" applyAlignment="1">
      <alignment horizontal="left" vertical="center"/>
    </xf>
    <xf numFmtId="0" fontId="9" fillId="4" borderId="19" xfId="18" applyFont="1" applyFill="1" applyBorder="1" applyAlignment="1">
      <alignment horizontal="left" vertical="center"/>
    </xf>
    <xf numFmtId="0" fontId="0" fillId="0" borderId="38" xfId="0" applyBorder="1"/>
    <xf numFmtId="0" fontId="9" fillId="4" borderId="26" xfId="18" applyFont="1" applyFill="1" applyBorder="1" applyAlignment="1">
      <alignment horizontal="left" vertical="center"/>
    </xf>
    <xf numFmtId="0" fontId="10" fillId="0" borderId="28" xfId="18" applyFont="1" applyBorder="1"/>
    <xf numFmtId="0" fontId="10" fillId="0" borderId="17" xfId="18" applyFont="1" applyBorder="1"/>
    <xf numFmtId="0" fontId="0" fillId="0" borderId="39" xfId="0" applyBorder="1"/>
    <xf numFmtId="0" fontId="0" fillId="0" borderId="40" xfId="0" applyBorder="1"/>
    <xf numFmtId="0" fontId="0" fillId="0" borderId="1" xfId="0" applyFont="1" applyBorder="1"/>
    <xf numFmtId="0" fontId="0" fillId="0" borderId="19" xfId="0" applyFont="1" applyBorder="1"/>
    <xf numFmtId="0" fontId="0" fillId="0" borderId="14" xfId="0" applyFont="1" applyBorder="1"/>
    <xf numFmtId="0" fontId="0" fillId="0" borderId="29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53" xfId="0" applyFont="1" applyBorder="1"/>
    <xf numFmtId="0" fontId="0" fillId="0" borderId="31" xfId="0" applyFont="1" applyBorder="1"/>
    <xf numFmtId="0" fontId="0" fillId="0" borderId="56" xfId="0" applyFont="1" applyBorder="1"/>
    <xf numFmtId="0" fontId="0" fillId="0" borderId="27" xfId="0" applyFont="1" applyBorder="1"/>
    <xf numFmtId="0" fontId="0" fillId="0" borderId="28" xfId="0" applyFont="1" applyBorder="1"/>
    <xf numFmtId="0" fontId="0" fillId="0" borderId="50" xfId="0" applyFont="1" applyBorder="1"/>
    <xf numFmtId="0" fontId="0" fillId="0" borderId="48" xfId="0" applyFont="1" applyBorder="1"/>
    <xf numFmtId="0" fontId="0" fillId="0" borderId="49" xfId="0" applyFont="1" applyBorder="1"/>
    <xf numFmtId="0" fontId="0" fillId="0" borderId="51" xfId="0" applyFont="1" applyBorder="1"/>
    <xf numFmtId="0" fontId="0" fillId="0" borderId="65" xfId="0" applyBorder="1"/>
    <xf numFmtId="0" fontId="0" fillId="0" borderId="25" xfId="0" applyFill="1" applyBorder="1"/>
    <xf numFmtId="0" fontId="0" fillId="0" borderId="66" xfId="0" applyFill="1" applyBorder="1"/>
    <xf numFmtId="0" fontId="0" fillId="8" borderId="1" xfId="0" applyFill="1" applyBorder="1"/>
    <xf numFmtId="0" fontId="0" fillId="8" borderId="26" xfId="0" applyFill="1" applyBorder="1"/>
    <xf numFmtId="16" fontId="0" fillId="8" borderId="27" xfId="0" applyNumberFormat="1" applyFill="1" applyBorder="1"/>
    <xf numFmtId="0" fontId="0" fillId="8" borderId="28" xfId="0" applyFill="1" applyBorder="1"/>
    <xf numFmtId="0" fontId="0" fillId="8" borderId="19" xfId="0" applyFill="1" applyBorder="1"/>
    <xf numFmtId="0" fontId="0" fillId="8" borderId="14" xfId="0" applyFill="1" applyBorder="1"/>
    <xf numFmtId="0" fontId="0" fillId="8" borderId="29" xfId="0" applyFill="1" applyBorder="1"/>
    <xf numFmtId="0" fontId="0" fillId="8" borderId="16" xfId="0" applyFill="1" applyBorder="1"/>
    <xf numFmtId="0" fontId="0" fillId="8" borderId="17" xfId="0" applyFill="1" applyBorder="1"/>
    <xf numFmtId="0" fontId="2" fillId="0" borderId="34" xfId="18" applyBorder="1" applyAlignment="1"/>
    <xf numFmtId="0" fontId="2" fillId="0" borderId="35" xfId="18" applyBorder="1" applyAlignment="1"/>
    <xf numFmtId="0" fontId="9" fillId="4" borderId="26" xfId="18" applyFont="1" applyFill="1" applyBorder="1" applyAlignment="1">
      <alignment horizontal="left" vertical="center"/>
    </xf>
    <xf numFmtId="0" fontId="0" fillId="0" borderId="61" xfId="0" applyFill="1" applyBorder="1"/>
    <xf numFmtId="0" fontId="0" fillId="8" borderId="36" xfId="0" applyFill="1" applyBorder="1"/>
    <xf numFmtId="0" fontId="0" fillId="8" borderId="22" xfId="0" applyFill="1" applyBorder="1"/>
    <xf numFmtId="0" fontId="0" fillId="8" borderId="23" xfId="0" applyFill="1" applyBorder="1"/>
    <xf numFmtId="0" fontId="0" fillId="7" borderId="10" xfId="0" applyFill="1" applyBorder="1" applyAlignment="1" applyProtection="1">
      <alignment horizontal="left"/>
      <protection locked="0"/>
    </xf>
    <xf numFmtId="0" fontId="0" fillId="7" borderId="21" xfId="0" applyFill="1" applyBorder="1" applyAlignment="1" applyProtection="1">
      <alignment horizontal="left"/>
      <protection locked="0"/>
    </xf>
    <xf numFmtId="0" fontId="0" fillId="7" borderId="58" xfId="0" applyFill="1" applyBorder="1" applyAlignment="1" applyProtection="1">
      <alignment horizontal="left"/>
      <protection locked="0"/>
    </xf>
    <xf numFmtId="0" fontId="0" fillId="7" borderId="33" xfId="0" applyFill="1" applyBorder="1" applyAlignment="1" applyProtection="1">
      <alignment horizontal="left"/>
      <protection locked="0"/>
    </xf>
    <xf numFmtId="0" fontId="0" fillId="7" borderId="11" xfId="0" applyFill="1" applyBorder="1" applyAlignment="1" applyProtection="1">
      <alignment horizontal="left"/>
      <protection locked="0"/>
    </xf>
    <xf numFmtId="0" fontId="0" fillId="7" borderId="12" xfId="0" applyFill="1" applyBorder="1" applyAlignment="1" applyProtection="1">
      <alignment horizontal="left"/>
      <protection locked="0"/>
    </xf>
    <xf numFmtId="10" fontId="2" fillId="0" borderId="0" xfId="1" applyNumberFormat="1" applyFont="1"/>
    <xf numFmtId="0" fontId="7" fillId="0" borderId="0" xfId="0" applyFont="1" applyBorder="1" applyAlignment="1"/>
    <xf numFmtId="10" fontId="0" fillId="0" borderId="1" xfId="1" applyNumberFormat="1" applyFont="1" applyBorder="1"/>
    <xf numFmtId="10" fontId="7" fillId="0" borderId="0" xfId="0" applyNumberFormat="1" applyFont="1" applyBorder="1" applyAlignment="1"/>
    <xf numFmtId="0" fontId="9" fillId="4" borderId="26" xfId="18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center"/>
    </xf>
    <xf numFmtId="9" fontId="7" fillId="0" borderId="0" xfId="1" applyFont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2" fillId="0" borderId="0" xfId="18" applyBorder="1"/>
    <xf numFmtId="10" fontId="0" fillId="0" borderId="0" xfId="1" applyNumberFormat="1" applyFont="1" applyBorder="1"/>
    <xf numFmtId="0" fontId="0" fillId="8" borderId="27" xfId="0" applyFill="1" applyBorder="1"/>
    <xf numFmtId="0" fontId="7" fillId="0" borderId="59" xfId="0" applyFont="1" applyBorder="1" applyAlignment="1">
      <alignment horizontal="center"/>
    </xf>
    <xf numFmtId="0" fontId="0" fillId="0" borderId="49" xfId="0" applyBorder="1"/>
    <xf numFmtId="0" fontId="7" fillId="0" borderId="50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68" xfId="0" applyFont="1" applyBorder="1" applyAlignment="1">
      <alignment horizontal="center"/>
    </xf>
    <xf numFmtId="0" fontId="0" fillId="0" borderId="69" xfId="0" applyBorder="1"/>
    <xf numFmtId="0" fontId="2" fillId="0" borderId="0" xfId="18" applyFont="1" applyFill="1"/>
    <xf numFmtId="0" fontId="0" fillId="0" borderId="0" xfId="0" applyFont="1"/>
    <xf numFmtId="0" fontId="10" fillId="0" borderId="0" xfId="18" applyFont="1" applyFill="1"/>
    <xf numFmtId="0" fontId="9" fillId="4" borderId="26" xfId="18" applyFont="1" applyFill="1" applyBorder="1" applyAlignment="1">
      <alignment horizontal="left" vertical="center"/>
    </xf>
    <xf numFmtId="0" fontId="9" fillId="4" borderId="26" xfId="18" applyFont="1" applyFill="1" applyBorder="1" applyAlignment="1">
      <alignment horizontal="left" vertical="center"/>
    </xf>
    <xf numFmtId="0" fontId="0" fillId="0" borderId="9" xfId="0" applyBorder="1"/>
    <xf numFmtId="0" fontId="0" fillId="0" borderId="12" xfId="0" applyBorder="1"/>
    <xf numFmtId="0" fontId="0" fillId="0" borderId="60" xfId="0" applyBorder="1"/>
    <xf numFmtId="0" fontId="9" fillId="4" borderId="64" xfId="18" applyFont="1" applyFill="1" applyBorder="1" applyAlignment="1">
      <alignment horizontal="left" vertical="center"/>
    </xf>
    <xf numFmtId="0" fontId="9" fillId="4" borderId="67" xfId="18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1" xfId="0" applyNumberFormat="1" applyBorder="1"/>
    <xf numFmtId="0" fontId="0" fillId="0" borderId="26" xfId="0" applyNumberFormat="1" applyBorder="1"/>
    <xf numFmtId="0" fontId="0" fillId="0" borderId="27" xfId="0" applyNumberFormat="1" applyBorder="1"/>
    <xf numFmtId="0" fontId="0" fillId="0" borderId="19" xfId="0" applyNumberFormat="1" applyBorder="1"/>
    <xf numFmtId="0" fontId="0" fillId="0" borderId="29" xfId="0" applyNumberFormat="1" applyBorder="1"/>
    <xf numFmtId="0" fontId="0" fillId="0" borderId="16" xfId="0" applyNumberFormat="1" applyBorder="1"/>
    <xf numFmtId="0" fontId="0" fillId="0" borderId="39" xfId="0" applyNumberFormat="1" applyBorder="1"/>
    <xf numFmtId="0" fontId="0" fillId="0" borderId="40" xfId="0" applyNumberFormat="1" applyBorder="1"/>
    <xf numFmtId="0" fontId="0" fillId="0" borderId="37" xfId="0" applyNumberFormat="1" applyBorder="1"/>
    <xf numFmtId="0" fontId="0" fillId="0" borderId="53" xfId="0" applyNumberFormat="1" applyBorder="1"/>
    <xf numFmtId="0" fontId="0" fillId="0" borderId="31" xfId="0" applyNumberFormat="1" applyBorder="1"/>
    <xf numFmtId="0" fontId="0" fillId="0" borderId="56" xfId="0" applyNumberFormat="1" applyBorder="1"/>
    <xf numFmtId="0" fontId="0" fillId="0" borderId="57" xfId="0" applyBorder="1"/>
    <xf numFmtId="0" fontId="0" fillId="0" borderId="32" xfId="0" applyBorder="1"/>
    <xf numFmtId="0" fontId="0" fillId="0" borderId="24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15" xfId="0" applyBorder="1"/>
    <xf numFmtId="0" fontId="0" fillId="0" borderId="58" xfId="0" applyBorder="1"/>
    <xf numFmtId="43" fontId="0" fillId="0" borderId="3" xfId="20" applyFont="1" applyBorder="1"/>
    <xf numFmtId="0" fontId="7" fillId="0" borderId="7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43" fontId="0" fillId="0" borderId="1" xfId="0" applyNumberFormat="1" applyBorder="1"/>
    <xf numFmtId="166" fontId="0" fillId="0" borderId="55" xfId="20" applyNumberFormat="1" applyFont="1" applyBorder="1"/>
    <xf numFmtId="166" fontId="0" fillId="0" borderId="20" xfId="20" applyNumberFormat="1" applyFont="1" applyBorder="1"/>
    <xf numFmtId="166" fontId="0" fillId="0" borderId="31" xfId="20" applyNumberFormat="1" applyFont="1" applyBorder="1"/>
    <xf numFmtId="166" fontId="0" fillId="0" borderId="56" xfId="20" applyNumberFormat="1" applyFont="1" applyBorder="1"/>
    <xf numFmtId="166" fontId="0" fillId="0" borderId="1" xfId="20" applyNumberFormat="1" applyFont="1" applyBorder="1"/>
    <xf numFmtId="43" fontId="0" fillId="0" borderId="1" xfId="20" applyNumberFormat="1" applyFont="1" applyBorder="1"/>
    <xf numFmtId="43" fontId="0" fillId="0" borderId="14" xfId="0" applyNumberFormat="1" applyBorder="1"/>
    <xf numFmtId="166" fontId="0" fillId="0" borderId="16" xfId="20" applyNumberFormat="1" applyFont="1" applyBorder="1"/>
    <xf numFmtId="43" fontId="0" fillId="0" borderId="16" xfId="20" applyNumberFormat="1" applyFont="1" applyBorder="1"/>
    <xf numFmtId="43" fontId="0" fillId="0" borderId="16" xfId="0" applyNumberFormat="1" applyBorder="1"/>
    <xf numFmtId="43" fontId="0" fillId="0" borderId="17" xfId="0" applyNumberFormat="1" applyBorder="1"/>
    <xf numFmtId="166" fontId="0" fillId="0" borderId="3" xfId="20" applyNumberFormat="1" applyFont="1" applyBorder="1"/>
    <xf numFmtId="43" fontId="0" fillId="0" borderId="3" xfId="0" applyNumberFormat="1" applyBorder="1"/>
    <xf numFmtId="43" fontId="0" fillId="0" borderId="13" xfId="0" applyNumberFormat="1" applyBorder="1"/>
    <xf numFmtId="0" fontId="7" fillId="0" borderId="6" xfId="0" applyFont="1" applyFill="1" applyBorder="1" applyAlignment="1">
      <alignment horizontal="center"/>
    </xf>
    <xf numFmtId="43" fontId="0" fillId="0" borderId="27" xfId="20" applyFont="1" applyBorder="1"/>
    <xf numFmtId="43" fontId="0" fillId="0" borderId="28" xfId="0" applyNumberFormat="1" applyBorder="1"/>
    <xf numFmtId="43" fontId="0" fillId="0" borderId="45" xfId="20" applyFont="1" applyBorder="1"/>
    <xf numFmtId="166" fontId="0" fillId="0" borderId="24" xfId="20" applyNumberFormat="1" applyFont="1" applyBorder="1"/>
    <xf numFmtId="166" fontId="0" fillId="0" borderId="71" xfId="20" applyNumberFormat="1" applyFon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5" xfId="0" applyNumberFormat="1" applyBorder="1"/>
    <xf numFmtId="43" fontId="0" fillId="0" borderId="14" xfId="20" applyNumberFormat="1" applyFont="1" applyBorder="1"/>
    <xf numFmtId="43" fontId="0" fillId="0" borderId="17" xfId="20" applyNumberFormat="1" applyFont="1" applyBorder="1"/>
    <xf numFmtId="0" fontId="7" fillId="0" borderId="33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42" xfId="0" applyBorder="1"/>
    <xf numFmtId="0" fontId="0" fillId="0" borderId="30" xfId="0" applyBorder="1"/>
    <xf numFmtId="0" fontId="0" fillId="7" borderId="31" xfId="0" applyNumberFormat="1" applyFill="1" applyBorder="1"/>
    <xf numFmtId="0" fontId="0" fillId="7" borderId="19" xfId="0" applyNumberFormat="1" applyFill="1" applyBorder="1"/>
    <xf numFmtId="0" fontId="0" fillId="7" borderId="24" xfId="0" applyFill="1" applyBorder="1"/>
    <xf numFmtId="0" fontId="0" fillId="7" borderId="11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14" xfId="0" applyFill="1" applyBorder="1"/>
    <xf numFmtId="0" fontId="0" fillId="7" borderId="0" xfId="0" applyFill="1"/>
    <xf numFmtId="0" fontId="0" fillId="7" borderId="19" xfId="0" applyFill="1" applyBorder="1"/>
    <xf numFmtId="0" fontId="7" fillId="0" borderId="3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left"/>
    </xf>
    <xf numFmtId="43" fontId="0" fillId="0" borderId="3" xfId="20" applyNumberFormat="1" applyFont="1" applyBorder="1"/>
    <xf numFmtId="43" fontId="0" fillId="0" borderId="13" xfId="20" applyNumberFormat="1" applyFont="1" applyBorder="1"/>
    <xf numFmtId="0" fontId="0" fillId="0" borderId="31" xfId="0" applyNumberFormat="1" applyFill="1" applyBorder="1"/>
    <xf numFmtId="0" fontId="0" fillId="0" borderId="19" xfId="0" applyNumberFormat="1" applyFill="1" applyBorder="1"/>
    <xf numFmtId="0" fontId="0" fillId="0" borderId="24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1" xfId="0" applyFill="1" applyBorder="1"/>
    <xf numFmtId="0" fontId="0" fillId="0" borderId="14" xfId="0" applyFill="1" applyBorder="1"/>
    <xf numFmtId="0" fontId="0" fillId="0" borderId="0" xfId="0" applyFill="1"/>
    <xf numFmtId="0" fontId="0" fillId="0" borderId="19" xfId="0" applyFill="1" applyBorder="1"/>
    <xf numFmtId="0" fontId="7" fillId="0" borderId="3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66" fontId="0" fillId="0" borderId="43" xfId="20" applyNumberFormat="1" applyFont="1" applyBorder="1"/>
    <xf numFmtId="0" fontId="7" fillId="0" borderId="35" xfId="0" applyFont="1" applyFill="1" applyBorder="1" applyAlignment="1">
      <alignment horizontal="center"/>
    </xf>
    <xf numFmtId="166" fontId="0" fillId="0" borderId="13" xfId="20" applyNumberFormat="1" applyFont="1" applyBorder="1"/>
    <xf numFmtId="166" fontId="0" fillId="0" borderId="46" xfId="20" applyNumberFormat="1" applyFont="1" applyBorder="1"/>
    <xf numFmtId="43" fontId="0" fillId="0" borderId="73" xfId="20" applyFont="1" applyBorder="1"/>
    <xf numFmtId="43" fontId="0" fillId="0" borderId="8" xfId="20" applyFont="1" applyBorder="1"/>
    <xf numFmtId="43" fontId="0" fillId="0" borderId="69" xfId="20" applyFont="1" applyBorder="1"/>
    <xf numFmtId="43" fontId="0" fillId="0" borderId="13" xfId="20" applyFont="1" applyBorder="1"/>
    <xf numFmtId="43" fontId="0" fillId="0" borderId="14" xfId="20" applyFont="1" applyBorder="1"/>
    <xf numFmtId="43" fontId="0" fillId="0" borderId="17" xfId="20" applyFont="1" applyBorder="1"/>
    <xf numFmtId="166" fontId="7" fillId="0" borderId="19" xfId="20" applyNumberFormat="1" applyFont="1" applyBorder="1"/>
    <xf numFmtId="166" fontId="7" fillId="0" borderId="29" xfId="20" applyNumberFormat="1" applyFont="1" applyBorder="1"/>
    <xf numFmtId="0" fontId="7" fillId="0" borderId="4" xfId="0" applyFont="1" applyBorder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66" fontId="7" fillId="0" borderId="26" xfId="20" applyNumberFormat="1" applyFont="1" applyBorder="1"/>
    <xf numFmtId="166" fontId="0" fillId="0" borderId="27" xfId="20" applyNumberFormat="1" applyFont="1" applyBorder="1"/>
    <xf numFmtId="166" fontId="0" fillId="0" borderId="45" xfId="20" applyNumberFormat="1" applyFont="1" applyBorder="1"/>
    <xf numFmtId="0" fontId="7" fillId="0" borderId="27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7" fillId="0" borderId="26" xfId="0" applyFont="1" applyBorder="1" applyAlignment="1">
      <alignment horizontal="right"/>
    </xf>
    <xf numFmtId="0" fontId="7" fillId="0" borderId="19" xfId="0" applyFont="1" applyBorder="1" applyAlignment="1">
      <alignment horizontal="right"/>
    </xf>
    <xf numFmtId="0" fontId="7" fillId="0" borderId="29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7" fillId="0" borderId="3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66" fontId="0" fillId="0" borderId="31" xfId="0" applyNumberFormat="1" applyBorder="1"/>
    <xf numFmtId="0" fontId="0" fillId="0" borderId="0" xfId="0" applyAlignment="1">
      <alignment horizontal="center"/>
    </xf>
    <xf numFmtId="166" fontId="0" fillId="0" borderId="32" xfId="20" applyNumberFormat="1" applyFont="1" applyBorder="1"/>
    <xf numFmtId="0" fontId="7" fillId="0" borderId="4" xfId="0" applyFont="1" applyFill="1" applyBorder="1" applyAlignment="1">
      <alignment horizontal="center"/>
    </xf>
    <xf numFmtId="0" fontId="16" fillId="7" borderId="34" xfId="0" applyFont="1" applyFill="1" applyBorder="1" applyAlignment="1" applyProtection="1">
      <alignment horizontal="center"/>
      <protection locked="0"/>
    </xf>
    <xf numFmtId="0" fontId="16" fillId="7" borderId="18" xfId="0" applyFont="1" applyFill="1" applyBorder="1" applyAlignment="1" applyProtection="1">
      <alignment horizontal="center"/>
      <protection locked="0"/>
    </xf>
    <xf numFmtId="0" fontId="16" fillId="7" borderId="35" xfId="0" applyFont="1" applyFill="1" applyBorder="1" applyAlignment="1" applyProtection="1">
      <alignment horizontal="center"/>
      <protection locked="0"/>
    </xf>
    <xf numFmtId="0" fontId="7" fillId="0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5" fillId="5" borderId="30" xfId="0" applyFont="1" applyFill="1" applyBorder="1" applyAlignment="1">
      <alignment horizontal="center"/>
    </xf>
    <xf numFmtId="0" fontId="15" fillId="5" borderId="0" xfId="0" applyFont="1" applyFill="1" applyBorder="1" applyAlignment="1">
      <alignment horizontal="center"/>
    </xf>
    <xf numFmtId="0" fontId="15" fillId="5" borderId="70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9" fontId="7" fillId="0" borderId="34" xfId="1" applyFont="1" applyBorder="1" applyAlignment="1">
      <alignment horizontal="center"/>
    </xf>
    <xf numFmtId="9" fontId="7" fillId="0" borderId="35" xfId="1" applyFont="1" applyBorder="1" applyAlignment="1">
      <alignment horizontal="center"/>
    </xf>
    <xf numFmtId="0" fontId="8" fillId="5" borderId="24" xfId="0" applyFont="1" applyFill="1" applyBorder="1" applyAlignment="1">
      <alignment horizontal="center"/>
    </xf>
    <xf numFmtId="0" fontId="8" fillId="5" borderId="25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60" xfId="0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4" borderId="29" xfId="18" applyFont="1" applyFill="1" applyBorder="1" applyAlignment="1">
      <alignment horizontal="left" vertical="center"/>
    </xf>
    <xf numFmtId="0" fontId="9" fillId="4" borderId="16" xfId="18" applyFont="1" applyFill="1" applyBorder="1" applyAlignment="1">
      <alignment horizontal="left" vertical="center"/>
    </xf>
    <xf numFmtId="0" fontId="9" fillId="4" borderId="24" xfId="18" applyFont="1" applyFill="1" applyBorder="1" applyAlignment="1">
      <alignment horizontal="left" vertical="center"/>
    </xf>
    <xf numFmtId="0" fontId="9" fillId="4" borderId="25" xfId="18" applyFont="1" applyFill="1" applyBorder="1" applyAlignment="1">
      <alignment horizontal="left" vertical="center"/>
    </xf>
    <xf numFmtId="0" fontId="9" fillId="4" borderId="31" xfId="18" applyFont="1" applyFill="1" applyBorder="1" applyAlignment="1">
      <alignment horizontal="left" vertical="center"/>
    </xf>
    <xf numFmtId="0" fontId="9" fillId="4" borderId="9" xfId="18" applyFont="1" applyFill="1" applyBorder="1" applyAlignment="1">
      <alignment horizontal="left" vertical="center"/>
    </xf>
    <xf numFmtId="0" fontId="10" fillId="0" borderId="33" xfId="18" applyFont="1" applyBorder="1" applyAlignment="1">
      <alignment horizontal="center" vertical="center"/>
    </xf>
    <xf numFmtId="0" fontId="10" fillId="0" borderId="11" xfId="18" applyFont="1" applyBorder="1" applyAlignment="1">
      <alignment horizontal="center" vertical="center"/>
    </xf>
    <xf numFmtId="0" fontId="10" fillId="0" borderId="12" xfId="18" applyFont="1" applyBorder="1" applyAlignment="1">
      <alignment horizontal="center" vertical="center"/>
    </xf>
    <xf numFmtId="0" fontId="9" fillId="4" borderId="26" xfId="18" applyFont="1" applyFill="1" applyBorder="1" applyAlignment="1">
      <alignment horizontal="left" vertical="center"/>
    </xf>
    <xf numFmtId="0" fontId="9" fillId="4" borderId="27" xfId="18" applyFont="1" applyFill="1" applyBorder="1" applyAlignment="1">
      <alignment horizontal="left" vertical="center"/>
    </xf>
    <xf numFmtId="0" fontId="9" fillId="4" borderId="19" xfId="18" applyFont="1" applyFill="1" applyBorder="1" applyAlignment="1">
      <alignment horizontal="left" vertical="center"/>
    </xf>
    <xf numFmtId="0" fontId="9" fillId="4" borderId="1" xfId="18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2" fillId="0" borderId="37" xfId="18" applyBorder="1" applyAlignment="1">
      <alignment horizontal="center"/>
    </xf>
    <xf numFmtId="0" fontId="2" fillId="0" borderId="38" xfId="18" applyBorder="1" applyAlignment="1">
      <alignment horizontal="center"/>
    </xf>
    <xf numFmtId="0" fontId="2" fillId="0" borderId="26" xfId="18" applyBorder="1" applyAlignment="1">
      <alignment horizontal="left"/>
    </xf>
    <xf numFmtId="0" fontId="2" fillId="0" borderId="32" xfId="18" applyBorder="1" applyAlignment="1">
      <alignment horizontal="left"/>
    </xf>
    <xf numFmtId="0" fontId="2" fillId="0" borderId="36" xfId="18" applyBorder="1" applyAlignment="1">
      <alignment horizontal="left"/>
    </xf>
    <xf numFmtId="0" fontId="2" fillId="0" borderId="42" xfId="18" applyBorder="1" applyAlignment="1">
      <alignment horizontal="left"/>
    </xf>
    <xf numFmtId="0" fontId="2" fillId="0" borderId="4" xfId="18" applyBorder="1" applyAlignment="1">
      <alignment horizontal="center"/>
    </xf>
    <xf numFmtId="0" fontId="2" fillId="0" borderId="47" xfId="18" applyBorder="1" applyAlignment="1">
      <alignment horizontal="center"/>
    </xf>
    <xf numFmtId="0" fontId="2" fillId="0" borderId="43" xfId="18" applyBorder="1" applyAlignment="1">
      <alignment horizontal="center"/>
    </xf>
    <xf numFmtId="0" fontId="2" fillId="0" borderId="44" xfId="18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12" fillId="0" borderId="60" xfId="0" applyFont="1" applyBorder="1" applyAlignment="1">
      <alignment horizontal="center"/>
    </xf>
    <xf numFmtId="0" fontId="10" fillId="0" borderId="34" xfId="18" applyFont="1" applyBorder="1" applyAlignment="1">
      <alignment horizontal="center"/>
    </xf>
    <xf numFmtId="0" fontId="10" fillId="0" borderId="18" xfId="18" applyFont="1" applyBorder="1" applyAlignment="1">
      <alignment horizontal="center"/>
    </xf>
    <xf numFmtId="0" fontId="10" fillId="0" borderId="35" xfId="18" applyFont="1" applyBorder="1" applyAlignment="1">
      <alignment horizont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0" borderId="20" xfId="18" applyBorder="1" applyAlignment="1">
      <alignment horizontal="left"/>
    </xf>
    <xf numFmtId="0" fontId="2" fillId="0" borderId="63" xfId="18" applyBorder="1" applyAlignment="1">
      <alignment horizontal="left"/>
    </xf>
    <xf numFmtId="0" fontId="7" fillId="3" borderId="3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6" borderId="3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7" fillId="7" borderId="3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166" fontId="0" fillId="0" borderId="14" xfId="0" applyNumberFormat="1" applyBorder="1"/>
    <xf numFmtId="166" fontId="0" fillId="0" borderId="17" xfId="0" applyNumberFormat="1" applyBorder="1"/>
    <xf numFmtId="166" fontId="0" fillId="0" borderId="9" xfId="20" applyNumberFormat="1" applyFont="1" applyBorder="1"/>
    <xf numFmtId="166" fontId="0" fillId="0" borderId="15" xfId="20" applyNumberFormat="1" applyFont="1" applyBorder="1"/>
    <xf numFmtId="0" fontId="7" fillId="0" borderId="10" xfId="0" applyFont="1" applyBorder="1"/>
    <xf numFmtId="166" fontId="0" fillId="0" borderId="8" xfId="20" applyNumberFormat="1" applyFont="1" applyBorder="1"/>
    <xf numFmtId="166" fontId="0" fillId="0" borderId="13" xfId="0" applyNumberFormat="1" applyBorder="1"/>
    <xf numFmtId="0" fontId="7" fillId="0" borderId="2" xfId="0" applyFont="1" applyBorder="1"/>
    <xf numFmtId="0" fontId="7" fillId="0" borderId="7" xfId="0" applyFont="1" applyBorder="1"/>
    <xf numFmtId="0" fontId="7" fillId="0" borderId="5" xfId="0" applyFont="1" applyBorder="1"/>
    <xf numFmtId="0" fontId="7" fillId="0" borderId="6" xfId="0" applyFont="1" applyBorder="1"/>
    <xf numFmtId="166" fontId="7" fillId="7" borderId="1" xfId="20" applyNumberFormat="1" applyFont="1" applyFill="1" applyBorder="1"/>
    <xf numFmtId="166" fontId="7" fillId="7" borderId="16" xfId="20" applyNumberFormat="1" applyFont="1" applyFill="1" applyBorder="1"/>
  </cellXfs>
  <cellStyles count="25">
    <cellStyle name="Comma" xfId="20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22" builtinId="9" hidden="1"/>
    <cellStyle name="Followed Hyperlink" xfId="2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21" builtinId="8" hidden="1"/>
    <cellStyle name="Hyperlink" xfId="23" builtinId="8" hidden="1"/>
    <cellStyle name="Normal" xfId="0" builtinId="0"/>
    <cellStyle name="Normal 2" xfId="18"/>
    <cellStyle name="Percent" xfId="1" builtinId="5"/>
    <cellStyle name="Percent 2" xfId="19"/>
  </cellStyles>
  <dxfs count="10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Analysis!$Q$12</c:f>
              <c:strCache>
                <c:ptCount val="1"/>
                <c:pt idx="0">
                  <c:v>Edge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Analysis!$Q$13:$Q$22</c:f>
              <c:numCache>
                <c:formatCode>General</c:formatCode>
                <c:ptCount val="10"/>
                <c:pt idx="0">
                  <c:v>-0.204369594902139</c:v>
                </c:pt>
                <c:pt idx="1">
                  <c:v>0.0436184096202153</c:v>
                </c:pt>
                <c:pt idx="2">
                  <c:v>0.362736978788722</c:v>
                </c:pt>
                <c:pt idx="3">
                  <c:v>0.244331322089137</c:v>
                </c:pt>
                <c:pt idx="4">
                  <c:v>0.303478808169501</c:v>
                </c:pt>
                <c:pt idx="5">
                  <c:v>0.349453059563886</c:v>
                </c:pt>
                <c:pt idx="6">
                  <c:v>0.385659579343735</c:v>
                </c:pt>
                <c:pt idx="7">
                  <c:v>0.414273674512083</c:v>
                </c:pt>
                <c:pt idx="8">
                  <c:v>0.436927188215452</c:v>
                </c:pt>
                <c:pt idx="9">
                  <c:v>0.454865046829001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Analysis!$R$12</c:f>
              <c:strCache>
                <c:ptCount val="1"/>
                <c:pt idx="0">
                  <c:v>Return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Analysis!$R$13:$R$22</c:f>
              <c:numCache>
                <c:formatCode>General</c:formatCode>
                <c:ptCount val="10"/>
                <c:pt idx="0">
                  <c:v>1.500371565417361</c:v>
                </c:pt>
                <c:pt idx="1">
                  <c:v>1.395324336383284</c:v>
                </c:pt>
                <c:pt idx="2">
                  <c:v>1.527530056883267</c:v>
                </c:pt>
                <c:pt idx="3">
                  <c:v>1.708354024926967</c:v>
                </c:pt>
                <c:pt idx="4">
                  <c:v>1.822050956939151</c:v>
                </c:pt>
                <c:pt idx="5">
                  <c:v>1.912562779794836</c:v>
                </c:pt>
                <c:pt idx="6">
                  <c:v>1.984365957621678</c:v>
                </c:pt>
                <c:pt idx="7">
                  <c:v>2.041232057391678</c:v>
                </c:pt>
                <c:pt idx="8">
                  <c:v>2.086285715420337</c:v>
                </c:pt>
                <c:pt idx="9">
                  <c:v>2.121968783396065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Analysis!$S$12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Analysis!$S$13:$S$22</c:f>
              <c:numCache>
                <c:formatCode>General</c:formatCode>
                <c:ptCount val="10"/>
                <c:pt idx="0">
                  <c:v>-0.00531417925590549</c:v>
                </c:pt>
                <c:pt idx="1">
                  <c:v>-0.210937895074852</c:v>
                </c:pt>
                <c:pt idx="2">
                  <c:v>0.328497421316246</c:v>
                </c:pt>
                <c:pt idx="3">
                  <c:v>-0.217571222355675</c:v>
                </c:pt>
                <c:pt idx="4">
                  <c:v>-0.143797019334051</c:v>
                </c:pt>
                <c:pt idx="5">
                  <c:v>-0.0411671233471431</c:v>
                </c:pt>
                <c:pt idx="6">
                  <c:v>0.0758721381487338</c:v>
                </c:pt>
                <c:pt idx="7">
                  <c:v>0.197052872611718</c:v>
                </c:pt>
                <c:pt idx="8">
                  <c:v>0.315651763237029</c:v>
                </c:pt>
                <c:pt idx="9">
                  <c:v>0.427503408495923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1669984"/>
        <c:axId val="2131670384"/>
      </c:lineChart>
      <c:catAx>
        <c:axId val="2131669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670384"/>
        <c:crosses val="autoZero"/>
        <c:auto val="1"/>
        <c:lblAlgn val="ctr"/>
        <c:lblOffset val="100"/>
        <c:noMultiLvlLbl val="0"/>
      </c:catAx>
      <c:valAx>
        <c:axId val="213167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6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Analysis!$Q$33</c:f>
              <c:strCache>
                <c:ptCount val="1"/>
                <c:pt idx="0">
                  <c:v>Edge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Analysis!$Q$34:$Q$43</c:f>
              <c:numCache>
                <c:formatCode>General</c:formatCode>
                <c:ptCount val="10"/>
                <c:pt idx="0">
                  <c:v>-0.443927862072023</c:v>
                </c:pt>
                <c:pt idx="1">
                  <c:v>-0.302286446936073</c:v>
                </c:pt>
                <c:pt idx="2">
                  <c:v>0.0616555252377165</c:v>
                </c:pt>
                <c:pt idx="3">
                  <c:v>-0.0823875465714499</c:v>
                </c:pt>
                <c:pt idx="4">
                  <c:v>-0.0133575395368073</c:v>
                </c:pt>
                <c:pt idx="5">
                  <c:v>0.0407712259015816</c:v>
                </c:pt>
                <c:pt idx="6">
                  <c:v>0.0835193610697074</c:v>
                </c:pt>
                <c:pt idx="7">
                  <c:v>0.11734310405846</c:v>
                </c:pt>
                <c:pt idx="8">
                  <c:v>0.144122783776966</c:v>
                </c:pt>
                <c:pt idx="9">
                  <c:v>0.165328310163417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Analysis!$R$33</c:f>
              <c:strCache>
                <c:ptCount val="1"/>
                <c:pt idx="0">
                  <c:v>Return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Analysis!$R$34:$R$43</c:f>
              <c:numCache>
                <c:formatCode>General</c:formatCode>
                <c:ptCount val="10"/>
                <c:pt idx="0">
                  <c:v>1.278242686140001</c:v>
                </c:pt>
                <c:pt idx="1">
                  <c:v>1.588852313064437</c:v>
                </c:pt>
                <c:pt idx="2">
                  <c:v>1.746641458819089</c:v>
                </c:pt>
                <c:pt idx="3">
                  <c:v>1.960581603575451</c:v>
                </c:pt>
                <c:pt idx="4">
                  <c:v>2.094943367860364</c:v>
                </c:pt>
                <c:pt idx="5">
                  <c:v>2.20191939784916</c:v>
                </c:pt>
                <c:pt idx="6">
                  <c:v>2.286794628160738</c:v>
                </c:pt>
                <c:pt idx="7">
                  <c:v>2.354019794548295</c:v>
                </c:pt>
                <c:pt idx="8">
                  <c:v>2.407281000779831</c:v>
                </c:pt>
                <c:pt idx="9">
                  <c:v>2.449464637356489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Analysis!$S$33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Analysis!$S$34:$S$43</c:f>
              <c:numCache>
                <c:formatCode>General</c:formatCode>
                <c:ptCount val="10"/>
                <c:pt idx="0">
                  <c:v>-0.197603257092675</c:v>
                </c:pt>
                <c:pt idx="1">
                  <c:v>-0.3288952652645</c:v>
                </c:pt>
                <c:pt idx="2">
                  <c:v>0.304914495335217</c:v>
                </c:pt>
                <c:pt idx="3">
                  <c:v>-0.348891863986336</c:v>
                </c:pt>
                <c:pt idx="4">
                  <c:v>-0.265961670410753</c:v>
                </c:pt>
                <c:pt idx="5">
                  <c:v>-0.148003198017268</c:v>
                </c:pt>
                <c:pt idx="6">
                  <c:v>-0.0122959314594513</c:v>
                </c:pt>
                <c:pt idx="7">
                  <c:v>0.12887022774314</c:v>
                </c:pt>
                <c:pt idx="8">
                  <c:v>0.267419034948788</c:v>
                </c:pt>
                <c:pt idx="9">
                  <c:v>0.398335993799711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515136"/>
        <c:axId val="2136518416"/>
      </c:lineChart>
      <c:catAx>
        <c:axId val="2136515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518416"/>
        <c:crosses val="autoZero"/>
        <c:auto val="1"/>
        <c:lblAlgn val="ctr"/>
        <c:lblOffset val="100"/>
        <c:noMultiLvlLbl val="0"/>
      </c:catAx>
      <c:valAx>
        <c:axId val="213651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51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Analysis!$Q$53</c:f>
              <c:strCache>
                <c:ptCount val="1"/>
                <c:pt idx="0">
                  <c:v>Edge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Analysis!$Q$54:$Q$63</c:f>
              <c:numCache>
                <c:formatCode>General</c:formatCode>
                <c:ptCount val="10"/>
                <c:pt idx="0">
                  <c:v>-0.524145909276184</c:v>
                </c:pt>
                <c:pt idx="1">
                  <c:v>-0.437270249006316</c:v>
                </c:pt>
                <c:pt idx="2">
                  <c:v>-0.0662013692337343</c:v>
                </c:pt>
                <c:pt idx="3">
                  <c:v>-0.22205264989416</c:v>
                </c:pt>
                <c:pt idx="4">
                  <c:v>-0.148173949386793</c:v>
                </c:pt>
                <c:pt idx="5">
                  <c:v>-0.0901109562881052</c:v>
                </c:pt>
                <c:pt idx="6">
                  <c:v>-0.0442220934335221</c:v>
                </c:pt>
                <c:pt idx="7">
                  <c:v>-0.00790194719982123</c:v>
                </c:pt>
                <c:pt idx="8">
                  <c:v>0.0208547366750549</c:v>
                </c:pt>
                <c:pt idx="9">
                  <c:v>0.0436258782313886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Analysis!$R$53</c:f>
              <c:strCache>
                <c:ptCount val="1"/>
                <c:pt idx="0">
                  <c:v>Return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Analysis!$R$54:$R$63</c:f>
              <c:numCache>
                <c:formatCode>General</c:formatCode>
                <c:ptCount val="10"/>
                <c:pt idx="0">
                  <c:v>1.336261092080899</c:v>
                </c:pt>
                <c:pt idx="1">
                  <c:v>1.70084471577158</c:v>
                </c:pt>
                <c:pt idx="2">
                  <c:v>1.898219989577627</c:v>
                </c:pt>
                <c:pt idx="3">
                  <c:v>2.128302677194557</c:v>
                </c:pt>
                <c:pt idx="4">
                  <c:v>2.272631430777371</c:v>
                </c:pt>
                <c:pt idx="5">
                  <c:v>2.387511575772602</c:v>
                </c:pt>
                <c:pt idx="6">
                  <c:v>2.478653637444422</c:v>
                </c:pt>
                <c:pt idx="7">
                  <c:v>2.550842221709801</c:v>
                </c:pt>
                <c:pt idx="8">
                  <c:v>2.60803585216297</c:v>
                </c:pt>
                <c:pt idx="9">
                  <c:v>2.653334031136998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Analysis!$S$53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Analysis!$S$54:$S$63</c:f>
              <c:numCache>
                <c:formatCode>General</c:formatCode>
                <c:ptCount val="10"/>
                <c:pt idx="0">
                  <c:v>-0.289343807639015</c:v>
                </c:pt>
                <c:pt idx="1">
                  <c:v>-0.502524569028197</c:v>
                </c:pt>
                <c:pt idx="2">
                  <c:v>0.148640918860531</c:v>
                </c:pt>
                <c:pt idx="3">
                  <c:v>-0.578322807206436</c:v>
                </c:pt>
                <c:pt idx="4">
                  <c:v>-0.504190795051322</c:v>
                </c:pt>
                <c:pt idx="5">
                  <c:v>-0.389239100234187</c:v>
                </c:pt>
                <c:pt idx="6">
                  <c:v>-0.252761881455639</c:v>
                </c:pt>
                <c:pt idx="7">
                  <c:v>-0.108481338244376</c:v>
                </c:pt>
                <c:pt idx="8">
                  <c:v>0.0345074978564853</c:v>
                </c:pt>
                <c:pt idx="9">
                  <c:v>0.170505339218785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1557568"/>
        <c:axId val="2131560848"/>
      </c:lineChart>
      <c:catAx>
        <c:axId val="2131557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560848"/>
        <c:crosses val="autoZero"/>
        <c:auto val="1"/>
        <c:lblAlgn val="ctr"/>
        <c:lblOffset val="100"/>
        <c:noMultiLvlLbl val="0"/>
      </c:catAx>
      <c:valAx>
        <c:axId val="213156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55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Analysis!$Q$73</c:f>
              <c:strCache>
                <c:ptCount val="1"/>
                <c:pt idx="0">
                  <c:v>Edge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Analysis!$Q$74:$Q$83</c:f>
              <c:numCache>
                <c:formatCode>General</c:formatCode>
                <c:ptCount val="10"/>
                <c:pt idx="0">
                  <c:v>-0.561921022748519</c:v>
                </c:pt>
                <c:pt idx="1">
                  <c:v>-0.495311888313056</c:v>
                </c:pt>
                <c:pt idx="2">
                  <c:v>-0.128578697306974</c:v>
                </c:pt>
                <c:pt idx="3">
                  <c:v>-0.284949303011344</c:v>
                </c:pt>
                <c:pt idx="4">
                  <c:v>-0.211195011111603</c:v>
                </c:pt>
                <c:pt idx="5">
                  <c:v>-0.153161821123379</c:v>
                </c:pt>
                <c:pt idx="6">
                  <c:v>-0.107280097850295</c:v>
                </c:pt>
                <c:pt idx="7">
                  <c:v>-0.0709603613440633</c:v>
                </c:pt>
                <c:pt idx="8">
                  <c:v>-0.0422037756227897</c:v>
                </c:pt>
                <c:pt idx="9">
                  <c:v>-0.019432657579963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Analysis!$R$73</c:f>
              <c:strCache>
                <c:ptCount val="1"/>
                <c:pt idx="0">
                  <c:v>Return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Analysis!$R$74:$R$83</c:f>
              <c:numCache>
                <c:formatCode>General</c:formatCode>
                <c:ptCount val="10"/>
                <c:pt idx="0">
                  <c:v>1.372547647140327</c:v>
                </c:pt>
                <c:pt idx="1">
                  <c:v>1.756599178084076</c:v>
                </c:pt>
                <c:pt idx="2">
                  <c:v>1.958139289389853</c:v>
                </c:pt>
                <c:pt idx="3">
                  <c:v>2.188720837634022</c:v>
                </c:pt>
                <c:pt idx="4">
                  <c:v>2.333169097404257</c:v>
                </c:pt>
                <c:pt idx="5">
                  <c:v>2.448077871094663</c:v>
                </c:pt>
                <c:pt idx="6">
                  <c:v>2.53922679100709</c:v>
                </c:pt>
                <c:pt idx="7">
                  <c:v>2.611415768854301</c:v>
                </c:pt>
                <c:pt idx="8">
                  <c:v>2.668609493593252</c:v>
                </c:pt>
                <c:pt idx="9">
                  <c:v>2.713907695154218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Analysis!$S$73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Analysis!$S$74:$S$83</c:f>
              <c:numCache>
                <c:formatCode>General</c:formatCode>
                <c:ptCount val="10"/>
                <c:pt idx="0">
                  <c:v>-0.381129000519173</c:v>
                </c:pt>
                <c:pt idx="1">
                  <c:v>-0.679663336484113</c:v>
                </c:pt>
                <c:pt idx="2">
                  <c:v>-0.0644347961981971</c:v>
                </c:pt>
                <c:pt idx="3">
                  <c:v>-0.821028187881642</c:v>
                </c:pt>
                <c:pt idx="4">
                  <c:v>-0.764936398516443</c:v>
                </c:pt>
                <c:pt idx="5">
                  <c:v>-0.664109706056685</c:v>
                </c:pt>
                <c:pt idx="6">
                  <c:v>-0.538777608011768</c:v>
                </c:pt>
                <c:pt idx="7">
                  <c:v>-0.403303116073804</c:v>
                </c:pt>
                <c:pt idx="8">
                  <c:v>-0.267290201317478</c:v>
                </c:pt>
                <c:pt idx="9">
                  <c:v>-0.136817155261847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1537328"/>
        <c:axId val="2131572992"/>
      </c:lineChart>
      <c:catAx>
        <c:axId val="2131537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572992"/>
        <c:crosses val="autoZero"/>
        <c:auto val="1"/>
        <c:lblAlgn val="ctr"/>
        <c:lblOffset val="100"/>
        <c:noMultiLvlLbl val="0"/>
      </c:catAx>
      <c:valAx>
        <c:axId val="213157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53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'2x10 Strategy Analysis'!$P$12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'2x10 Strategy Analysis'!$P$13:$P$22</c:f>
              <c:numCache>
                <c:formatCode>General</c:formatCode>
                <c:ptCount val="10"/>
                <c:pt idx="0">
                  <c:v>0.753024223753149</c:v>
                </c:pt>
                <c:pt idx="1">
                  <c:v>0.974218321182907</c:v>
                </c:pt>
                <c:pt idx="2">
                  <c:v>0.980157070134039</c:v>
                </c:pt>
                <c:pt idx="3">
                  <c:v>0.999820759186503</c:v>
                </c:pt>
                <c:pt idx="4">
                  <c:v>0.99998524206854</c:v>
                </c:pt>
                <c:pt idx="5">
                  <c:v>0.99999878507749</c:v>
                </c:pt>
                <c:pt idx="6">
                  <c:v>0.999999899984739</c:v>
                </c:pt>
                <c:pt idx="7">
                  <c:v>0.999999991766518</c:v>
                </c:pt>
                <c:pt idx="8">
                  <c:v>0.999999999322201</c:v>
                </c:pt>
                <c:pt idx="9">
                  <c:v>0.999999999944202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'2x10 Strategy Analysis'!$Q$12</c:f>
              <c:strCache>
                <c:ptCount val="1"/>
                <c:pt idx="0">
                  <c:v>Edge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'2x10 Strategy Analysis'!$Q$13:$Q$22</c:f>
              <c:numCache>
                <c:formatCode>General</c:formatCode>
                <c:ptCount val="10"/>
                <c:pt idx="0">
                  <c:v>0.165328310163417</c:v>
                </c:pt>
                <c:pt idx="1">
                  <c:v>0.244260174535416</c:v>
                </c:pt>
                <c:pt idx="2">
                  <c:v>0.24591558143045</c:v>
                </c:pt>
                <c:pt idx="3">
                  <c:v>0.250953851585373</c:v>
                </c:pt>
                <c:pt idx="4">
                  <c:v>0.250995182809106</c:v>
                </c:pt>
                <c:pt idx="5">
                  <c:v>0.250998582901861</c:v>
                </c:pt>
                <c:pt idx="6">
                  <c:v>0.25099886275776</c:v>
                </c:pt>
                <c:pt idx="7">
                  <c:v>0.250998885794893</c:v>
                </c:pt>
                <c:pt idx="8">
                  <c:v>0.250998887691361</c:v>
                </c:pt>
                <c:pt idx="9">
                  <c:v>0.250998887847483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'2x10 Strategy Analysis'!$R$12</c:f>
              <c:strCache>
                <c:ptCount val="1"/>
                <c:pt idx="0">
                  <c:v>Return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'2x10 Strategy Analysis'!$R$13:$R$22</c:f>
              <c:numCache>
                <c:formatCode>General</c:formatCode>
                <c:ptCount val="10"/>
                <c:pt idx="0">
                  <c:v>2.746641458819089</c:v>
                </c:pt>
                <c:pt idx="1">
                  <c:v>1.473592444411612</c:v>
                </c:pt>
                <c:pt idx="2">
                  <c:v>1.483352904820084</c:v>
                </c:pt>
                <c:pt idx="3">
                  <c:v>1.477704684771222</c:v>
                </c:pt>
                <c:pt idx="4">
                  <c:v>1.477730784616745</c:v>
                </c:pt>
                <c:pt idx="5">
                  <c:v>1.477732934657897</c:v>
                </c:pt>
                <c:pt idx="6">
                  <c:v>1.477733111682762</c:v>
                </c:pt>
                <c:pt idx="7">
                  <c:v>1.477733126255858</c:v>
                </c:pt>
                <c:pt idx="8">
                  <c:v>1.477733127455594</c:v>
                </c:pt>
                <c:pt idx="9">
                  <c:v>1.47773312755436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'2x10 Strategy Analysis'!$S$12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'2x10 Strategy Analysis'!$S$13:$S$22</c:f>
              <c:numCache>
                <c:formatCode>General</c:formatCode>
                <c:ptCount val="10"/>
                <c:pt idx="0">
                  <c:v>0.595030771707985</c:v>
                </c:pt>
                <c:pt idx="1">
                  <c:v>0.356444702477166</c:v>
                </c:pt>
                <c:pt idx="2">
                  <c:v>0.357072987795589</c:v>
                </c:pt>
                <c:pt idx="3">
                  <c:v>0.37072218566199</c:v>
                </c:pt>
                <c:pt idx="4">
                  <c:v>0.370890260959497</c:v>
                </c:pt>
                <c:pt idx="5">
                  <c:v>0.370907493465758</c:v>
                </c:pt>
                <c:pt idx="6">
                  <c:v>0.370909191862408</c:v>
                </c:pt>
                <c:pt idx="7">
                  <c:v>0.370909354713542</c:v>
                </c:pt>
                <c:pt idx="8">
                  <c:v>0.370909370016292</c:v>
                </c:pt>
                <c:pt idx="9">
                  <c:v>0.370909371432171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846112"/>
        <c:axId val="2130849456"/>
      </c:lineChart>
      <c:catAx>
        <c:axId val="213084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849456"/>
        <c:crosses val="autoZero"/>
        <c:auto val="1"/>
        <c:lblAlgn val="ctr"/>
        <c:lblOffset val="100"/>
        <c:noMultiLvlLbl val="0"/>
      </c:catAx>
      <c:valAx>
        <c:axId val="21308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84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'2x3 M1.5  Plan'!$P$57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'2x3 M1.5  Plan'!$P$58:$P$67</c:f>
              <c:numCache>
                <c:formatCode>General</c:formatCode>
                <c:ptCount val="10"/>
                <c:pt idx="0">
                  <c:v>0.572592359167303</c:v>
                </c:pt>
                <c:pt idx="1">
                  <c:v>0.880681209845169</c:v>
                </c:pt>
                <c:pt idx="2">
                  <c:v>0.955946486876963</c:v>
                </c:pt>
                <c:pt idx="3">
                  <c:v>0.995148365641166</c:v>
                </c:pt>
                <c:pt idx="4">
                  <c:v>0.999075101973649</c:v>
                </c:pt>
                <c:pt idx="5">
                  <c:v>0.999824241457708</c:v>
                </c:pt>
                <c:pt idx="6">
                  <c:v>0.999966620839061</c:v>
                </c:pt>
                <c:pt idx="7">
                  <c:v>0.999993661532105</c:v>
                </c:pt>
                <c:pt idx="8">
                  <c:v>0.999998796395894</c:v>
                </c:pt>
                <c:pt idx="9">
                  <c:v>0.999999771450003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'2x3 M1.5  Plan'!$Q$57</c:f>
              <c:strCache>
                <c:ptCount val="1"/>
                <c:pt idx="0">
                  <c:v>Edge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'2x3 M1.5  Plan'!$Q$58:$Q$67</c:f>
              <c:numCache>
                <c:formatCode>General</c:formatCode>
                <c:ptCount val="10"/>
                <c:pt idx="0">
                  <c:v>0.0616555252377165</c:v>
                </c:pt>
                <c:pt idx="1">
                  <c:v>0.219495840698389</c:v>
                </c:pt>
                <c:pt idx="2">
                  <c:v>0.242646119491326</c:v>
                </c:pt>
                <c:pt idx="3">
                  <c:v>0.25314902890237</c:v>
                </c:pt>
                <c:pt idx="4">
                  <c:v>0.254154669531412</c:v>
                </c:pt>
                <c:pt idx="5">
                  <c:v>0.254345493926642</c:v>
                </c:pt>
                <c:pt idx="6">
                  <c:v>0.254381723221427</c:v>
                </c:pt>
                <c:pt idx="7">
                  <c:v>0.254388602385864</c:v>
                </c:pt>
                <c:pt idx="8">
                  <c:v>0.254389908654973</c:v>
                </c:pt>
                <c:pt idx="9">
                  <c:v>0.254390156699559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'2x3 M1.5  Plan'!$R$57</c:f>
              <c:strCache>
                <c:ptCount val="1"/>
                <c:pt idx="0">
                  <c:v>Return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'2x3 M1.5  Plan'!$R$58:$R$67</c:f>
              <c:numCache>
                <c:formatCode>General</c:formatCode>
                <c:ptCount val="10"/>
                <c:pt idx="0">
                  <c:v>2.746641458819089</c:v>
                </c:pt>
                <c:pt idx="1">
                  <c:v>1.523954593519657</c:v>
                </c:pt>
                <c:pt idx="2">
                  <c:v>1.548965798734796</c:v>
                </c:pt>
                <c:pt idx="3">
                  <c:v>1.547582549272182</c:v>
                </c:pt>
                <c:pt idx="4">
                  <c:v>1.548307667303026</c:v>
                </c:pt>
                <c:pt idx="5">
                  <c:v>1.548445446167692</c:v>
                </c:pt>
                <c:pt idx="6">
                  <c:v>1.548471612572551</c:v>
                </c:pt>
                <c:pt idx="7">
                  <c:v>1.548476581261984</c:v>
                </c:pt>
                <c:pt idx="8">
                  <c:v>1.548477524787025</c:v>
                </c:pt>
                <c:pt idx="9">
                  <c:v>1.548477703952333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'2x3 M1.5  Plan'!$S$57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'2x3 M1.5  Plan'!$S$58:$S$67</c:f>
              <c:numCache>
                <c:formatCode>General</c:formatCode>
                <c:ptCount val="10"/>
                <c:pt idx="0">
                  <c:v>0.486373272031201</c:v>
                </c:pt>
                <c:pt idx="1">
                  <c:v>0.318126288610014</c:v>
                </c:pt>
                <c:pt idx="2">
                  <c:v>0.358841191860547</c:v>
                </c:pt>
                <c:pt idx="3">
                  <c:v>0.388727480554449</c:v>
                </c:pt>
                <c:pt idx="4">
                  <c:v>0.392696740361253</c:v>
                </c:pt>
                <c:pt idx="5">
                  <c:v>0.393641052253828</c:v>
                </c:pt>
                <c:pt idx="6">
                  <c:v>0.393856584883448</c:v>
                </c:pt>
                <c:pt idx="7">
                  <c:v>0.39390439054696</c:v>
                </c:pt>
                <c:pt idx="8">
                  <c:v>0.393914774536896</c:v>
                </c:pt>
                <c:pt idx="9">
                  <c:v>0.393916994375128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172688"/>
        <c:axId val="2136169120"/>
      </c:lineChart>
      <c:catAx>
        <c:axId val="2136172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169120"/>
        <c:crosses val="autoZero"/>
        <c:auto val="1"/>
        <c:lblAlgn val="ctr"/>
        <c:lblOffset val="100"/>
        <c:noMultiLvlLbl val="0"/>
      </c:catAx>
      <c:valAx>
        <c:axId val="213616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17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'2x3 M2  Plan'!$P$57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'2x3 M2  Plan'!$P$58:$P$67</c:f>
              <c:numCache>
                <c:formatCode>General</c:formatCode>
                <c:ptCount val="10"/>
                <c:pt idx="0">
                  <c:v>0.572592359167303</c:v>
                </c:pt>
                <c:pt idx="1">
                  <c:v>0.880681209845169</c:v>
                </c:pt>
                <c:pt idx="2">
                  <c:v>0.955946486876963</c:v>
                </c:pt>
                <c:pt idx="3">
                  <c:v>0.995148365641166</c:v>
                </c:pt>
                <c:pt idx="4">
                  <c:v>0.999075101973649</c:v>
                </c:pt>
                <c:pt idx="5">
                  <c:v>0.999824241457708</c:v>
                </c:pt>
                <c:pt idx="6">
                  <c:v>0.999966620839061</c:v>
                </c:pt>
                <c:pt idx="7">
                  <c:v>0.999993661532105</c:v>
                </c:pt>
                <c:pt idx="8">
                  <c:v>0.999998796395894</c:v>
                </c:pt>
                <c:pt idx="9">
                  <c:v>0.999999771450003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'2x3 M2  Plan'!$Q$57</c:f>
              <c:strCache>
                <c:ptCount val="1"/>
                <c:pt idx="0">
                  <c:v>Edge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'2x3 M2  Plan'!$Q$58:$Q$67</c:f>
              <c:numCache>
                <c:formatCode>General</c:formatCode>
                <c:ptCount val="10"/>
                <c:pt idx="0">
                  <c:v>0.0616555252377165</c:v>
                </c:pt>
                <c:pt idx="1">
                  <c:v>0.219495840698389</c:v>
                </c:pt>
                <c:pt idx="2">
                  <c:v>0.242646119491326</c:v>
                </c:pt>
                <c:pt idx="3">
                  <c:v>0.25314902890237</c:v>
                </c:pt>
                <c:pt idx="4">
                  <c:v>0.254154669531412</c:v>
                </c:pt>
                <c:pt idx="5">
                  <c:v>0.254345493926642</c:v>
                </c:pt>
                <c:pt idx="6">
                  <c:v>0.254381723221427</c:v>
                </c:pt>
                <c:pt idx="7">
                  <c:v>0.254388602385864</c:v>
                </c:pt>
                <c:pt idx="8">
                  <c:v>0.254389908654973</c:v>
                </c:pt>
                <c:pt idx="9">
                  <c:v>0.254390156699559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'2x3 M2  Plan'!$R$57</c:f>
              <c:strCache>
                <c:ptCount val="1"/>
                <c:pt idx="0">
                  <c:v>Return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'2x3 M2  Plan'!$R$58:$R$67</c:f>
              <c:numCache>
                <c:formatCode>General</c:formatCode>
                <c:ptCount val="10"/>
                <c:pt idx="0">
                  <c:v>2.746641458819089</c:v>
                </c:pt>
                <c:pt idx="1">
                  <c:v>1.523954593519657</c:v>
                </c:pt>
                <c:pt idx="2">
                  <c:v>1.548965798734796</c:v>
                </c:pt>
                <c:pt idx="3">
                  <c:v>1.547582549272182</c:v>
                </c:pt>
                <c:pt idx="4">
                  <c:v>1.548307667303026</c:v>
                </c:pt>
                <c:pt idx="5">
                  <c:v>1.548445446167692</c:v>
                </c:pt>
                <c:pt idx="6">
                  <c:v>1.548471612572551</c:v>
                </c:pt>
                <c:pt idx="7">
                  <c:v>1.548476581261984</c:v>
                </c:pt>
                <c:pt idx="8">
                  <c:v>1.548477524787025</c:v>
                </c:pt>
                <c:pt idx="9">
                  <c:v>1.548477703952333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'2x3 M2  Plan'!$S$57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'2x3 M2  Plan'!$S$58:$S$67</c:f>
              <c:numCache>
                <c:formatCode>General</c:formatCode>
                <c:ptCount val="10"/>
                <c:pt idx="0">
                  <c:v>0.486373272031201</c:v>
                </c:pt>
                <c:pt idx="1">
                  <c:v>0.318126288610014</c:v>
                </c:pt>
                <c:pt idx="2">
                  <c:v>0.358841191860547</c:v>
                </c:pt>
                <c:pt idx="3">
                  <c:v>0.388727480554449</c:v>
                </c:pt>
                <c:pt idx="4">
                  <c:v>0.392696740361253</c:v>
                </c:pt>
                <c:pt idx="5">
                  <c:v>0.393641052253828</c:v>
                </c:pt>
                <c:pt idx="6">
                  <c:v>0.393856584883448</c:v>
                </c:pt>
                <c:pt idx="7">
                  <c:v>0.39390439054696</c:v>
                </c:pt>
                <c:pt idx="8">
                  <c:v>0.393914774536896</c:v>
                </c:pt>
                <c:pt idx="9">
                  <c:v>0.393916994375128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214768"/>
        <c:axId val="2136210016"/>
      </c:lineChart>
      <c:catAx>
        <c:axId val="2136214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210016"/>
        <c:crosses val="autoZero"/>
        <c:auto val="1"/>
        <c:lblAlgn val="ctr"/>
        <c:lblOffset val="100"/>
        <c:noMultiLvlLbl val="0"/>
      </c:catAx>
      <c:valAx>
        <c:axId val="213621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21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9</xdr:row>
      <xdr:rowOff>196850</xdr:rowOff>
    </xdr:from>
    <xdr:to>
      <xdr:col>24</xdr:col>
      <xdr:colOff>635000</xdr:colOff>
      <xdr:row>23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635000</xdr:colOff>
      <xdr:row>30</xdr:row>
      <xdr:rowOff>69850</xdr:rowOff>
    </xdr:from>
    <xdr:to>
      <xdr:col>25</xdr:col>
      <xdr:colOff>254000</xdr:colOff>
      <xdr:row>43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368300</xdr:colOff>
      <xdr:row>50</xdr:row>
      <xdr:rowOff>133350</xdr:rowOff>
    </xdr:from>
    <xdr:to>
      <xdr:col>24</xdr:col>
      <xdr:colOff>812800</xdr:colOff>
      <xdr:row>63</xdr:row>
      <xdr:rowOff>196850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241300</xdr:colOff>
      <xdr:row>71</xdr:row>
      <xdr:rowOff>69850</xdr:rowOff>
    </xdr:from>
    <xdr:to>
      <xdr:col>24</xdr:col>
      <xdr:colOff>685800</xdr:colOff>
      <xdr:row>84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279400</xdr:colOff>
      <xdr:row>9</xdr:row>
      <xdr:rowOff>120650</xdr:rowOff>
    </xdr:from>
    <xdr:to>
      <xdr:col>24</xdr:col>
      <xdr:colOff>723900</xdr:colOff>
      <xdr:row>22</xdr:row>
      <xdr:rowOff>184150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279400</xdr:colOff>
      <xdr:row>54</xdr:row>
      <xdr:rowOff>120650</xdr:rowOff>
    </xdr:from>
    <xdr:to>
      <xdr:col>24</xdr:col>
      <xdr:colOff>723900</xdr:colOff>
      <xdr:row>67</xdr:row>
      <xdr:rowOff>184150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279400</xdr:colOff>
      <xdr:row>54</xdr:row>
      <xdr:rowOff>120650</xdr:rowOff>
    </xdr:from>
    <xdr:to>
      <xdr:col>24</xdr:col>
      <xdr:colOff>723900</xdr:colOff>
      <xdr:row>67</xdr:row>
      <xdr:rowOff>184150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43"/>
  <sheetViews>
    <sheetView zoomScale="80" zoomScaleNormal="80" zoomScalePageLayoutView="80" workbookViewId="0">
      <selection activeCell="B7" sqref="B7"/>
    </sheetView>
  </sheetViews>
  <sheetFormatPr baseColWidth="10" defaultRowHeight="16" x14ac:dyDescent="0.2"/>
  <cols>
    <col min="1" max="1" width="16.83203125" bestFit="1" customWidth="1"/>
    <col min="2" max="2" width="15.33203125" bestFit="1" customWidth="1"/>
    <col min="3" max="6" width="13.5" bestFit="1" customWidth="1"/>
    <col min="7" max="7" width="15.33203125" bestFit="1" customWidth="1"/>
    <col min="8" max="19" width="4.6640625" customWidth="1"/>
  </cols>
  <sheetData>
    <row r="1" spans="1:19" ht="25" thickBot="1" x14ac:dyDescent="0.35">
      <c r="A1" s="379" t="s">
        <v>154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0"/>
      <c r="N1" s="380"/>
      <c r="O1" s="380"/>
      <c r="P1" s="380"/>
      <c r="Q1" s="380"/>
      <c r="R1" s="380"/>
      <c r="S1" s="381"/>
    </row>
    <row r="2" spans="1:19" ht="22" thickBot="1" x14ac:dyDescent="0.3">
      <c r="A2" s="385" t="s">
        <v>62</v>
      </c>
      <c r="B2" s="386"/>
      <c r="C2" s="386"/>
      <c r="D2" s="386"/>
      <c r="E2" s="386"/>
      <c r="F2" s="387"/>
      <c r="G2" s="230"/>
      <c r="I2" s="388" t="s">
        <v>23</v>
      </c>
      <c r="J2" s="388"/>
      <c r="K2" s="388"/>
      <c r="L2" s="388"/>
      <c r="M2" s="388"/>
      <c r="N2" s="388"/>
      <c r="O2" s="388"/>
      <c r="P2" s="388"/>
      <c r="Q2" s="388"/>
      <c r="R2" s="388"/>
      <c r="S2" s="388"/>
    </row>
    <row r="3" spans="1:19" ht="17" thickBot="1" x14ac:dyDescent="0.25">
      <c r="A3" s="176" t="s">
        <v>75</v>
      </c>
      <c r="B3" s="219" t="s">
        <v>73</v>
      </c>
      <c r="C3" s="164"/>
      <c r="D3" s="204" t="s">
        <v>64</v>
      </c>
      <c r="E3" s="205" t="s">
        <v>73</v>
      </c>
      <c r="F3" s="235" t="s">
        <v>74</v>
      </c>
      <c r="G3" s="206" t="s">
        <v>117</v>
      </c>
      <c r="I3" s="52" t="s">
        <v>9</v>
      </c>
      <c r="J3" s="52" t="s">
        <v>22</v>
      </c>
      <c r="K3" s="52">
        <v>2</v>
      </c>
      <c r="L3" s="52">
        <v>3</v>
      </c>
      <c r="M3" s="52">
        <v>4</v>
      </c>
      <c r="N3" s="52">
        <v>5</v>
      </c>
      <c r="O3" s="52">
        <v>6</v>
      </c>
      <c r="P3" s="52">
        <v>7</v>
      </c>
      <c r="Q3" s="52">
        <v>8</v>
      </c>
      <c r="R3" s="52">
        <v>9</v>
      </c>
      <c r="S3" s="52">
        <v>10</v>
      </c>
    </row>
    <row r="4" spans="1:19" ht="17" thickBot="1" x14ac:dyDescent="0.25">
      <c r="A4" s="176" t="s">
        <v>155</v>
      </c>
      <c r="B4" s="220" t="s">
        <v>6</v>
      </c>
      <c r="C4" s="164"/>
      <c r="D4" s="207" t="s">
        <v>64</v>
      </c>
      <c r="E4" s="203" t="s">
        <v>63</v>
      </c>
      <c r="F4" s="203" t="s">
        <v>6</v>
      </c>
      <c r="G4" s="208"/>
      <c r="I4" s="52" t="s">
        <v>20</v>
      </c>
      <c r="J4" s="53" t="str">
        <f>Summary!C3</f>
        <v>H</v>
      </c>
      <c r="K4" s="53" t="str">
        <f>Summary!D3</f>
        <v>H</v>
      </c>
      <c r="L4" s="53" t="str">
        <f>Summary!E3</f>
        <v>H</v>
      </c>
      <c r="M4" s="53" t="str">
        <f>Summary!F3</f>
        <v>H</v>
      </c>
      <c r="N4" s="53" t="str">
        <f>Summary!G3</f>
        <v>H</v>
      </c>
      <c r="O4" s="53" t="str">
        <f>Summary!H3</f>
        <v>H</v>
      </c>
      <c r="P4" s="53" t="str">
        <f>Summary!I3</f>
        <v>H</v>
      </c>
      <c r="Q4" s="53" t="str">
        <f>Summary!J3</f>
        <v>H</v>
      </c>
      <c r="R4" s="53" t="str">
        <f>Summary!K3</f>
        <v>H</v>
      </c>
      <c r="S4" s="53" t="str">
        <f>Summary!L3</f>
        <v>H</v>
      </c>
    </row>
    <row r="5" spans="1:19" ht="17" thickBot="1" x14ac:dyDescent="0.25">
      <c r="A5" s="176" t="s">
        <v>156</v>
      </c>
      <c r="B5" s="221">
        <v>4</v>
      </c>
      <c r="C5" s="178" t="str">
        <f>"True Count: " &amp; B5-4</f>
        <v>True Count: 0</v>
      </c>
      <c r="D5" s="207" t="s">
        <v>64</v>
      </c>
      <c r="E5" s="203" t="s">
        <v>107</v>
      </c>
      <c r="F5" s="203" t="s">
        <v>106</v>
      </c>
      <c r="G5" s="208"/>
      <c r="I5" s="52">
        <v>9</v>
      </c>
      <c r="J5" s="53" t="str">
        <f>Summary!C4</f>
        <v>H</v>
      </c>
      <c r="K5" s="53" t="str">
        <f>Summary!D4</f>
        <v>H</v>
      </c>
      <c r="L5" s="53" t="str">
        <f>Summary!E4</f>
        <v>D</v>
      </c>
      <c r="M5" s="53" t="str">
        <f>Summary!F4</f>
        <v>D</v>
      </c>
      <c r="N5" s="53" t="str">
        <f>Summary!G4</f>
        <v>D</v>
      </c>
      <c r="O5" s="53" t="str">
        <f>Summary!H4</f>
        <v>D</v>
      </c>
      <c r="P5" s="53" t="str">
        <f>Summary!I4</f>
        <v>H</v>
      </c>
      <c r="Q5" s="53" t="str">
        <f>Summary!J4</f>
        <v>H</v>
      </c>
      <c r="R5" s="53" t="str">
        <f>Summary!K4</f>
        <v>H</v>
      </c>
      <c r="S5" s="53" t="str">
        <f>Summary!L4</f>
        <v>H</v>
      </c>
    </row>
    <row r="6" spans="1:19" ht="17" thickBot="1" x14ac:dyDescent="0.25">
      <c r="A6" s="176" t="s">
        <v>66</v>
      </c>
      <c r="B6" s="222" t="s">
        <v>88</v>
      </c>
      <c r="C6" s="200"/>
      <c r="D6" s="207" t="s">
        <v>64</v>
      </c>
      <c r="E6" s="203" t="s">
        <v>88</v>
      </c>
      <c r="F6" s="203" t="s">
        <v>67</v>
      </c>
      <c r="G6" s="208"/>
      <c r="I6" s="52">
        <v>10</v>
      </c>
      <c r="J6" s="53" t="str">
        <f>Summary!C5</f>
        <v>H</v>
      </c>
      <c r="K6" s="53" t="str">
        <f>Summary!D5</f>
        <v>D</v>
      </c>
      <c r="L6" s="53" t="str">
        <f>Summary!E5</f>
        <v>D</v>
      </c>
      <c r="M6" s="53" t="str">
        <f>Summary!F5</f>
        <v>D</v>
      </c>
      <c r="N6" s="53" t="str">
        <f>Summary!G5</f>
        <v>D</v>
      </c>
      <c r="O6" s="53" t="str">
        <f>Summary!H5</f>
        <v>D</v>
      </c>
      <c r="P6" s="53" t="str">
        <f>Summary!I5</f>
        <v>D</v>
      </c>
      <c r="Q6" s="53" t="str">
        <f>Summary!J5</f>
        <v>D</v>
      </c>
      <c r="R6" s="53" t="str">
        <f>Summary!K5</f>
        <v>D</v>
      </c>
      <c r="S6" s="53" t="str">
        <f>Summary!L5</f>
        <v>H</v>
      </c>
    </row>
    <row r="7" spans="1:19" ht="17" thickBot="1" x14ac:dyDescent="0.25">
      <c r="A7" s="176" t="s">
        <v>72</v>
      </c>
      <c r="B7" s="223" t="s">
        <v>68</v>
      </c>
      <c r="C7" s="123"/>
      <c r="D7" s="207" t="s">
        <v>64</v>
      </c>
      <c r="E7" s="203" t="s">
        <v>68</v>
      </c>
      <c r="F7" s="203" t="s">
        <v>69</v>
      </c>
      <c r="G7" s="208"/>
      <c r="I7" s="52">
        <v>11</v>
      </c>
      <c r="J7" s="53" t="str">
        <f>Summary!C6</f>
        <v>H</v>
      </c>
      <c r="K7" s="53" t="str">
        <f>Summary!D6</f>
        <v>D</v>
      </c>
      <c r="L7" s="53" t="str">
        <f>Summary!E6</f>
        <v>D</v>
      </c>
      <c r="M7" s="53" t="str">
        <f>Summary!F6</f>
        <v>D</v>
      </c>
      <c r="N7" s="53" t="str">
        <f>Summary!G6</f>
        <v>D</v>
      </c>
      <c r="O7" s="53" t="str">
        <f>Summary!H6</f>
        <v>D</v>
      </c>
      <c r="P7" s="53" t="str">
        <f>Summary!I6</f>
        <v>D</v>
      </c>
      <c r="Q7" s="53" t="str">
        <f>Summary!J6</f>
        <v>D</v>
      </c>
      <c r="R7" s="53" t="str">
        <f>Summary!K6</f>
        <v>D</v>
      </c>
      <c r="S7" s="53" t="str">
        <f>Summary!L6</f>
        <v>D</v>
      </c>
    </row>
    <row r="8" spans="1:19" ht="17" thickBot="1" x14ac:dyDescent="0.25">
      <c r="A8" s="176" t="s">
        <v>70</v>
      </c>
      <c r="B8" s="223" t="s">
        <v>69</v>
      </c>
      <c r="C8" s="123"/>
      <c r="D8" s="207" t="s">
        <v>64</v>
      </c>
      <c r="E8" s="203" t="s">
        <v>68</v>
      </c>
      <c r="F8" s="203" t="s">
        <v>69</v>
      </c>
      <c r="G8" s="208"/>
      <c r="I8" s="52">
        <v>12</v>
      </c>
      <c r="J8" s="53" t="str">
        <f>Summary!C7</f>
        <v>H</v>
      </c>
      <c r="K8" s="53" t="str">
        <f>Summary!D7</f>
        <v>H</v>
      </c>
      <c r="L8" s="53" t="str">
        <f>Summary!E7</f>
        <v>H</v>
      </c>
      <c r="M8" s="53" t="str">
        <f>Summary!F7</f>
        <v>S</v>
      </c>
      <c r="N8" s="53" t="str">
        <f>Summary!G7</f>
        <v>S</v>
      </c>
      <c r="O8" s="53" t="str">
        <f>Summary!H7</f>
        <v>S</v>
      </c>
      <c r="P8" s="53" t="str">
        <f>Summary!I7</f>
        <v>H</v>
      </c>
      <c r="Q8" s="53" t="str">
        <f>Summary!J7</f>
        <v>H</v>
      </c>
      <c r="R8" s="53" t="str">
        <f>Summary!K7</f>
        <v>H</v>
      </c>
      <c r="S8" s="53" t="str">
        <f>Summary!L7</f>
        <v>H</v>
      </c>
    </row>
    <row r="9" spans="1:19" ht="17" thickBot="1" x14ac:dyDescent="0.25">
      <c r="A9" s="176" t="s">
        <v>87</v>
      </c>
      <c r="B9" s="223" t="s">
        <v>68</v>
      </c>
      <c r="C9" s="123"/>
      <c r="D9" s="207" t="s">
        <v>64</v>
      </c>
      <c r="E9" s="203" t="s">
        <v>68</v>
      </c>
      <c r="F9" s="203" t="s">
        <v>69</v>
      </c>
      <c r="G9" s="208"/>
      <c r="I9" s="52">
        <v>13</v>
      </c>
      <c r="J9" s="53" t="str">
        <f>Summary!C8</f>
        <v>H</v>
      </c>
      <c r="K9" s="53" t="str">
        <f>Summary!D8</f>
        <v>S</v>
      </c>
      <c r="L9" s="53" t="str">
        <f>Summary!E8</f>
        <v>S</v>
      </c>
      <c r="M9" s="53" t="str">
        <f>Summary!F8</f>
        <v>S</v>
      </c>
      <c r="N9" s="53" t="str">
        <f>Summary!G8</f>
        <v>S</v>
      </c>
      <c r="O9" s="53" t="str">
        <f>Summary!H8</f>
        <v>S</v>
      </c>
      <c r="P9" s="53" t="str">
        <f>Summary!I8</f>
        <v>H</v>
      </c>
      <c r="Q9" s="53" t="str">
        <f>Summary!J8</f>
        <v>H</v>
      </c>
      <c r="R9" s="53" t="str">
        <f>Summary!K8</f>
        <v>H</v>
      </c>
      <c r="S9" s="53" t="str">
        <f>Summary!L8</f>
        <v>H</v>
      </c>
    </row>
    <row r="10" spans="1:19" ht="17" thickBot="1" x14ac:dyDescent="0.25">
      <c r="A10" s="176" t="s">
        <v>62</v>
      </c>
      <c r="B10" s="223" t="s">
        <v>77</v>
      </c>
      <c r="C10" s="123"/>
      <c r="D10" s="207" t="s">
        <v>64</v>
      </c>
      <c r="E10" s="203" t="s">
        <v>77</v>
      </c>
      <c r="F10" s="203" t="s">
        <v>76</v>
      </c>
      <c r="G10" s="208"/>
      <c r="I10" s="52">
        <v>14</v>
      </c>
      <c r="J10" s="53" t="str">
        <f>Summary!C9</f>
        <v>H</v>
      </c>
      <c r="K10" s="53" t="str">
        <f>Summary!D9</f>
        <v>S</v>
      </c>
      <c r="L10" s="53" t="str">
        <f>Summary!E9</f>
        <v>S</v>
      </c>
      <c r="M10" s="53" t="str">
        <f>Summary!F9</f>
        <v>S</v>
      </c>
      <c r="N10" s="53" t="str">
        <f>Summary!G9</f>
        <v>S</v>
      </c>
      <c r="O10" s="53" t="str">
        <f>Summary!H9</f>
        <v>S</v>
      </c>
      <c r="P10" s="53" t="str">
        <f>Summary!I9</f>
        <v>H</v>
      </c>
      <c r="Q10" s="53" t="str">
        <f>Summary!J9</f>
        <v>H</v>
      </c>
      <c r="R10" s="53" t="str">
        <f>Summary!K9</f>
        <v>H</v>
      </c>
      <c r="S10" s="53" t="str">
        <f>Summary!L9</f>
        <v>H</v>
      </c>
    </row>
    <row r="11" spans="1:19" ht="17" thickBot="1" x14ac:dyDescent="0.25">
      <c r="A11" s="176" t="s">
        <v>85</v>
      </c>
      <c r="B11" s="223">
        <v>4</v>
      </c>
      <c r="C11" s="201" t="s">
        <v>86</v>
      </c>
      <c r="D11" s="207" t="s">
        <v>64</v>
      </c>
      <c r="E11" s="203" t="s">
        <v>71</v>
      </c>
      <c r="F11" s="203" t="s">
        <v>105</v>
      </c>
      <c r="G11" s="208"/>
      <c r="I11" s="52">
        <v>15</v>
      </c>
      <c r="J11" s="53" t="str">
        <f>Summary!C10</f>
        <v>H</v>
      </c>
      <c r="K11" s="53" t="str">
        <f>Summary!D10</f>
        <v>S</v>
      </c>
      <c r="L11" s="53" t="str">
        <f>Summary!E10</f>
        <v>S</v>
      </c>
      <c r="M11" s="53" t="str">
        <f>Summary!F10</f>
        <v>S</v>
      </c>
      <c r="N11" s="53" t="str">
        <f>Summary!G10</f>
        <v>S</v>
      </c>
      <c r="O11" s="53" t="str">
        <f>Summary!H10</f>
        <v>S</v>
      </c>
      <c r="P11" s="53" t="str">
        <f>Summary!I10</f>
        <v>H</v>
      </c>
      <c r="Q11" s="53" t="str">
        <f>Summary!J10</f>
        <v>H</v>
      </c>
      <c r="R11" s="53" t="str">
        <f>Summary!K10</f>
        <v>H</v>
      </c>
      <c r="S11" s="53" t="str">
        <f>Summary!L10</f>
        <v>R</v>
      </c>
    </row>
    <row r="12" spans="1:19" ht="17" thickBot="1" x14ac:dyDescent="0.25">
      <c r="A12" s="179" t="s">
        <v>104</v>
      </c>
      <c r="B12" s="220" t="s">
        <v>69</v>
      </c>
      <c r="C12" s="215"/>
      <c r="D12" s="207" t="s">
        <v>64</v>
      </c>
      <c r="E12" s="203" t="s">
        <v>68</v>
      </c>
      <c r="F12" s="203" t="s">
        <v>69</v>
      </c>
      <c r="G12" s="208"/>
      <c r="I12" s="52">
        <v>16</v>
      </c>
      <c r="J12" s="53" t="str">
        <f>Summary!C11</f>
        <v>H</v>
      </c>
      <c r="K12" s="53" t="str">
        <f>Summary!D11</f>
        <v>S</v>
      </c>
      <c r="L12" s="53" t="str">
        <f>Summary!E11</f>
        <v>S</v>
      </c>
      <c r="M12" s="53" t="str">
        <f>Summary!F11</f>
        <v>S</v>
      </c>
      <c r="N12" s="53" t="str">
        <f>Summary!G11</f>
        <v>S</v>
      </c>
      <c r="O12" s="53" t="str">
        <f>Summary!H11</f>
        <v>S</v>
      </c>
      <c r="P12" s="53" t="str">
        <f>Summary!I11</f>
        <v>H</v>
      </c>
      <c r="Q12" s="53" t="str">
        <f>Summary!J11</f>
        <v>H</v>
      </c>
      <c r="R12" s="53" t="str">
        <f>Summary!K11</f>
        <v>R</v>
      </c>
      <c r="S12" s="53" t="str">
        <f>Summary!L11</f>
        <v>R</v>
      </c>
    </row>
    <row r="13" spans="1:19" ht="17" thickBot="1" x14ac:dyDescent="0.25">
      <c r="A13" s="214" t="s">
        <v>119</v>
      </c>
      <c r="B13" s="220" t="s">
        <v>109</v>
      </c>
      <c r="C13" s="215"/>
      <c r="D13" s="207" t="s">
        <v>64</v>
      </c>
      <c r="E13" s="203" t="s">
        <v>108</v>
      </c>
      <c r="F13" s="203" t="s">
        <v>109</v>
      </c>
      <c r="G13" s="208"/>
      <c r="I13" s="52" t="s">
        <v>21</v>
      </c>
      <c r="J13" s="53" t="str">
        <f>Summary!C12</f>
        <v>S</v>
      </c>
      <c r="K13" s="53" t="str">
        <f>Summary!D12</f>
        <v>S</v>
      </c>
      <c r="L13" s="53" t="str">
        <f>Summary!E12</f>
        <v>S</v>
      </c>
      <c r="M13" s="53" t="str">
        <f>Summary!F12</f>
        <v>S</v>
      </c>
      <c r="N13" s="53" t="str">
        <f>Summary!G12</f>
        <v>S</v>
      </c>
      <c r="O13" s="53" t="str">
        <f>Summary!H12</f>
        <v>S</v>
      </c>
      <c r="P13" s="53" t="str">
        <f>Summary!I12</f>
        <v>S</v>
      </c>
      <c r="Q13" s="53" t="str">
        <f>Summary!J12</f>
        <v>S</v>
      </c>
      <c r="R13" s="53" t="str">
        <f>Summary!K12</f>
        <v>S</v>
      </c>
      <c r="S13" s="53" t="str">
        <f>Summary!L12</f>
        <v>S</v>
      </c>
    </row>
    <row r="14" spans="1:19" ht="17" thickBot="1" x14ac:dyDescent="0.25">
      <c r="A14" s="229" t="s">
        <v>120</v>
      </c>
      <c r="B14" s="220" t="s">
        <v>121</v>
      </c>
      <c r="C14" s="215"/>
      <c r="D14" s="216" t="s">
        <v>64</v>
      </c>
      <c r="E14" s="217" t="s">
        <v>121</v>
      </c>
      <c r="F14" s="217" t="s">
        <v>122</v>
      </c>
      <c r="G14" s="218"/>
      <c r="I14" s="52" t="s">
        <v>4</v>
      </c>
      <c r="J14" s="52" t="s">
        <v>22</v>
      </c>
      <c r="K14" s="52">
        <v>2</v>
      </c>
      <c r="L14" s="52">
        <v>3</v>
      </c>
      <c r="M14" s="52">
        <v>4</v>
      </c>
      <c r="N14" s="52">
        <v>5</v>
      </c>
      <c r="O14" s="52">
        <v>6</v>
      </c>
      <c r="P14" s="52">
        <v>7</v>
      </c>
      <c r="Q14" s="52">
        <v>8</v>
      </c>
      <c r="R14" s="52">
        <v>9</v>
      </c>
      <c r="S14" s="52">
        <v>10</v>
      </c>
    </row>
    <row r="15" spans="1:19" ht="17" thickBot="1" x14ac:dyDescent="0.25">
      <c r="A15" s="246" t="s">
        <v>145</v>
      </c>
      <c r="B15" s="220" t="s">
        <v>109</v>
      </c>
      <c r="C15" s="215"/>
      <c r="D15" s="216" t="s">
        <v>64</v>
      </c>
      <c r="E15" s="217" t="s">
        <v>108</v>
      </c>
      <c r="F15" s="217" t="s">
        <v>146</v>
      </c>
      <c r="G15" s="218" t="s">
        <v>109</v>
      </c>
      <c r="I15" s="52">
        <v>13</v>
      </c>
      <c r="J15" s="53" t="str">
        <f>Summary!C14</f>
        <v>H</v>
      </c>
      <c r="K15" s="53" t="str">
        <f>Summary!D14</f>
        <v>H</v>
      </c>
      <c r="L15" s="53" t="str">
        <f>Summary!E14</f>
        <v>H</v>
      </c>
      <c r="M15" s="53" t="str">
        <f>Summary!F14</f>
        <v>H</v>
      </c>
      <c r="N15" s="53" t="str">
        <f>Summary!G14</f>
        <v>H</v>
      </c>
      <c r="O15" s="53" t="str">
        <f>Summary!H14</f>
        <v>D</v>
      </c>
      <c r="P15" s="53" t="str">
        <f>Summary!I14</f>
        <v>H</v>
      </c>
      <c r="Q15" s="53" t="str">
        <f>Summary!J14</f>
        <v>H</v>
      </c>
      <c r="R15" s="53" t="str">
        <f>Summary!K14</f>
        <v>H</v>
      </c>
      <c r="S15" s="53" t="str">
        <f>Summary!L14</f>
        <v>H</v>
      </c>
    </row>
    <row r="16" spans="1:19" ht="17" thickBot="1" x14ac:dyDescent="0.25">
      <c r="A16" s="245" t="s">
        <v>144</v>
      </c>
      <c r="B16" s="220" t="s">
        <v>109</v>
      </c>
      <c r="C16" s="215"/>
      <c r="D16" s="216" t="s">
        <v>64</v>
      </c>
      <c r="E16" s="217" t="s">
        <v>108</v>
      </c>
      <c r="F16" s="217" t="s">
        <v>146</v>
      </c>
      <c r="G16" s="218" t="s">
        <v>109</v>
      </c>
      <c r="I16" s="52">
        <v>14</v>
      </c>
      <c r="J16" s="53" t="str">
        <f>Summary!C15</f>
        <v>H</v>
      </c>
      <c r="K16" s="53" t="str">
        <f>Summary!D15</f>
        <v>H</v>
      </c>
      <c r="L16" s="53" t="str">
        <f>Summary!E15</f>
        <v>H</v>
      </c>
      <c r="M16" s="53" t="str">
        <f>Summary!F15</f>
        <v>H</v>
      </c>
      <c r="N16" s="53" t="str">
        <f>Summary!G15</f>
        <v>D</v>
      </c>
      <c r="O16" s="53" t="str">
        <f>Summary!H15</f>
        <v>D</v>
      </c>
      <c r="P16" s="53" t="str">
        <f>Summary!I15</f>
        <v>H</v>
      </c>
      <c r="Q16" s="53" t="str">
        <f>Summary!J15</f>
        <v>H</v>
      </c>
      <c r="R16" s="53" t="str">
        <f>Summary!K15</f>
        <v>H</v>
      </c>
      <c r="S16" s="53" t="str">
        <f>Summary!L15</f>
        <v>H</v>
      </c>
    </row>
    <row r="17" spans="1:19" ht="17" thickBot="1" x14ac:dyDescent="0.25">
      <c r="A17" s="176" t="s">
        <v>118</v>
      </c>
      <c r="B17" s="224">
        <v>2</v>
      </c>
      <c r="C17" s="202" t="s">
        <v>86</v>
      </c>
      <c r="D17" s="209" t="s">
        <v>64</v>
      </c>
      <c r="E17" s="210" t="s">
        <v>71</v>
      </c>
      <c r="F17" s="210" t="s">
        <v>105</v>
      </c>
      <c r="G17" s="211"/>
      <c r="I17" s="52">
        <v>15</v>
      </c>
      <c r="J17" s="53" t="str">
        <f>Summary!C16</f>
        <v>H</v>
      </c>
      <c r="K17" s="53" t="str">
        <f>Summary!D16</f>
        <v>H</v>
      </c>
      <c r="L17" s="53" t="str">
        <f>Summary!E16</f>
        <v>H</v>
      </c>
      <c r="M17" s="53" t="str">
        <f>Summary!F16</f>
        <v>H</v>
      </c>
      <c r="N17" s="53" t="str">
        <f>Summary!G16</f>
        <v>D</v>
      </c>
      <c r="O17" s="53" t="str">
        <f>Summary!H16</f>
        <v>D</v>
      </c>
      <c r="P17" s="53" t="str">
        <f>Summary!I16</f>
        <v>H</v>
      </c>
      <c r="Q17" s="53" t="str">
        <f>Summary!J16</f>
        <v>H</v>
      </c>
      <c r="R17" s="53" t="str">
        <f>Summary!K16</f>
        <v>H</v>
      </c>
      <c r="S17" s="53" t="str">
        <f>Summary!L16</f>
        <v>H</v>
      </c>
    </row>
    <row r="18" spans="1:19" ht="17" thickBot="1" x14ac:dyDescent="0.25">
      <c r="I18" s="52">
        <v>16</v>
      </c>
      <c r="J18" s="53" t="str">
        <f>Summary!C17</f>
        <v>H</v>
      </c>
      <c r="K18" s="53" t="str">
        <f>Summary!D17</f>
        <v>H</v>
      </c>
      <c r="L18" s="53" t="str">
        <f>Summary!E17</f>
        <v>H</v>
      </c>
      <c r="M18" s="53" t="str">
        <f>Summary!F17</f>
        <v>D</v>
      </c>
      <c r="N18" s="53" t="str">
        <f>Summary!G17</f>
        <v>D</v>
      </c>
      <c r="O18" s="53" t="str">
        <f>Summary!H17</f>
        <v>D</v>
      </c>
      <c r="P18" s="53" t="str">
        <f>Summary!I17</f>
        <v>H</v>
      </c>
      <c r="Q18" s="53" t="str">
        <f>Summary!J17</f>
        <v>H</v>
      </c>
      <c r="R18" s="53" t="str">
        <f>Summary!K17</f>
        <v>H</v>
      </c>
      <c r="S18" s="53" t="str">
        <f>Summary!L17</f>
        <v>H</v>
      </c>
    </row>
    <row r="19" spans="1:19" ht="17" thickBot="1" x14ac:dyDescent="0.25">
      <c r="A19" s="52" t="s">
        <v>80</v>
      </c>
      <c r="B19" s="52"/>
      <c r="C19" s="392">
        <f>IF(Rules!$B$16=Rules!$E$16,EV!C47+'5 Cards'!G122,EV!C47)</f>
        <v>-5.3141792559054518E-3</v>
      </c>
      <c r="D19" s="393"/>
      <c r="E19" s="394" t="str">
        <f>"( "&amp; ROUND(C19*100,2)&amp; "% )"</f>
        <v>( -0.53% )</v>
      </c>
      <c r="F19" s="395"/>
      <c r="G19" s="231"/>
      <c r="I19" s="52">
        <v>17</v>
      </c>
      <c r="J19" s="53" t="str">
        <f>Summary!C18</f>
        <v>H</v>
      </c>
      <c r="K19" s="53" t="str">
        <f>Summary!D18</f>
        <v>H</v>
      </c>
      <c r="L19" s="53" t="str">
        <f>Summary!E18</f>
        <v>D</v>
      </c>
      <c r="M19" s="53" t="str">
        <f>Summary!F18</f>
        <v>D</v>
      </c>
      <c r="N19" s="53" t="str">
        <f>Summary!G18</f>
        <v>D</v>
      </c>
      <c r="O19" s="53" t="str">
        <f>Summary!H18</f>
        <v>D</v>
      </c>
      <c r="P19" s="53" t="str">
        <f>Summary!I18</f>
        <v>H</v>
      </c>
      <c r="Q19" s="53" t="str">
        <f>Summary!J18</f>
        <v>H</v>
      </c>
      <c r="R19" s="53" t="str">
        <f>Summary!K18</f>
        <v>H</v>
      </c>
      <c r="S19" s="53" t="str">
        <f>Summary!L18</f>
        <v>H</v>
      </c>
    </row>
    <row r="20" spans="1:19" ht="17" thickBot="1" x14ac:dyDescent="0.25">
      <c r="A20" s="212"/>
      <c r="B20" s="213"/>
      <c r="C20" s="52" t="s">
        <v>8</v>
      </c>
      <c r="D20" s="52" t="s">
        <v>37</v>
      </c>
      <c r="E20" s="52" t="s">
        <v>36</v>
      </c>
      <c r="F20" s="52" t="s">
        <v>38</v>
      </c>
      <c r="G20" s="232"/>
      <c r="I20" s="52">
        <v>18</v>
      </c>
      <c r="J20" s="53" t="str">
        <f>Summary!C19</f>
        <v>H</v>
      </c>
      <c r="K20" s="53" t="str">
        <f>Summary!D19</f>
        <v>S</v>
      </c>
      <c r="L20" s="53" t="str">
        <f>Summary!E19</f>
        <v>D</v>
      </c>
      <c r="M20" s="53" t="str">
        <f>Summary!F19</f>
        <v>D</v>
      </c>
      <c r="N20" s="53" t="str">
        <f>Summary!G19</f>
        <v>D</v>
      </c>
      <c r="O20" s="53" t="str">
        <f>Summary!H19</f>
        <v>D</v>
      </c>
      <c r="P20" s="53" t="str">
        <f>Summary!I19</f>
        <v>S</v>
      </c>
      <c r="Q20" s="53" t="str">
        <f>Summary!J19</f>
        <v>S</v>
      </c>
      <c r="R20" s="53" t="str">
        <f>Summary!K19</f>
        <v>H</v>
      </c>
      <c r="S20" s="53" t="str">
        <f>Summary!L19</f>
        <v>H</v>
      </c>
    </row>
    <row r="21" spans="1:19" x14ac:dyDescent="0.2">
      <c r="A21" s="52" t="s">
        <v>102</v>
      </c>
      <c r="B21" s="172"/>
      <c r="C21" s="78">
        <f>'WL Prob'!O4</f>
        <v>0.60218479745106923</v>
      </c>
      <c r="D21" s="80">
        <f>C21</f>
        <v>0.60218479745106923</v>
      </c>
      <c r="E21" s="81">
        <f>C21</f>
        <v>0.60218479745106923</v>
      </c>
      <c r="F21" s="79">
        <f>ROUND(E21*10,0)</f>
        <v>6</v>
      </c>
      <c r="G21" s="233"/>
      <c r="I21" s="52">
        <v>19</v>
      </c>
      <c r="J21" s="53" t="str">
        <f>Summary!C20</f>
        <v>S</v>
      </c>
      <c r="K21" s="53" t="str">
        <f>Summary!D20</f>
        <v>S</v>
      </c>
      <c r="L21" s="53" t="str">
        <f>Summary!E20</f>
        <v>S</v>
      </c>
      <c r="M21" s="53" t="str">
        <f>Summary!F20</f>
        <v>S</v>
      </c>
      <c r="N21" s="53" t="str">
        <f>Summary!G20</f>
        <v>S</v>
      </c>
      <c r="O21" s="53" t="str">
        <f>Summary!H20</f>
        <v>S</v>
      </c>
      <c r="P21" s="53" t="str">
        <f>Summary!I20</f>
        <v>S</v>
      </c>
      <c r="Q21" s="53" t="str">
        <f>Summary!J20</f>
        <v>S</v>
      </c>
      <c r="R21" s="53" t="str">
        <f>Summary!K20</f>
        <v>S</v>
      </c>
      <c r="S21" s="53" t="str">
        <f>Summary!L20</f>
        <v>S</v>
      </c>
    </row>
    <row r="22" spans="1:19" ht="17" thickBot="1" x14ac:dyDescent="0.25">
      <c r="A22" s="52" t="s">
        <v>103</v>
      </c>
      <c r="B22" s="173"/>
      <c r="C22" s="85">
        <f>'WL Prob'!O5</f>
        <v>0.3978152025489306</v>
      </c>
      <c r="D22" s="86">
        <f>C22</f>
        <v>0.3978152025489306</v>
      </c>
      <c r="E22" s="87">
        <f>C22</f>
        <v>0.3978152025489306</v>
      </c>
      <c r="F22" s="88">
        <f>ROUND(E22*10,0)</f>
        <v>4</v>
      </c>
      <c r="G22" s="233"/>
      <c r="I22" s="52" t="s">
        <v>10</v>
      </c>
      <c r="J22" s="52" t="s">
        <v>22</v>
      </c>
      <c r="K22" s="52">
        <v>2</v>
      </c>
      <c r="L22" s="52">
        <v>3</v>
      </c>
      <c r="M22" s="52">
        <v>4</v>
      </c>
      <c r="N22" s="52">
        <v>5</v>
      </c>
      <c r="O22" s="52">
        <v>6</v>
      </c>
      <c r="P22" s="52">
        <v>7</v>
      </c>
      <c r="Q22" s="52">
        <v>8</v>
      </c>
      <c r="R22" s="52">
        <v>9</v>
      </c>
      <c r="S22" s="52">
        <v>10</v>
      </c>
    </row>
    <row r="23" spans="1:19" ht="17" thickBot="1" x14ac:dyDescent="0.25">
      <c r="A23" s="52" t="s">
        <v>2</v>
      </c>
      <c r="B23" s="174"/>
      <c r="C23" s="93">
        <f>SUM(C21:C22)</f>
        <v>0.99999999999999978</v>
      </c>
      <c r="D23" s="94">
        <f>C23</f>
        <v>0.99999999999999978</v>
      </c>
      <c r="E23" s="95">
        <f>C23</f>
        <v>0.99999999999999978</v>
      </c>
      <c r="F23" s="96">
        <f>ROUND(E23*10,0)</f>
        <v>10</v>
      </c>
      <c r="G23" s="233"/>
      <c r="I23" s="52" t="s">
        <v>22</v>
      </c>
      <c r="J23" s="53" t="str">
        <f>Summary!C22</f>
        <v>P</v>
      </c>
      <c r="K23" s="53" t="str">
        <f>Summary!D22</f>
        <v>P</v>
      </c>
      <c r="L23" s="53" t="str">
        <f>Summary!E22</f>
        <v>P</v>
      </c>
      <c r="M23" s="53" t="str">
        <f>Summary!F22</f>
        <v>P</v>
      </c>
      <c r="N23" s="53" t="str">
        <f>Summary!G22</f>
        <v>P</v>
      </c>
      <c r="O23" s="53" t="str">
        <f>Summary!H22</f>
        <v>P</v>
      </c>
      <c r="P23" s="53" t="str">
        <f>Summary!I22</f>
        <v>P</v>
      </c>
      <c r="Q23" s="53" t="str">
        <f>Summary!J22</f>
        <v>P</v>
      </c>
      <c r="R23" s="53" t="str">
        <f>Summary!K22</f>
        <v>P</v>
      </c>
      <c r="S23" s="53" t="str">
        <f>Summary!L22</f>
        <v>P</v>
      </c>
    </row>
    <row r="24" spans="1:19" ht="17" thickBot="1" x14ac:dyDescent="0.25">
      <c r="A24" s="52" t="s">
        <v>39</v>
      </c>
      <c r="B24" s="175"/>
      <c r="C24" s="89">
        <f>C22-C21</f>
        <v>-0.20436959490213863</v>
      </c>
      <c r="D24" s="90">
        <f>D22-D21</f>
        <v>-0.20436959490213863</v>
      </c>
      <c r="E24" s="91"/>
      <c r="F24" s="92"/>
      <c r="G24" s="233"/>
      <c r="I24" s="52">
        <v>2</v>
      </c>
      <c r="J24" s="53" t="str">
        <f>Summary!C23</f>
        <v>H</v>
      </c>
      <c r="K24" s="53" t="str">
        <f>Summary!D23</f>
        <v>P</v>
      </c>
      <c r="L24" s="53" t="str">
        <f>Summary!E23</f>
        <v>P</v>
      </c>
      <c r="M24" s="53" t="str">
        <f>Summary!F23</f>
        <v>P</v>
      </c>
      <c r="N24" s="53" t="str">
        <f>Summary!G23</f>
        <v>P</v>
      </c>
      <c r="O24" s="53" t="str">
        <f>Summary!H23</f>
        <v>P</v>
      </c>
      <c r="P24" s="53" t="str">
        <f>Summary!I23</f>
        <v>P</v>
      </c>
      <c r="Q24" s="53" t="str">
        <f>Summary!J23</f>
        <v>H</v>
      </c>
      <c r="R24" s="53" t="str">
        <f>Summary!K23</f>
        <v>H</v>
      </c>
      <c r="S24" s="53" t="str">
        <f>Summary!L23</f>
        <v>H</v>
      </c>
    </row>
    <row r="25" spans="1:19" x14ac:dyDescent="0.2">
      <c r="I25" s="52">
        <v>3</v>
      </c>
      <c r="J25" s="53" t="str">
        <f>Summary!C24</f>
        <v>H</v>
      </c>
      <c r="K25" s="53" t="str">
        <f>Summary!D24</f>
        <v>P</v>
      </c>
      <c r="L25" s="53" t="str">
        <f>Summary!E24</f>
        <v>P</v>
      </c>
      <c r="M25" s="53" t="str">
        <f>Summary!F24</f>
        <v>P</v>
      </c>
      <c r="N25" s="53" t="str">
        <f>Summary!G24</f>
        <v>P</v>
      </c>
      <c r="O25" s="53" t="str">
        <f>Summary!H24</f>
        <v>P</v>
      </c>
      <c r="P25" s="53" t="str">
        <f>Summary!I24</f>
        <v>P</v>
      </c>
      <c r="Q25" s="53" t="str">
        <f>Summary!J24</f>
        <v>H</v>
      </c>
      <c r="R25" s="53" t="str">
        <f>Summary!K24</f>
        <v>H</v>
      </c>
      <c r="S25" s="53" t="str">
        <f>Summary!L24</f>
        <v>H</v>
      </c>
    </row>
    <row r="26" spans="1:19" x14ac:dyDescent="0.2">
      <c r="A26" s="52" t="s">
        <v>58</v>
      </c>
      <c r="B26" s="52" t="s">
        <v>19</v>
      </c>
      <c r="C26" s="52" t="s">
        <v>19</v>
      </c>
      <c r="D26" s="52" t="s">
        <v>19</v>
      </c>
      <c r="E26" s="52" t="s">
        <v>19</v>
      </c>
      <c r="F26" s="52" t="s">
        <v>19</v>
      </c>
      <c r="G26" s="232"/>
      <c r="I26" s="52">
        <v>4</v>
      </c>
      <c r="J26" s="53" t="str">
        <f>Summary!C25</f>
        <v>H</v>
      </c>
      <c r="K26" s="53" t="str">
        <f>Summary!D25</f>
        <v>H</v>
      </c>
      <c r="L26" s="53" t="str">
        <f>Summary!E25</f>
        <v>H</v>
      </c>
      <c r="M26" s="53" t="str">
        <f>Summary!F25</f>
        <v>H</v>
      </c>
      <c r="N26" s="53" t="str">
        <f>Summary!G25</f>
        <v>P</v>
      </c>
      <c r="O26" s="53" t="str">
        <f>Summary!H25</f>
        <v>P</v>
      </c>
      <c r="P26" s="53" t="str">
        <f>Summary!I25</f>
        <v>H</v>
      </c>
      <c r="Q26" s="53" t="str">
        <f>Summary!J25</f>
        <v>H</v>
      </c>
      <c r="R26" s="53" t="str">
        <f>Summary!K25</f>
        <v>H</v>
      </c>
      <c r="S26" s="53" t="str">
        <f>Summary!L25</f>
        <v>H</v>
      </c>
    </row>
    <row r="27" spans="1:19" ht="17" thickBot="1" x14ac:dyDescent="0.25">
      <c r="A27" s="52" t="s">
        <v>57</v>
      </c>
      <c r="B27" s="52">
        <v>2</v>
      </c>
      <c r="C27" s="52">
        <v>3</v>
      </c>
      <c r="D27" s="52">
        <v>4</v>
      </c>
      <c r="E27" s="52">
        <v>5</v>
      </c>
      <c r="F27" s="52">
        <v>6</v>
      </c>
      <c r="G27" s="232"/>
      <c r="I27" s="52">
        <v>5</v>
      </c>
      <c r="J27" s="53" t="str">
        <f>Summary!C26</f>
        <v>H</v>
      </c>
      <c r="K27" s="53" t="str">
        <f>Summary!D26</f>
        <v>D</v>
      </c>
      <c r="L27" s="53" t="str">
        <f>Summary!E26</f>
        <v>D</v>
      </c>
      <c r="M27" s="53" t="str">
        <f>Summary!F26</f>
        <v>D</v>
      </c>
      <c r="N27" s="53" t="str">
        <f>Summary!G26</f>
        <v>D</v>
      </c>
      <c r="O27" s="53" t="str">
        <f>Summary!H26</f>
        <v>D</v>
      </c>
      <c r="P27" s="53" t="str">
        <f>Summary!I26</f>
        <v>D</v>
      </c>
      <c r="Q27" s="53" t="str">
        <f>Summary!J26</f>
        <v>D</v>
      </c>
      <c r="R27" s="53" t="str">
        <f>Summary!K26</f>
        <v>D</v>
      </c>
      <c r="S27" s="53" t="str">
        <f>Summary!L26</f>
        <v>H</v>
      </c>
    </row>
    <row r="28" spans="1:19" x14ac:dyDescent="0.2">
      <c r="A28" s="125">
        <v>1</v>
      </c>
      <c r="B28" s="169">
        <f>-1*$C$21*$F$21*$A$28</f>
        <v>-3.6131087847064154</v>
      </c>
      <c r="C28" s="170">
        <f>-1*$C$21*$F$21*$A$28</f>
        <v>-3.6131087847064154</v>
      </c>
      <c r="D28" s="170">
        <f>-1*$C$21*$F$21*$A$28</f>
        <v>-3.6131087847064154</v>
      </c>
      <c r="E28" s="170">
        <f>-1*$C$21*$F$21*$A$28</f>
        <v>-3.6131087847064154</v>
      </c>
      <c r="F28" s="63">
        <f>-1*$C$21*$F$21*$A$28</f>
        <v>-3.6131087847064154</v>
      </c>
      <c r="G28" s="164"/>
      <c r="I28" s="52">
        <v>6</v>
      </c>
      <c r="J28" s="53" t="str">
        <f>Summary!C27</f>
        <v>H</v>
      </c>
      <c r="K28" s="53" t="str">
        <f>Summary!D27</f>
        <v>H</v>
      </c>
      <c r="L28" s="53" t="str">
        <f>Summary!E27</f>
        <v>P</v>
      </c>
      <c r="M28" s="53" t="str">
        <f>Summary!F27</f>
        <v>P</v>
      </c>
      <c r="N28" s="53" t="str">
        <f>Summary!G27</f>
        <v>P</v>
      </c>
      <c r="O28" s="53" t="str">
        <f>Summary!H27</f>
        <v>P</v>
      </c>
      <c r="P28" s="53" t="str">
        <f>Summary!I27</f>
        <v>H</v>
      </c>
      <c r="Q28" s="53" t="str">
        <f>Summary!J27</f>
        <v>H</v>
      </c>
      <c r="R28" s="53" t="str">
        <f>Summary!K27</f>
        <v>H</v>
      </c>
      <c r="S28" s="53" t="str">
        <f>Summary!L27</f>
        <v>H</v>
      </c>
    </row>
    <row r="29" spans="1:19" ht="17" thickBot="1" x14ac:dyDescent="0.25">
      <c r="A29" s="158">
        <f>(C19+C21)/C22</f>
        <v>1.5003715654173615</v>
      </c>
      <c r="B29" s="118">
        <f>$C$22*$F$22*$A29*B$27</f>
        <v>4.7749649455613099</v>
      </c>
      <c r="C29" s="171">
        <f>$C$22*$F$22*$A29*C$27</f>
        <v>7.1624474183419649</v>
      </c>
      <c r="D29" s="171">
        <f>$C$22*$F$22*$A29*D$27</f>
        <v>9.5499298911226198</v>
      </c>
      <c r="E29" s="171">
        <f>$C$22*$F$22*$A29*E$27</f>
        <v>11.937412363903274</v>
      </c>
      <c r="F29" s="10">
        <f>$C$22*$F$22*$A29*F$27</f>
        <v>14.32489483668393</v>
      </c>
      <c r="G29" s="164"/>
      <c r="I29" s="52">
        <v>7</v>
      </c>
      <c r="J29" s="53" t="str">
        <f>Summary!C28</f>
        <v>H</v>
      </c>
      <c r="K29" s="53" t="str">
        <f>Summary!D28</f>
        <v>P</v>
      </c>
      <c r="L29" s="53" t="str">
        <f>Summary!E28</f>
        <v>P</v>
      </c>
      <c r="M29" s="53" t="str">
        <f>Summary!F28</f>
        <v>P</v>
      </c>
      <c r="N29" s="53" t="str">
        <f>Summary!G28</f>
        <v>P</v>
      </c>
      <c r="O29" s="53" t="str">
        <f>Summary!H28</f>
        <v>P</v>
      </c>
      <c r="P29" s="53" t="str">
        <f>Summary!I28</f>
        <v>P</v>
      </c>
      <c r="Q29" s="53" t="str">
        <f>Summary!J28</f>
        <v>H</v>
      </c>
      <c r="R29" s="53" t="str">
        <f>Summary!K28</f>
        <v>H</v>
      </c>
      <c r="S29" s="53" t="str">
        <f>Summary!L28</f>
        <v>H</v>
      </c>
    </row>
    <row r="30" spans="1:19" ht="17" thickBot="1" x14ac:dyDescent="0.25">
      <c r="A30" s="52" t="s">
        <v>60</v>
      </c>
      <c r="B30" s="166">
        <f>SUM(B28:B29)</f>
        <v>1.1618561608548945</v>
      </c>
      <c r="C30" s="167">
        <f>SUM(C28:C29)</f>
        <v>3.5493386336355495</v>
      </c>
      <c r="D30" s="167">
        <f>SUM(D28:D29)</f>
        <v>5.936821106416204</v>
      </c>
      <c r="E30" s="167">
        <f>SUM(E28:E29)</f>
        <v>8.324303579196858</v>
      </c>
      <c r="F30" s="168">
        <f>SUM(F28:F29)</f>
        <v>10.711786051977514</v>
      </c>
      <c r="G30" s="164"/>
      <c r="I30" s="52">
        <v>8</v>
      </c>
      <c r="J30" s="53" t="str">
        <f>Summary!C29</f>
        <v>P</v>
      </c>
      <c r="K30" s="53" t="str">
        <f>Summary!D29</f>
        <v>P</v>
      </c>
      <c r="L30" s="53" t="str">
        <f>Summary!E29</f>
        <v>P</v>
      </c>
      <c r="M30" s="53" t="str">
        <f>Summary!F29</f>
        <v>P</v>
      </c>
      <c r="N30" s="53" t="str">
        <f>Summary!G29</f>
        <v>P</v>
      </c>
      <c r="O30" s="53" t="str">
        <f>Summary!H29</f>
        <v>P</v>
      </c>
      <c r="P30" s="53" t="str">
        <f>Summary!I29</f>
        <v>P</v>
      </c>
      <c r="Q30" s="53" t="str">
        <f>Summary!J29</f>
        <v>P</v>
      </c>
      <c r="R30" s="53" t="str">
        <f>Summary!K29</f>
        <v>R</v>
      </c>
      <c r="S30" s="53" t="str">
        <f>Summary!L29</f>
        <v>R</v>
      </c>
    </row>
    <row r="31" spans="1:19" ht="17" thickBot="1" x14ac:dyDescent="0.25">
      <c r="A31" s="52" t="s">
        <v>61</v>
      </c>
      <c r="B31" s="29">
        <f>B30/A29</f>
        <v>0.7743789522775304</v>
      </c>
      <c r="C31" s="19">
        <f>C30/A29</f>
        <v>2.3656397624732528</v>
      </c>
      <c r="D31" s="19">
        <f>D30/A29</f>
        <v>3.956900572668975</v>
      </c>
      <c r="E31" s="19">
        <f>E30/A29</f>
        <v>5.5481613828646967</v>
      </c>
      <c r="F31" s="20">
        <f>F30/A29</f>
        <v>7.1394221930604198</v>
      </c>
      <c r="G31" s="164"/>
      <c r="I31" s="52">
        <v>9</v>
      </c>
      <c r="J31" s="53" t="str">
        <f>Summary!C30</f>
        <v>S</v>
      </c>
      <c r="K31" s="53" t="str">
        <f>Summary!D30</f>
        <v>P</v>
      </c>
      <c r="L31" s="53" t="str">
        <f>Summary!E30</f>
        <v>P</v>
      </c>
      <c r="M31" s="53" t="str">
        <f>Summary!F30</f>
        <v>P</v>
      </c>
      <c r="N31" s="53" t="str">
        <f>Summary!G30</f>
        <v>P</v>
      </c>
      <c r="O31" s="53" t="str">
        <f>Summary!H30</f>
        <v>P</v>
      </c>
      <c r="P31" s="53" t="str">
        <f>Summary!I30</f>
        <v>S</v>
      </c>
      <c r="Q31" s="53" t="str">
        <f>Summary!J30</f>
        <v>P</v>
      </c>
      <c r="R31" s="53" t="str">
        <f>Summary!K30</f>
        <v>P</v>
      </c>
      <c r="S31" s="53" t="str">
        <f>Summary!L30</f>
        <v>S</v>
      </c>
    </row>
    <row r="32" spans="1:19" x14ac:dyDescent="0.2">
      <c r="A32" s="165"/>
      <c r="B32" s="164"/>
      <c r="C32" s="164"/>
      <c r="D32" s="164"/>
      <c r="E32" s="164"/>
      <c r="F32" s="164"/>
      <c r="G32" s="164"/>
      <c r="I32" s="52">
        <v>10</v>
      </c>
      <c r="J32" s="53" t="str">
        <f>Summary!C31</f>
        <v>S</v>
      </c>
      <c r="K32" s="53" t="str">
        <f>Summary!D31</f>
        <v>S</v>
      </c>
      <c r="L32" s="53" t="str">
        <f>Summary!E31</f>
        <v>S</v>
      </c>
      <c r="M32" s="53" t="str">
        <f>Summary!F31</f>
        <v>S</v>
      </c>
      <c r="N32" s="53" t="str">
        <f>Summary!G31</f>
        <v>S</v>
      </c>
      <c r="O32" s="53" t="str">
        <f>Summary!H31</f>
        <v>P</v>
      </c>
      <c r="P32" s="53" t="str">
        <f>Summary!I31</f>
        <v>S</v>
      </c>
      <c r="Q32" s="53" t="str">
        <f>Summary!J31</f>
        <v>S</v>
      </c>
      <c r="R32" s="53" t="str">
        <f>Summary!K31</f>
        <v>S</v>
      </c>
      <c r="S32" s="53" t="str">
        <f>Summary!L31</f>
        <v>S</v>
      </c>
    </row>
    <row r="33" spans="1:19" x14ac:dyDescent="0.2">
      <c r="A33" s="396" t="s">
        <v>101</v>
      </c>
      <c r="B33" s="397"/>
      <c r="C33" s="397"/>
      <c r="D33" s="397"/>
      <c r="E33" s="397"/>
      <c r="F33" s="398"/>
      <c r="G33" s="232"/>
      <c r="I33" s="389" t="str">
        <f>Summary!B32</f>
        <v>EV = -0.00531417925590545</v>
      </c>
      <c r="J33" s="389"/>
      <c r="K33" s="389"/>
      <c r="L33" s="389"/>
      <c r="M33" s="389"/>
      <c r="N33" s="389"/>
      <c r="O33" s="389"/>
      <c r="P33" s="389"/>
      <c r="Q33" s="389"/>
      <c r="R33" s="389"/>
      <c r="S33" s="389"/>
    </row>
    <row r="34" spans="1:19" x14ac:dyDescent="0.2">
      <c r="A34" s="52" t="s">
        <v>95</v>
      </c>
      <c r="B34" s="52" t="s">
        <v>96</v>
      </c>
      <c r="C34" s="52" t="s">
        <v>97</v>
      </c>
      <c r="D34" s="52" t="s">
        <v>98</v>
      </c>
      <c r="E34" s="52" t="s">
        <v>99</v>
      </c>
      <c r="F34" s="52" t="s">
        <v>100</v>
      </c>
      <c r="G34" s="232"/>
      <c r="I34" s="389" t="str">
        <f>Summary!B33</f>
        <v>EV = -0.531417925590545 %</v>
      </c>
      <c r="J34" s="389"/>
      <c r="K34" s="389"/>
      <c r="L34" s="389"/>
      <c r="M34" s="389"/>
      <c r="N34" s="389"/>
      <c r="O34" s="389"/>
      <c r="P34" s="389"/>
      <c r="Q34" s="389"/>
      <c r="R34" s="389"/>
      <c r="S34" s="389"/>
    </row>
    <row r="35" spans="1:19" x14ac:dyDescent="0.2">
      <c r="A35" s="52" t="s">
        <v>93</v>
      </c>
      <c r="B35" s="1">
        <f>(B27+1)*$F$21</f>
        <v>18</v>
      </c>
      <c r="C35" s="1">
        <f>(C27+1)*$F$21</f>
        <v>24</v>
      </c>
      <c r="D35" s="1">
        <f>(D27+1)*$F$21</f>
        <v>30</v>
      </c>
      <c r="E35" s="1">
        <f>(E27+1)*$F$21</f>
        <v>36</v>
      </c>
      <c r="F35" s="1">
        <f>(F27+1)*$F$21</f>
        <v>42</v>
      </c>
      <c r="G35" s="164"/>
      <c r="I35" s="390" t="s">
        <v>24</v>
      </c>
      <c r="J35" s="390"/>
      <c r="K35" s="390"/>
      <c r="L35" s="390"/>
      <c r="M35" s="390"/>
      <c r="N35" s="390"/>
      <c r="O35" s="390"/>
      <c r="P35" s="390"/>
      <c r="Q35" s="390"/>
      <c r="R35" s="390"/>
      <c r="S35" s="390"/>
    </row>
    <row r="36" spans="1:19" x14ac:dyDescent="0.2">
      <c r="A36" s="52" t="s">
        <v>94</v>
      </c>
      <c r="B36" s="1">
        <f>B$27^2*$F$21+B35</f>
        <v>42</v>
      </c>
      <c r="C36" s="1">
        <f>C$27^2*$F$21+C35</f>
        <v>78</v>
      </c>
      <c r="D36" s="1">
        <f>D$27^2*$F$21+D35</f>
        <v>126</v>
      </c>
      <c r="E36" s="1">
        <f>E$27^2*$F$21+E35</f>
        <v>186</v>
      </c>
      <c r="F36" s="1">
        <f>F$27^2*$F$21+F35</f>
        <v>258</v>
      </c>
      <c r="G36" s="164"/>
      <c r="I36" s="391" t="s">
        <v>25</v>
      </c>
      <c r="J36" s="391"/>
      <c r="K36" s="391"/>
      <c r="L36" s="391"/>
      <c r="M36" s="391"/>
      <c r="N36" s="391"/>
      <c r="O36" s="391"/>
      <c r="P36" s="391"/>
      <c r="Q36" s="391"/>
      <c r="R36" s="391"/>
      <c r="S36" s="391"/>
    </row>
    <row r="37" spans="1:19" x14ac:dyDescent="0.2">
      <c r="A37" s="52" t="s">
        <v>153</v>
      </c>
      <c r="B37" s="396" t="s">
        <v>152</v>
      </c>
      <c r="C37" s="397"/>
      <c r="D37" s="397"/>
      <c r="E37" s="397"/>
      <c r="F37" s="398"/>
      <c r="G37" s="164"/>
      <c r="I37" s="383" t="s">
        <v>26</v>
      </c>
      <c r="J37" s="383"/>
      <c r="K37" s="383"/>
      <c r="L37" s="383"/>
      <c r="M37" s="383"/>
      <c r="N37" s="383"/>
      <c r="O37" s="383"/>
      <c r="P37" s="383"/>
      <c r="Q37" s="383"/>
      <c r="R37" s="383"/>
      <c r="S37" s="383"/>
    </row>
    <row r="38" spans="1:19" x14ac:dyDescent="0.2">
      <c r="A38" s="52" t="s">
        <v>93</v>
      </c>
      <c r="B38" s="1">
        <f t="shared" ref="B38:F39" si="0">B35*8</f>
        <v>144</v>
      </c>
      <c r="C38" s="1">
        <f t="shared" si="0"/>
        <v>192</v>
      </c>
      <c r="D38" s="1">
        <f t="shared" si="0"/>
        <v>240</v>
      </c>
      <c r="E38" s="1">
        <f t="shared" si="0"/>
        <v>288</v>
      </c>
      <c r="F38" s="1">
        <f t="shared" si="0"/>
        <v>336</v>
      </c>
      <c r="G38" s="164"/>
      <c r="I38" s="384" t="s">
        <v>27</v>
      </c>
      <c r="J38" s="384"/>
      <c r="K38" s="384"/>
      <c r="L38" s="384"/>
      <c r="M38" s="384"/>
      <c r="N38" s="384"/>
      <c r="O38" s="384"/>
      <c r="P38" s="384"/>
      <c r="Q38" s="384"/>
      <c r="R38" s="384"/>
      <c r="S38" s="384"/>
    </row>
    <row r="39" spans="1:19" x14ac:dyDescent="0.2">
      <c r="A39" s="52" t="s">
        <v>94</v>
      </c>
      <c r="B39" s="1">
        <f t="shared" si="0"/>
        <v>336</v>
      </c>
      <c r="C39" s="1">
        <f t="shared" si="0"/>
        <v>624</v>
      </c>
      <c r="D39" s="1">
        <f t="shared" si="0"/>
        <v>1008</v>
      </c>
      <c r="E39" s="1">
        <f t="shared" si="0"/>
        <v>1488</v>
      </c>
      <c r="F39" s="1">
        <f t="shared" si="0"/>
        <v>2064</v>
      </c>
      <c r="G39" s="164"/>
      <c r="I39" s="382" t="s">
        <v>28</v>
      </c>
      <c r="J39" s="382"/>
      <c r="K39" s="382"/>
      <c r="L39" s="382"/>
      <c r="M39" s="382"/>
      <c r="N39" s="382"/>
      <c r="O39" s="382"/>
      <c r="P39" s="382"/>
      <c r="Q39" s="382"/>
      <c r="R39" s="382"/>
      <c r="S39" s="382"/>
    </row>
    <row r="40" spans="1:19" x14ac:dyDescent="0.2">
      <c r="A40" s="52" t="s">
        <v>116</v>
      </c>
      <c r="B40" s="52" t="s">
        <v>110</v>
      </c>
      <c r="C40" s="52" t="s">
        <v>111</v>
      </c>
      <c r="D40" s="52" t="s">
        <v>112</v>
      </c>
      <c r="E40" s="52" t="s">
        <v>114</v>
      </c>
      <c r="F40" s="52" t="s">
        <v>113</v>
      </c>
      <c r="G40" s="232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</row>
    <row r="41" spans="1:19" x14ac:dyDescent="0.2">
      <c r="A41" s="52" t="s">
        <v>115</v>
      </c>
      <c r="B41" s="227">
        <f>SUMIF(HSDR!O5:X19,"H",Prob!B2:K16)+SUMIF(HSDR!O36:X44,"H",Prob!B18:K26)+SUMIF(Pair!O2:X11,"H",Prob!B28:K37)</f>
        <v>0.35425930464619593</v>
      </c>
      <c r="C41" s="227">
        <f>SUMIF(HSDR!O5:X19,"D",Prob!B2:K16)+SUMIF(HSDR!O36:X44,"D",Prob!B18:K26)+SUMIF(Pair!O2:X11,"D",Prob!B28:K37)</f>
        <v>9.3554147263751261E-2</v>
      </c>
      <c r="D41" s="227">
        <f>SUMIF(HSDR!O5:X19,"S",Prob!B2:K16)+SUMIF(HSDR!O36:X44,"S",Prob!B18:K26)+SUMIF(Pair!O2:X11,"S",Prob!B28:K37)</f>
        <v>0.4306571898743044</v>
      </c>
      <c r="E41" s="227">
        <f>SUMIF(HSDR!O5:X19,"P",Prob!B2:K16)+SUMIF(HSDR!O36:X44,"P",Prob!B18:K26)+SUMIF(Pair!O2:X11,"P",Prob!B28:K37)</f>
        <v>3.0531143867511663E-2</v>
      </c>
      <c r="F41" s="227">
        <f>SUMIF(HSDR!O5:X19,"R",Prob!B2:K16)+SUMIF(HSDR!O36:X44,"R",Prob!B18:K26)+SUMIF(Pair!O2:X11,"R",Prob!B28:K37)</f>
        <v>4.3660936241728239E-2</v>
      </c>
      <c r="G41" s="234"/>
    </row>
    <row r="42" spans="1:19" x14ac:dyDescent="0.2">
      <c r="A42" s="226"/>
      <c r="B42" s="228"/>
      <c r="C42" s="226"/>
      <c r="D42" s="226"/>
      <c r="E42" s="226"/>
      <c r="F42" s="226"/>
      <c r="G42" s="226"/>
    </row>
    <row r="43" spans="1:19" x14ac:dyDescent="0.2">
      <c r="A43" s="226"/>
      <c r="B43" s="226"/>
      <c r="C43" s="226"/>
      <c r="D43" s="226"/>
      <c r="E43" s="226"/>
      <c r="F43" s="226"/>
      <c r="G43" s="226"/>
    </row>
  </sheetData>
  <sheetProtection sheet="1" objects="1" scenarios="1"/>
  <mergeCells count="14">
    <mergeCell ref="A1:S1"/>
    <mergeCell ref="I39:S39"/>
    <mergeCell ref="I37:S37"/>
    <mergeCell ref="I38:S38"/>
    <mergeCell ref="A2:F2"/>
    <mergeCell ref="I2:S2"/>
    <mergeCell ref="I33:S33"/>
    <mergeCell ref="I35:S35"/>
    <mergeCell ref="I36:S36"/>
    <mergeCell ref="C19:D19"/>
    <mergeCell ref="E19:F19"/>
    <mergeCell ref="I34:S34"/>
    <mergeCell ref="A33:F33"/>
    <mergeCell ref="B37:F37"/>
  </mergeCells>
  <phoneticPr fontId="14" type="noConversion"/>
  <conditionalFormatting sqref="J15:S21 J23:S32 J4:S13">
    <cfRule type="containsText" dxfId="103" priority="4" operator="containsText" text="S">
      <formula>NOT(ISERROR(SEARCH("S",J4)))</formula>
    </cfRule>
    <cfRule type="containsText" dxfId="102" priority="5" operator="containsText" text="H">
      <formula>NOT(ISERROR(SEARCH("H",J4)))</formula>
    </cfRule>
  </conditionalFormatting>
  <conditionalFormatting sqref="J15:S21 J23:S32 J4:S13">
    <cfRule type="containsText" dxfId="101" priority="3" operator="containsText" text="D">
      <formula>NOT(ISERROR(SEARCH("D",J4)))</formula>
    </cfRule>
  </conditionalFormatting>
  <conditionalFormatting sqref="J15:S21 J23:S32 J4:S13">
    <cfRule type="containsText" dxfId="100" priority="2" operator="containsText" text="R">
      <formula>NOT(ISERROR(SEARCH("R",J4)))</formula>
    </cfRule>
  </conditionalFormatting>
  <conditionalFormatting sqref="J15:S21 J23:S32 J4:S13">
    <cfRule type="containsText" dxfId="99" priority="1" operator="containsText" text="P">
      <formula>NOT(ISERROR(SEARCH("P",J4)))</formula>
    </cfRule>
  </conditionalFormatting>
  <dataValidations count="13">
    <dataValidation type="list" allowBlank="1" showInputMessage="1" showErrorMessage="1" sqref="B4">
      <formula1>$E$4:$F$4</formula1>
    </dataValidation>
    <dataValidation type="list" allowBlank="1" showInputMessage="1" showErrorMessage="1" sqref="B3">
      <formula1>$E$3:$G$3</formula1>
    </dataValidation>
    <dataValidation type="whole" allowBlank="1" showInputMessage="1" showErrorMessage="1" sqref="B5">
      <formula1>0</formula1>
      <formula2>100</formula2>
    </dataValidation>
    <dataValidation type="list" allowBlank="1" showInputMessage="1" showErrorMessage="1" sqref="B6">
      <formula1>$E$6:$F$6</formula1>
    </dataValidation>
    <dataValidation type="list" allowBlank="1" showInputMessage="1" showErrorMessage="1" sqref="B8:B9">
      <formula1>$E$8:$F$8</formula1>
    </dataValidation>
    <dataValidation type="list" allowBlank="1" showInputMessage="1" showErrorMessage="1" sqref="B7">
      <formula1>$E$7:$F$7</formula1>
    </dataValidation>
    <dataValidation type="list" allowBlank="1" showInputMessage="1" showErrorMessage="1" sqref="B10">
      <formula1>$E$10:$F$10</formula1>
    </dataValidation>
    <dataValidation type="whole" allowBlank="1" showInputMessage="1" showErrorMessage="1" sqref="B11 B17">
      <formula1>2</formula1>
      <formula2>5</formula2>
    </dataValidation>
    <dataValidation type="list" allowBlank="1" showInputMessage="1" showErrorMessage="1" sqref="B12">
      <formula1>$E$12:$F$12</formula1>
    </dataValidation>
    <dataValidation type="list" allowBlank="1" showInputMessage="1" showErrorMessage="1" sqref="B13">
      <formula1>$E$13:$F$13</formula1>
    </dataValidation>
    <dataValidation type="list" allowBlank="1" showInputMessage="1" showErrorMessage="1" sqref="B14">
      <formula1>$E$14:$F$14</formula1>
    </dataValidation>
    <dataValidation type="list" allowBlank="1" showInputMessage="1" showErrorMessage="1" sqref="B16">
      <formula1>$E$16:$G$16</formula1>
    </dataValidation>
    <dataValidation type="list" allowBlank="1" showInputMessage="1" showErrorMessage="1" sqref="B15">
      <formula1>$E$15:$G$15</formula1>
    </dataValidation>
  </dataValidations>
  <pageMargins left="0.7" right="0.7" top="0.75" bottom="0.75" header="0.3" footer="0.3"/>
  <pageSetup paperSize="9" scale="6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3"/>
  <sheetViews>
    <sheetView topLeftCell="A20" workbookViewId="0">
      <selection activeCell="S41" sqref="S41"/>
    </sheetView>
  </sheetViews>
  <sheetFormatPr baseColWidth="10" defaultRowHeight="16" x14ac:dyDescent="0.2"/>
  <cols>
    <col min="2" max="2" width="10.83203125" style="255"/>
  </cols>
  <sheetData>
    <row r="2" spans="1:19" x14ac:dyDescent="0.2">
      <c r="A2" t="s">
        <v>40</v>
      </c>
      <c r="B2" s="254" t="s">
        <v>159</v>
      </c>
      <c r="C2" s="253">
        <f>Rules!C22</f>
        <v>0.3978152025489306</v>
      </c>
      <c r="D2" s="252" t="s">
        <v>160</v>
      </c>
      <c r="E2" s="253">
        <f>Rules!C21</f>
        <v>0.60218479745106923</v>
      </c>
      <c r="F2" s="252" t="s">
        <v>161</v>
      </c>
      <c r="G2" s="253">
        <f>Rules!C19</f>
        <v>-5.3141792559054518E-3</v>
      </c>
      <c r="I2" t="s">
        <v>58</v>
      </c>
      <c r="J2">
        <f>(G2+E2)/C2</f>
        <v>1.5003715654173615</v>
      </c>
    </row>
    <row r="4" spans="1:19" x14ac:dyDescent="0.2">
      <c r="A4" s="399" t="s">
        <v>162</v>
      </c>
      <c r="B4" s="399"/>
      <c r="C4" s="399"/>
      <c r="D4" s="399"/>
      <c r="E4" s="399"/>
      <c r="F4" s="399"/>
      <c r="G4" s="399"/>
      <c r="H4" s="399"/>
      <c r="I4" s="399"/>
      <c r="J4" s="399"/>
      <c r="K4" s="399"/>
      <c r="L4" s="399"/>
      <c r="M4" s="399"/>
      <c r="N4" s="399"/>
      <c r="O4" s="399"/>
      <c r="P4" s="399"/>
      <c r="Q4" s="399"/>
      <c r="R4" s="399"/>
      <c r="S4" s="399"/>
    </row>
    <row r="5" spans="1:19" x14ac:dyDescent="0.2">
      <c r="A5" t="s">
        <v>163</v>
      </c>
      <c r="B5" s="25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9" x14ac:dyDescent="0.2">
      <c r="A6" t="s">
        <v>157</v>
      </c>
      <c r="B6" s="255">
        <f>$C$2</f>
        <v>0.3978152025489306</v>
      </c>
      <c r="C6">
        <f>B6*$C$2</f>
        <v>0.15825693537904667</v>
      </c>
      <c r="D6">
        <f t="shared" ref="D6:K6" si="0">C6*$C$2</f>
        <v>6.2957014802588473E-2</v>
      </c>
      <c r="E6">
        <f t="shared" si="0"/>
        <v>2.5045257595567756E-2</v>
      </c>
      <c r="F6">
        <f t="shared" si="0"/>
        <v>9.96338422327093E-3</v>
      </c>
      <c r="G6">
        <f t="shared" si="0"/>
        <v>3.9635857128533444E-3</v>
      </c>
      <c r="H6">
        <f t="shared" si="0"/>
        <v>1.5767746531788007E-3</v>
      </c>
      <c r="I6">
        <f t="shared" si="0"/>
        <v>6.2726492802834437E-4</v>
      </c>
      <c r="J6">
        <f t="shared" si="0"/>
        <v>2.495355243954362E-4</v>
      </c>
      <c r="K6">
        <f t="shared" si="0"/>
        <v>9.9269025180524062E-5</v>
      </c>
    </row>
    <row r="7" spans="1:19" x14ac:dyDescent="0.2">
      <c r="A7" t="s">
        <v>158</v>
      </c>
      <c r="B7" s="255">
        <f>$E$2</f>
        <v>0.60218479745106923</v>
      </c>
      <c r="C7">
        <f>B7*$E$2</f>
        <v>0.3626265302811853</v>
      </c>
      <c r="D7">
        <f t="shared" ref="D7:K7" si="1">C7*$E$2</f>
        <v>0.21836818368775959</v>
      </c>
      <c r="E7">
        <f t="shared" si="1"/>
        <v>0.13149800046377139</v>
      </c>
      <c r="F7">
        <f t="shared" si="1"/>
        <v>7.9186096774496784E-2</v>
      </c>
      <c r="G7">
        <f t="shared" si="1"/>
        <v>4.7684663647091112E-2</v>
      </c>
      <c r="H7">
        <f t="shared" si="1"/>
        <v>2.8714979519845925E-2</v>
      </c>
      <c r="I7">
        <f t="shared" si="1"/>
        <v>1.7291724125970021E-2</v>
      </c>
      <c r="J7">
        <f t="shared" si="1"/>
        <v>1.0412813390377024E-2</v>
      </c>
      <c r="K7">
        <f t="shared" si="1"/>
        <v>6.2704379223799695E-3</v>
      </c>
    </row>
    <row r="8" spans="1:19" x14ac:dyDescent="0.2">
      <c r="B8" s="255">
        <v>1</v>
      </c>
      <c r="C8">
        <v>2</v>
      </c>
      <c r="D8">
        <v>3</v>
      </c>
      <c r="E8" s="255">
        <v>4</v>
      </c>
      <c r="F8">
        <v>5</v>
      </c>
      <c r="G8">
        <v>6</v>
      </c>
      <c r="H8" s="255">
        <v>7</v>
      </c>
      <c r="I8">
        <v>8</v>
      </c>
      <c r="J8">
        <v>9</v>
      </c>
      <c r="K8" s="255"/>
    </row>
    <row r="9" spans="1:19" x14ac:dyDescent="0.2">
      <c r="B9" s="255">
        <f>B6+C6*B7</f>
        <v>0.49311512312538874</v>
      </c>
      <c r="C9">
        <f>B9+D6*C7</f>
        <v>0.51594500696011258</v>
      </c>
      <c r="D9">
        <f>C9+E6*D7</f>
        <v>0.52141409437124875</v>
      </c>
      <c r="E9">
        <f t="shared" ref="E9:J9" si="2">D9+F6*E7</f>
        <v>0.52272425947446122</v>
      </c>
      <c r="F9">
        <f t="shared" si="2"/>
        <v>0.52303812035629327</v>
      </c>
      <c r="G9">
        <f t="shared" si="2"/>
        <v>0.52311330832527736</v>
      </c>
      <c r="H9">
        <f t="shared" si="2"/>
        <v>0.52313132022483921</v>
      </c>
      <c r="I9">
        <f t="shared" si="2"/>
        <v>0.52313563512428674</v>
      </c>
      <c r="J9">
        <f t="shared" si="2"/>
        <v>0.52313666879412135</v>
      </c>
    </row>
    <row r="10" spans="1:19" x14ac:dyDescent="0.2">
      <c r="B10" s="255">
        <v>-1</v>
      </c>
      <c r="C10">
        <v>-2</v>
      </c>
      <c r="D10" s="255">
        <v>-3</v>
      </c>
      <c r="E10">
        <v>-4</v>
      </c>
      <c r="F10" s="255">
        <v>-5</v>
      </c>
      <c r="G10">
        <v>-6</v>
      </c>
      <c r="H10" s="255">
        <v>-7</v>
      </c>
      <c r="I10">
        <v>-8</v>
      </c>
      <c r="J10" s="255">
        <v>-9</v>
      </c>
      <c r="K10" s="255"/>
    </row>
    <row r="11" spans="1:19" ht="17" thickBot="1" x14ac:dyDescent="0.25">
      <c r="B11" s="255">
        <f>B7+B6*C7</f>
        <v>0.74644314404449486</v>
      </c>
      <c r="C11">
        <f t="shared" ref="C11:J11" si="3">B11+C6*D7</f>
        <v>0.78100142357920843</v>
      </c>
      <c r="D11">
        <f t="shared" si="3"/>
        <v>0.78928014514091682</v>
      </c>
      <c r="E11">
        <f t="shared" si="3"/>
        <v>0.79126338133262164</v>
      </c>
      <c r="F11">
        <f t="shared" si="3"/>
        <v>0.79173848195809504</v>
      </c>
      <c r="G11">
        <f t="shared" si="3"/>
        <v>0.79185229624066478</v>
      </c>
      <c r="H11">
        <f t="shared" si="3"/>
        <v>0.79187956139297633</v>
      </c>
      <c r="I11">
        <f t="shared" si="3"/>
        <v>0.79188609298561818</v>
      </c>
      <c r="J11">
        <f t="shared" si="3"/>
        <v>0.79188765768263336</v>
      </c>
    </row>
    <row r="12" spans="1:19" ht="17" thickBot="1" x14ac:dyDescent="0.25">
      <c r="A12" s="264"/>
      <c r="B12" s="140">
        <v>1</v>
      </c>
      <c r="C12" s="275">
        <v>0</v>
      </c>
      <c r="D12" s="272">
        <v>-1</v>
      </c>
      <c r="E12" s="183">
        <v>-2</v>
      </c>
      <c r="F12" s="183">
        <v>-3</v>
      </c>
      <c r="G12" s="183">
        <v>-4</v>
      </c>
      <c r="H12" s="183">
        <v>-5</v>
      </c>
      <c r="I12" s="183">
        <v>-6</v>
      </c>
      <c r="J12" s="183">
        <v>-7</v>
      </c>
      <c r="K12" s="183">
        <v>-8</v>
      </c>
      <c r="L12" s="183">
        <v>-9</v>
      </c>
      <c r="M12" s="144">
        <v>-10</v>
      </c>
      <c r="Q12" s="29" t="s">
        <v>61</v>
      </c>
      <c r="R12" s="19" t="s">
        <v>58</v>
      </c>
      <c r="S12" s="20" t="s">
        <v>60</v>
      </c>
    </row>
    <row r="13" spans="1:19" x14ac:dyDescent="0.2">
      <c r="A13" s="265">
        <v>1</v>
      </c>
      <c r="B13" s="131">
        <f>C13*$B$6</f>
        <v>0.3978152025489306</v>
      </c>
      <c r="C13" s="119">
        <v>1</v>
      </c>
      <c r="D13" s="273">
        <f>C13*B7</f>
        <v>0.60218479745106923</v>
      </c>
      <c r="E13" s="170"/>
      <c r="F13" s="170"/>
      <c r="G13" s="170"/>
      <c r="H13" s="170"/>
      <c r="I13" s="170"/>
      <c r="J13" s="170"/>
      <c r="K13" s="170"/>
      <c r="L13" s="170"/>
      <c r="M13" s="63"/>
      <c r="Q13" s="28">
        <f>B13-D13</f>
        <v>-0.20436959490213863</v>
      </c>
      <c r="R13" s="2">
        <f>1+($J$2-1)*SUM(C13)</f>
        <v>1.5003715654173615</v>
      </c>
      <c r="S13" s="8">
        <f>B13*R13-D13*COUNT(D13:M13)</f>
        <v>-5.3141792559054934E-3</v>
      </c>
    </row>
    <row r="14" spans="1:19" x14ac:dyDescent="0.2">
      <c r="A14" s="266">
        <v>2</v>
      </c>
      <c r="B14" s="126">
        <f t="shared" ref="B14:B22" si="4">C14*$B$6</f>
        <v>0.4931151231253888</v>
      </c>
      <c r="C14" s="121">
        <f>C13+B7*B6</f>
        <v>1.2395582671698839</v>
      </c>
      <c r="D14" s="247">
        <f>C14*B7</f>
        <v>0.74644314404449497</v>
      </c>
      <c r="E14" s="1">
        <f>D14*B7</f>
        <v>0.44949671350517351</v>
      </c>
      <c r="F14" s="1"/>
      <c r="G14" s="1"/>
      <c r="H14" s="1"/>
      <c r="I14" s="1"/>
      <c r="J14" s="1"/>
      <c r="K14" s="1"/>
      <c r="L14" s="1"/>
      <c r="M14" s="9"/>
      <c r="Q14" s="117">
        <f>B14-E14</f>
        <v>4.3618409620215293E-2</v>
      </c>
      <c r="R14" s="1">
        <f>1+($J$2-1)*SUM(C14:D14)*$B$6</f>
        <v>1.3953243363832839</v>
      </c>
      <c r="S14" s="9">
        <f>B14*R14-E14*COUNT(D14:M14)</f>
        <v>-0.2109378950748525</v>
      </c>
    </row>
    <row r="15" spans="1:19" x14ac:dyDescent="0.2">
      <c r="A15" s="266">
        <v>3</v>
      </c>
      <c r="B15" s="126">
        <f t="shared" si="4"/>
        <v>0.5159450069601127</v>
      </c>
      <c r="C15" s="121">
        <f>C14+C6*C7</f>
        <v>1.2969464305393215</v>
      </c>
      <c r="D15" s="247">
        <f>C15*$B$11</f>
        <v>0.96809677126905613</v>
      </c>
      <c r="E15" s="1">
        <f>D15*B6</f>
        <v>0.38512361314936533</v>
      </c>
      <c r="F15" s="1">
        <f>E15*B6</f>
        <v>0.15320802817139076</v>
      </c>
      <c r="G15" s="1"/>
      <c r="H15" s="1"/>
      <c r="I15" s="1"/>
      <c r="J15" s="1"/>
      <c r="K15" s="1"/>
      <c r="L15" s="1"/>
      <c r="M15" s="9"/>
      <c r="Q15" s="117">
        <f>B15-F15</f>
        <v>0.36273697878872191</v>
      </c>
      <c r="R15" s="1">
        <f>1+($J$2-1)*SUM(C15:E15)*$B$6</f>
        <v>1.5275300568832673</v>
      </c>
      <c r="S15" s="9">
        <f>B15*R15-F15*COUNT(D15:M15)</f>
        <v>0.32849742131624637</v>
      </c>
    </row>
    <row r="16" spans="1:19" x14ac:dyDescent="0.2">
      <c r="A16" s="266">
        <v>4</v>
      </c>
      <c r="B16" s="126">
        <f t="shared" si="4"/>
        <v>0.52141409437124897</v>
      </c>
      <c r="C16" s="121">
        <f>C15+D6*D7</f>
        <v>1.3106942395121661</v>
      </c>
      <c r="D16" s="247">
        <f>C16*$C$11</f>
        <v>1.0236540669360696</v>
      </c>
      <c r="E16" s="1">
        <f>D16*$B$11</f>
        <v>0.76409956013769365</v>
      </c>
      <c r="F16" s="1">
        <f>E16*B7</f>
        <v>0.46012913885396817</v>
      </c>
      <c r="G16" s="1">
        <f>F16*B7</f>
        <v>0.27708277228211176</v>
      </c>
      <c r="H16" s="1"/>
      <c r="I16" s="1"/>
      <c r="J16" s="1"/>
      <c r="K16" s="1"/>
      <c r="L16" s="1"/>
      <c r="M16" s="9"/>
      <c r="Q16" s="117">
        <f>B16-G16</f>
        <v>0.24433132208913722</v>
      </c>
      <c r="R16" s="1">
        <f>1+($J$2-1)*SUM(C16:F16)*$B$6</f>
        <v>1.7083540249269666</v>
      </c>
      <c r="S16" s="9">
        <f>B16*R16-G16*COUNT(D16:M16)</f>
        <v>-0.21757122235567461</v>
      </c>
    </row>
    <row r="17" spans="1:19" x14ac:dyDescent="0.2">
      <c r="A17" s="266">
        <v>5</v>
      </c>
      <c r="B17" s="126">
        <f t="shared" si="4"/>
        <v>0.52272425947446133</v>
      </c>
      <c r="C17" s="121">
        <f>C16+E6*E7</f>
        <v>1.3139876408070834</v>
      </c>
      <c r="D17" s="247">
        <f>C17*$D$11</f>
        <v>1.0371043558495856</v>
      </c>
      <c r="E17" s="1">
        <f>D17*$C$11</f>
        <v>0.80997997831872437</v>
      </c>
      <c r="F17" s="1">
        <f>E17*$B$11</f>
        <v>0.60460400162932038</v>
      </c>
      <c r="G17" s="1">
        <f>F17*B7</f>
        <v>0.3640833382592582</v>
      </c>
      <c r="H17" s="1">
        <f>G17*B7</f>
        <v>0.21924545130496054</v>
      </c>
      <c r="I17" s="1"/>
      <c r="J17" s="1"/>
      <c r="K17" s="1"/>
      <c r="L17" s="1"/>
      <c r="M17" s="9"/>
      <c r="Q17" s="117">
        <f>B17-H17</f>
        <v>0.30347880816950079</v>
      </c>
      <c r="R17" s="1">
        <f>1+($J$2-1)*SUM(C17:G17)*$B$6</f>
        <v>1.822050956939151</v>
      </c>
      <c r="S17" s="9">
        <f>B17*R17-H17*COUNT(D17:M17)</f>
        <v>-0.1437970193340512</v>
      </c>
    </row>
    <row r="18" spans="1:19" x14ac:dyDescent="0.2">
      <c r="A18" s="266">
        <v>6</v>
      </c>
      <c r="B18" s="126">
        <f t="shared" si="4"/>
        <v>0.52303812035629338</v>
      </c>
      <c r="C18" s="121">
        <f>C17+F6*F7</f>
        <v>1.3147766023143888</v>
      </c>
      <c r="D18" s="247">
        <f>C18*$E$11</f>
        <v>1.0403345800442989</v>
      </c>
      <c r="E18" s="1">
        <f>D18*$D$11</f>
        <v>0.82111542833247897</v>
      </c>
      <c r="F18" s="1">
        <f>E18*$C$11</f>
        <v>0.6412923184505176</v>
      </c>
      <c r="G18" s="1">
        <f>F18*$B$11</f>
        <v>0.47868825443578777</v>
      </c>
      <c r="H18" s="1">
        <f>G18*B7</f>
        <v>0.28825878953962075</v>
      </c>
      <c r="I18" s="1">
        <f>H18*B7</f>
        <v>0.1735850607924069</v>
      </c>
      <c r="J18" s="1"/>
      <c r="K18" s="1"/>
      <c r="L18" s="1"/>
      <c r="M18" s="9"/>
      <c r="Q18" s="117">
        <f>B18-I18</f>
        <v>0.3494530595638865</v>
      </c>
      <c r="R18" s="1">
        <f>1+($J$2-1)*SUM(C18:H18)*$B$6</f>
        <v>1.9125627797948357</v>
      </c>
      <c r="S18" s="9">
        <f>B18*R18-I18*COUNT(D18:M18)</f>
        <v>-4.116712334714312E-2</v>
      </c>
    </row>
    <row r="19" spans="1:19" x14ac:dyDescent="0.2">
      <c r="A19" s="266">
        <v>7</v>
      </c>
      <c r="B19" s="126">
        <f t="shared" si="4"/>
        <v>0.52311330832527747</v>
      </c>
      <c r="C19" s="121">
        <f>C18+G6*G7</f>
        <v>1.3149656045659426</v>
      </c>
      <c r="D19" s="247">
        <f>C19*$F$11</f>
        <v>1.0411088715861481</v>
      </c>
      <c r="E19" s="1">
        <f>D19*$E$11</f>
        <v>0.82379132606664573</v>
      </c>
      <c r="F19" s="1">
        <f>E19*$D$11</f>
        <v>0.65020213740371047</v>
      </c>
      <c r="G19" s="1">
        <f>F19*$C$11</f>
        <v>0.50780879492654196</v>
      </c>
      <c r="H19" s="1">
        <f>G19*$B$11</f>
        <v>0.37905039345841413</v>
      </c>
      <c r="I19" s="1">
        <f>H19*B7</f>
        <v>0.22825838440850321</v>
      </c>
      <c r="J19" s="1">
        <f>I19*B7</f>
        <v>0.13745372898154282</v>
      </c>
      <c r="K19" s="1"/>
      <c r="L19" s="1"/>
      <c r="M19" s="9"/>
      <c r="Q19" s="117">
        <f>B19-J19</f>
        <v>0.38565957934373463</v>
      </c>
      <c r="R19" s="1">
        <f>1+($J$2-1)*SUM(C19:I19)*$B$6</f>
        <v>1.9843659576216783</v>
      </c>
      <c r="S19" s="9">
        <f>B19*R19-J19*COUNT(D19:M19)</f>
        <v>7.5872138148733836E-2</v>
      </c>
    </row>
    <row r="20" spans="1:19" x14ac:dyDescent="0.2">
      <c r="A20" s="266">
        <v>8</v>
      </c>
      <c r="B20" s="126">
        <f t="shared" si="4"/>
        <v>0.52311762322472488</v>
      </c>
      <c r="C20" s="121">
        <f>C19+I6*I7</f>
        <v>1.314976451058032</v>
      </c>
      <c r="D20" s="247">
        <f>C20*$G$11</f>
        <v>1.0412671222727028</v>
      </c>
      <c r="E20" s="1">
        <f>D20*$F$11</f>
        <v>0.8244112507010638</v>
      </c>
      <c r="F20" s="1">
        <f>E20*$E$11</f>
        <v>0.6523264338383794</v>
      </c>
      <c r="G20" s="1">
        <f>F20*$D$11</f>
        <v>0.51486830237921277</v>
      </c>
      <c r="H20" s="1">
        <f>G20*$C$11</f>
        <v>0.40211287711397553</v>
      </c>
      <c r="I20" s="1">
        <f>H20*$B$11</f>
        <v>0.30015440025373352</v>
      </c>
      <c r="J20" s="1">
        <f>I20*$B$7</f>
        <v>0.18074841672084169</v>
      </c>
      <c r="K20" s="1">
        <f>J20*$B$7</f>
        <v>0.10884394871264151</v>
      </c>
      <c r="L20" s="1"/>
      <c r="M20" s="9"/>
      <c r="Q20" s="117">
        <f>B20-K20</f>
        <v>0.41427367451208336</v>
      </c>
      <c r="R20" s="1">
        <f>1+($J$2-1)*SUM(C20:J20)*$B$6</f>
        <v>2.041232057391678</v>
      </c>
      <c r="S20" s="9">
        <f>B20*R20-K20*COUNT(D20:M20)</f>
        <v>0.19705287261171767</v>
      </c>
    </row>
    <row r="21" spans="1:19" x14ac:dyDescent="0.2">
      <c r="A21" s="266">
        <v>9</v>
      </c>
      <c r="B21" s="126">
        <f t="shared" si="4"/>
        <v>0.52311865689455961</v>
      </c>
      <c r="C21" s="121">
        <f>C20+J6*J7</f>
        <v>1.3149790494248819</v>
      </c>
      <c r="D21" s="247">
        <f>C21*$H$11</f>
        <v>1.0413050328995284</v>
      </c>
      <c r="E21" s="1">
        <f>D21*$G$11</f>
        <v>0.82455978138845254</v>
      </c>
      <c r="F21" s="1">
        <f>E21*$F$11</f>
        <v>0.6528357096001921</v>
      </c>
      <c r="G21" s="1">
        <f>F21*$E$11</f>
        <v>0.51656499103292941</v>
      </c>
      <c r="H21" s="1">
        <f>G21*$D$11</f>
        <v>0.40771449109718694</v>
      </c>
      <c r="I21" s="1">
        <f>H21*$C$11</f>
        <v>0.31842559796077552</v>
      </c>
      <c r="J21" s="1">
        <f>I21*$B$11</f>
        <v>0.23768660448608958</v>
      </c>
      <c r="K21" s="1">
        <f>J21*$B$7</f>
        <v>0.14313125977928826</v>
      </c>
      <c r="L21" s="1">
        <f>K21*$B$7</f>
        <v>8.6191468679107069E-2</v>
      </c>
      <c r="M21" s="9"/>
      <c r="Q21" s="117">
        <f>B21-L21</f>
        <v>0.43692718821545251</v>
      </c>
      <c r="R21" s="1">
        <f>1+($J$2-1)*SUM(C21:K21)*$B$6</f>
        <v>2.0862857154203374</v>
      </c>
      <c r="S21" s="9">
        <f>B21*R21-L21*COUNT(D21:M21)</f>
        <v>0.3156517632370287</v>
      </c>
    </row>
    <row r="22" spans="1:19" ht="17" thickBot="1" x14ac:dyDescent="0.25">
      <c r="A22" s="267">
        <v>10</v>
      </c>
      <c r="B22" s="127">
        <f t="shared" si="4"/>
        <v>0.52311890451871401</v>
      </c>
      <c r="C22" s="248">
        <f>C21+K6*K7</f>
        <v>1.3149796718851419</v>
      </c>
      <c r="D22" s="274">
        <f>C22*$I$11</f>
        <v>1.0413141147246352</v>
      </c>
      <c r="E22" s="171">
        <f>D22*$H$11</f>
        <v>0.82459536444045956</v>
      </c>
      <c r="F22" s="171">
        <f>E22*$G$11</f>
        <v>0.65295773280158576</v>
      </c>
      <c r="G22" s="171">
        <f>F22*$F$11</f>
        <v>0.516971764151127</v>
      </c>
      <c r="H22" s="171">
        <f>G22*$E$11</f>
        <v>0.40906082615571132</v>
      </c>
      <c r="I22" s="171">
        <f>H22*$D$11</f>
        <v>0.32286358823964317</v>
      </c>
      <c r="J22" s="171">
        <f>I22*$C$11</f>
        <v>0.2521569220370527</v>
      </c>
      <c r="K22" s="171">
        <f>J22*$B$11</f>
        <v>0.18822080567792018</v>
      </c>
      <c r="L22" s="171">
        <f>K22*$B$7</f>
        <v>0.11334370774323543</v>
      </c>
      <c r="M22" s="10">
        <f>L22*$B$7</f>
        <v>6.8253857689713412E-2</v>
      </c>
      <c r="Q22" s="118">
        <f>B22-M22</f>
        <v>0.45486504682900059</v>
      </c>
      <c r="R22" s="171">
        <f>1+($J$2-1)*SUM(C22:L22)*$B$6</f>
        <v>2.1219687833960648</v>
      </c>
      <c r="S22" s="10">
        <f>B22*R22-M22*COUNT(D22:M22)</f>
        <v>0.4275034084959235</v>
      </c>
    </row>
    <row r="25" spans="1:19" x14ac:dyDescent="0.2">
      <c r="A25" s="399" t="s">
        <v>164</v>
      </c>
      <c r="B25" s="399"/>
      <c r="C25" s="399"/>
      <c r="D25" s="399"/>
      <c r="E25" s="399"/>
      <c r="F25" s="399"/>
      <c r="G25" s="399"/>
      <c r="H25" s="399"/>
      <c r="I25" s="399"/>
      <c r="J25" s="399"/>
      <c r="K25" s="399"/>
      <c r="L25" s="399"/>
      <c r="M25" s="399"/>
      <c r="N25" s="399"/>
      <c r="O25" s="399"/>
      <c r="P25" s="399"/>
      <c r="Q25" s="399"/>
      <c r="R25" s="399"/>
      <c r="S25" s="399"/>
    </row>
    <row r="26" spans="1:19" x14ac:dyDescent="0.2">
      <c r="A26" t="s">
        <v>163</v>
      </c>
      <c r="B26" s="255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</row>
    <row r="27" spans="1:19" x14ac:dyDescent="0.2">
      <c r="A27" t="s">
        <v>157</v>
      </c>
      <c r="B27" s="255">
        <f>$C$2</f>
        <v>0.3978152025489306</v>
      </c>
      <c r="C27">
        <f>B27*$C$2</f>
        <v>0.15825693537904667</v>
      </c>
      <c r="D27">
        <f t="shared" ref="D27:K27" si="5">C27*$C$2</f>
        <v>6.2957014802588473E-2</v>
      </c>
      <c r="E27">
        <f t="shared" si="5"/>
        <v>2.5045257595567756E-2</v>
      </c>
      <c r="F27">
        <f t="shared" si="5"/>
        <v>9.96338422327093E-3</v>
      </c>
      <c r="G27">
        <f t="shared" si="5"/>
        <v>3.9635857128533444E-3</v>
      </c>
      <c r="H27">
        <f t="shared" si="5"/>
        <v>1.5767746531788007E-3</v>
      </c>
      <c r="I27">
        <f t="shared" si="5"/>
        <v>6.2726492802834437E-4</v>
      </c>
      <c r="J27">
        <f t="shared" si="5"/>
        <v>2.495355243954362E-4</v>
      </c>
      <c r="K27">
        <f t="shared" si="5"/>
        <v>9.9269025180524062E-5</v>
      </c>
    </row>
    <row r="28" spans="1:19" x14ac:dyDescent="0.2">
      <c r="A28" t="s">
        <v>158</v>
      </c>
      <c r="B28" s="255">
        <f>$E$2</f>
        <v>0.60218479745106923</v>
      </c>
      <c r="C28">
        <f>B28*$E$2</f>
        <v>0.3626265302811853</v>
      </c>
      <c r="D28">
        <f t="shared" ref="D28:K28" si="6">C28*$E$2</f>
        <v>0.21836818368775959</v>
      </c>
      <c r="E28">
        <f t="shared" si="6"/>
        <v>0.13149800046377139</v>
      </c>
      <c r="F28">
        <f t="shared" si="6"/>
        <v>7.9186096774496784E-2</v>
      </c>
      <c r="G28">
        <f t="shared" si="6"/>
        <v>4.7684663647091112E-2</v>
      </c>
      <c r="H28">
        <f t="shared" si="6"/>
        <v>2.8714979519845925E-2</v>
      </c>
      <c r="I28">
        <f t="shared" si="6"/>
        <v>1.7291724125970021E-2</v>
      </c>
      <c r="J28">
        <f t="shared" si="6"/>
        <v>1.0412813390377024E-2</v>
      </c>
      <c r="K28">
        <f t="shared" si="6"/>
        <v>6.2704379223799695E-3</v>
      </c>
    </row>
    <row r="29" spans="1:19" x14ac:dyDescent="0.2">
      <c r="B29" s="255">
        <v>1</v>
      </c>
      <c r="C29">
        <v>2</v>
      </c>
      <c r="D29">
        <v>3</v>
      </c>
      <c r="E29" s="255">
        <v>4</v>
      </c>
      <c r="F29">
        <v>5</v>
      </c>
      <c r="G29">
        <v>6</v>
      </c>
      <c r="H29" s="255">
        <v>7</v>
      </c>
      <c r="I29">
        <v>8</v>
      </c>
      <c r="J29">
        <v>9</v>
      </c>
      <c r="K29" s="255"/>
    </row>
    <row r="30" spans="1:19" x14ac:dyDescent="0.2">
      <c r="B30" s="255">
        <f>B27+C27*B28</f>
        <v>0.49311512312538874</v>
      </c>
      <c r="C30">
        <f>B30+D27*C28</f>
        <v>0.51594500696011258</v>
      </c>
      <c r="D30">
        <f>C30+E27*D28</f>
        <v>0.52141409437124875</v>
      </c>
      <c r="E30">
        <f t="shared" ref="E30:J30" si="7">D30+F27*E28</f>
        <v>0.52272425947446122</v>
      </c>
      <c r="F30">
        <f t="shared" si="7"/>
        <v>0.52303812035629327</v>
      </c>
      <c r="G30">
        <f t="shared" si="7"/>
        <v>0.52311330832527736</v>
      </c>
      <c r="H30">
        <f t="shared" si="7"/>
        <v>0.52313132022483921</v>
      </c>
      <c r="I30">
        <f t="shared" si="7"/>
        <v>0.52313563512428674</v>
      </c>
      <c r="J30">
        <f t="shared" si="7"/>
        <v>0.52313666879412135</v>
      </c>
    </row>
    <row r="31" spans="1:19" x14ac:dyDescent="0.2">
      <c r="B31" s="255">
        <v>-1</v>
      </c>
      <c r="C31">
        <v>-2</v>
      </c>
      <c r="D31" s="255">
        <v>-3</v>
      </c>
      <c r="E31">
        <v>-4</v>
      </c>
      <c r="F31" s="255">
        <v>-5</v>
      </c>
      <c r="G31">
        <v>-6</v>
      </c>
      <c r="H31" s="255">
        <v>-7</v>
      </c>
      <c r="I31">
        <v>-8</v>
      </c>
      <c r="J31" s="255">
        <v>-9</v>
      </c>
      <c r="K31" s="255"/>
    </row>
    <row r="32" spans="1:19" ht="17" thickBot="1" x14ac:dyDescent="0.25">
      <c r="B32" s="255">
        <f>B28+B27*C28</f>
        <v>0.74644314404449486</v>
      </c>
      <c r="C32">
        <f t="shared" ref="C32:J32" si="8">B32+C27*D28</f>
        <v>0.78100142357920843</v>
      </c>
      <c r="D32">
        <f t="shared" si="8"/>
        <v>0.78928014514091682</v>
      </c>
      <c r="E32">
        <f t="shared" si="8"/>
        <v>0.79126338133262164</v>
      </c>
      <c r="F32">
        <f t="shared" si="8"/>
        <v>0.79173848195809504</v>
      </c>
      <c r="G32">
        <f t="shared" si="8"/>
        <v>0.79185229624066478</v>
      </c>
      <c r="H32">
        <f t="shared" si="8"/>
        <v>0.79187956139297633</v>
      </c>
      <c r="I32">
        <f t="shared" si="8"/>
        <v>0.79188609298561818</v>
      </c>
      <c r="J32">
        <f t="shared" si="8"/>
        <v>0.79188765768263336</v>
      </c>
    </row>
    <row r="33" spans="1:19" ht="17" thickBot="1" x14ac:dyDescent="0.25">
      <c r="A33" s="264"/>
      <c r="B33" s="262">
        <v>2</v>
      </c>
      <c r="C33" s="268">
        <v>1</v>
      </c>
      <c r="D33" s="275">
        <v>0</v>
      </c>
      <c r="E33" s="272">
        <v>-1</v>
      </c>
      <c r="F33" s="183">
        <v>-2</v>
      </c>
      <c r="G33" s="183">
        <v>-3</v>
      </c>
      <c r="H33" s="183">
        <v>-4</v>
      </c>
      <c r="I33" s="183">
        <v>-5</v>
      </c>
      <c r="J33" s="183">
        <v>-6</v>
      </c>
      <c r="K33" s="183">
        <v>-7</v>
      </c>
      <c r="L33" s="183">
        <v>-8</v>
      </c>
      <c r="M33" s="183">
        <v>-9</v>
      </c>
      <c r="N33" s="144">
        <v>-10</v>
      </c>
      <c r="Q33" s="29" t="s">
        <v>61</v>
      </c>
      <c r="R33" s="19" t="s">
        <v>58</v>
      </c>
      <c r="S33" s="20" t="s">
        <v>60</v>
      </c>
    </row>
    <row r="34" spans="1:19" x14ac:dyDescent="0.2">
      <c r="A34" s="265">
        <v>1</v>
      </c>
      <c r="B34" s="257">
        <f>C34*$B$27</f>
        <v>0.15825693537904667</v>
      </c>
      <c r="C34" s="269">
        <f>D34*$B$6</f>
        <v>0.3978152025489306</v>
      </c>
      <c r="D34" s="119">
        <v>1</v>
      </c>
      <c r="E34" s="273">
        <f>D34*B28</f>
        <v>0.60218479745106923</v>
      </c>
      <c r="F34" s="170"/>
      <c r="G34" s="170"/>
      <c r="H34" s="170"/>
      <c r="I34" s="170"/>
      <c r="J34" s="170"/>
      <c r="K34" s="170"/>
      <c r="L34" s="170"/>
      <c r="M34" s="170"/>
      <c r="N34" s="63"/>
      <c r="Q34" s="28">
        <f>B34-E34</f>
        <v>-0.44392786207202256</v>
      </c>
      <c r="R34" s="2">
        <f>1+($J$2-1)*SUM(C34:D34)*$B$27</f>
        <v>1.2782426861400009</v>
      </c>
      <c r="S34" s="8">
        <f>B34*R34*COUNT(B34:C34)-E34*COUNT(E34:N34)</f>
        <v>-0.1976032570926749</v>
      </c>
    </row>
    <row r="35" spans="1:19" x14ac:dyDescent="0.2">
      <c r="A35" s="266">
        <v>2</v>
      </c>
      <c r="B35" s="259">
        <f t="shared" ref="B35:B43" si="9">C35*$B$27</f>
        <v>0.23408044979308809</v>
      </c>
      <c r="C35" s="270">
        <f t="shared" ref="C35:C43" si="10">D35*$B$6</f>
        <v>0.58841504370184694</v>
      </c>
      <c r="D35" s="121">
        <f>D34+(B28*B27*2)</f>
        <v>1.4791165343397676</v>
      </c>
      <c r="E35" s="247">
        <f>D35*B28</f>
        <v>0.89070149063792048</v>
      </c>
      <c r="F35" s="1">
        <f>E35*B28</f>
        <v>0.5363668967291616</v>
      </c>
      <c r="G35" s="1"/>
      <c r="H35" s="1"/>
      <c r="I35" s="1"/>
      <c r="J35" s="1"/>
      <c r="K35" s="1"/>
      <c r="L35" s="1"/>
      <c r="M35" s="1"/>
      <c r="N35" s="9"/>
      <c r="Q35" s="117">
        <f>B35-F35</f>
        <v>-0.30228644693607354</v>
      </c>
      <c r="R35" s="1">
        <f>1+($J$2-1)*SUM(C35:E35)*$B$27</f>
        <v>1.5888523130644367</v>
      </c>
      <c r="S35" s="9">
        <f>B35*R35*COUNT(B35:C35)-F35*COUNT(E35:N35)</f>
        <v>-0.32889526526449964</v>
      </c>
    </row>
    <row r="36" spans="1:19" s="317" customFormat="1" x14ac:dyDescent="0.2">
      <c r="A36" s="310">
        <v>3</v>
      </c>
      <c r="B36" s="311">
        <f t="shared" si="9"/>
        <v>0.24316252465496735</v>
      </c>
      <c r="C36" s="312">
        <f t="shared" si="10"/>
        <v>0.61124492753657089</v>
      </c>
      <c r="D36" s="313">
        <f>D35+C27*C28</f>
        <v>1.5365046977092052</v>
      </c>
      <c r="E36" s="314">
        <f>D36*$B$32</f>
        <v>1.1469133973971952</v>
      </c>
      <c r="F36" s="315">
        <f>E36*B27</f>
        <v>0.45625958549164736</v>
      </c>
      <c r="G36" s="315">
        <f>F36*B27</f>
        <v>0.18150699941725082</v>
      </c>
      <c r="H36" s="315"/>
      <c r="I36" s="315"/>
      <c r="J36" s="315"/>
      <c r="K36" s="315"/>
      <c r="L36" s="315"/>
      <c r="M36" s="315"/>
      <c r="N36" s="316"/>
      <c r="Q36" s="318">
        <f>B36-G36</f>
        <v>6.165552523771653E-2</v>
      </c>
      <c r="R36" s="315">
        <f>1+($J$2-1)*SUM(C36:F36)*$B$27</f>
        <v>1.7466414588190893</v>
      </c>
      <c r="S36" s="316">
        <f>B36*R36*COUNT(B36:C36)-G36*COUNT(E36:N36)</f>
        <v>0.30491449533521742</v>
      </c>
    </row>
    <row r="37" spans="1:19" x14ac:dyDescent="0.2">
      <c r="A37" s="266">
        <v>4</v>
      </c>
      <c r="B37" s="259">
        <f t="shared" si="9"/>
        <v>0.24533821077118631</v>
      </c>
      <c r="C37" s="270">
        <f t="shared" si="10"/>
        <v>0.61671401494770706</v>
      </c>
      <c r="D37" s="121">
        <f>D36+D27*D28</f>
        <v>1.5502525066820498</v>
      </c>
      <c r="E37" s="247">
        <f>D37*$C$11</f>
        <v>1.2107494146259172</v>
      </c>
      <c r="F37" s="1">
        <f>E37*$B$11</f>
        <v>0.90375559970340136</v>
      </c>
      <c r="G37" s="1">
        <f>F37*B28</f>
        <v>0.54422788275266232</v>
      </c>
      <c r="H37" s="1">
        <f>G37*B28</f>
        <v>0.3277257573426362</v>
      </c>
      <c r="I37" s="1"/>
      <c r="J37" s="1"/>
      <c r="K37" s="1"/>
      <c r="L37" s="1"/>
      <c r="M37" s="1"/>
      <c r="N37" s="9"/>
      <c r="Q37" s="117">
        <f>B37-H37</f>
        <v>-8.2387546571449893E-2</v>
      </c>
      <c r="R37" s="1">
        <f>1+($J$2-1)*SUM(C37:G37)*$B$27</f>
        <v>1.9605816035754506</v>
      </c>
      <c r="S37" s="9">
        <f>B37*R37*COUNT(B37:C37)-H37*COUNT(E37:N37)</f>
        <v>-0.34889186398633609</v>
      </c>
    </row>
    <row r="38" spans="1:19" x14ac:dyDescent="0.2">
      <c r="A38" s="266">
        <v>5</v>
      </c>
      <c r="B38" s="259">
        <f t="shared" si="9"/>
        <v>0.2458594143670933</v>
      </c>
      <c r="C38" s="270">
        <f t="shared" si="10"/>
        <v>0.61802418005091952</v>
      </c>
      <c r="D38" s="121">
        <f>D37+E27*E28</f>
        <v>1.5535459079769671</v>
      </c>
      <c r="E38" s="247">
        <f>D38*$D$11</f>
        <v>1.2261829397311381</v>
      </c>
      <c r="F38" s="1">
        <f>E38*$C$11</f>
        <v>0.95765062149855762</v>
      </c>
      <c r="G38" s="1">
        <f>F38*$B$11</f>
        <v>0.71483174080754786</v>
      </c>
      <c r="H38" s="1">
        <f>G38*B28</f>
        <v>0.43046080704978845</v>
      </c>
      <c r="I38" s="1">
        <f>H38*B28</f>
        <v>0.25921695390390065</v>
      </c>
      <c r="J38" s="1"/>
      <c r="K38" s="1"/>
      <c r="L38" s="1"/>
      <c r="M38" s="1"/>
      <c r="N38" s="9"/>
      <c r="Q38" s="117">
        <f>B38-I38</f>
        <v>-1.335753953680735E-2</v>
      </c>
      <c r="R38" s="1">
        <f>1+($J$2-1)*SUM(C38:H38)*$B$27</f>
        <v>2.0949433678603642</v>
      </c>
      <c r="S38" s="9">
        <f>B38*R38*COUNT(B38:C38)-I38*COUNT(E38:N38)</f>
        <v>-0.2659616704107528</v>
      </c>
    </row>
    <row r="39" spans="1:19" x14ac:dyDescent="0.2">
      <c r="A39" s="266">
        <v>6</v>
      </c>
      <c r="B39" s="259">
        <f t="shared" si="9"/>
        <v>0.24598427299737147</v>
      </c>
      <c r="C39" s="270">
        <f t="shared" si="10"/>
        <v>0.61833804093275146</v>
      </c>
      <c r="D39" s="121">
        <f>D38+F27*F28</f>
        <v>1.5543348694842725</v>
      </c>
      <c r="E39" s="247">
        <f>D39*$E$11</f>
        <v>1.2298882645513245</v>
      </c>
      <c r="F39" s="1">
        <f>E39*$D$11</f>
        <v>0.97072638795217969</v>
      </c>
      <c r="G39" s="1">
        <f>F39*$C$11</f>
        <v>0.75813869089655528</v>
      </c>
      <c r="H39" s="1">
        <f>G39*$B$11</f>
        <v>0.56590742805460215</v>
      </c>
      <c r="I39" s="1">
        <f>H39*B28</f>
        <v>0.34078084993911611</v>
      </c>
      <c r="J39" s="1">
        <f>I39*B28</f>
        <v>0.20521304709578986</v>
      </c>
      <c r="K39" s="1"/>
      <c r="L39" s="1"/>
      <c r="M39" s="1"/>
      <c r="N39" s="9"/>
      <c r="Q39" s="117">
        <f>B39-J39</f>
        <v>4.0771225901581609E-2</v>
      </c>
      <c r="R39" s="1">
        <f>1+($J$2-1)*SUM(C39:I39)*$B$27</f>
        <v>2.2019193978491596</v>
      </c>
      <c r="S39" s="9">
        <f>B39*R39*COUNT(B39:C39)-J39*COUNT(E39:N39)</f>
        <v>-0.14800319801726824</v>
      </c>
    </row>
    <row r="40" spans="1:19" x14ac:dyDescent="0.2">
      <c r="A40" s="266">
        <v>7</v>
      </c>
      <c r="B40" s="259">
        <f t="shared" si="9"/>
        <v>0.24601418391448213</v>
      </c>
      <c r="C40" s="270">
        <f t="shared" si="10"/>
        <v>0.61841322890173556</v>
      </c>
      <c r="D40" s="121">
        <f>D39+G27*G28</f>
        <v>1.5545238717358263</v>
      </c>
      <c r="E40" s="247">
        <f>D40*$F$11</f>
        <v>1.2307763703757435</v>
      </c>
      <c r="F40" s="1">
        <f>E40*$E$11</f>
        <v>0.97386827248780194</v>
      </c>
      <c r="G40" s="1">
        <f>F40*$D$11</f>
        <v>0.76865489145730626</v>
      </c>
      <c r="H40" s="1">
        <f>G40*$C$11</f>
        <v>0.60032056446927817</v>
      </c>
      <c r="I40" s="1">
        <f>H40*$B$11</f>
        <v>0.44810516957701385</v>
      </c>
      <c r="J40" s="1">
        <f>I40*B28</f>
        <v>0.26984212077851111</v>
      </c>
      <c r="K40" s="1">
        <f>J40*B28</f>
        <v>0.16249482284477468</v>
      </c>
      <c r="L40" s="1"/>
      <c r="M40" s="1"/>
      <c r="N40" s="9"/>
      <c r="Q40" s="117">
        <f>B40-K40</f>
        <v>8.3519361069707448E-2</v>
      </c>
      <c r="R40" s="1">
        <f>1+($J$2-1)*SUM(C40:J40)*$B$27</f>
        <v>2.2867946281607385</v>
      </c>
      <c r="S40" s="9">
        <f>B40*R40*COUNT(B40:C40)-K40*COUNT(E40:N40)</f>
        <v>-1.2295931459451293E-2</v>
      </c>
    </row>
    <row r="41" spans="1:19" s="340" customFormat="1" x14ac:dyDescent="0.2">
      <c r="A41" s="333">
        <v>8</v>
      </c>
      <c r="B41" s="334">
        <f t="shared" si="9"/>
        <v>0.2460159004470798</v>
      </c>
      <c r="C41" s="335">
        <f t="shared" si="10"/>
        <v>0.61841754380118308</v>
      </c>
      <c r="D41" s="336">
        <f>D40+I27*I28</f>
        <v>1.5545347182279157</v>
      </c>
      <c r="E41" s="337">
        <f>D41*$G$11</f>
        <v>1.2309618862146099</v>
      </c>
      <c r="F41" s="338">
        <f>E41*$F$11</f>
        <v>0.97459989513982859</v>
      </c>
      <c r="G41" s="338">
        <f>F41*$E$11</f>
        <v>0.77116520847475922</v>
      </c>
      <c r="H41" s="338">
        <f>G41*$D$11</f>
        <v>0.60866538767258338</v>
      </c>
      <c r="I41" s="338">
        <f>H41*$C$11</f>
        <v>0.47536853425567838</v>
      </c>
      <c r="J41" s="338">
        <f>I41*$B$11</f>
        <v>0.35483558328963172</v>
      </c>
      <c r="K41" s="338">
        <f>J41*$B$7</f>
        <v>0.21367659385169888</v>
      </c>
      <c r="L41" s="338">
        <f>K41*$B$7</f>
        <v>0.12867279638861967</v>
      </c>
      <c r="M41" s="338"/>
      <c r="N41" s="339"/>
      <c r="Q41" s="341">
        <f>B41-L41</f>
        <v>0.11734310405846013</v>
      </c>
      <c r="R41" s="338">
        <f>1+($J$2-1)*SUM(C41:K41)*$B$27</f>
        <v>2.3540197945482948</v>
      </c>
      <c r="S41" s="339">
        <f>B41*R41*COUNT(B41:C41)-L41*COUNT(E41:N41)</f>
        <v>0.12887022774313972</v>
      </c>
    </row>
    <row r="42" spans="1:19" x14ac:dyDescent="0.2">
      <c r="A42" s="266">
        <v>9</v>
      </c>
      <c r="B42" s="259">
        <f t="shared" si="9"/>
        <v>0.24601631165665444</v>
      </c>
      <c r="C42" s="270">
        <f t="shared" si="10"/>
        <v>0.61841857747101769</v>
      </c>
      <c r="D42" s="121">
        <f>D41+J27*J28</f>
        <v>1.5545373165947656</v>
      </c>
      <c r="E42" s="247">
        <f>D42*$H$11</f>
        <v>1.2310063284340773</v>
      </c>
      <c r="F42" s="1">
        <f>E42*$G$11</f>
        <v>0.9747751878573141</v>
      </c>
      <c r="G42" s="1">
        <f>F42*$F$11</f>
        <v>0.77176702748456683</v>
      </c>
      <c r="H42" s="1">
        <f>G42*$E$11</f>
        <v>0.61067098776846473</v>
      </c>
      <c r="I42" s="1">
        <f>H42*$D$11</f>
        <v>0.48199048585924087</v>
      </c>
      <c r="J42" s="1">
        <f>I42*$C$11</f>
        <v>0.37643525560770147</v>
      </c>
      <c r="K42" s="1">
        <f>J42*$B$11</f>
        <v>0.28098751572500574</v>
      </c>
      <c r="L42" s="1">
        <f>K42*$B$7</f>
        <v>0.1692064102431417</v>
      </c>
      <c r="M42" s="1">
        <f>L42*$B$7</f>
        <v>0.10189352787968881</v>
      </c>
      <c r="N42" s="9"/>
      <c r="Q42" s="117">
        <f>B42-M42</f>
        <v>0.14412278377696564</v>
      </c>
      <c r="R42" s="1">
        <f>1+($J$2-1)*SUM(C42:L42)*$B$27</f>
        <v>2.4072810007798306</v>
      </c>
      <c r="S42" s="9">
        <f>B42*R42*COUNT(B42:C42)-M42*COUNT(E42:N42)</f>
        <v>0.26741903494878838</v>
      </c>
    </row>
    <row r="43" spans="1:19" ht="17" thickBot="1" x14ac:dyDescent="0.25">
      <c r="A43" s="267">
        <v>10</v>
      </c>
      <c r="B43" s="260">
        <f t="shared" si="9"/>
        <v>0.24601641016530756</v>
      </c>
      <c r="C43" s="271">
        <f t="shared" si="10"/>
        <v>0.6184188250951721</v>
      </c>
      <c r="D43" s="248">
        <f>D42+K27*K28</f>
        <v>1.5545379390550256</v>
      </c>
      <c r="E43" s="274">
        <f>D43*$I$11</f>
        <v>1.2310169749561992</v>
      </c>
      <c r="F43" s="171">
        <f>E43*$H$11</f>
        <v>0.97481718219562352</v>
      </c>
      <c r="G43" s="171">
        <f>F43*$G$11</f>
        <v>0.77191122413645896</v>
      </c>
      <c r="H43" s="171">
        <f>G43*$F$11</f>
        <v>0.61115182080421482</v>
      </c>
      <c r="I43" s="171">
        <f>H43*$E$11</f>
        <v>0.48358205623713146</v>
      </c>
      <c r="J43" s="171">
        <f>I43*$D$11</f>
        <v>0.38168171553438612</v>
      </c>
      <c r="K43" s="171">
        <f>J43*$C$11</f>
        <v>0.29809396318651005</v>
      </c>
      <c r="L43" s="171">
        <f>K43*$B$11</f>
        <v>0.22251019510162245</v>
      </c>
      <c r="M43" s="171">
        <f>L43*$B$7</f>
        <v>0.13399225676806842</v>
      </c>
      <c r="N43" s="10">
        <f>M43*$B$7</f>
        <v>8.0688100001890944E-2</v>
      </c>
      <c r="Q43" s="118">
        <f>B43-N43</f>
        <v>0.16532831016341662</v>
      </c>
      <c r="R43" s="171">
        <f>1+($J$2-1)*SUM(C43:M43)*$B$27</f>
        <v>2.4494646373564892</v>
      </c>
      <c r="S43" s="10">
        <f>B43*R43*COUNT(B43:C43)-N43*COUNT(E43:N43)</f>
        <v>0.3983359937997113</v>
      </c>
    </row>
    <row r="45" spans="1:19" x14ac:dyDescent="0.2">
      <c r="A45" s="399" t="s">
        <v>165</v>
      </c>
      <c r="B45" s="399"/>
      <c r="C45" s="399"/>
      <c r="D45" s="399"/>
      <c r="E45" s="399"/>
      <c r="F45" s="399"/>
      <c r="G45" s="399"/>
      <c r="H45" s="399"/>
      <c r="I45" s="399"/>
      <c r="J45" s="399"/>
      <c r="K45" s="399"/>
      <c r="L45" s="399"/>
      <c r="M45" s="399"/>
      <c r="N45" s="399"/>
      <c r="O45" s="399"/>
      <c r="P45" s="399"/>
      <c r="Q45" s="399"/>
      <c r="R45" s="399"/>
      <c r="S45" s="399"/>
    </row>
    <row r="46" spans="1:19" x14ac:dyDescent="0.2">
      <c r="A46" t="s">
        <v>163</v>
      </c>
      <c r="B46" s="255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</row>
    <row r="47" spans="1:19" x14ac:dyDescent="0.2">
      <c r="A47" t="s">
        <v>157</v>
      </c>
      <c r="B47" s="255">
        <f>$C$2</f>
        <v>0.3978152025489306</v>
      </c>
      <c r="C47">
        <f>B47*$C$2</f>
        <v>0.15825693537904667</v>
      </c>
      <c r="D47">
        <f t="shared" ref="D47:K47" si="11">C47*$C$2</f>
        <v>6.2957014802588473E-2</v>
      </c>
      <c r="E47">
        <f t="shared" si="11"/>
        <v>2.5045257595567756E-2</v>
      </c>
      <c r="F47">
        <f t="shared" si="11"/>
        <v>9.96338422327093E-3</v>
      </c>
      <c r="G47">
        <f t="shared" si="11"/>
        <v>3.9635857128533444E-3</v>
      </c>
      <c r="H47">
        <f t="shared" si="11"/>
        <v>1.5767746531788007E-3</v>
      </c>
      <c r="I47">
        <f t="shared" si="11"/>
        <v>6.2726492802834437E-4</v>
      </c>
      <c r="J47">
        <f t="shared" si="11"/>
        <v>2.495355243954362E-4</v>
      </c>
      <c r="K47">
        <f t="shared" si="11"/>
        <v>9.9269025180524062E-5</v>
      </c>
    </row>
    <row r="48" spans="1:19" x14ac:dyDescent="0.2">
      <c r="A48" t="s">
        <v>158</v>
      </c>
      <c r="B48" s="255">
        <f>$E$2</f>
        <v>0.60218479745106923</v>
      </c>
      <c r="C48">
        <f>B48*$E$2</f>
        <v>0.3626265302811853</v>
      </c>
      <c r="D48">
        <f t="shared" ref="D48:K48" si="12">C48*$E$2</f>
        <v>0.21836818368775959</v>
      </c>
      <c r="E48">
        <f t="shared" si="12"/>
        <v>0.13149800046377139</v>
      </c>
      <c r="F48">
        <f t="shared" si="12"/>
        <v>7.9186096774496784E-2</v>
      </c>
      <c r="G48">
        <f t="shared" si="12"/>
        <v>4.7684663647091112E-2</v>
      </c>
      <c r="H48">
        <f t="shared" si="12"/>
        <v>2.8714979519845925E-2</v>
      </c>
      <c r="I48">
        <f t="shared" si="12"/>
        <v>1.7291724125970021E-2</v>
      </c>
      <c r="J48">
        <f t="shared" si="12"/>
        <v>1.0412813390377024E-2</v>
      </c>
      <c r="K48">
        <f t="shared" si="12"/>
        <v>6.2704379223799695E-3</v>
      </c>
    </row>
    <row r="49" spans="1:19" x14ac:dyDescent="0.2">
      <c r="B49" s="255">
        <v>1</v>
      </c>
      <c r="C49">
        <v>2</v>
      </c>
      <c r="D49">
        <v>3</v>
      </c>
      <c r="E49" s="255">
        <v>4</v>
      </c>
      <c r="F49">
        <v>5</v>
      </c>
      <c r="G49">
        <v>6</v>
      </c>
      <c r="H49" s="255">
        <v>7</v>
      </c>
      <c r="I49">
        <v>8</v>
      </c>
      <c r="J49">
        <v>9</v>
      </c>
      <c r="K49" s="255"/>
    </row>
    <row r="50" spans="1:19" x14ac:dyDescent="0.2">
      <c r="B50" s="255">
        <f>B47+C47*B48</f>
        <v>0.49311512312538874</v>
      </c>
      <c r="C50">
        <f>B50+D47*C48</f>
        <v>0.51594500696011258</v>
      </c>
      <c r="D50">
        <f>C50+E47*D48</f>
        <v>0.52141409437124875</v>
      </c>
      <c r="E50">
        <f t="shared" ref="E50:J50" si="13">D50+F47*E48</f>
        <v>0.52272425947446122</v>
      </c>
      <c r="F50">
        <f t="shared" si="13"/>
        <v>0.52303812035629327</v>
      </c>
      <c r="G50">
        <f t="shared" si="13"/>
        <v>0.52311330832527736</v>
      </c>
      <c r="H50">
        <f t="shared" si="13"/>
        <v>0.52313132022483921</v>
      </c>
      <c r="I50">
        <f t="shared" si="13"/>
        <v>0.52313563512428674</v>
      </c>
      <c r="J50">
        <f t="shared" si="13"/>
        <v>0.52313666879412135</v>
      </c>
    </row>
    <row r="51" spans="1:19" x14ac:dyDescent="0.2">
      <c r="B51" s="255">
        <v>-1</v>
      </c>
      <c r="C51">
        <v>-2</v>
      </c>
      <c r="D51" s="255">
        <v>-3</v>
      </c>
      <c r="E51">
        <v>-4</v>
      </c>
      <c r="F51" s="255">
        <v>-5</v>
      </c>
      <c r="G51">
        <v>-6</v>
      </c>
      <c r="H51" s="255">
        <v>-7</v>
      </c>
      <c r="I51">
        <v>-8</v>
      </c>
      <c r="J51" s="255">
        <v>-9</v>
      </c>
      <c r="K51" s="255"/>
    </row>
    <row r="52" spans="1:19" ht="17" thickBot="1" x14ac:dyDescent="0.25">
      <c r="B52" s="255">
        <f>B48+B47*C48</f>
        <v>0.74644314404449486</v>
      </c>
      <c r="C52">
        <f t="shared" ref="C52:J52" si="14">B52+C47*D48</f>
        <v>0.78100142357920843</v>
      </c>
      <c r="D52">
        <f t="shared" si="14"/>
        <v>0.78928014514091682</v>
      </c>
      <c r="E52">
        <f t="shared" si="14"/>
        <v>0.79126338133262164</v>
      </c>
      <c r="F52">
        <f t="shared" si="14"/>
        <v>0.79173848195809504</v>
      </c>
      <c r="G52">
        <f t="shared" si="14"/>
        <v>0.79185229624066478</v>
      </c>
      <c r="H52">
        <f t="shared" si="14"/>
        <v>0.79187956139297633</v>
      </c>
      <c r="I52">
        <f t="shared" si="14"/>
        <v>0.79188609298561818</v>
      </c>
      <c r="J52">
        <f t="shared" si="14"/>
        <v>0.79188765768263336</v>
      </c>
    </row>
    <row r="53" spans="1:19" ht="17" thickBot="1" x14ac:dyDescent="0.25">
      <c r="A53" s="264"/>
      <c r="B53" s="262">
        <v>3</v>
      </c>
      <c r="C53" s="263">
        <v>2</v>
      </c>
      <c r="D53" s="268">
        <v>1</v>
      </c>
      <c r="E53" s="275">
        <v>0</v>
      </c>
      <c r="F53" s="272">
        <v>-1</v>
      </c>
      <c r="G53" s="183">
        <v>-2</v>
      </c>
      <c r="H53" s="183">
        <v>-3</v>
      </c>
      <c r="I53" s="183">
        <v>-4</v>
      </c>
      <c r="J53" s="183">
        <v>-5</v>
      </c>
      <c r="K53" s="183">
        <v>-6</v>
      </c>
      <c r="L53" s="183">
        <v>-7</v>
      </c>
      <c r="M53" s="183">
        <v>-8</v>
      </c>
      <c r="N53" s="183">
        <v>-9</v>
      </c>
      <c r="O53" s="144">
        <v>-10</v>
      </c>
      <c r="Q53" s="29" t="s">
        <v>61</v>
      </c>
      <c r="R53" s="19" t="s">
        <v>58</v>
      </c>
      <c r="S53" s="20" t="s">
        <v>60</v>
      </c>
    </row>
    <row r="54" spans="1:19" x14ac:dyDescent="0.2">
      <c r="A54" s="265">
        <v>1</v>
      </c>
      <c r="B54" s="257">
        <f>C54*$B$47</f>
        <v>7.8038888174885288E-2</v>
      </c>
      <c r="C54" s="258">
        <f>D54*$B$47</f>
        <v>0.19616869258606737</v>
      </c>
      <c r="D54" s="269">
        <f>E54*$B$50</f>
        <v>0.49311512312538874</v>
      </c>
      <c r="E54" s="119">
        <v>1</v>
      </c>
      <c r="F54" s="273">
        <f>E54*B48</f>
        <v>0.60218479745106923</v>
      </c>
      <c r="G54" s="170"/>
      <c r="H54" s="170"/>
      <c r="I54" s="170"/>
      <c r="J54" s="170"/>
      <c r="K54" s="170"/>
      <c r="L54" s="170"/>
      <c r="M54" s="170"/>
      <c r="N54" s="170"/>
      <c r="O54" s="63"/>
      <c r="Q54" s="28">
        <f>B54-F54</f>
        <v>-0.52414590927618399</v>
      </c>
      <c r="R54" s="2">
        <f>1+($J$2-1)*SUM(C54:E54)*$B$47</f>
        <v>1.3362610920808986</v>
      </c>
      <c r="S54" s="8">
        <f>B54*R54*3-F54*COUNT(F54:O54)</f>
        <v>-0.28934380763901524</v>
      </c>
    </row>
    <row r="55" spans="1:19" x14ac:dyDescent="0.2">
      <c r="A55" s="266">
        <v>2</v>
      </c>
      <c r="B55" s="259">
        <f t="shared" ref="B55:C63" si="15">C55*$B$47</f>
        <v>0.11990711828471461</v>
      </c>
      <c r="C55" s="256">
        <f t="shared" si="15"/>
        <v>0.30141411770196547</v>
      </c>
      <c r="D55" s="270">
        <f>E55*$B$50</f>
        <v>0.75767370319361294</v>
      </c>
      <c r="E55" s="121">
        <f>E54+(B48*B47*2)+C47*C48</f>
        <v>1.5365046977092052</v>
      </c>
      <c r="F55" s="247">
        <f>E55*B48</f>
        <v>0.92525977017263406</v>
      </c>
      <c r="G55" s="1">
        <f>F55*B48</f>
        <v>0.55717736729103051</v>
      </c>
      <c r="H55" s="1"/>
      <c r="I55" s="1"/>
      <c r="J55" s="1"/>
      <c r="K55" s="1"/>
      <c r="L55" s="1"/>
      <c r="M55" s="1"/>
      <c r="N55" s="1"/>
      <c r="O55" s="9"/>
      <c r="Q55" s="117">
        <f>B55-G55</f>
        <v>-0.43727024900631589</v>
      </c>
      <c r="R55" s="1">
        <f>1+($J$2-1)*SUM(C55:F55)*$B$47</f>
        <v>1.7008447157715803</v>
      </c>
      <c r="S55" s="9">
        <f>B55*R55*3-G55*COUNT(F55:O55)</f>
        <v>-0.50252456902819709</v>
      </c>
    </row>
    <row r="56" spans="1:19" x14ac:dyDescent="0.2">
      <c r="A56" s="266">
        <v>3</v>
      </c>
      <c r="B56" s="259">
        <f t="shared" si="15"/>
        <v>0.12886413521221377</v>
      </c>
      <c r="C56" s="256">
        <f>D56*$B$47</f>
        <v>0.32392963965816185</v>
      </c>
      <c r="D56" s="270">
        <f>E56*$B$50</f>
        <v>0.81427164568533306</v>
      </c>
      <c r="E56" s="121">
        <f>E55+(C47*C48*2)</f>
        <v>1.65128102444808</v>
      </c>
      <c r="F56" s="247">
        <f>E56*$B$11</f>
        <v>1.2325873995900392</v>
      </c>
      <c r="G56" s="1">
        <f>F56*B47</f>
        <v>0.4903420060271711</v>
      </c>
      <c r="H56" s="1">
        <f>G56*B47</f>
        <v>0.19506550444594803</v>
      </c>
      <c r="I56" s="1"/>
      <c r="J56" s="1"/>
      <c r="K56" s="1"/>
      <c r="L56" s="1"/>
      <c r="M56" s="1"/>
      <c r="N56" s="1"/>
      <c r="O56" s="9"/>
      <c r="Q56" s="117">
        <f>B56-H56</f>
        <v>-6.6201369233734264E-2</v>
      </c>
      <c r="R56" s="1">
        <f>1+($J$2-1)*SUM(C56:G56)*$B$47</f>
        <v>1.8982199895776275</v>
      </c>
      <c r="S56" s="9">
        <f>B56*R56*3-H56*COUNT(F56:O56)</f>
        <v>0.1486409188605311</v>
      </c>
    </row>
    <row r="57" spans="1:19" x14ac:dyDescent="0.2">
      <c r="A57" s="266">
        <v>4</v>
      </c>
      <c r="B57" s="259">
        <f t="shared" si="15"/>
        <v>0.12993699893929525</v>
      </c>
      <c r="C57" s="256">
        <f t="shared" si="15"/>
        <v>0.32662652937028774</v>
      </c>
      <c r="D57" s="270">
        <f t="shared" ref="D57:D63" si="16">E57*$B$50</f>
        <v>0.82105089819968169</v>
      </c>
      <c r="E57" s="121">
        <f>E56+D47*D48</f>
        <v>1.6650288334209247</v>
      </c>
      <c r="F57" s="247">
        <f>E57*$C$11</f>
        <v>1.3003898892021708</v>
      </c>
      <c r="G57" s="1">
        <f>F57*$B$11</f>
        <v>0.97066711737974065</v>
      </c>
      <c r="H57" s="1">
        <f>G57*B48</f>
        <v>0.58452098147173237</v>
      </c>
      <c r="I57" s="1">
        <f>H57*B48</f>
        <v>0.35198964883345535</v>
      </c>
      <c r="J57" s="1"/>
      <c r="K57" s="1"/>
      <c r="L57" s="1"/>
      <c r="M57" s="1"/>
      <c r="N57" s="1"/>
      <c r="O57" s="9"/>
      <c r="Q57" s="117">
        <f>B57-I57</f>
        <v>-0.2220526498941601</v>
      </c>
      <c r="R57" s="1">
        <f>1+($J$2-1)*SUM(C57:H57)*$B$47</f>
        <v>2.128302677194557</v>
      </c>
      <c r="S57" s="9">
        <f>B57*R57*3-I57*COUNT(F57:O57)</f>
        <v>-0.57832280720643625</v>
      </c>
    </row>
    <row r="58" spans="1:19" x14ac:dyDescent="0.2">
      <c r="A58" s="266">
        <v>5</v>
      </c>
      <c r="B58" s="259">
        <f t="shared" si="15"/>
        <v>0.13019401231466432</v>
      </c>
      <c r="C58" s="256">
        <f t="shared" si="15"/>
        <v>0.32727259159647293</v>
      </c>
      <c r="D58" s="270">
        <f t="shared" si="16"/>
        <v>0.8226749241847261</v>
      </c>
      <c r="E58" s="121">
        <f>E57+E47*E48</f>
        <v>1.668322234715842</v>
      </c>
      <c r="F58" s="247">
        <f>E58*$D$11</f>
        <v>1.3167736155583385</v>
      </c>
      <c r="G58" s="1">
        <f>F58*$C$11</f>
        <v>1.0284020682826036</v>
      </c>
      <c r="H58" s="1">
        <f>G58*$B$11</f>
        <v>0.7676436731907279</v>
      </c>
      <c r="I58" s="1">
        <f>H58*B48</f>
        <v>0.46226334985495326</v>
      </c>
      <c r="J58" s="1">
        <f>I58*B48</f>
        <v>0.27836796170145778</v>
      </c>
      <c r="K58" s="1"/>
      <c r="L58" s="1"/>
      <c r="M58" s="1"/>
      <c r="N58" s="1"/>
      <c r="O58" s="9"/>
      <c r="Q58" s="117">
        <f>B58-J58</f>
        <v>-0.14817394938679346</v>
      </c>
      <c r="R58" s="1">
        <f>1+($J$2-1)*SUM(C58:I58)*$B$47</f>
        <v>2.2726314307773712</v>
      </c>
      <c r="S58" s="9">
        <f>B58*R58*3-J58*COUNT(F58:O58)</f>
        <v>-0.50419079505132225</v>
      </c>
    </row>
    <row r="59" spans="1:19" x14ac:dyDescent="0.2">
      <c r="A59" s="266">
        <v>6</v>
      </c>
      <c r="B59" s="259">
        <f t="shared" si="15"/>
        <v>0.1302555819935072</v>
      </c>
      <c r="C59" s="256">
        <f t="shared" si="15"/>
        <v>0.32742736114386173</v>
      </c>
      <c r="D59" s="270">
        <f t="shared" si="16"/>
        <v>0.82306397303554213</v>
      </c>
      <c r="E59" s="121">
        <f>E58+F47*F48</f>
        <v>1.6691111962231473</v>
      </c>
      <c r="F59" s="247">
        <f>E59*$E$11</f>
        <v>1.3207065689436646</v>
      </c>
      <c r="G59" s="1">
        <f>F59*$D$11</f>
        <v>1.0424074724244179</v>
      </c>
      <c r="H59" s="1">
        <f>G59*$C$11</f>
        <v>0.8141217199130748</v>
      </c>
      <c r="I59" s="1">
        <f>H59*$B$11</f>
        <v>0.60769557624682724</v>
      </c>
      <c r="J59" s="1">
        <f>I59*B48</f>
        <v>0.36594503749410645</v>
      </c>
      <c r="K59" s="1">
        <f>J59*B48</f>
        <v>0.22036653828161243</v>
      </c>
      <c r="L59" s="1"/>
      <c r="M59" s="1"/>
      <c r="N59" s="1"/>
      <c r="O59" s="9"/>
      <c r="Q59" s="117">
        <f>B59-K59</f>
        <v>-9.0110956288105226E-2</v>
      </c>
      <c r="R59" s="1">
        <f>1+($J$2-1)*SUM(C59:J59)*$B$47</f>
        <v>2.387511575772602</v>
      </c>
      <c r="S59" s="9">
        <f>B59*R59*3-K59*COUNT(F59:O59)</f>
        <v>-0.38923910023418729</v>
      </c>
    </row>
    <row r="60" spans="1:19" x14ac:dyDescent="0.2">
      <c r="A60" s="266">
        <v>7</v>
      </c>
      <c r="B60" s="259">
        <f t="shared" si="15"/>
        <v>0.13027033151908102</v>
      </c>
      <c r="C60" s="256">
        <f t="shared" si="15"/>
        <v>0.32746443746844489</v>
      </c>
      <c r="D60" s="270">
        <f t="shared" si="16"/>
        <v>0.82315717290408807</v>
      </c>
      <c r="E60" s="121">
        <f>E59+G47*G48</f>
        <v>1.6693001984747011</v>
      </c>
      <c r="F60" s="247">
        <f>E60*$F$11</f>
        <v>1.3216492050727067</v>
      </c>
      <c r="G60" s="1">
        <f>F60*$E$11</f>
        <v>1.0457726189414014</v>
      </c>
      <c r="H60" s="1">
        <f>G60*$D$11</f>
        <v>0.82540756446246599</v>
      </c>
      <c r="I60" s="1">
        <f>H60*$C$11</f>
        <v>0.64464448287823317</v>
      </c>
      <c r="J60" s="1">
        <f>I60*$B$11</f>
        <v>0.48119045459056592</v>
      </c>
      <c r="K60" s="1">
        <f>J60*B48</f>
        <v>0.28976557643300788</v>
      </c>
      <c r="L60" s="1">
        <f>K60*B48</f>
        <v>0.17449242495260317</v>
      </c>
      <c r="M60" s="1"/>
      <c r="N60" s="1"/>
      <c r="O60" s="9"/>
      <c r="Q60" s="117">
        <f>B60-L60</f>
        <v>-4.4222093433522153E-2</v>
      </c>
      <c r="R60" s="1">
        <f>1+($J$2-1)*SUM(C60:K60)*$B$47</f>
        <v>2.4786536374444221</v>
      </c>
      <c r="S60" s="9">
        <f>B60*R60*3-L60*COUNT(F60:O60)</f>
        <v>-0.25276188145563938</v>
      </c>
    </row>
    <row r="61" spans="1:19" x14ac:dyDescent="0.2">
      <c r="A61" s="266">
        <v>8</v>
      </c>
      <c r="B61" s="259">
        <f t="shared" si="15"/>
        <v>0.13027117796726428</v>
      </c>
      <c r="C61" s="256">
        <f t="shared" si="15"/>
        <v>0.32746656521061723</v>
      </c>
      <c r="D61" s="270">
        <f t="shared" si="16"/>
        <v>0.82316252147337021</v>
      </c>
      <c r="E61" s="121">
        <f>E60+I47*I48</f>
        <v>1.6693110449667905</v>
      </c>
      <c r="F61" s="247">
        <f>E61*$G$11</f>
        <v>1.3218477840968568</v>
      </c>
      <c r="G61" s="1">
        <f>F61*$F$11</f>
        <v>1.0465577579605172</v>
      </c>
      <c r="H61" s="1">
        <f>G61*$E$11</f>
        <v>0.82810283032372622</v>
      </c>
      <c r="I61" s="1">
        <f>H61*$D$11</f>
        <v>0.6536051221095146</v>
      </c>
      <c r="J61" s="1">
        <f>I61*$C$11</f>
        <v>0.51046653082619331</v>
      </c>
      <c r="K61" s="1">
        <f>J61*$B$11</f>
        <v>0.38103424219938981</v>
      </c>
      <c r="L61" s="1">
        <f>K61*$B$7</f>
        <v>0.2294530279607612</v>
      </c>
      <c r="M61" s="1">
        <f>L61*$B$7</f>
        <v>0.13817312516708552</v>
      </c>
      <c r="N61" s="1"/>
      <c r="O61" s="9"/>
      <c r="Q61" s="117">
        <f>B61-M61</f>
        <v>-7.9019471998212354E-3</v>
      </c>
      <c r="R61" s="1">
        <f>1+($J$2-1)*SUM(C61:L61)*$B$47</f>
        <v>2.5508422217098015</v>
      </c>
      <c r="S61" s="9">
        <f>B61*R61*3-M61*COUNT(F61:O61)</f>
        <v>-0.10848133824437611</v>
      </c>
    </row>
    <row r="62" spans="1:19" x14ac:dyDescent="0.2">
      <c r="A62" s="266">
        <v>9</v>
      </c>
      <c r="B62" s="259">
        <f t="shared" si="15"/>
        <v>0.13027138074092431</v>
      </c>
      <c r="C62" s="256">
        <f t="shared" si="15"/>
        <v>0.32746707492884503</v>
      </c>
      <c r="D62" s="270">
        <f t="shared" si="16"/>
        <v>0.82316380276735934</v>
      </c>
      <c r="E62" s="121">
        <f>E61+J47*J48</f>
        <v>1.6693136433336404</v>
      </c>
      <c r="F62" s="247">
        <f>E62*$H$11</f>
        <v>1.3218953557103545</v>
      </c>
      <c r="G62" s="1">
        <f>F62*$G$11</f>
        <v>1.0467458728091146</v>
      </c>
      <c r="H62" s="1">
        <f>G62*$F$11</f>
        <v>0.82874898833378963</v>
      </c>
      <c r="I62" s="1">
        <f>H62*$E$11</f>
        <v>0.65575872678498381</v>
      </c>
      <c r="J62" s="1">
        <f>I62*$D$11</f>
        <v>0.51757734305427483</v>
      </c>
      <c r="K62" s="1">
        <f>J62*$C$11</f>
        <v>0.40422864173773299</v>
      </c>
      <c r="L62" s="1">
        <f>K62*$B$11</f>
        <v>0.30173369825154911</v>
      </c>
      <c r="M62" s="1">
        <f>L62*$B$7</f>
        <v>0.18169944596577114</v>
      </c>
      <c r="N62" s="1">
        <f>M62*$B$7</f>
        <v>0.1094166440658694</v>
      </c>
      <c r="O62" s="9"/>
      <c r="Q62" s="117">
        <f>B62-N62</f>
        <v>2.0854736675054913E-2</v>
      </c>
      <c r="R62" s="1">
        <f>1+($J$2-1)*SUM(C62:M62)*$B$47</f>
        <v>2.6080358521629705</v>
      </c>
      <c r="S62" s="9">
        <f>B62*R62*3-N62*COUNT(F62:O62)</f>
        <v>3.4507497856485325E-2</v>
      </c>
    </row>
    <row r="63" spans="1:19" ht="17" thickBot="1" x14ac:dyDescent="0.25">
      <c r="A63" s="267">
        <v>10</v>
      </c>
      <c r="B63" s="260">
        <f t="shared" si="15"/>
        <v>0.13027142931703095</v>
      </c>
      <c r="C63" s="261">
        <f t="shared" si="15"/>
        <v>0.32746719703606042</v>
      </c>
      <c r="D63" s="271">
        <f t="shared" si="16"/>
        <v>0.82316410971192711</v>
      </c>
      <c r="E63" s="248">
        <f>E62+K47*K48</f>
        <v>1.6693142657939004</v>
      </c>
      <c r="F63" s="274">
        <f>E63*$I$11</f>
        <v>1.3219067519046876</v>
      </c>
      <c r="G63" s="171">
        <f>F63*$H$11</f>
        <v>1.046790938900698</v>
      </c>
      <c r="H63" s="171">
        <f>G63*$G$11</f>
        <v>0.82890380865243907</v>
      </c>
      <c r="I63" s="171">
        <f>H63*$F$11</f>
        <v>0.65627504315176544</v>
      </c>
      <c r="J63" s="171">
        <f>I63*$E$11</f>
        <v>0.51928640972847806</v>
      </c>
      <c r="K63" s="171">
        <f>J63*$D$11</f>
        <v>0.40986245284019879</v>
      </c>
      <c r="L63" s="171">
        <f>K63*$C$11</f>
        <v>0.32010315913986143</v>
      </c>
      <c r="M63" s="171">
        <f>L63*$B$11</f>
        <v>0.23893880852693344</v>
      </c>
      <c r="N63" s="171">
        <f>M63*$B$7</f>
        <v>0.14388531801599122</v>
      </c>
      <c r="O63" s="10">
        <f>N63*$B$7</f>
        <v>8.6645551085642356E-2</v>
      </c>
      <c r="Q63" s="118">
        <f>B63-O63</f>
        <v>4.3625878231388596E-2</v>
      </c>
      <c r="R63" s="171">
        <f>1+($J$2-1)*SUM(C63:N63)*$B$47</f>
        <v>2.6533340311369984</v>
      </c>
      <c r="S63" s="10">
        <f>B63*R63*3-O63*COUNT(F63:O63)</f>
        <v>0.17050533921878519</v>
      </c>
    </row>
    <row r="65" spans="1:19" x14ac:dyDescent="0.2">
      <c r="A65" s="399" t="s">
        <v>166</v>
      </c>
      <c r="B65" s="399"/>
      <c r="C65" s="399"/>
      <c r="D65" s="399"/>
      <c r="E65" s="399"/>
      <c r="F65" s="399"/>
      <c r="G65" s="399"/>
      <c r="H65" s="399"/>
      <c r="I65" s="399"/>
      <c r="J65" s="399"/>
      <c r="K65" s="399"/>
      <c r="L65" s="399"/>
      <c r="M65" s="399"/>
      <c r="N65" s="399"/>
      <c r="O65" s="399"/>
      <c r="P65" s="399"/>
      <c r="Q65" s="399"/>
      <c r="R65" s="399"/>
      <c r="S65" s="399"/>
    </row>
    <row r="66" spans="1:19" x14ac:dyDescent="0.2">
      <c r="A66" t="s">
        <v>163</v>
      </c>
      <c r="B66" s="255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</row>
    <row r="67" spans="1:19" x14ac:dyDescent="0.2">
      <c r="A67" t="s">
        <v>157</v>
      </c>
      <c r="B67" s="255">
        <f>$C$2</f>
        <v>0.3978152025489306</v>
      </c>
      <c r="C67">
        <f>B67*$C$2</f>
        <v>0.15825693537904667</v>
      </c>
      <c r="D67">
        <f t="shared" ref="D67:K67" si="17">C67*$C$2</f>
        <v>6.2957014802588473E-2</v>
      </c>
      <c r="E67">
        <f t="shared" si="17"/>
        <v>2.5045257595567756E-2</v>
      </c>
      <c r="F67">
        <f t="shared" si="17"/>
        <v>9.96338422327093E-3</v>
      </c>
      <c r="G67">
        <f t="shared" si="17"/>
        <v>3.9635857128533444E-3</v>
      </c>
      <c r="H67">
        <f t="shared" si="17"/>
        <v>1.5767746531788007E-3</v>
      </c>
      <c r="I67">
        <f t="shared" si="17"/>
        <v>6.2726492802834437E-4</v>
      </c>
      <c r="J67">
        <f t="shared" si="17"/>
        <v>2.495355243954362E-4</v>
      </c>
      <c r="K67">
        <f t="shared" si="17"/>
        <v>9.9269025180524062E-5</v>
      </c>
    </row>
    <row r="68" spans="1:19" x14ac:dyDescent="0.2">
      <c r="A68" t="s">
        <v>158</v>
      </c>
      <c r="B68" s="255">
        <f>$E$2</f>
        <v>0.60218479745106923</v>
      </c>
      <c r="C68">
        <f>B68*$E$2</f>
        <v>0.3626265302811853</v>
      </c>
      <c r="D68">
        <f t="shared" ref="D68:K68" si="18">C68*$E$2</f>
        <v>0.21836818368775959</v>
      </c>
      <c r="E68">
        <f t="shared" si="18"/>
        <v>0.13149800046377139</v>
      </c>
      <c r="F68">
        <f t="shared" si="18"/>
        <v>7.9186096774496784E-2</v>
      </c>
      <c r="G68">
        <f t="shared" si="18"/>
        <v>4.7684663647091112E-2</v>
      </c>
      <c r="H68">
        <f t="shared" si="18"/>
        <v>2.8714979519845925E-2</v>
      </c>
      <c r="I68">
        <f t="shared" si="18"/>
        <v>1.7291724125970021E-2</v>
      </c>
      <c r="J68">
        <f t="shared" si="18"/>
        <v>1.0412813390377024E-2</v>
      </c>
      <c r="K68">
        <f t="shared" si="18"/>
        <v>6.2704379223799695E-3</v>
      </c>
    </row>
    <row r="69" spans="1:19" x14ac:dyDescent="0.2">
      <c r="B69" s="255">
        <v>1</v>
      </c>
      <c r="C69">
        <v>2</v>
      </c>
      <c r="D69">
        <v>3</v>
      </c>
      <c r="E69" s="255">
        <v>4</v>
      </c>
      <c r="F69">
        <v>5</v>
      </c>
      <c r="G69">
        <v>6</v>
      </c>
      <c r="H69" s="255">
        <v>7</v>
      </c>
      <c r="I69">
        <v>8</v>
      </c>
      <c r="J69">
        <v>9</v>
      </c>
      <c r="K69" s="255"/>
    </row>
    <row r="70" spans="1:19" x14ac:dyDescent="0.2">
      <c r="B70" s="255">
        <f>B67+C67*B68</f>
        <v>0.49311512312538874</v>
      </c>
      <c r="C70">
        <f>B70+D67*C68</f>
        <v>0.51594500696011258</v>
      </c>
      <c r="D70">
        <f>C70+E67*D68</f>
        <v>0.52141409437124875</v>
      </c>
      <c r="E70">
        <f t="shared" ref="E70:J70" si="19">D70+F67*E68</f>
        <v>0.52272425947446122</v>
      </c>
      <c r="F70">
        <f t="shared" si="19"/>
        <v>0.52303812035629327</v>
      </c>
      <c r="G70">
        <f t="shared" si="19"/>
        <v>0.52311330832527736</v>
      </c>
      <c r="H70">
        <f t="shared" si="19"/>
        <v>0.52313132022483921</v>
      </c>
      <c r="I70">
        <f t="shared" si="19"/>
        <v>0.52313563512428674</v>
      </c>
      <c r="J70">
        <f t="shared" si="19"/>
        <v>0.52313666879412135</v>
      </c>
    </row>
    <row r="71" spans="1:19" x14ac:dyDescent="0.2">
      <c r="B71" s="255">
        <v>-1</v>
      </c>
      <c r="C71">
        <v>-2</v>
      </c>
      <c r="D71" s="255">
        <v>-3</v>
      </c>
      <c r="E71">
        <v>-4</v>
      </c>
      <c r="F71" s="255">
        <v>-5</v>
      </c>
      <c r="G71">
        <v>-6</v>
      </c>
      <c r="H71" s="255">
        <v>-7</v>
      </c>
      <c r="I71">
        <v>-8</v>
      </c>
      <c r="J71" s="255">
        <v>-9</v>
      </c>
      <c r="K71" s="255"/>
    </row>
    <row r="72" spans="1:19" ht="17" thickBot="1" x14ac:dyDescent="0.25">
      <c r="B72" s="255">
        <f>B68+B67*C68</f>
        <v>0.74644314404449486</v>
      </c>
      <c r="C72">
        <f t="shared" ref="C72:J72" si="20">B72+C67*D68</f>
        <v>0.78100142357920843</v>
      </c>
      <c r="D72">
        <f t="shared" si="20"/>
        <v>0.78928014514091682</v>
      </c>
      <c r="E72">
        <f t="shared" si="20"/>
        <v>0.79126338133262164</v>
      </c>
      <c r="F72">
        <f t="shared" si="20"/>
        <v>0.79173848195809504</v>
      </c>
      <c r="G72">
        <f t="shared" si="20"/>
        <v>0.79185229624066478</v>
      </c>
      <c r="H72">
        <f t="shared" si="20"/>
        <v>0.79187956139297633</v>
      </c>
      <c r="I72">
        <f t="shared" si="20"/>
        <v>0.79188609298561818</v>
      </c>
      <c r="J72">
        <f t="shared" si="20"/>
        <v>0.79188765768263336</v>
      </c>
    </row>
    <row r="73" spans="1:19" ht="17" thickBot="1" x14ac:dyDescent="0.25">
      <c r="A73" s="264"/>
      <c r="B73" s="262">
        <v>4</v>
      </c>
      <c r="C73" s="263">
        <v>3</v>
      </c>
      <c r="D73" s="263">
        <v>2</v>
      </c>
      <c r="E73" s="268">
        <v>1</v>
      </c>
      <c r="F73" s="275">
        <v>0</v>
      </c>
      <c r="G73" s="272">
        <v>-1</v>
      </c>
      <c r="H73" s="183">
        <v>-2</v>
      </c>
      <c r="I73" s="183">
        <v>-3</v>
      </c>
      <c r="J73" s="183">
        <v>-4</v>
      </c>
      <c r="K73" s="183">
        <v>-5</v>
      </c>
      <c r="L73" s="183">
        <v>-6</v>
      </c>
      <c r="M73" s="183">
        <v>-7</v>
      </c>
      <c r="N73" s="183">
        <v>-8</v>
      </c>
      <c r="O73" s="183">
        <v>-9</v>
      </c>
      <c r="P73" s="268">
        <v>-10</v>
      </c>
      <c r="Q73" s="29" t="s">
        <v>61</v>
      </c>
      <c r="R73" s="19" t="s">
        <v>58</v>
      </c>
      <c r="S73" s="20" t="s">
        <v>60</v>
      </c>
    </row>
    <row r="74" spans="1:19" x14ac:dyDescent="0.2">
      <c r="A74" s="265">
        <v>1</v>
      </c>
      <c r="B74" s="257">
        <f>C74*$B$67</f>
        <v>4.0263774702550638E-2</v>
      </c>
      <c r="C74" s="258">
        <f t="shared" ref="C74:C83" si="21">D74*$B$47</f>
        <v>0.10121225746167471</v>
      </c>
      <c r="D74" s="170">
        <f>E74*$B$70</f>
        <v>0.25442028563306546</v>
      </c>
      <c r="E74" s="269">
        <f>F74*$C$70</f>
        <v>0.51594500696011258</v>
      </c>
      <c r="F74" s="119">
        <v>1</v>
      </c>
      <c r="G74" s="273">
        <f>F74*B68</f>
        <v>0.60218479745106923</v>
      </c>
      <c r="H74" s="170"/>
      <c r="I74" s="170"/>
      <c r="J74" s="170"/>
      <c r="K74" s="170"/>
      <c r="L74" s="170"/>
      <c r="M74" s="170"/>
      <c r="N74" s="170"/>
      <c r="O74" s="170"/>
      <c r="P74" s="269"/>
      <c r="Q74" s="28">
        <f>B74-G74</f>
        <v>-0.56192102274851863</v>
      </c>
      <c r="R74" s="2">
        <f>1+($J$2-1)*SUM(C74:F74)*$B$47</f>
        <v>1.3725476471403275</v>
      </c>
      <c r="S74" s="8">
        <f>B74*R74*4-G74*COUNT(G74:P74)</f>
        <v>-0.38112900051917276</v>
      </c>
    </row>
    <row r="75" spans="1:19" x14ac:dyDescent="0.2">
      <c r="A75" s="266">
        <v>2</v>
      </c>
      <c r="B75" s="259">
        <f t="shared" ref="B75:B83" si="22">C75*$B$67</f>
        <v>6.1865478977974106E-2</v>
      </c>
      <c r="C75" s="256">
        <f t="shared" si="21"/>
        <v>0.15551310905561674</v>
      </c>
      <c r="D75" s="1">
        <f t="shared" ref="D75:D83" si="23">E75*$B$70</f>
        <v>0.39091796406772289</v>
      </c>
      <c r="E75" s="270">
        <f t="shared" ref="E75:E83" si="24">F75*$C$70</f>
        <v>0.79275192695382157</v>
      </c>
      <c r="F75" s="121">
        <f>F74+(B68*B67*2)+C67*C68</f>
        <v>1.5365046977092052</v>
      </c>
      <c r="G75" s="247">
        <f>F75*B68</f>
        <v>0.92525977017263406</v>
      </c>
      <c r="H75" s="1">
        <f>G75*B68</f>
        <v>0.55717736729103051</v>
      </c>
      <c r="I75" s="1"/>
      <c r="J75" s="1"/>
      <c r="K75" s="1"/>
      <c r="L75" s="1"/>
      <c r="M75" s="1"/>
      <c r="N75" s="1"/>
      <c r="O75" s="1"/>
      <c r="P75" s="270"/>
      <c r="Q75" s="117">
        <f>B75-H75</f>
        <v>-0.49531188831305639</v>
      </c>
      <c r="R75" s="1">
        <f>1+($J$2-1)*SUM(C75:G75)*$B$47</f>
        <v>1.7565991780840764</v>
      </c>
      <c r="S75" s="9">
        <f>B75*R75*4-H75*COUNT(G75:P75)</f>
        <v>-0.67966333648411292</v>
      </c>
    </row>
    <row r="76" spans="1:19" x14ac:dyDescent="0.2">
      <c r="A76" s="266">
        <v>3</v>
      </c>
      <c r="B76" s="259">
        <f t="shared" si="22"/>
        <v>6.6486807138974507E-2</v>
      </c>
      <c r="C76" s="256">
        <f t="shared" si="21"/>
        <v>0.16712988018801705</v>
      </c>
      <c r="D76" s="1">
        <f t="shared" si="23"/>
        <v>0.42011938990054148</v>
      </c>
      <c r="E76" s="270">
        <f t="shared" si="24"/>
        <v>0.85197019965196652</v>
      </c>
      <c r="F76" s="121">
        <f>F75+(C67*C68*2)</f>
        <v>1.65128102444808</v>
      </c>
      <c r="G76" s="247">
        <f>F76*$B$11</f>
        <v>1.2325873995900392</v>
      </c>
      <c r="H76" s="1">
        <f>G76*B67</f>
        <v>0.4903420060271711</v>
      </c>
      <c r="I76" s="1">
        <f>H76*B67</f>
        <v>0.19506550444594803</v>
      </c>
      <c r="J76" s="1"/>
      <c r="K76" s="1"/>
      <c r="L76" s="1"/>
      <c r="M76" s="1"/>
      <c r="N76" s="1"/>
      <c r="O76" s="1"/>
      <c r="P76" s="270"/>
      <c r="Q76" s="117">
        <f>B76-I76</f>
        <v>-0.12857869730697352</v>
      </c>
      <c r="R76" s="1">
        <f>1+($J$2-1)*SUM(C76:H76)*$B$47</f>
        <v>1.9581392893898528</v>
      </c>
      <c r="S76" s="9">
        <f>B76*R76*4-I76*COUNT(G76:P76)</f>
        <v>-6.4434796198197142E-2</v>
      </c>
    </row>
    <row r="77" spans="1:19" x14ac:dyDescent="0.2">
      <c r="A77" s="266">
        <v>4</v>
      </c>
      <c r="B77" s="259">
        <f t="shared" si="22"/>
        <v>6.7040345822110825E-2</v>
      </c>
      <c r="C77" s="256">
        <f t="shared" si="21"/>
        <v>0.16852132696931052</v>
      </c>
      <c r="D77" s="1">
        <f t="shared" si="23"/>
        <v>0.42361711138624142</v>
      </c>
      <c r="E77" s="270">
        <f t="shared" si="24"/>
        <v>0.85906331304814709</v>
      </c>
      <c r="F77" s="121">
        <f>F76+D67*D68</f>
        <v>1.6650288334209247</v>
      </c>
      <c r="G77" s="247">
        <f>F77*$C$11</f>
        <v>1.3003898892021708</v>
      </c>
      <c r="H77" s="1">
        <f>G77*$B$11</f>
        <v>0.97066711737974065</v>
      </c>
      <c r="I77" s="1">
        <f>H77*B68</f>
        <v>0.58452098147173237</v>
      </c>
      <c r="J77" s="1">
        <f>I77*B68</f>
        <v>0.35198964883345535</v>
      </c>
      <c r="K77" s="1"/>
      <c r="L77" s="1"/>
      <c r="M77" s="1"/>
      <c r="N77" s="1"/>
      <c r="O77" s="1"/>
      <c r="P77" s="270"/>
      <c r="Q77" s="117">
        <f>B77-J77</f>
        <v>-0.28494930301134452</v>
      </c>
      <c r="R77" s="1">
        <f>1+($J$2-1)*SUM(C77:I77)*$B$47</f>
        <v>2.1887208376340217</v>
      </c>
      <c r="S77" s="9">
        <f>B77*R77*4-J77*COUNT(G77:P77)</f>
        <v>-0.82102818788164178</v>
      </c>
    </row>
    <row r="78" spans="1:19" x14ac:dyDescent="0.2">
      <c r="A78" s="266">
        <v>5</v>
      </c>
      <c r="B78" s="259">
        <f t="shared" si="22"/>
        <v>6.7172950589854466E-2</v>
      </c>
      <c r="C78" s="256">
        <f t="shared" si="21"/>
        <v>0.16885465954909631</v>
      </c>
      <c r="D78" s="1">
        <f t="shared" si="23"/>
        <v>0.42445501948439862</v>
      </c>
      <c r="E78" s="270">
        <f t="shared" si="24"/>
        <v>0.8607625270021757</v>
      </c>
      <c r="F78" s="121">
        <f>F77+E67*E68</f>
        <v>1.668322234715842</v>
      </c>
      <c r="G78" s="247">
        <f>F78*$D$11</f>
        <v>1.3167736155583385</v>
      </c>
      <c r="H78" s="1">
        <f>G78*$C$11</f>
        <v>1.0284020682826036</v>
      </c>
      <c r="I78" s="1">
        <f>H78*$B$11</f>
        <v>0.7676436731907279</v>
      </c>
      <c r="J78" s="1">
        <f>I78*B68</f>
        <v>0.46226334985495326</v>
      </c>
      <c r="K78" s="1">
        <f>J78*B68</f>
        <v>0.27836796170145778</v>
      </c>
      <c r="L78" s="1"/>
      <c r="M78" s="1"/>
      <c r="N78" s="1"/>
      <c r="O78" s="1"/>
      <c r="P78" s="270"/>
      <c r="Q78" s="117">
        <f>B78-K78</f>
        <v>-0.21119501111160333</v>
      </c>
      <c r="R78" s="1">
        <f>1+($J$2-1)*SUM(C78:J78)*$B$47</f>
        <v>2.3331690974042569</v>
      </c>
      <c r="S78" s="9">
        <f>B78*R78*4-K78*COUNT(G78:P78)</f>
        <v>-0.76493639851644302</v>
      </c>
    </row>
    <row r="79" spans="1:19" x14ac:dyDescent="0.2">
      <c r="A79" s="266">
        <v>6</v>
      </c>
      <c r="B79" s="259">
        <f t="shared" si="22"/>
        <v>6.720471715823359E-2</v>
      </c>
      <c r="C79" s="256">
        <f t="shared" si="21"/>
        <v>0.16893451212430105</v>
      </c>
      <c r="D79" s="1">
        <f t="shared" si="23"/>
        <v>0.42465574729644073</v>
      </c>
      <c r="E79" s="270">
        <f t="shared" si="24"/>
        <v>0.86116958775255359</v>
      </c>
      <c r="F79" s="121">
        <f>F78+F67*F68</f>
        <v>1.6691111962231473</v>
      </c>
      <c r="G79" s="247">
        <f>F79*$E$11</f>
        <v>1.3207065689436646</v>
      </c>
      <c r="H79" s="1">
        <f>G79*$D$11</f>
        <v>1.0424074724244179</v>
      </c>
      <c r="I79" s="1">
        <f>H79*$C$11</f>
        <v>0.8141217199130748</v>
      </c>
      <c r="J79" s="1">
        <f>I79*$B$11</f>
        <v>0.60769557624682724</v>
      </c>
      <c r="K79" s="1">
        <f>J79*B68</f>
        <v>0.36594503749410645</v>
      </c>
      <c r="L79" s="1">
        <f>K79*B68</f>
        <v>0.22036653828161243</v>
      </c>
      <c r="M79" s="1"/>
      <c r="N79" s="1"/>
      <c r="O79" s="1"/>
      <c r="P79" s="270"/>
      <c r="Q79" s="117">
        <f>B79-L79</f>
        <v>-0.15316182112337884</v>
      </c>
      <c r="R79" s="1">
        <f>1+($J$2-1)*SUM(C79:K79)*$B$47</f>
        <v>2.4480778710946627</v>
      </c>
      <c r="S79" s="9">
        <f>B79*R79*4-L79*COUNT(G79:P79)</f>
        <v>-0.66410970605668473</v>
      </c>
    </row>
    <row r="80" spans="1:19" x14ac:dyDescent="0.2">
      <c r="A80" s="266">
        <v>7</v>
      </c>
      <c r="B80" s="259">
        <f t="shared" si="22"/>
        <v>6.7212327102308428E-2</v>
      </c>
      <c r="C80" s="256">
        <f t="shared" si="21"/>
        <v>0.16895364146884614</v>
      </c>
      <c r="D80" s="1">
        <f t="shared" si="23"/>
        <v>0.42470383330326633</v>
      </c>
      <c r="E80" s="270">
        <f t="shared" si="24"/>
        <v>0.86126710252054695</v>
      </c>
      <c r="F80" s="121">
        <f>F79+G67*G68</f>
        <v>1.6693001984747011</v>
      </c>
      <c r="G80" s="247">
        <f>F80*$F$11</f>
        <v>1.3216492050727067</v>
      </c>
      <c r="H80" s="1">
        <f>G80*$E$11</f>
        <v>1.0457726189414014</v>
      </c>
      <c r="I80" s="1">
        <f>H80*$D$11</f>
        <v>0.82540756446246599</v>
      </c>
      <c r="J80" s="1">
        <f>I80*$C$11</f>
        <v>0.64464448287823317</v>
      </c>
      <c r="K80" s="1">
        <f>J80*$B$11</f>
        <v>0.48119045459056592</v>
      </c>
      <c r="L80" s="1">
        <f>K80*B68</f>
        <v>0.28976557643300788</v>
      </c>
      <c r="M80" s="1">
        <f>L80*B68</f>
        <v>0.17449242495260317</v>
      </c>
      <c r="N80" s="1"/>
      <c r="O80" s="1"/>
      <c r="P80" s="270"/>
      <c r="Q80" s="117">
        <f>B80-M80</f>
        <v>-0.10728009785029474</v>
      </c>
      <c r="R80" s="1">
        <f>1+($J$2-1)*SUM(C80:L80)*$B$47</f>
        <v>2.5392267910070898</v>
      </c>
      <c r="S80" s="9">
        <f>B80*R80*4-M80*COUNT(G80:P80)</f>
        <v>-0.53877760801176822</v>
      </c>
    </row>
    <row r="81" spans="1:19" x14ac:dyDescent="0.2">
      <c r="A81" s="266">
        <v>8</v>
      </c>
      <c r="B81" s="259">
        <f t="shared" si="22"/>
        <v>6.7212763823022229E-2</v>
      </c>
      <c r="C81" s="256">
        <f t="shared" si="21"/>
        <v>0.16895473926679605</v>
      </c>
      <c r="D81" s="1">
        <f t="shared" si="23"/>
        <v>0.42470659287088181</v>
      </c>
      <c r="E81" s="270">
        <f t="shared" si="24"/>
        <v>0.86127269871398349</v>
      </c>
      <c r="F81" s="121">
        <f>F80+I67*I68</f>
        <v>1.6693110449667905</v>
      </c>
      <c r="G81" s="247">
        <f>F81*$G$11</f>
        <v>1.3218477840968568</v>
      </c>
      <c r="H81" s="1">
        <f>G81*$F$11</f>
        <v>1.0465577579605172</v>
      </c>
      <c r="I81" s="1">
        <f>H81*$E$11</f>
        <v>0.82810283032372622</v>
      </c>
      <c r="J81" s="1">
        <f>I81*$D$11</f>
        <v>0.6536051221095146</v>
      </c>
      <c r="K81" s="1">
        <f>J81*$C$11</f>
        <v>0.51046653082619331</v>
      </c>
      <c r="L81" s="1">
        <f>K81*$B$11</f>
        <v>0.38103424219938981</v>
      </c>
      <c r="M81" s="1">
        <f>L81*$B$7</f>
        <v>0.2294530279607612</v>
      </c>
      <c r="N81" s="1">
        <f>M81*$B$7</f>
        <v>0.13817312516708552</v>
      </c>
      <c r="O81" s="1"/>
      <c r="P81" s="270"/>
      <c r="Q81" s="117">
        <f>B81-N81</f>
        <v>-7.0960361344063291E-2</v>
      </c>
      <c r="R81" s="1">
        <f>1+($J$2-1)*SUM(C81:M81)*$B$47</f>
        <v>2.6114157688543012</v>
      </c>
      <c r="S81" s="9">
        <f>B81*R81*4-N81*COUNT(G81:P81)</f>
        <v>-0.40330311607380354</v>
      </c>
    </row>
    <row r="82" spans="1:19" x14ac:dyDescent="0.2">
      <c r="A82" s="266">
        <v>9</v>
      </c>
      <c r="B82" s="259">
        <f t="shared" si="22"/>
        <v>6.7212868443079665E-2</v>
      </c>
      <c r="C82" s="256">
        <f t="shared" si="21"/>
        <v>0.16895500225337065</v>
      </c>
      <c r="D82" s="1">
        <f t="shared" si="23"/>
        <v>0.42470725394811798</v>
      </c>
      <c r="E82" s="270">
        <f t="shared" si="24"/>
        <v>0.86127403932838598</v>
      </c>
      <c r="F82" s="121">
        <f>F81+J67*J68</f>
        <v>1.6693136433336404</v>
      </c>
      <c r="G82" s="247">
        <f>F82*$H$11</f>
        <v>1.3218953557103545</v>
      </c>
      <c r="H82" s="1">
        <f>G82*$G$11</f>
        <v>1.0467458728091146</v>
      </c>
      <c r="I82" s="1">
        <f>H82*$F$11</f>
        <v>0.82874898833378963</v>
      </c>
      <c r="J82" s="1">
        <f>I82*$E$11</f>
        <v>0.65575872678498381</v>
      </c>
      <c r="K82" s="1">
        <f>J82*$D$11</f>
        <v>0.51757734305427483</v>
      </c>
      <c r="L82" s="1">
        <f>K82*$C$11</f>
        <v>0.40422864173773299</v>
      </c>
      <c r="M82" s="1">
        <f>L82*$B$11</f>
        <v>0.30173369825154911</v>
      </c>
      <c r="N82" s="1">
        <f>M82*$B$7</f>
        <v>0.18169944596577114</v>
      </c>
      <c r="O82" s="1">
        <f>N82*$B$7</f>
        <v>0.1094166440658694</v>
      </c>
      <c r="P82" s="270"/>
      <c r="Q82" s="117">
        <f>B82-O82</f>
        <v>-4.2203775622789735E-2</v>
      </c>
      <c r="R82" s="1">
        <f>1+($J$2-1)*SUM(C82:N82)*$B$47</f>
        <v>2.6686094935932525</v>
      </c>
      <c r="S82" s="9">
        <f>B82*R82*4-O82*COUNT(G82:P82)</f>
        <v>-0.26729020131747772</v>
      </c>
    </row>
    <row r="83" spans="1:19" ht="17" thickBot="1" x14ac:dyDescent="0.25">
      <c r="A83" s="267">
        <v>10</v>
      </c>
      <c r="B83" s="260">
        <f t="shared" si="22"/>
        <v>6.7212893505679341E-2</v>
      </c>
      <c r="C83" s="261">
        <f t="shared" si="21"/>
        <v>0.16895506525397874</v>
      </c>
      <c r="D83" s="171">
        <f t="shared" si="23"/>
        <v>0.4247074123146351</v>
      </c>
      <c r="E83" s="271">
        <f t="shared" si="24"/>
        <v>0.86127436048364914</v>
      </c>
      <c r="F83" s="248">
        <f>F82+K67*K68</f>
        <v>1.6693142657939004</v>
      </c>
      <c r="G83" s="274">
        <f>F83*$I$11</f>
        <v>1.3219067519046876</v>
      </c>
      <c r="H83" s="171">
        <f>G83*$H$11</f>
        <v>1.046790938900698</v>
      </c>
      <c r="I83" s="171">
        <f>H83*$G$11</f>
        <v>0.82890380865243907</v>
      </c>
      <c r="J83" s="171">
        <f>I83*$F$11</f>
        <v>0.65627504315176544</v>
      </c>
      <c r="K83" s="171">
        <f>J83*$E$11</f>
        <v>0.51928640972847806</v>
      </c>
      <c r="L83" s="171">
        <f>K83*$D$11</f>
        <v>0.40986245284019879</v>
      </c>
      <c r="M83" s="171">
        <f>L83*$C$11</f>
        <v>0.32010315913986143</v>
      </c>
      <c r="N83" s="171">
        <f>M83*$B$11</f>
        <v>0.23893880852693344</v>
      </c>
      <c r="O83" s="171">
        <f>N83*$B$7</f>
        <v>0.14388531801599122</v>
      </c>
      <c r="P83" s="271">
        <f>O83*$B$7</f>
        <v>8.6645551085642356E-2</v>
      </c>
      <c r="Q83" s="118">
        <f>B83-P83</f>
        <v>-1.9432657579963014E-2</v>
      </c>
      <c r="R83" s="171">
        <f>1+($J$2-1)*SUM(C83:O83)*$B$47</f>
        <v>2.7139076951542185</v>
      </c>
      <c r="S83" s="10">
        <f>B83*R83*4-P83*COUNT(G83:P83)</f>
        <v>-0.1368171552618469</v>
      </c>
    </row>
  </sheetData>
  <sheetProtection sheet="1" objects="1" scenarios="1"/>
  <mergeCells count="4">
    <mergeCell ref="A65:S65"/>
    <mergeCell ref="A45:S45"/>
    <mergeCell ref="A25:S25"/>
    <mergeCell ref="A4:S4"/>
  </mergeCells>
  <conditionalFormatting sqref="Q34">
    <cfRule type="cellIs" dxfId="98" priority="5" operator="lessThanOrEqual">
      <formula>0</formula>
    </cfRule>
    <cfRule type="cellIs" dxfId="97" priority="6" operator="greaterThan">
      <formula>0</formula>
    </cfRule>
  </conditionalFormatting>
  <conditionalFormatting sqref="Q74:S83 Q54:S63 Q35:Q43 R34:S43">
    <cfRule type="cellIs" dxfId="96" priority="3" operator="lessThanOrEqual">
      <formula>0</formula>
    </cfRule>
    <cfRule type="cellIs" dxfId="95" priority="4" operator="greaterThan">
      <formula>0</formula>
    </cfRule>
  </conditionalFormatting>
  <conditionalFormatting sqref="Q13:S22">
    <cfRule type="cellIs" dxfId="94" priority="1" operator="lessThanOrEqual">
      <formula>0</formula>
    </cfRule>
    <cfRule type="cellIs" dxfId="93" priority="2" operator="greaterThan">
      <formula>0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workbookViewId="0">
      <selection activeCell="K9" sqref="K9"/>
    </sheetView>
  </sheetViews>
  <sheetFormatPr baseColWidth="10" defaultColWidth="8.83203125" defaultRowHeight="16" x14ac:dyDescent="0.2"/>
  <cols>
    <col min="3" max="4" width="9" customWidth="1"/>
    <col min="7" max="7" width="9" customWidth="1"/>
    <col min="10" max="10" width="8.83203125" customWidth="1"/>
    <col min="13" max="13" width="9" customWidth="1"/>
  </cols>
  <sheetData>
    <row r="1" spans="1:32" ht="17" thickBot="1" x14ac:dyDescent="0.25">
      <c r="A1" s="400" t="s">
        <v>78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</row>
    <row r="2" spans="1:32" ht="17" thickBot="1" x14ac:dyDescent="0.25">
      <c r="A2" s="4" t="s">
        <v>3</v>
      </c>
      <c r="B2" s="21">
        <v>1</v>
      </c>
      <c r="C2" s="19">
        <v>2</v>
      </c>
      <c r="D2" s="19">
        <v>3</v>
      </c>
      <c r="E2" s="19">
        <v>4</v>
      </c>
      <c r="F2" s="19">
        <v>5</v>
      </c>
      <c r="G2" s="19">
        <v>6</v>
      </c>
      <c r="H2" s="19">
        <v>7</v>
      </c>
      <c r="I2" s="19">
        <v>8</v>
      </c>
      <c r="J2" s="19">
        <v>9</v>
      </c>
      <c r="K2" s="19">
        <v>10</v>
      </c>
      <c r="L2" s="20">
        <v>11</v>
      </c>
    </row>
    <row r="3" spans="1:32" x14ac:dyDescent="0.2">
      <c r="A3" s="23" t="s">
        <v>0</v>
      </c>
      <c r="B3" s="22">
        <f t="shared" ref="B3:B9" si="0">L3</f>
        <v>0.16652461265724483</v>
      </c>
      <c r="C3" s="2">
        <f>C14</f>
        <v>0.35360813639536137</v>
      </c>
      <c r="D3" s="2">
        <f t="shared" ref="D3:J3" si="1">D14</f>
        <v>0.3738748853821432</v>
      </c>
      <c r="E3" s="2">
        <f t="shared" si="1"/>
        <v>0.39446844550254284</v>
      </c>
      <c r="F3" s="2">
        <f t="shared" si="1"/>
        <v>0.41640366958226238</v>
      </c>
      <c r="G3" s="2">
        <f t="shared" si="1"/>
        <v>0.42315049208499772</v>
      </c>
      <c r="H3" s="2">
        <f t="shared" si="1"/>
        <v>0.2623124083615333</v>
      </c>
      <c r="I3" s="2">
        <f t="shared" si="1"/>
        <v>0.2447412422511914</v>
      </c>
      <c r="J3" s="2">
        <f t="shared" si="1"/>
        <v>0.2284251594344453</v>
      </c>
      <c r="K3" s="2">
        <f>(SUM(M14:T14)+Rules!$B$5*U14)/(8+Rules!$B$5)</f>
        <v>0.22978483300250749</v>
      </c>
      <c r="L3" s="8">
        <f t="shared" ref="L3:L9" si="2">SUM(C24:K24)/9</f>
        <v>0.16652461265724483</v>
      </c>
    </row>
    <row r="4" spans="1:32" x14ac:dyDescent="0.2">
      <c r="A4" s="24">
        <v>17</v>
      </c>
      <c r="B4" s="22">
        <f t="shared" si="0"/>
        <v>0.18891729969077325</v>
      </c>
      <c r="C4" s="2">
        <f t="shared" ref="C4:J4" si="3">C15</f>
        <v>0.13980913952773527</v>
      </c>
      <c r="D4" s="2">
        <f t="shared" si="3"/>
        <v>0.13503398781113993</v>
      </c>
      <c r="E4" s="2">
        <f t="shared" si="3"/>
        <v>0.13048973584959825</v>
      </c>
      <c r="F4" s="2">
        <f t="shared" si="3"/>
        <v>0.12225128527055079</v>
      </c>
      <c r="G4" s="2">
        <f t="shared" si="3"/>
        <v>0.16543817650334638</v>
      </c>
      <c r="H4" s="2">
        <f t="shared" si="3"/>
        <v>0.36856619379423861</v>
      </c>
      <c r="I4" s="2">
        <f t="shared" si="3"/>
        <v>0.12856654444917001</v>
      </c>
      <c r="J4" s="2">
        <f t="shared" si="3"/>
        <v>0.119995441485892</v>
      </c>
      <c r="K4" s="2">
        <f>(SUM(M15:T15)+Rules!$B$5*U15)/(8+Rules!$B$5)</f>
        <v>0.12070970006616517</v>
      </c>
      <c r="L4" s="8">
        <f t="shared" si="2"/>
        <v>0.18891729969077325</v>
      </c>
    </row>
    <row r="5" spans="1:32" x14ac:dyDescent="0.2">
      <c r="A5" s="24">
        <v>18</v>
      </c>
      <c r="B5" s="22">
        <f t="shared" si="0"/>
        <v>0.18891729969077325</v>
      </c>
      <c r="C5" s="2">
        <f t="shared" ref="C5:J5" si="4">C16</f>
        <v>0.13490735037469442</v>
      </c>
      <c r="D5" s="2">
        <f t="shared" si="4"/>
        <v>0.13048232645474483</v>
      </c>
      <c r="E5" s="2">
        <f t="shared" si="4"/>
        <v>0.12593807449320316</v>
      </c>
      <c r="F5" s="2">
        <f t="shared" si="4"/>
        <v>0.12225128527055079</v>
      </c>
      <c r="G5" s="2">
        <f t="shared" si="4"/>
        <v>0.10626657887021028</v>
      </c>
      <c r="H5" s="2">
        <f t="shared" si="4"/>
        <v>0.13779696302500785</v>
      </c>
      <c r="I5" s="2">
        <f t="shared" si="4"/>
        <v>0.35933577521840082</v>
      </c>
      <c r="J5" s="2">
        <f t="shared" si="4"/>
        <v>0.119995441485892</v>
      </c>
      <c r="K5" s="2">
        <f>(SUM(M16:T16)+Rules!$B$5*U16)/(8+Rules!$B$5)</f>
        <v>0.12070970006616517</v>
      </c>
      <c r="L5" s="8">
        <f t="shared" si="2"/>
        <v>0.18891729969077325</v>
      </c>
    </row>
    <row r="6" spans="1:32" x14ac:dyDescent="0.2">
      <c r="A6" s="24">
        <v>19</v>
      </c>
      <c r="B6" s="22">
        <f t="shared" si="0"/>
        <v>0.18891729969077325</v>
      </c>
      <c r="C6" s="2">
        <f t="shared" ref="C6:J6" si="5">C17</f>
        <v>0.12965543342500779</v>
      </c>
      <c r="D6" s="2">
        <f t="shared" si="5"/>
        <v>0.12558053730170399</v>
      </c>
      <c r="E6" s="2">
        <f t="shared" si="5"/>
        <v>0.12138641313680808</v>
      </c>
      <c r="F6" s="2">
        <f t="shared" si="5"/>
        <v>0.11769962391415568</v>
      </c>
      <c r="G6" s="2">
        <f t="shared" si="5"/>
        <v>0.10626657887021028</v>
      </c>
      <c r="H6" s="2">
        <f t="shared" si="5"/>
        <v>7.8625365391871746E-2</v>
      </c>
      <c r="I6" s="2">
        <f t="shared" si="5"/>
        <v>0.12856654444917001</v>
      </c>
      <c r="J6" s="2">
        <f t="shared" si="5"/>
        <v>0.35076467225512281</v>
      </c>
      <c r="K6" s="2">
        <f>(SUM(M17:T17)+Rules!$B$5*U17)/(8+Rules!$B$5)</f>
        <v>0.12070970006616517</v>
      </c>
      <c r="L6" s="8">
        <f t="shared" si="2"/>
        <v>0.18891729969077325</v>
      </c>
    </row>
    <row r="7" spans="1:32" x14ac:dyDescent="0.2">
      <c r="A7" s="24">
        <v>20</v>
      </c>
      <c r="B7" s="22">
        <f t="shared" si="0"/>
        <v>0.18891729969077325</v>
      </c>
      <c r="C7" s="2">
        <f t="shared" ref="C7:J7" si="6">C18</f>
        <v>0.12402645577124111</v>
      </c>
      <c r="D7" s="2">
        <f t="shared" si="6"/>
        <v>0.12032862035201736</v>
      </c>
      <c r="E7" s="2">
        <f t="shared" si="6"/>
        <v>0.1164846239837672</v>
      </c>
      <c r="F7" s="2">
        <f t="shared" si="6"/>
        <v>0.11314796255776062</v>
      </c>
      <c r="G7" s="2">
        <f t="shared" si="6"/>
        <v>0.1017149175138152</v>
      </c>
      <c r="H7" s="2">
        <f t="shared" si="6"/>
        <v>7.8625365391871746E-2</v>
      </c>
      <c r="I7" s="2">
        <f t="shared" si="6"/>
        <v>6.9394946816033906E-2</v>
      </c>
      <c r="J7" s="2">
        <f t="shared" si="6"/>
        <v>0.119995441485892</v>
      </c>
      <c r="K7" s="2">
        <f>(SUM(M18:T18)+Rules!$B$5*U18)/(8+Rules!$B$5)</f>
        <v>0.37070970006616516</v>
      </c>
      <c r="L7" s="8">
        <f t="shared" si="2"/>
        <v>0.18891729969077325</v>
      </c>
    </row>
    <row r="8" spans="1:32" x14ac:dyDescent="0.2">
      <c r="A8" s="25">
        <v>21</v>
      </c>
      <c r="B8" s="22">
        <f t="shared" si="0"/>
        <v>7.780618857966215E-2</v>
      </c>
      <c r="C8" s="2">
        <f t="shared" ref="C8:J9" si="7">C19</f>
        <v>0.11799348450596003</v>
      </c>
      <c r="D8" s="2">
        <f t="shared" si="7"/>
        <v>0.11469964269825064</v>
      </c>
      <c r="E8" s="2">
        <f t="shared" si="7"/>
        <v>0.11123270703408054</v>
      </c>
      <c r="F8" s="2">
        <f t="shared" si="7"/>
        <v>0.10824617340471974</v>
      </c>
      <c r="G8" s="2">
        <f t="shared" si="7"/>
        <v>9.7163256157420108E-2</v>
      </c>
      <c r="H8" s="2">
        <f t="shared" si="7"/>
        <v>7.4073704035476653E-2</v>
      </c>
      <c r="I8" s="2">
        <f t="shared" si="7"/>
        <v>6.9394946816033906E-2</v>
      </c>
      <c r="J8" s="2">
        <f t="shared" si="7"/>
        <v>6.0823843852755896E-2</v>
      </c>
      <c r="K8" s="2">
        <f>(SUM(M19:T19)+Rules!$B$5*U19)/(8+Rules!$B$5)</f>
        <v>3.7376366732831838E-2</v>
      </c>
      <c r="L8" s="8">
        <f t="shared" si="2"/>
        <v>7.780618857966215E-2</v>
      </c>
    </row>
    <row r="9" spans="1:32" ht="17" thickBot="1" x14ac:dyDescent="0.25">
      <c r="A9" s="236">
        <v>22</v>
      </c>
      <c r="B9" s="22">
        <f t="shared" si="0"/>
        <v>0</v>
      </c>
      <c r="C9" s="2">
        <f t="shared" si="7"/>
        <v>0</v>
      </c>
      <c r="D9" s="2">
        <f t="shared" si="7"/>
        <v>0</v>
      </c>
      <c r="E9" s="2">
        <f t="shared" si="7"/>
        <v>0</v>
      </c>
      <c r="F9" s="2">
        <f t="shared" si="7"/>
        <v>0</v>
      </c>
      <c r="G9" s="2">
        <f t="shared" si="7"/>
        <v>0</v>
      </c>
      <c r="H9" s="2">
        <f t="shared" si="7"/>
        <v>0</v>
      </c>
      <c r="I9" s="2">
        <f t="shared" si="7"/>
        <v>0</v>
      </c>
      <c r="J9" s="2">
        <f t="shared" si="7"/>
        <v>0</v>
      </c>
      <c r="K9" s="2">
        <f>(SUM(M20:T20)+Rules!$B$5*U20)/(8+Rules!$B$5)</f>
        <v>0</v>
      </c>
      <c r="L9" s="8">
        <f t="shared" si="2"/>
        <v>0</v>
      </c>
    </row>
    <row r="10" spans="1:32" ht="17" thickBot="1" x14ac:dyDescent="0.25">
      <c r="A10" s="4" t="s">
        <v>2</v>
      </c>
      <c r="B10" s="21">
        <f>SUM(B3:B9)</f>
        <v>1</v>
      </c>
      <c r="C10" s="21">
        <f t="shared" ref="C10:L10" si="8">SUM(C3:C9)</f>
        <v>1</v>
      </c>
      <c r="D10" s="21">
        <f t="shared" si="8"/>
        <v>0.99999999999999989</v>
      </c>
      <c r="E10" s="21">
        <f t="shared" si="8"/>
        <v>1.0000000000000002</v>
      </c>
      <c r="F10" s="21">
        <f t="shared" si="8"/>
        <v>1</v>
      </c>
      <c r="G10" s="21">
        <f t="shared" si="8"/>
        <v>1</v>
      </c>
      <c r="H10" s="21">
        <f t="shared" si="8"/>
        <v>0.99999999999999989</v>
      </c>
      <c r="I10" s="21">
        <f t="shared" si="8"/>
        <v>1</v>
      </c>
      <c r="J10" s="21">
        <f t="shared" si="8"/>
        <v>1</v>
      </c>
      <c r="K10" s="21">
        <f t="shared" si="8"/>
        <v>1</v>
      </c>
      <c r="L10" s="21">
        <f t="shared" si="8"/>
        <v>1</v>
      </c>
    </row>
    <row r="12" spans="1:32" ht="17" thickBot="1" x14ac:dyDescent="0.25">
      <c r="A12" s="400" t="s">
        <v>79</v>
      </c>
      <c r="B12" s="400"/>
      <c r="C12" s="400"/>
      <c r="D12" s="400"/>
      <c r="E12" s="400"/>
      <c r="F12" s="400"/>
      <c r="G12" s="400"/>
      <c r="H12" s="400"/>
      <c r="I12" s="400"/>
      <c r="J12" s="400"/>
      <c r="K12" s="400"/>
      <c r="L12" s="400"/>
    </row>
    <row r="13" spans="1:32" ht="17" thickBot="1" x14ac:dyDescent="0.25">
      <c r="A13" s="4" t="s">
        <v>3</v>
      </c>
      <c r="B13" s="21">
        <v>1</v>
      </c>
      <c r="C13" s="19">
        <v>2</v>
      </c>
      <c r="D13" s="19">
        <v>3</v>
      </c>
      <c r="E13" s="19">
        <v>4</v>
      </c>
      <c r="F13" s="19">
        <v>5</v>
      </c>
      <c r="G13" s="19">
        <v>6</v>
      </c>
      <c r="H13" s="19">
        <v>7</v>
      </c>
      <c r="I13" s="19">
        <v>8</v>
      </c>
      <c r="J13" s="19">
        <v>9</v>
      </c>
      <c r="K13" s="19">
        <v>10</v>
      </c>
      <c r="L13" s="19">
        <v>11</v>
      </c>
      <c r="M13" s="19">
        <v>12</v>
      </c>
      <c r="N13" s="19">
        <v>13</v>
      </c>
      <c r="O13" s="19">
        <v>14</v>
      </c>
      <c r="P13" s="19">
        <v>15</v>
      </c>
      <c r="Q13" s="19">
        <v>16</v>
      </c>
      <c r="R13" s="19">
        <v>17</v>
      </c>
      <c r="S13" s="19">
        <v>18</v>
      </c>
      <c r="T13" s="19">
        <v>19</v>
      </c>
      <c r="U13" s="19">
        <v>20</v>
      </c>
      <c r="V13" s="19">
        <v>21</v>
      </c>
      <c r="W13" s="19">
        <v>22</v>
      </c>
      <c r="X13" s="19">
        <v>23</v>
      </c>
      <c r="Y13" s="19">
        <v>24</v>
      </c>
      <c r="Z13" s="19">
        <v>25</v>
      </c>
      <c r="AA13" s="19">
        <v>26</v>
      </c>
      <c r="AB13" s="19">
        <v>27</v>
      </c>
      <c r="AC13" s="19">
        <v>28</v>
      </c>
      <c r="AD13" s="19">
        <v>29</v>
      </c>
      <c r="AE13" s="19">
        <v>30</v>
      </c>
      <c r="AF13" s="20">
        <v>31</v>
      </c>
    </row>
    <row r="14" spans="1:32" x14ac:dyDescent="0.2">
      <c r="A14" s="23" t="s">
        <v>0</v>
      </c>
      <c r="B14" s="22">
        <f>L14</f>
        <v>0.2121090766176992</v>
      </c>
      <c r="C14" s="2">
        <f>(SUM(E14:L14)+Rules!$B$5*M14+D24)/(9+Rules!$B$5)</f>
        <v>0.35360813639536137</v>
      </c>
      <c r="D14" s="2">
        <f>(SUM(F14:M14)+Rules!$B$5*N14+E24)/(9+Rules!$B$5)</f>
        <v>0.3738748853821432</v>
      </c>
      <c r="E14" s="2">
        <f>(SUM(G14:N14)+Rules!$B$5*O14+F24)/(9+Rules!$B$5)</f>
        <v>0.39446844550254284</v>
      </c>
      <c r="F14" s="2">
        <f>(SUM(H14:O14)+Rules!$B$5*P14+G24)/(9+Rules!$B$5)</f>
        <v>0.41640366958226238</v>
      </c>
      <c r="G14" s="2">
        <f>(SUM(I14:P14)+Rules!$B$5*Q14+H24)/(9+Rules!$B$5)</f>
        <v>0.42315049208499772</v>
      </c>
      <c r="H14" s="2">
        <f>(SUM(J14:Q14)+Rules!$B$5*R14+I24)/(9+Rules!$B$5)</f>
        <v>0.2623124083615333</v>
      </c>
      <c r="I14" s="2">
        <f>(SUM(K14:R14)+Rules!$B$5*S14+J24)/(9+Rules!$B$5)</f>
        <v>0.2447412422511914</v>
      </c>
      <c r="J14" s="2">
        <f>(SUM(L14:S14)+Rules!$B$5*T14+K24)/(9+Rules!$B$5)</f>
        <v>0.2284251594344453</v>
      </c>
      <c r="K14" s="2">
        <f>(SUM(M14:T14)+Rules!$B$5*U14+L24)/(9+Rules!$B$5)</f>
        <v>0.2121090766176992</v>
      </c>
      <c r="L14" s="2">
        <f>(SUM(M14:U14)+Rules!$B$5*V14)/(9+Rules!$B$5)</f>
        <v>0.2121090766176992</v>
      </c>
      <c r="M14" s="2">
        <f>(SUM(N14:V14)+Rules!$B$5*W14)/(9+Rules!$B$5)</f>
        <v>0.48267271400214923</v>
      </c>
      <c r="N14" s="2">
        <f>(SUM(O14:W14)+Rules!$B$5*X14)/(9+Rules!$B$5)</f>
        <v>0.51962466300199572</v>
      </c>
      <c r="O14" s="2">
        <f>(SUM(P14:X14)+Rules!$B$5*Y14)/(9+Rules!$B$5)</f>
        <v>0.55393718707328177</v>
      </c>
      <c r="P14" s="2">
        <f>(SUM(Q14:Y14)+Rules!$B$5*Z14)/(9+Rules!$B$5)</f>
        <v>0.58579881656804733</v>
      </c>
      <c r="Q14" s="2">
        <f>(SUM(R14:Z14)+Rules!$B$5*AA14)/(9+Rules!$B$5)</f>
        <v>0.61538461538461542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>IF(Rules!$B$14=Rules!$E$14,1,0)</f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8">
        <v>1</v>
      </c>
    </row>
    <row r="15" spans="1:32" x14ac:dyDescent="0.2">
      <c r="A15" s="24">
        <v>17</v>
      </c>
      <c r="B15" s="22">
        <f t="shared" ref="B15:B20" si="9">L15</f>
        <v>0.11142433852261401</v>
      </c>
      <c r="C15" s="2">
        <f>(SUM(E15:L15)+Rules!$B$5*M15+D25)/(9+Rules!$B$5)</f>
        <v>0.13980913952773527</v>
      </c>
      <c r="D15" s="2">
        <f>(SUM(F15:M15)+Rules!$B$5*N15+E25)/(9+Rules!$B$5)</f>
        <v>0.13503398781113993</v>
      </c>
      <c r="E15" s="2">
        <f>(SUM(G15:N15)+Rules!$B$5*O15+F25)/(9+Rules!$B$5)</f>
        <v>0.13048973584959825</v>
      </c>
      <c r="F15" s="2">
        <f>(SUM(H15:O15)+Rules!$B$5*P15+G25)/(9+Rules!$B$5)</f>
        <v>0.12225128527055079</v>
      </c>
      <c r="G15" s="2">
        <f>(SUM(I15:P15)+Rules!$B$5*Q15+H25)/(9+Rules!$B$5)</f>
        <v>0.16543817650334638</v>
      </c>
      <c r="H15" s="2">
        <f>(SUM(J15:Q15)+Rules!$B$5*R15+I25)/(9+Rules!$B$5)</f>
        <v>0.36856619379423861</v>
      </c>
      <c r="I15" s="2">
        <f>(SUM(K15:R15)+Rules!$B$5*S15+J25)/(9+Rules!$B$5)</f>
        <v>0.12856654444917001</v>
      </c>
      <c r="J15" s="2">
        <f>(SUM(L15:S15)+Rules!$B$5*T15+K25)/(9+Rules!$B$5)</f>
        <v>0.119995441485892</v>
      </c>
      <c r="K15" s="2">
        <f>(SUM(M15:T15)+Rules!$B$5*U15+L25)/(9+Rules!$B$5)</f>
        <v>0.11142433852261401</v>
      </c>
      <c r="L15" s="2">
        <f>(SUM(M15:U15)+Rules!$B$5*V15)/(9+Rules!$B$5)</f>
        <v>0.11142433852261401</v>
      </c>
      <c r="M15" s="2">
        <f>(SUM(N15:V15)+Rules!$B$5*W15)/(9+Rules!$B$5)</f>
        <v>0.10346545719957015</v>
      </c>
      <c r="N15" s="2">
        <f>(SUM(O15:W15)+Rules!$B$5*X15)/(9+Rules!$B$5)</f>
        <v>9.6075067399600853E-2</v>
      </c>
      <c r="O15" s="2">
        <f>(SUM(P15:X15)+Rules!$B$5*Y15)/(9+Rules!$B$5)</f>
        <v>8.9212562585343644E-2</v>
      </c>
      <c r="P15" s="2">
        <f>(SUM(Q15:Y15)+Rules!$B$5*Z15)/(9+Rules!$B$5)</f>
        <v>8.2840236686390525E-2</v>
      </c>
      <c r="Q15" s="2">
        <f>(SUM(R15:Z15)+Rules!$B$5*AA15)/(9+Rules!$B$5)</f>
        <v>7.6923076923076927E-2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9">
        <v>0</v>
      </c>
    </row>
    <row r="16" spans="1:32" x14ac:dyDescent="0.2">
      <c r="A16" s="24">
        <v>18</v>
      </c>
      <c r="B16" s="22">
        <f t="shared" si="9"/>
        <v>0.11142433852261401</v>
      </c>
      <c r="C16" s="2">
        <f>(SUM(E16:L16)+Rules!$B$5*M16+D26)/(9+Rules!$B$5)</f>
        <v>0.13490735037469442</v>
      </c>
      <c r="D16" s="2">
        <f>(SUM(F16:M16)+Rules!$B$5*N16+E26)/(9+Rules!$B$5)</f>
        <v>0.13048232645474483</v>
      </c>
      <c r="E16" s="2">
        <f>(SUM(G16:N16)+Rules!$B$5*O16+F26)/(9+Rules!$B$5)</f>
        <v>0.12593807449320316</v>
      </c>
      <c r="F16" s="2">
        <f>(SUM(H16:O16)+Rules!$B$5*P16+G26)/(9+Rules!$B$5)</f>
        <v>0.12225128527055079</v>
      </c>
      <c r="G16" s="2">
        <f>(SUM(I16:P16)+Rules!$B$5*Q16+H26)/(9+Rules!$B$5)</f>
        <v>0.10626657887021028</v>
      </c>
      <c r="H16" s="2">
        <f>(SUM(J16:Q16)+Rules!$B$5*R16+I26)/(9+Rules!$B$5)</f>
        <v>0.13779696302500785</v>
      </c>
      <c r="I16" s="2">
        <f>(SUM(K16:R16)+Rules!$B$5*S16+J26)/(9+Rules!$B$5)</f>
        <v>0.35933577521840082</v>
      </c>
      <c r="J16" s="2">
        <f>(SUM(L16:S16)+Rules!$B$5*T16+K26)/(9+Rules!$B$5)</f>
        <v>0.119995441485892</v>
      </c>
      <c r="K16" s="2">
        <f>(SUM(M16:T16)+Rules!$B$5*U16+L26)/(9+Rules!$B$5)</f>
        <v>0.11142433852261401</v>
      </c>
      <c r="L16" s="2">
        <f>(SUM(M16:U16)+Rules!$B$5*V16)/(9+Rules!$B$5)</f>
        <v>0.11142433852261401</v>
      </c>
      <c r="M16" s="2">
        <f>(SUM(N16:V16)+Rules!$B$5*W16)/(9+Rules!$B$5)</f>
        <v>0.10346545719957015</v>
      </c>
      <c r="N16" s="2">
        <f>(SUM(O16:W16)+Rules!$B$5*X16)/(9+Rules!$B$5)</f>
        <v>9.6075067399600853E-2</v>
      </c>
      <c r="O16" s="2">
        <f>(SUM(P16:X16)+Rules!$B$5*Y16)/(9+Rules!$B$5)</f>
        <v>8.9212562585343644E-2</v>
      </c>
      <c r="P16" s="2">
        <f>(SUM(Q16:Y16)+Rules!$B$5*Z16)/(9+Rules!$B$5)</f>
        <v>8.2840236686390525E-2</v>
      </c>
      <c r="Q16" s="2">
        <f>(SUM(R16:Z16)+Rules!$B$5*AA16)/(9+Rules!$B$5)</f>
        <v>7.6923076923076927E-2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9">
        <v>0</v>
      </c>
    </row>
    <row r="17" spans="1:32" x14ac:dyDescent="0.2">
      <c r="A17" s="24">
        <v>19</v>
      </c>
      <c r="B17" s="22">
        <f t="shared" si="9"/>
        <v>0.11142433852261401</v>
      </c>
      <c r="C17" s="2">
        <f>(SUM(E17:L17)+Rules!$B$5*M17+D27)/(9+Rules!$B$5)</f>
        <v>0.12965543342500779</v>
      </c>
      <c r="D17" s="2">
        <f>(SUM(F17:M17)+Rules!$B$5*N17+E27)/(9+Rules!$B$5)</f>
        <v>0.12558053730170399</v>
      </c>
      <c r="E17" s="2">
        <f>(SUM(G17:N17)+Rules!$B$5*O17+F27)/(9+Rules!$B$5)</f>
        <v>0.12138641313680808</v>
      </c>
      <c r="F17" s="2">
        <f>(SUM(H17:O17)+Rules!$B$5*P17+G27)/(9+Rules!$B$5)</f>
        <v>0.11769962391415568</v>
      </c>
      <c r="G17" s="2">
        <f>(SUM(I17:P17)+Rules!$B$5*Q17+H27)/(9+Rules!$B$5)</f>
        <v>0.10626657887021028</v>
      </c>
      <c r="H17" s="2">
        <f>(SUM(J17:Q17)+Rules!$B$5*R17+I27)/(9+Rules!$B$5)</f>
        <v>7.8625365391871746E-2</v>
      </c>
      <c r="I17" s="2">
        <f>(SUM(K17:R17)+Rules!$B$5*S17+J27)/(9+Rules!$B$5)</f>
        <v>0.12856654444917001</v>
      </c>
      <c r="J17" s="2">
        <f>(SUM(L17:S17)+Rules!$B$5*T17+K27)/(9+Rules!$B$5)</f>
        <v>0.35076467225512281</v>
      </c>
      <c r="K17" s="2">
        <f>(SUM(M17:T17)+Rules!$B$5*U17+L27)/(9+Rules!$B$5)</f>
        <v>0.11142433852261401</v>
      </c>
      <c r="L17" s="2">
        <f>(SUM(M17:U17)+Rules!$B$5*V17)/(9+Rules!$B$5)</f>
        <v>0.11142433852261401</v>
      </c>
      <c r="M17" s="2">
        <f>(SUM(N17:V17)+Rules!$B$5*W17)/(9+Rules!$B$5)</f>
        <v>0.10346545719957015</v>
      </c>
      <c r="N17" s="2">
        <f>(SUM(O17:W17)+Rules!$B$5*X17)/(9+Rules!$B$5)</f>
        <v>9.6075067399600853E-2</v>
      </c>
      <c r="O17" s="2">
        <f>(SUM(P17:X17)+Rules!$B$5*Y17)/(9+Rules!$B$5)</f>
        <v>8.9212562585343644E-2</v>
      </c>
      <c r="P17" s="2">
        <f>(SUM(Q17:Y17)+Rules!$B$5*Z17)/(9+Rules!$B$5)</f>
        <v>8.2840236686390525E-2</v>
      </c>
      <c r="Q17" s="2">
        <f>(SUM(R17:Z17)+Rules!$B$5*AA17)/(9+Rules!$B$5)</f>
        <v>7.6923076923076927E-2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9">
        <v>0</v>
      </c>
    </row>
    <row r="18" spans="1:32" x14ac:dyDescent="0.2">
      <c r="A18" s="24">
        <v>20</v>
      </c>
      <c r="B18" s="22">
        <f t="shared" si="9"/>
        <v>0.11142433852261401</v>
      </c>
      <c r="C18" s="2">
        <f>(SUM(E18:L18)+Rules!$B$5*M18+D28)/(9+Rules!$B$5)</f>
        <v>0.12402645577124111</v>
      </c>
      <c r="D18" s="2">
        <f>(SUM(F18:M18)+Rules!$B$5*N18+E28)/(9+Rules!$B$5)</f>
        <v>0.12032862035201736</v>
      </c>
      <c r="E18" s="2">
        <f>(SUM(G18:N18)+Rules!$B$5*O18+F28)/(9+Rules!$B$5)</f>
        <v>0.1164846239837672</v>
      </c>
      <c r="F18" s="2">
        <f>(SUM(H18:O18)+Rules!$B$5*P18+G28)/(9+Rules!$B$5)</f>
        <v>0.11314796255776062</v>
      </c>
      <c r="G18" s="2">
        <f>(SUM(I18:P18)+Rules!$B$5*Q18+H28)/(9+Rules!$B$5)</f>
        <v>0.1017149175138152</v>
      </c>
      <c r="H18" s="2">
        <f>(SUM(J18:Q18)+Rules!$B$5*R18+I28)/(9+Rules!$B$5)</f>
        <v>7.8625365391871746E-2</v>
      </c>
      <c r="I18" s="2">
        <f>(SUM(K18:R18)+Rules!$B$5*S18+J28)/(9+Rules!$B$5)</f>
        <v>6.9394946816033906E-2</v>
      </c>
      <c r="J18" s="2">
        <f>(SUM(L18:S18)+Rules!$B$5*T18+K28)/(9+Rules!$B$5)</f>
        <v>0.119995441485892</v>
      </c>
      <c r="K18" s="2">
        <f>(SUM(M18:T18)+Rules!$B$5*U18+L28)/(9+Rules!$B$5)</f>
        <v>0.34219356929184475</v>
      </c>
      <c r="L18" s="2">
        <f>(SUM(M18:U18)+Rules!$B$5*V18)/(9+Rules!$B$5)</f>
        <v>0.11142433852261401</v>
      </c>
      <c r="M18" s="2">
        <f>(SUM(N18:V18)+Rules!$B$5*W18)/(9+Rules!$B$5)</f>
        <v>0.10346545719957015</v>
      </c>
      <c r="N18" s="2">
        <f>(SUM(O18:W18)+Rules!$B$5*X18)/(9+Rules!$B$5)</f>
        <v>9.6075067399600853E-2</v>
      </c>
      <c r="O18" s="2">
        <f>(SUM(P18:X18)+Rules!$B$5*Y18)/(9+Rules!$B$5)</f>
        <v>8.9212562585343644E-2</v>
      </c>
      <c r="P18" s="2">
        <f>(SUM(Q18:Y18)+Rules!$B$5*Z18)/(9+Rules!$B$5)</f>
        <v>8.2840236686390525E-2</v>
      </c>
      <c r="Q18" s="2">
        <f>(SUM(R18:Z18)+Rules!$B$5*AA18)/(9+Rules!$B$5)</f>
        <v>7.6923076923076927E-2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9">
        <v>0</v>
      </c>
    </row>
    <row r="19" spans="1:32" x14ac:dyDescent="0.2">
      <c r="A19" s="25">
        <v>21</v>
      </c>
      <c r="B19" s="22">
        <f t="shared" si="9"/>
        <v>0.34219356929184475</v>
      </c>
      <c r="C19" s="2">
        <f>(SUM(E19:L19)+Rules!$B$5*M19+D29)/(9+Rules!$B$5)</f>
        <v>0.11799348450596003</v>
      </c>
      <c r="D19" s="2">
        <f>(SUM(F19:M19)+Rules!$B$5*N19+E29)/(9+Rules!$B$5)</f>
        <v>0.11469964269825064</v>
      </c>
      <c r="E19" s="2">
        <f>(SUM(G19:N19)+Rules!$B$5*O19+F29)/(9+Rules!$B$5)</f>
        <v>0.11123270703408054</v>
      </c>
      <c r="F19" s="2">
        <f>(SUM(H19:O19)+Rules!$B$5*P19+G29)/(9+Rules!$B$5)</f>
        <v>0.10824617340471974</v>
      </c>
      <c r="G19" s="2">
        <f>(SUM(I19:P19)+Rules!$B$5*Q19+H29)/(9+Rules!$B$5)</f>
        <v>9.7163256157420108E-2</v>
      </c>
      <c r="H19" s="2">
        <f>(SUM(J19:Q19)+Rules!$B$5*R19+I29)/(9+Rules!$B$5)</f>
        <v>7.4073704035476653E-2</v>
      </c>
      <c r="I19" s="2">
        <f>(SUM(K19:R19)+Rules!$B$5*S19+J29)/(9+Rules!$B$5)</f>
        <v>6.9394946816033906E-2</v>
      </c>
      <c r="J19" s="2">
        <f>(SUM(L19:S19)+Rules!$B$5*T19+K29)/(9+Rules!$B$5)</f>
        <v>6.0823843852755896E-2</v>
      </c>
      <c r="K19" s="2">
        <f>(SUM(M19:T19)+Rules!$B$5*U19+L29)/(9+Rules!$B$5)</f>
        <v>0.11142433852261401</v>
      </c>
      <c r="L19" s="2">
        <f>(SUM(M19:U19)+Rules!$B$5*V19)/(9+Rules!$B$5)</f>
        <v>0.34219356929184475</v>
      </c>
      <c r="M19" s="2">
        <f>(SUM(N19:V19)+Rules!$B$5*W19)/(9+Rules!$B$5)</f>
        <v>0.10346545719957015</v>
      </c>
      <c r="N19" s="2">
        <f>(SUM(O19:W19)+Rules!$B$5*X19)/(9+Rules!$B$5)</f>
        <v>9.6075067399600853E-2</v>
      </c>
      <c r="O19" s="2">
        <f>(SUM(P19:X19)+Rules!$B$5*Y19)/(9+Rules!$B$5)</f>
        <v>8.9212562585343644E-2</v>
      </c>
      <c r="P19" s="2">
        <f>(SUM(Q19:Y19)+Rules!$B$5*Z19)/(9+Rules!$B$5)</f>
        <v>8.2840236686390525E-2</v>
      </c>
      <c r="Q19" s="2">
        <f>(SUM(R19:Z19)+Rules!$B$5*AA19)/(9+Rules!$B$5)</f>
        <v>7.6923076923076927E-2</v>
      </c>
      <c r="R19" s="26">
        <v>0</v>
      </c>
      <c r="S19" s="26">
        <v>0</v>
      </c>
      <c r="T19" s="26">
        <v>0</v>
      </c>
      <c r="U19" s="26">
        <v>0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7">
        <v>0</v>
      </c>
    </row>
    <row r="20" spans="1:32" ht="17" thickBot="1" x14ac:dyDescent="0.25">
      <c r="A20" s="236">
        <v>22</v>
      </c>
      <c r="B20" s="22">
        <f t="shared" si="9"/>
        <v>0</v>
      </c>
      <c r="C20" s="2">
        <f>(SUM(E20:L20)+Rules!$B$5*M20+D30)/(9+Rules!$B$5)</f>
        <v>0</v>
      </c>
      <c r="D20" s="2">
        <f>(SUM(F20:M20)+Rules!$B$5*N20+E30)/(9+Rules!$B$5)</f>
        <v>0</v>
      </c>
      <c r="E20" s="2">
        <f>(SUM(G20:N20)+Rules!$B$5*O20+F30)/(9+Rules!$B$5)</f>
        <v>0</v>
      </c>
      <c r="F20" s="2">
        <f>(SUM(H20:O20)+Rules!$B$5*P20+G30)/(9+Rules!$B$5)</f>
        <v>0</v>
      </c>
      <c r="G20" s="2">
        <f>(SUM(I20:P20)+Rules!$B$5*Q20+H30)/(9+Rules!$B$5)</f>
        <v>0</v>
      </c>
      <c r="H20" s="2">
        <f>(SUM(J20:Q20)+Rules!$B$5*R20+I30)/(9+Rules!$B$5)</f>
        <v>0</v>
      </c>
      <c r="I20" s="2">
        <f>(SUM(K20:R20)+Rules!$B$5*S20+J30)/(9+Rules!$B$5)</f>
        <v>0</v>
      </c>
      <c r="J20" s="2">
        <f>(SUM(L20:S20)+Rules!$B$5*T20+K30)/(9+Rules!$B$5)</f>
        <v>0</v>
      </c>
      <c r="K20" s="2">
        <f>(SUM(M20:T20)+Rules!$B$5*U20+L30)/(9+Rules!$B$5)</f>
        <v>0</v>
      </c>
      <c r="L20" s="2">
        <f>(SUM(M20:U20)+Rules!$B$5*V20)/(9+Rules!$B$5)</f>
        <v>0</v>
      </c>
      <c r="M20" s="2">
        <f>(SUM(N20:V20)+Rules!$B$5*W20)/(9+Rules!$B$5)</f>
        <v>0</v>
      </c>
      <c r="N20" s="2">
        <f>(SUM(O20:W20)+Rules!$B$5*X20)/(9+Rules!$B$5)</f>
        <v>0</v>
      </c>
      <c r="O20" s="2">
        <f>(SUM(P20:X20)+Rules!$B$5*Y20)/(9+Rules!$B$5)</f>
        <v>0</v>
      </c>
      <c r="P20" s="2">
        <f>(SUM(Q20:Y20)+Rules!$B$5*Z20)/(9+Rules!$B$5)</f>
        <v>0</v>
      </c>
      <c r="Q20" s="2">
        <f>(SUM(R20:Z20)+Rules!$B$5*AA20)/(9+Rules!$B$5)</f>
        <v>0</v>
      </c>
      <c r="R20" s="237">
        <v>0</v>
      </c>
      <c r="S20" s="237">
        <v>0</v>
      </c>
      <c r="T20" s="237">
        <v>0</v>
      </c>
      <c r="U20" s="237">
        <v>0</v>
      </c>
      <c r="V20" s="237">
        <v>0</v>
      </c>
      <c r="W20" s="237">
        <f>IF(Rules!$B$14=Rules!$E$14,0,1)</f>
        <v>0</v>
      </c>
      <c r="X20" s="237">
        <v>0</v>
      </c>
      <c r="Y20" s="237">
        <v>0</v>
      </c>
      <c r="Z20" s="237">
        <v>0</v>
      </c>
      <c r="AA20" s="237">
        <v>0</v>
      </c>
      <c r="AB20" s="237">
        <v>0</v>
      </c>
      <c r="AC20" s="237">
        <v>0</v>
      </c>
      <c r="AD20" s="237">
        <v>0</v>
      </c>
      <c r="AE20" s="237">
        <v>0</v>
      </c>
      <c r="AF20" s="139">
        <v>0</v>
      </c>
    </row>
    <row r="21" spans="1:32" ht="17" thickBot="1" x14ac:dyDescent="0.25">
      <c r="A21" s="4" t="s">
        <v>2</v>
      </c>
      <c r="B21" s="21">
        <f>SUM(B14:B20)</f>
        <v>1</v>
      </c>
      <c r="C21" s="21">
        <f t="shared" ref="C21:Q21" si="10">SUM(C14:C20)</f>
        <v>1</v>
      </c>
      <c r="D21" s="21">
        <f t="shared" si="10"/>
        <v>0.99999999999999989</v>
      </c>
      <c r="E21" s="21">
        <f t="shared" si="10"/>
        <v>1.0000000000000002</v>
      </c>
      <c r="F21" s="21">
        <f t="shared" si="10"/>
        <v>1</v>
      </c>
      <c r="G21" s="21">
        <f t="shared" si="10"/>
        <v>1</v>
      </c>
      <c r="H21" s="21">
        <f t="shared" si="10"/>
        <v>0.99999999999999989</v>
      </c>
      <c r="I21" s="21">
        <f t="shared" si="10"/>
        <v>1</v>
      </c>
      <c r="J21" s="21">
        <f t="shared" si="10"/>
        <v>1</v>
      </c>
      <c r="K21" s="21">
        <f t="shared" si="10"/>
        <v>1</v>
      </c>
      <c r="L21" s="21">
        <f t="shared" si="10"/>
        <v>1</v>
      </c>
      <c r="M21" s="21">
        <f t="shared" si="10"/>
        <v>0.99999999999999989</v>
      </c>
      <c r="N21" s="21">
        <f t="shared" si="10"/>
        <v>0.99999999999999978</v>
      </c>
      <c r="O21" s="21">
        <f t="shared" si="10"/>
        <v>0.99999999999999978</v>
      </c>
      <c r="P21" s="21">
        <f t="shared" si="10"/>
        <v>0.99999999999999989</v>
      </c>
      <c r="Q21" s="21">
        <f t="shared" si="10"/>
        <v>0.99999999999999978</v>
      </c>
      <c r="R21" s="19">
        <f t="shared" ref="R21:AF21" si="11">SUM(R14:R19)</f>
        <v>1</v>
      </c>
      <c r="S21" s="19">
        <f t="shared" si="11"/>
        <v>1</v>
      </c>
      <c r="T21" s="19">
        <f t="shared" si="11"/>
        <v>1</v>
      </c>
      <c r="U21" s="19">
        <f t="shared" si="11"/>
        <v>1</v>
      </c>
      <c r="V21" s="19">
        <f t="shared" si="11"/>
        <v>1</v>
      </c>
      <c r="W21" s="19">
        <f t="shared" si="11"/>
        <v>1</v>
      </c>
      <c r="X21" s="19">
        <f t="shared" si="11"/>
        <v>1</v>
      </c>
      <c r="Y21" s="19">
        <f t="shared" si="11"/>
        <v>1</v>
      </c>
      <c r="Z21" s="19">
        <f t="shared" si="11"/>
        <v>1</v>
      </c>
      <c r="AA21" s="19">
        <f t="shared" si="11"/>
        <v>1</v>
      </c>
      <c r="AB21" s="19">
        <f t="shared" si="11"/>
        <v>1</v>
      </c>
      <c r="AC21" s="19">
        <f t="shared" si="11"/>
        <v>1</v>
      </c>
      <c r="AD21" s="19">
        <f t="shared" si="11"/>
        <v>1</v>
      </c>
      <c r="AE21" s="19">
        <f t="shared" si="11"/>
        <v>1</v>
      </c>
      <c r="AF21" s="20">
        <f t="shared" si="11"/>
        <v>1</v>
      </c>
    </row>
    <row r="22" spans="1:32" ht="17" thickBot="1" x14ac:dyDescent="0.25"/>
    <row r="23" spans="1:32" ht="17" thickBot="1" x14ac:dyDescent="0.25">
      <c r="A23" s="239" t="s">
        <v>4</v>
      </c>
      <c r="B23" s="182">
        <v>11</v>
      </c>
      <c r="C23" s="183">
        <v>12</v>
      </c>
      <c r="D23" s="183">
        <v>13</v>
      </c>
      <c r="E23" s="183">
        <v>14</v>
      </c>
      <c r="F23" s="183">
        <v>15</v>
      </c>
      <c r="G23" s="183">
        <v>16</v>
      </c>
      <c r="H23" s="183">
        <v>17</v>
      </c>
      <c r="I23" s="183">
        <v>18</v>
      </c>
      <c r="J23" s="183">
        <v>19</v>
      </c>
      <c r="K23" s="183">
        <v>20</v>
      </c>
      <c r="L23" s="183">
        <v>21</v>
      </c>
      <c r="M23" s="183">
        <v>22</v>
      </c>
      <c r="N23" s="183">
        <v>23</v>
      </c>
      <c r="O23" s="183">
        <v>24</v>
      </c>
      <c r="P23" s="183">
        <v>25</v>
      </c>
      <c r="Q23" s="183">
        <v>26</v>
      </c>
      <c r="R23" s="183">
        <v>27</v>
      </c>
      <c r="S23" s="183">
        <v>28</v>
      </c>
      <c r="T23" s="183">
        <v>29</v>
      </c>
      <c r="U23" s="183">
        <v>30</v>
      </c>
      <c r="V23" s="183">
        <v>31</v>
      </c>
      <c r="W23" s="144">
        <v>32</v>
      </c>
    </row>
    <row r="24" spans="1:32" x14ac:dyDescent="0.2">
      <c r="A24" s="239" t="s">
        <v>0</v>
      </c>
      <c r="B24" s="169">
        <f t="shared" ref="B24:B30" si="12">L14</f>
        <v>0.2121090766176992</v>
      </c>
      <c r="C24" s="170">
        <f>(SUM(D24:L24)+Rules!$B$5*M24)/(9+Rules!$B$5)</f>
        <v>0.24495802642312861</v>
      </c>
      <c r="D24" s="170">
        <f>(SUM(E24:M24)+Rules!$B$5*N24)/(9+Rules!$B$5)</f>
        <v>0.27249534667872904</v>
      </c>
      <c r="E24" s="170">
        <f>(SUM(F24:N24)+Rules!$B$5*O24)/(9+Rules!$B$5)</f>
        <v>0.29995101900790128</v>
      </c>
      <c r="F24" s="170">
        <f>(SUM(G24:O24)+Rules!$B$5*P24)/(9+Rules!$B$5)</f>
        <v>0.32719621086821865</v>
      </c>
      <c r="G24" s="170">
        <f>(SUM(H24:P24)+Rules!$B$5*Q24)/(9+Rules!$B$5)</f>
        <v>0.35412091093722581</v>
      </c>
      <c r="H24" s="170">
        <f>IF(Rules!$B$4=Rules!$F$4,0,(SUM(I24:Q24)+Rules!$B$5*R24)/(9+Rules!$B$5))</f>
        <v>0</v>
      </c>
      <c r="I24" s="170">
        <v>0</v>
      </c>
      <c r="J24" s="170">
        <v>0</v>
      </c>
      <c r="K24" s="170">
        <v>0</v>
      </c>
      <c r="L24" s="170">
        <v>0</v>
      </c>
      <c r="M24" s="170">
        <f t="shared" ref="M24:V24" si="13">M14</f>
        <v>0.48267271400214923</v>
      </c>
      <c r="N24" s="170">
        <f t="shared" si="13"/>
        <v>0.51962466300199572</v>
      </c>
      <c r="O24" s="170">
        <f t="shared" si="13"/>
        <v>0.55393718707328177</v>
      </c>
      <c r="P24" s="170">
        <f t="shared" si="13"/>
        <v>0.58579881656804733</v>
      </c>
      <c r="Q24" s="170">
        <f t="shared" si="13"/>
        <v>0.61538461538461542</v>
      </c>
      <c r="R24" s="170">
        <f t="shared" si="13"/>
        <v>0</v>
      </c>
      <c r="S24" s="170">
        <f t="shared" si="13"/>
        <v>0</v>
      </c>
      <c r="T24" s="170">
        <f t="shared" si="13"/>
        <v>0</v>
      </c>
      <c r="U24" s="170">
        <f t="shared" si="13"/>
        <v>0</v>
      </c>
      <c r="V24" s="170">
        <f t="shared" si="13"/>
        <v>0</v>
      </c>
      <c r="W24" s="63">
        <f t="shared" ref="W24:W30" si="14">W14</f>
        <v>1</v>
      </c>
    </row>
    <row r="25" spans="1:32" x14ac:dyDescent="0.2">
      <c r="A25" s="238">
        <v>17</v>
      </c>
      <c r="B25" s="28">
        <f t="shared" si="12"/>
        <v>0.11142433852261401</v>
      </c>
      <c r="C25" s="2">
        <f>(SUM(D25:L25)+Rules!$B$5*M25)/(9+Rules!$B$5)</f>
        <v>0.15100839471537425</v>
      </c>
      <c r="D25" s="2">
        <f>(SUM(E25:M25)+Rules!$B$5*N25)/(9+Rules!$B$5)</f>
        <v>0.14550093066425418</v>
      </c>
      <c r="E25" s="2">
        <f>(SUM(F25:N25)+Rules!$B$5*O25)/(9+Rules!$B$5)</f>
        <v>0.14000979619841974</v>
      </c>
      <c r="F25" s="2">
        <f>(SUM(G25:O25)+Rules!$B$5*P25)/(9+Rules!$B$5)</f>
        <v>0.13456075782635629</v>
      </c>
      <c r="G25" s="2">
        <f>(SUM(H25:P25)+Rules!$B$5*Q25)/(9+Rules!$B$5)</f>
        <v>0.12917581781255486</v>
      </c>
      <c r="H25" s="2">
        <f>IF(Rules!$B$4=Rules!$F$4,1,(SUM(I25:Q25)+Rules!$B$5*R25)/(9+Rules!$B$5))</f>
        <v>1</v>
      </c>
      <c r="I25" s="1">
        <v>0</v>
      </c>
      <c r="J25" s="1">
        <v>0</v>
      </c>
      <c r="K25" s="1">
        <v>0</v>
      </c>
      <c r="L25" s="1">
        <v>0</v>
      </c>
      <c r="M25" s="2">
        <f t="shared" ref="M25:V25" si="15">M15</f>
        <v>0.10346545719957015</v>
      </c>
      <c r="N25" s="2">
        <f t="shared" si="15"/>
        <v>9.6075067399600853E-2</v>
      </c>
      <c r="O25" s="2">
        <f t="shared" si="15"/>
        <v>8.9212562585343644E-2</v>
      </c>
      <c r="P25" s="2">
        <f t="shared" si="15"/>
        <v>8.2840236686390525E-2</v>
      </c>
      <c r="Q25" s="2">
        <f t="shared" si="15"/>
        <v>7.6923076923076927E-2</v>
      </c>
      <c r="R25" s="1">
        <f t="shared" si="15"/>
        <v>1</v>
      </c>
      <c r="S25" s="1">
        <f t="shared" si="15"/>
        <v>0</v>
      </c>
      <c r="T25" s="1">
        <f t="shared" si="15"/>
        <v>0</v>
      </c>
      <c r="U25" s="1">
        <f t="shared" si="15"/>
        <v>0</v>
      </c>
      <c r="V25" s="1">
        <f t="shared" si="15"/>
        <v>0</v>
      </c>
      <c r="W25" s="9">
        <f t="shared" si="14"/>
        <v>0</v>
      </c>
    </row>
    <row r="26" spans="1:32" x14ac:dyDescent="0.2">
      <c r="A26" s="238">
        <v>18</v>
      </c>
      <c r="B26" s="28">
        <f t="shared" si="12"/>
        <v>0.11142433852261401</v>
      </c>
      <c r="C26" s="2">
        <f>(SUM(D26:L26)+Rules!$B$5*M26)/(9+Rules!$B$5)</f>
        <v>0.15100839471537425</v>
      </c>
      <c r="D26" s="2">
        <f>(SUM(E26:M26)+Rules!$B$5*N26)/(9+Rules!$B$5)</f>
        <v>0.14550093066425418</v>
      </c>
      <c r="E26" s="2">
        <f>(SUM(F26:N26)+Rules!$B$5*O26)/(9+Rules!$B$5)</f>
        <v>0.14000979619841974</v>
      </c>
      <c r="F26" s="2">
        <f>(SUM(G26:O26)+Rules!$B$5*P26)/(9+Rules!$B$5)</f>
        <v>0.13456075782635629</v>
      </c>
      <c r="G26" s="2">
        <f>(SUM(H26:P26)+Rules!$B$5*Q26)/(9+Rules!$B$5)</f>
        <v>0.12917581781255486</v>
      </c>
      <c r="H26" s="2">
        <f>IF(Rules!$B$4=Rules!$F$4,0,(SUM(I26:Q26)+Rules!$B$5*R26)/(9+Rules!$B$5))</f>
        <v>0</v>
      </c>
      <c r="I26" s="1">
        <v>1</v>
      </c>
      <c r="J26" s="1">
        <v>0</v>
      </c>
      <c r="K26" s="1">
        <v>0</v>
      </c>
      <c r="L26" s="1">
        <v>0</v>
      </c>
      <c r="M26" s="2">
        <f t="shared" ref="M26:V26" si="16">M16</f>
        <v>0.10346545719957015</v>
      </c>
      <c r="N26" s="2">
        <f t="shared" si="16"/>
        <v>9.6075067399600853E-2</v>
      </c>
      <c r="O26" s="2">
        <f t="shared" si="16"/>
        <v>8.9212562585343644E-2</v>
      </c>
      <c r="P26" s="2">
        <f t="shared" si="16"/>
        <v>8.2840236686390525E-2</v>
      </c>
      <c r="Q26" s="2">
        <f t="shared" si="16"/>
        <v>7.6923076923076927E-2</v>
      </c>
      <c r="R26" s="1">
        <f t="shared" si="16"/>
        <v>0</v>
      </c>
      <c r="S26" s="1">
        <f t="shared" si="16"/>
        <v>1</v>
      </c>
      <c r="T26" s="1">
        <f t="shared" si="16"/>
        <v>0</v>
      </c>
      <c r="U26" s="1">
        <f t="shared" si="16"/>
        <v>0</v>
      </c>
      <c r="V26" s="1">
        <f t="shared" si="16"/>
        <v>0</v>
      </c>
      <c r="W26" s="9">
        <f t="shared" si="14"/>
        <v>0</v>
      </c>
    </row>
    <row r="27" spans="1:32" x14ac:dyDescent="0.2">
      <c r="A27" s="238">
        <v>19</v>
      </c>
      <c r="B27" s="28">
        <f t="shared" si="12"/>
        <v>0.11142433852261401</v>
      </c>
      <c r="C27" s="2">
        <f>(SUM(D27:L27)+Rules!$B$5*M27)/(9+Rules!$B$5)</f>
        <v>0.15100839471537425</v>
      </c>
      <c r="D27" s="2">
        <f>(SUM(E27:M27)+Rules!$B$5*N27)/(9+Rules!$B$5)</f>
        <v>0.14550093066425418</v>
      </c>
      <c r="E27" s="2">
        <f>(SUM(F27:N27)+Rules!$B$5*O27)/(9+Rules!$B$5)</f>
        <v>0.14000979619841974</v>
      </c>
      <c r="F27" s="2">
        <f>(SUM(G27:O27)+Rules!$B$5*P27)/(9+Rules!$B$5)</f>
        <v>0.13456075782635629</v>
      </c>
      <c r="G27" s="2">
        <f>(SUM(H27:P27)+Rules!$B$5*Q27)/(9+Rules!$B$5)</f>
        <v>0.12917581781255486</v>
      </c>
      <c r="H27" s="2">
        <f>IF(Rules!$B$4=Rules!$F$4,0,(SUM(I27:Q27)+Rules!$B$5*R27)/(9+Rules!$B$5))</f>
        <v>0</v>
      </c>
      <c r="I27" s="1">
        <v>0</v>
      </c>
      <c r="J27" s="1">
        <v>1</v>
      </c>
      <c r="K27" s="1">
        <v>0</v>
      </c>
      <c r="L27" s="1">
        <v>0</v>
      </c>
      <c r="M27" s="2">
        <f t="shared" ref="M27:V27" si="17">M17</f>
        <v>0.10346545719957015</v>
      </c>
      <c r="N27" s="2">
        <f t="shared" si="17"/>
        <v>9.6075067399600853E-2</v>
      </c>
      <c r="O27" s="2">
        <f t="shared" si="17"/>
        <v>8.9212562585343644E-2</v>
      </c>
      <c r="P27" s="2">
        <f t="shared" si="17"/>
        <v>8.2840236686390525E-2</v>
      </c>
      <c r="Q27" s="2">
        <f t="shared" si="17"/>
        <v>7.6923076923076927E-2</v>
      </c>
      <c r="R27" s="1">
        <f t="shared" si="17"/>
        <v>0</v>
      </c>
      <c r="S27" s="1">
        <f t="shared" si="17"/>
        <v>0</v>
      </c>
      <c r="T27" s="1">
        <f t="shared" si="17"/>
        <v>1</v>
      </c>
      <c r="U27" s="1">
        <f t="shared" si="17"/>
        <v>0</v>
      </c>
      <c r="V27" s="1">
        <f t="shared" si="17"/>
        <v>0</v>
      </c>
      <c r="W27" s="9">
        <f t="shared" si="14"/>
        <v>0</v>
      </c>
    </row>
    <row r="28" spans="1:32" x14ac:dyDescent="0.2">
      <c r="A28" s="238">
        <v>20</v>
      </c>
      <c r="B28" s="28">
        <f t="shared" si="12"/>
        <v>0.11142433852261401</v>
      </c>
      <c r="C28" s="2">
        <f>(SUM(D28:L28)+Rules!$B$5*M28)/(9+Rules!$B$5)</f>
        <v>0.15100839471537425</v>
      </c>
      <c r="D28" s="2">
        <f>(SUM(E28:M28)+Rules!$B$5*N28)/(9+Rules!$B$5)</f>
        <v>0.14550093066425418</v>
      </c>
      <c r="E28" s="2">
        <f>(SUM(F28:N28)+Rules!$B$5*O28)/(9+Rules!$B$5)</f>
        <v>0.14000979619841974</v>
      </c>
      <c r="F28" s="2">
        <f>(SUM(G28:O28)+Rules!$B$5*P28)/(9+Rules!$B$5)</f>
        <v>0.13456075782635629</v>
      </c>
      <c r="G28" s="2">
        <f>(SUM(H28:P28)+Rules!$B$5*Q28)/(9+Rules!$B$5)</f>
        <v>0.12917581781255486</v>
      </c>
      <c r="H28" s="2">
        <f>IF(Rules!$B$4=Rules!$F$4,0,(SUM(I28:Q28)+Rules!$B$5*R28)/(9+Rules!$B$5))</f>
        <v>0</v>
      </c>
      <c r="I28" s="1">
        <v>0</v>
      </c>
      <c r="J28" s="1">
        <v>0</v>
      </c>
      <c r="K28" s="1">
        <v>1</v>
      </c>
      <c r="L28" s="1">
        <v>0</v>
      </c>
      <c r="M28" s="2">
        <f t="shared" ref="M28:V28" si="18">M18</f>
        <v>0.10346545719957015</v>
      </c>
      <c r="N28" s="2">
        <f t="shared" si="18"/>
        <v>9.6075067399600853E-2</v>
      </c>
      <c r="O28" s="2">
        <f t="shared" si="18"/>
        <v>8.9212562585343644E-2</v>
      </c>
      <c r="P28" s="2">
        <f t="shared" si="18"/>
        <v>8.2840236686390525E-2</v>
      </c>
      <c r="Q28" s="2">
        <f t="shared" si="18"/>
        <v>7.6923076923076927E-2</v>
      </c>
      <c r="R28" s="1">
        <f t="shared" si="18"/>
        <v>0</v>
      </c>
      <c r="S28" s="1">
        <f t="shared" si="18"/>
        <v>0</v>
      </c>
      <c r="T28" s="1">
        <f t="shared" si="18"/>
        <v>0</v>
      </c>
      <c r="U28" s="1">
        <f t="shared" si="18"/>
        <v>1</v>
      </c>
      <c r="V28" s="1">
        <f t="shared" si="18"/>
        <v>0</v>
      </c>
      <c r="W28" s="9">
        <f t="shared" si="14"/>
        <v>0</v>
      </c>
    </row>
    <row r="29" spans="1:32" x14ac:dyDescent="0.2">
      <c r="A29" s="238">
        <v>21</v>
      </c>
      <c r="B29" s="28">
        <f t="shared" si="12"/>
        <v>0.34219356929184475</v>
      </c>
      <c r="C29" s="2">
        <f>(SUM(D29:L29)+Rules!$B$5*M29)/(9+Rules!$B$5)</f>
        <v>0.15100839471537425</v>
      </c>
      <c r="D29" s="2">
        <f>(SUM(E29:M29)+Rules!$B$5*N29)/(9+Rules!$B$5)</f>
        <v>0.14550093066425418</v>
      </c>
      <c r="E29" s="2">
        <f>(SUM(F29:N29)+Rules!$B$5*O29)/(9+Rules!$B$5)</f>
        <v>0.14000979619841974</v>
      </c>
      <c r="F29" s="2">
        <f>(SUM(G29:O29)+Rules!$B$5*P29)/(9+Rules!$B$5)</f>
        <v>0.13456075782635629</v>
      </c>
      <c r="G29" s="2">
        <f>(SUM(H29:P29)+Rules!$B$5*Q29)/(9+Rules!$B$5)</f>
        <v>0.12917581781255486</v>
      </c>
      <c r="H29" s="2">
        <f>IF(Rules!$B$4=Rules!$F$4,0,(SUM(I29:Q29)+Rules!$B$5*R29)/(9+Rules!$B$5))</f>
        <v>0</v>
      </c>
      <c r="I29" s="26">
        <v>0</v>
      </c>
      <c r="J29" s="26">
        <v>0</v>
      </c>
      <c r="K29" s="26">
        <v>0</v>
      </c>
      <c r="L29" s="26">
        <v>1</v>
      </c>
      <c r="M29" s="2">
        <f t="shared" ref="M29:Q30" si="19">M19</f>
        <v>0.10346545719957015</v>
      </c>
      <c r="N29" s="2">
        <f t="shared" si="19"/>
        <v>9.6075067399600853E-2</v>
      </c>
      <c r="O29" s="2">
        <f t="shared" si="19"/>
        <v>8.9212562585343644E-2</v>
      </c>
      <c r="P29" s="2">
        <f t="shared" si="19"/>
        <v>8.2840236686390525E-2</v>
      </c>
      <c r="Q29" s="2">
        <f t="shared" si="19"/>
        <v>7.6923076923076927E-2</v>
      </c>
      <c r="R29" s="26">
        <f t="shared" ref="R29:V30" si="20">R19</f>
        <v>0</v>
      </c>
      <c r="S29" s="26">
        <f t="shared" si="20"/>
        <v>0</v>
      </c>
      <c r="T29" s="26">
        <f t="shared" si="20"/>
        <v>0</v>
      </c>
      <c r="U29" s="1">
        <f t="shared" si="20"/>
        <v>0</v>
      </c>
      <c r="V29" s="1">
        <f t="shared" si="20"/>
        <v>1</v>
      </c>
      <c r="W29" s="9">
        <f t="shared" si="14"/>
        <v>0</v>
      </c>
    </row>
    <row r="30" spans="1:32" ht="17" thickBot="1" x14ac:dyDescent="0.25">
      <c r="A30" s="240">
        <v>22</v>
      </c>
      <c r="B30" s="166">
        <f t="shared" si="12"/>
        <v>0</v>
      </c>
      <c r="C30" s="167">
        <f>(SUM(D30:L30)+Rules!$B$5*M30)/(9+Rules!$B$5)</f>
        <v>0</v>
      </c>
      <c r="D30" s="167">
        <f>(SUM(E30:M30)+Rules!$B$5*N30)/(9+Rules!$B$5)</f>
        <v>0</v>
      </c>
      <c r="E30" s="167">
        <f>(SUM(F30:N30)+Rules!$B$5*O30)/(9+Rules!$B$5)</f>
        <v>0</v>
      </c>
      <c r="F30" s="167">
        <f>(SUM(G30:O30)+Rules!$B$5*P30)/(9+Rules!$B$5)</f>
        <v>0</v>
      </c>
      <c r="G30" s="167">
        <f>(SUM(H30:P30)+Rules!$B$5*Q30)/(9+Rules!$B$5)</f>
        <v>0</v>
      </c>
      <c r="H30" s="167">
        <f>IF(Rules!$B$4=Rules!$F$4,0,(SUM(I30:Q30)+Rules!$B$5*R30)/(9+Rules!$B$5))</f>
        <v>0</v>
      </c>
      <c r="I30" s="171">
        <v>0</v>
      </c>
      <c r="J30" s="171">
        <v>0</v>
      </c>
      <c r="K30" s="171">
        <v>0</v>
      </c>
      <c r="L30" s="171">
        <v>0</v>
      </c>
      <c r="M30" s="167">
        <f t="shared" si="19"/>
        <v>0</v>
      </c>
      <c r="N30" s="167">
        <f t="shared" si="19"/>
        <v>0</v>
      </c>
      <c r="O30" s="167">
        <f t="shared" si="19"/>
        <v>0</v>
      </c>
      <c r="P30" s="167">
        <f t="shared" si="19"/>
        <v>0</v>
      </c>
      <c r="Q30" s="167">
        <f t="shared" si="19"/>
        <v>0</v>
      </c>
      <c r="R30" s="171">
        <f t="shared" si="20"/>
        <v>0</v>
      </c>
      <c r="S30" s="171">
        <f t="shared" si="20"/>
        <v>0</v>
      </c>
      <c r="T30" s="171">
        <f t="shared" si="20"/>
        <v>0</v>
      </c>
      <c r="U30" s="171">
        <f t="shared" si="20"/>
        <v>0</v>
      </c>
      <c r="V30" s="171">
        <f t="shared" si="20"/>
        <v>0</v>
      </c>
      <c r="W30" s="10">
        <f t="shared" si="14"/>
        <v>0</v>
      </c>
    </row>
    <row r="31" spans="1:32" ht="17" thickBot="1" x14ac:dyDescent="0.25">
      <c r="A31" s="141"/>
      <c r="B31" s="241">
        <f t="shared" ref="B31:W31" si="21">SUM(B24:B30)</f>
        <v>1</v>
      </c>
      <c r="C31" s="167">
        <f t="shared" si="21"/>
        <v>0.99999999999999978</v>
      </c>
      <c r="D31" s="167">
        <f t="shared" si="21"/>
        <v>0.99999999999999989</v>
      </c>
      <c r="E31" s="167">
        <f t="shared" si="21"/>
        <v>0.99999999999999978</v>
      </c>
      <c r="F31" s="167">
        <f t="shared" si="21"/>
        <v>1.0000000000000002</v>
      </c>
      <c r="G31" s="167">
        <f t="shared" si="21"/>
        <v>1</v>
      </c>
      <c r="H31" s="167">
        <f t="shared" si="21"/>
        <v>1</v>
      </c>
      <c r="I31" s="167">
        <f t="shared" si="21"/>
        <v>1</v>
      </c>
      <c r="J31" s="167">
        <f t="shared" si="21"/>
        <v>1</v>
      </c>
      <c r="K31" s="167">
        <f t="shared" si="21"/>
        <v>1</v>
      </c>
      <c r="L31" s="167">
        <f t="shared" si="21"/>
        <v>1</v>
      </c>
      <c r="M31" s="167">
        <f t="shared" si="21"/>
        <v>0.99999999999999989</v>
      </c>
      <c r="N31" s="167">
        <f t="shared" si="21"/>
        <v>0.99999999999999978</v>
      </c>
      <c r="O31" s="167">
        <f t="shared" si="21"/>
        <v>0.99999999999999978</v>
      </c>
      <c r="P31" s="167">
        <f t="shared" si="21"/>
        <v>0.99999999999999989</v>
      </c>
      <c r="Q31" s="167">
        <f t="shared" si="21"/>
        <v>0.99999999999999978</v>
      </c>
      <c r="R31" s="167">
        <f t="shared" si="21"/>
        <v>1</v>
      </c>
      <c r="S31" s="167">
        <f t="shared" si="21"/>
        <v>1</v>
      </c>
      <c r="T31" s="167">
        <f t="shared" si="21"/>
        <v>1</v>
      </c>
      <c r="U31" s="167">
        <f t="shared" si="21"/>
        <v>1</v>
      </c>
      <c r="V31" s="167">
        <f t="shared" si="21"/>
        <v>1</v>
      </c>
      <c r="W31" s="167">
        <f t="shared" si="21"/>
        <v>1</v>
      </c>
    </row>
    <row r="32" spans="1:32" ht="17" thickBot="1" x14ac:dyDescent="0.25"/>
    <row r="33" spans="2:15" ht="17" thickBot="1" x14ac:dyDescent="0.25">
      <c r="B33" s="4" t="s">
        <v>5</v>
      </c>
      <c r="C33" s="15" t="s">
        <v>0</v>
      </c>
      <c r="D33" s="11" t="s">
        <v>6</v>
      </c>
      <c r="E33" s="3"/>
      <c r="F33" s="30" t="s">
        <v>8</v>
      </c>
      <c r="I33" s="1" t="s">
        <v>30</v>
      </c>
      <c r="J33" s="1">
        <f>2*(1/(9+Rules!$B$5))*(Rules!$B$5/(9+Rules!$B$5))</f>
        <v>4.7337278106508882E-2</v>
      </c>
      <c r="L33" s="67" t="s">
        <v>33</v>
      </c>
      <c r="M33" s="70" t="s">
        <v>0</v>
      </c>
      <c r="N33" s="69" t="s">
        <v>6</v>
      </c>
      <c r="O33" s="68"/>
    </row>
    <row r="34" spans="2:15" ht="17" thickBot="1" x14ac:dyDescent="0.25">
      <c r="B34" s="5" t="s">
        <v>1</v>
      </c>
      <c r="C34" s="16">
        <f>B14</f>
        <v>0.2121090766176992</v>
      </c>
      <c r="D34" s="12">
        <f>SUM(B15:B19)</f>
        <v>0.78789092338230082</v>
      </c>
      <c r="E34" s="8">
        <f>SUM(C34:D34)</f>
        <v>1</v>
      </c>
      <c r="F34" s="30">
        <f>1/(9+Rules!$B$5)</f>
        <v>7.6923076923076927E-2</v>
      </c>
      <c r="G34" s="30">
        <f>(C34-D34)*F34</f>
        <v>-4.4290911289584747E-2</v>
      </c>
      <c r="L34" s="60">
        <v>5</v>
      </c>
      <c r="M34" s="61">
        <f>F14</f>
        <v>0.41640366958226238</v>
      </c>
      <c r="N34" s="62">
        <f>1-M34</f>
        <v>0.58359633041773762</v>
      </c>
      <c r="O34" s="63">
        <f t="shared" ref="O34:O45" si="22">SUM(M34:N34)</f>
        <v>1</v>
      </c>
    </row>
    <row r="35" spans="2:15" ht="17" thickBot="1" x14ac:dyDescent="0.25">
      <c r="B35" s="6">
        <v>2</v>
      </c>
      <c r="C35" s="17">
        <f>C14</f>
        <v>0.35360813639536137</v>
      </c>
      <c r="D35" s="13">
        <f>SUM(C15:C19)</f>
        <v>0.64639186360463863</v>
      </c>
      <c r="E35" s="9">
        <f t="shared" ref="E35:E43" si="23">SUM(C35:D35)</f>
        <v>1</v>
      </c>
      <c r="F35" s="30">
        <f>1/(9+Rules!$B$5)</f>
        <v>7.6923076923076927E-2</v>
      </c>
      <c r="G35" s="30">
        <f t="shared" ref="G35:G43" si="24">(C35-D35)*F35</f>
        <v>-2.2521825169944405E-2</v>
      </c>
      <c r="L35" s="64">
        <v>6</v>
      </c>
      <c r="M35" s="59">
        <f>G14</f>
        <v>0.42315049208499772</v>
      </c>
      <c r="N35" s="62">
        <f t="shared" ref="N35:N45" si="25">1-M35</f>
        <v>0.57684950791500222</v>
      </c>
      <c r="O35" s="9">
        <f t="shared" si="22"/>
        <v>1</v>
      </c>
    </row>
    <row r="36" spans="2:15" ht="17" thickBot="1" x14ac:dyDescent="0.25">
      <c r="B36" s="6">
        <v>3</v>
      </c>
      <c r="C36" s="17">
        <f>D14</f>
        <v>0.3738748853821432</v>
      </c>
      <c r="D36" s="13">
        <f>SUM(D15:D19)</f>
        <v>0.62612511461785669</v>
      </c>
      <c r="E36" s="9">
        <f t="shared" si="23"/>
        <v>0.99999999999999989</v>
      </c>
      <c r="F36" s="30">
        <f>1/(9+Rules!$B$5)</f>
        <v>7.6923076923076927E-2</v>
      </c>
      <c r="G36" s="30">
        <f t="shared" si="24"/>
        <v>-1.9403863787362578E-2</v>
      </c>
      <c r="L36" s="64">
        <v>7</v>
      </c>
      <c r="M36" s="59">
        <f>H14</f>
        <v>0.2623124083615333</v>
      </c>
      <c r="N36" s="62">
        <f t="shared" si="25"/>
        <v>0.73768759163846664</v>
      </c>
      <c r="O36" s="9">
        <f t="shared" si="22"/>
        <v>1</v>
      </c>
    </row>
    <row r="37" spans="2:15" ht="17" thickBot="1" x14ac:dyDescent="0.25">
      <c r="B37" s="6">
        <v>4</v>
      </c>
      <c r="C37" s="17">
        <f>E14</f>
        <v>0.39446844550254284</v>
      </c>
      <c r="D37" s="13">
        <f>SUM(E15:E19)</f>
        <v>0.60553155449745721</v>
      </c>
      <c r="E37" s="9">
        <f t="shared" si="23"/>
        <v>1</v>
      </c>
      <c r="F37" s="30">
        <f>1/(9+Rules!$B$5)</f>
        <v>7.6923076923076927E-2</v>
      </c>
      <c r="G37" s="30">
        <f t="shared" si="24"/>
        <v>-1.623562376883957E-2</v>
      </c>
      <c r="L37" s="64">
        <v>8</v>
      </c>
      <c r="M37" s="59">
        <f>I14</f>
        <v>0.2447412422511914</v>
      </c>
      <c r="N37" s="62">
        <f t="shared" si="25"/>
        <v>0.75525875774880857</v>
      </c>
      <c r="O37" s="9">
        <f t="shared" si="22"/>
        <v>1</v>
      </c>
    </row>
    <row r="38" spans="2:15" ht="17" thickBot="1" x14ac:dyDescent="0.25">
      <c r="B38" s="6">
        <v>5</v>
      </c>
      <c r="C38" s="17">
        <f>F14</f>
        <v>0.41640366958226238</v>
      </c>
      <c r="D38" s="13">
        <f>SUM(F15:F19)</f>
        <v>0.58359633041773762</v>
      </c>
      <c r="E38" s="9">
        <f t="shared" si="23"/>
        <v>1</v>
      </c>
      <c r="F38" s="30">
        <f>1/(9+Rules!$B$5)</f>
        <v>7.6923076923076927E-2</v>
      </c>
      <c r="G38" s="30">
        <f t="shared" si="24"/>
        <v>-1.2860973910421172E-2</v>
      </c>
      <c r="L38" s="64">
        <v>9</v>
      </c>
      <c r="M38" s="59">
        <f>J14</f>
        <v>0.2284251594344453</v>
      </c>
      <c r="N38" s="62">
        <f t="shared" si="25"/>
        <v>0.7715748405655547</v>
      </c>
      <c r="O38" s="9">
        <f t="shared" si="22"/>
        <v>1</v>
      </c>
    </row>
    <row r="39" spans="2:15" ht="17" thickBot="1" x14ac:dyDescent="0.25">
      <c r="B39" s="6">
        <v>6</v>
      </c>
      <c r="C39" s="17">
        <f>G14</f>
        <v>0.42315049208499772</v>
      </c>
      <c r="D39" s="13">
        <f>SUM(G15:G19)</f>
        <v>0.57684950791500222</v>
      </c>
      <c r="E39" s="9">
        <f t="shared" si="23"/>
        <v>1</v>
      </c>
      <c r="F39" s="30">
        <f>1/(9+Rules!$B$5)</f>
        <v>7.6923076923076927E-2</v>
      </c>
      <c r="G39" s="30">
        <f t="shared" si="24"/>
        <v>-1.1823001217692655E-2</v>
      </c>
      <c r="L39" s="64">
        <v>10</v>
      </c>
      <c r="M39" s="59">
        <f>K14</f>
        <v>0.2121090766176992</v>
      </c>
      <c r="N39" s="62">
        <f t="shared" si="25"/>
        <v>0.78789092338230082</v>
      </c>
      <c r="O39" s="9">
        <f t="shared" si="22"/>
        <v>1</v>
      </c>
    </row>
    <row r="40" spans="2:15" ht="17" thickBot="1" x14ac:dyDescent="0.25">
      <c r="B40" s="6">
        <v>7</v>
      </c>
      <c r="C40" s="17">
        <f>H14</f>
        <v>0.2623124083615333</v>
      </c>
      <c r="D40" s="13">
        <f>SUM(H15:H19)</f>
        <v>0.73768759163846653</v>
      </c>
      <c r="E40" s="9">
        <f t="shared" si="23"/>
        <v>0.99999999999999978</v>
      </c>
      <c r="F40" s="30">
        <f>1/(9+Rules!$B$5)</f>
        <v>7.6923076923076927E-2</v>
      </c>
      <c r="G40" s="30">
        <f t="shared" si="24"/>
        <v>-3.6567321790533326E-2</v>
      </c>
      <c r="L40" s="65">
        <v>11</v>
      </c>
      <c r="M40" s="59">
        <f>L14</f>
        <v>0.2121090766176992</v>
      </c>
      <c r="N40" s="62">
        <f t="shared" si="25"/>
        <v>0.78789092338230082</v>
      </c>
      <c r="O40" s="9">
        <f t="shared" si="22"/>
        <v>1</v>
      </c>
    </row>
    <row r="41" spans="2:15" ht="17" thickBot="1" x14ac:dyDescent="0.25">
      <c r="B41" s="6">
        <v>8</v>
      </c>
      <c r="C41" s="17">
        <f>I14</f>
        <v>0.2447412422511914</v>
      </c>
      <c r="D41" s="13">
        <f>SUM(I15:I19)</f>
        <v>0.75525875774880857</v>
      </c>
      <c r="E41" s="9">
        <f t="shared" si="23"/>
        <v>1</v>
      </c>
      <c r="F41" s="30">
        <f>1/(9+Rules!$B$5)</f>
        <v>7.6923076923076927E-2</v>
      </c>
      <c r="G41" s="30">
        <f t="shared" si="24"/>
        <v>-3.9270578115201321E-2</v>
      </c>
      <c r="L41" s="65">
        <v>12</v>
      </c>
      <c r="M41" s="59">
        <f>M14</f>
        <v>0.48267271400214923</v>
      </c>
      <c r="N41" s="62">
        <f t="shared" si="25"/>
        <v>0.51732728599785083</v>
      </c>
      <c r="O41" s="9">
        <f t="shared" si="22"/>
        <v>1</v>
      </c>
    </row>
    <row r="42" spans="2:15" ht="17" thickBot="1" x14ac:dyDescent="0.25">
      <c r="B42" s="6">
        <v>9</v>
      </c>
      <c r="C42" s="17">
        <f>J14</f>
        <v>0.2284251594344453</v>
      </c>
      <c r="D42" s="13">
        <f>SUM(J15:J19)</f>
        <v>0.7715748405655547</v>
      </c>
      <c r="E42" s="9">
        <f t="shared" si="23"/>
        <v>1</v>
      </c>
      <c r="F42" s="30">
        <f>1/(9+Rules!$B$5)</f>
        <v>7.6923076923076927E-2</v>
      </c>
      <c r="G42" s="30">
        <f t="shared" si="24"/>
        <v>-4.1780744702393034E-2</v>
      </c>
      <c r="L42" s="65">
        <v>13</v>
      </c>
      <c r="M42" s="59">
        <f>N14</f>
        <v>0.51962466300199572</v>
      </c>
      <c r="N42" s="62">
        <f t="shared" si="25"/>
        <v>0.48037533699800428</v>
      </c>
      <c r="O42" s="9">
        <f t="shared" si="22"/>
        <v>1</v>
      </c>
    </row>
    <row r="43" spans="2:15" ht="17" thickBot="1" x14ac:dyDescent="0.25">
      <c r="B43" s="7">
        <v>10</v>
      </c>
      <c r="C43" s="18">
        <f>K14</f>
        <v>0.2121090766176992</v>
      </c>
      <c r="D43" s="14">
        <f>SUM(K15:K19)</f>
        <v>0.78789092338230071</v>
      </c>
      <c r="E43" s="10">
        <f t="shared" si="23"/>
        <v>0.99999999999999989</v>
      </c>
      <c r="F43" s="30">
        <f>4/(9+Rules!$B$5)</f>
        <v>0.30769230769230771</v>
      </c>
      <c r="G43" s="30">
        <f t="shared" si="24"/>
        <v>-0.17716364515833893</v>
      </c>
      <c r="L43" s="65">
        <v>14</v>
      </c>
      <c r="M43" s="59">
        <f>O14</f>
        <v>0.55393718707328177</v>
      </c>
      <c r="N43" s="62">
        <f t="shared" si="25"/>
        <v>0.44606281292671823</v>
      </c>
      <c r="O43" s="9">
        <f t="shared" si="22"/>
        <v>1</v>
      </c>
    </row>
    <row r="44" spans="2:15" ht="17" thickBot="1" x14ac:dyDescent="0.25">
      <c r="C44" s="73">
        <f>SUM(C34:C43)/SUM($C$34:$D$43)</f>
        <v>0.31212025922298758</v>
      </c>
      <c r="D44" s="73">
        <f>SUM(D34:D43)/SUM($C$34:$D$43)</f>
        <v>0.68787974077701231</v>
      </c>
      <c r="F44">
        <f>SUM(F34:F43)</f>
        <v>1</v>
      </c>
      <c r="L44" s="65">
        <v>15</v>
      </c>
      <c r="M44" s="59">
        <f>P14</f>
        <v>0.58579881656804733</v>
      </c>
      <c r="N44" s="62">
        <f t="shared" si="25"/>
        <v>0.41420118343195267</v>
      </c>
      <c r="O44" s="9">
        <f t="shared" si="22"/>
        <v>1</v>
      </c>
    </row>
    <row r="45" spans="2:15" ht="17" thickBot="1" x14ac:dyDescent="0.25">
      <c r="L45" s="66">
        <v>16</v>
      </c>
      <c r="M45" s="71">
        <f>Q14</f>
        <v>0.61538461538461542</v>
      </c>
      <c r="N45" s="72">
        <f t="shared" si="25"/>
        <v>0.38461538461538458</v>
      </c>
      <c r="O45" s="10">
        <f t="shared" si="22"/>
        <v>1</v>
      </c>
    </row>
    <row r="46" spans="2:15" x14ac:dyDescent="0.2">
      <c r="M46" s="73">
        <f>SUM(M34:M45)/SUM($M$34:$N$45)</f>
        <v>0.39638909341499318</v>
      </c>
      <c r="N46" s="73">
        <f>SUM(N34:N45)/SUM($M$34:$N$45)</f>
        <v>0.60361090658500682</v>
      </c>
    </row>
  </sheetData>
  <sheetProtection sheet="1" objects="1" scenarios="1"/>
  <mergeCells count="2">
    <mergeCell ref="A1:L1"/>
    <mergeCell ref="A12:L12"/>
  </mergeCells>
  <phoneticPr fontId="14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K9" sqref="K9"/>
    </sheetView>
  </sheetViews>
  <sheetFormatPr baseColWidth="10" defaultColWidth="8.83203125" defaultRowHeight="16" x14ac:dyDescent="0.2"/>
  <sheetData>
    <row r="1" spans="1:11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2</v>
      </c>
      <c r="B2">
        <f>IF(Rules!$B$10=Rules!$F$10,Dealer!B14-SUM(Dealer!B15:B19),Dealer!B3-SUM(Dealer!B4:B8))</f>
        <v>-0.66695077468551034</v>
      </c>
      <c r="C2">
        <f>IF(Rules!$B$10=Rules!$F$10,Dealer!C14-SUM(Dealer!C15:C19),Dealer!C3-SUM(Dealer!C4:C8))</f>
        <v>-0.29278372720927726</v>
      </c>
      <c r="D2">
        <f>IF(Rules!$B$10=Rules!$F$10,Dealer!D14-SUM(Dealer!D15:D19),Dealer!D3-SUM(Dealer!D4:D8))</f>
        <v>-0.2522502292357135</v>
      </c>
      <c r="E2">
        <f>IF(Rules!$B$10=Rules!$F$10,Dealer!E14-SUM(Dealer!E15:E19),Dealer!E3-SUM(Dealer!E4:E8))</f>
        <v>-0.21106310899491437</v>
      </c>
      <c r="F2">
        <f>IF(Rules!$B$10=Rules!$F$10,Dealer!F14-SUM(Dealer!F15:F19),Dealer!F3-SUM(Dealer!F4:F8))</f>
        <v>-0.16719266083547524</v>
      </c>
      <c r="G2">
        <f>IF(Rules!$B$10=Rules!$F$10,Dealer!G14-SUM(Dealer!G15:G19),Dealer!G3-SUM(Dealer!G4:G8))</f>
        <v>-0.1536990158300045</v>
      </c>
      <c r="H2">
        <f>IF(Rules!$B$10=Rules!$F$10,Dealer!H14-SUM(Dealer!H15:H19),Dealer!H3-SUM(Dealer!H4:H8))</f>
        <v>-0.47537518327693323</v>
      </c>
      <c r="I2">
        <f>IF(Rules!$B$10=Rules!$F$10,Dealer!I14-SUM(Dealer!I15:I19),Dealer!I3-SUM(Dealer!I4:I8))</f>
        <v>-0.51051751549761715</v>
      </c>
      <c r="J2">
        <f>IF(Rules!$B$10=Rules!$F$10,Dealer!J14-SUM(Dealer!J15:J19),Dealer!J3-SUM(Dealer!J4:J8))</f>
        <v>-0.5431496811311094</v>
      </c>
      <c r="K2">
        <f>IF(Rules!$B$10=Rules!$F$10,Dealer!K14-SUM(Dealer!K15:K19),Dealer!K3-SUM(Dealer!K4:K8))</f>
        <v>-0.54043033399498497</v>
      </c>
    </row>
    <row r="3" spans="1:11" x14ac:dyDescent="0.2">
      <c r="A3">
        <v>3</v>
      </c>
      <c r="B3">
        <f>B2</f>
        <v>-0.66695077468551034</v>
      </c>
      <c r="C3">
        <f t="shared" ref="C3:K16" si="0">C2</f>
        <v>-0.29278372720927726</v>
      </c>
      <c r="D3">
        <f t="shared" si="0"/>
        <v>-0.2522502292357135</v>
      </c>
      <c r="E3">
        <f t="shared" si="0"/>
        <v>-0.21106310899491437</v>
      </c>
      <c r="F3">
        <f t="shared" si="0"/>
        <v>-0.16719266083547524</v>
      </c>
      <c r="G3">
        <f t="shared" si="0"/>
        <v>-0.1536990158300045</v>
      </c>
      <c r="H3">
        <f t="shared" si="0"/>
        <v>-0.47537518327693323</v>
      </c>
      <c r="I3">
        <f t="shared" si="0"/>
        <v>-0.51051751549761715</v>
      </c>
      <c r="J3">
        <f t="shared" si="0"/>
        <v>-0.5431496811311094</v>
      </c>
      <c r="K3">
        <f t="shared" si="0"/>
        <v>-0.54043033399498497</v>
      </c>
    </row>
    <row r="4" spans="1:11" x14ac:dyDescent="0.2">
      <c r="A4">
        <v>4</v>
      </c>
      <c r="B4">
        <f t="shared" ref="B4:B16" si="1">B3</f>
        <v>-0.66695077468551034</v>
      </c>
      <c r="C4">
        <f t="shared" si="0"/>
        <v>-0.29278372720927726</v>
      </c>
      <c r="D4">
        <f t="shared" si="0"/>
        <v>-0.2522502292357135</v>
      </c>
      <c r="E4">
        <f t="shared" si="0"/>
        <v>-0.21106310899491437</v>
      </c>
      <c r="F4">
        <f t="shared" si="0"/>
        <v>-0.16719266083547524</v>
      </c>
      <c r="G4">
        <f t="shared" si="0"/>
        <v>-0.1536990158300045</v>
      </c>
      <c r="H4">
        <f t="shared" si="0"/>
        <v>-0.47537518327693323</v>
      </c>
      <c r="I4">
        <f t="shared" si="0"/>
        <v>-0.51051751549761715</v>
      </c>
      <c r="J4">
        <f t="shared" si="0"/>
        <v>-0.5431496811311094</v>
      </c>
      <c r="K4">
        <f t="shared" si="0"/>
        <v>-0.54043033399498497</v>
      </c>
    </row>
    <row r="5" spans="1:11" x14ac:dyDescent="0.2">
      <c r="A5">
        <v>5</v>
      </c>
      <c r="B5">
        <f t="shared" si="1"/>
        <v>-0.66695077468551034</v>
      </c>
      <c r="C5">
        <f t="shared" si="0"/>
        <v>-0.29278372720927726</v>
      </c>
      <c r="D5">
        <f t="shared" si="0"/>
        <v>-0.2522502292357135</v>
      </c>
      <c r="E5">
        <f t="shared" si="0"/>
        <v>-0.21106310899491437</v>
      </c>
      <c r="F5">
        <f t="shared" si="0"/>
        <v>-0.16719266083547524</v>
      </c>
      <c r="G5">
        <f t="shared" si="0"/>
        <v>-0.1536990158300045</v>
      </c>
      <c r="H5">
        <f t="shared" si="0"/>
        <v>-0.47537518327693323</v>
      </c>
      <c r="I5">
        <f t="shared" si="0"/>
        <v>-0.51051751549761715</v>
      </c>
      <c r="J5">
        <f t="shared" si="0"/>
        <v>-0.5431496811311094</v>
      </c>
      <c r="K5">
        <f t="shared" si="0"/>
        <v>-0.54043033399498497</v>
      </c>
    </row>
    <row r="6" spans="1:11" x14ac:dyDescent="0.2">
      <c r="A6">
        <v>6</v>
      </c>
      <c r="B6">
        <f t="shared" si="1"/>
        <v>-0.66695077468551034</v>
      </c>
      <c r="C6">
        <f t="shared" si="0"/>
        <v>-0.29278372720927726</v>
      </c>
      <c r="D6">
        <f t="shared" si="0"/>
        <v>-0.2522502292357135</v>
      </c>
      <c r="E6">
        <f t="shared" si="0"/>
        <v>-0.21106310899491437</v>
      </c>
      <c r="F6">
        <f t="shared" si="0"/>
        <v>-0.16719266083547524</v>
      </c>
      <c r="G6">
        <f t="shared" si="0"/>
        <v>-0.1536990158300045</v>
      </c>
      <c r="H6">
        <f t="shared" si="0"/>
        <v>-0.47537518327693323</v>
      </c>
      <c r="I6">
        <f t="shared" si="0"/>
        <v>-0.51051751549761715</v>
      </c>
      <c r="J6">
        <f t="shared" si="0"/>
        <v>-0.5431496811311094</v>
      </c>
      <c r="K6">
        <f t="shared" si="0"/>
        <v>-0.54043033399498497</v>
      </c>
    </row>
    <row r="7" spans="1:11" x14ac:dyDescent="0.2">
      <c r="A7">
        <v>7</v>
      </c>
      <c r="B7">
        <f t="shared" si="1"/>
        <v>-0.66695077468551034</v>
      </c>
      <c r="C7">
        <f t="shared" si="0"/>
        <v>-0.29278372720927726</v>
      </c>
      <c r="D7">
        <f t="shared" si="0"/>
        <v>-0.2522502292357135</v>
      </c>
      <c r="E7">
        <f t="shared" si="0"/>
        <v>-0.21106310899491437</v>
      </c>
      <c r="F7">
        <f t="shared" si="0"/>
        <v>-0.16719266083547524</v>
      </c>
      <c r="G7">
        <f t="shared" si="0"/>
        <v>-0.1536990158300045</v>
      </c>
      <c r="H7">
        <f t="shared" si="0"/>
        <v>-0.47537518327693323</v>
      </c>
      <c r="I7">
        <f t="shared" si="0"/>
        <v>-0.51051751549761715</v>
      </c>
      <c r="J7">
        <f t="shared" si="0"/>
        <v>-0.5431496811311094</v>
      </c>
      <c r="K7">
        <f t="shared" si="0"/>
        <v>-0.54043033399498497</v>
      </c>
    </row>
    <row r="8" spans="1:11" x14ac:dyDescent="0.2">
      <c r="A8">
        <v>8</v>
      </c>
      <c r="B8">
        <f t="shared" si="1"/>
        <v>-0.66695077468551034</v>
      </c>
      <c r="C8">
        <f t="shared" si="0"/>
        <v>-0.29278372720927726</v>
      </c>
      <c r="D8">
        <f t="shared" si="0"/>
        <v>-0.2522502292357135</v>
      </c>
      <c r="E8">
        <f t="shared" si="0"/>
        <v>-0.21106310899491437</v>
      </c>
      <c r="F8">
        <f t="shared" si="0"/>
        <v>-0.16719266083547524</v>
      </c>
      <c r="G8">
        <f t="shared" si="0"/>
        <v>-0.1536990158300045</v>
      </c>
      <c r="H8">
        <f t="shared" si="0"/>
        <v>-0.47537518327693323</v>
      </c>
      <c r="I8">
        <f t="shared" si="0"/>
        <v>-0.51051751549761715</v>
      </c>
      <c r="J8">
        <f t="shared" si="0"/>
        <v>-0.5431496811311094</v>
      </c>
      <c r="K8">
        <f t="shared" si="0"/>
        <v>-0.54043033399498497</v>
      </c>
    </row>
    <row r="9" spans="1:11" x14ac:dyDescent="0.2">
      <c r="A9">
        <v>9</v>
      </c>
      <c r="B9">
        <f t="shared" si="1"/>
        <v>-0.66695077468551034</v>
      </c>
      <c r="C9">
        <f t="shared" si="0"/>
        <v>-0.29278372720927726</v>
      </c>
      <c r="D9">
        <f t="shared" si="0"/>
        <v>-0.2522502292357135</v>
      </c>
      <c r="E9">
        <f t="shared" si="0"/>
        <v>-0.21106310899491437</v>
      </c>
      <c r="F9">
        <f t="shared" si="0"/>
        <v>-0.16719266083547524</v>
      </c>
      <c r="G9">
        <f t="shared" si="0"/>
        <v>-0.1536990158300045</v>
      </c>
      <c r="H9">
        <f t="shared" si="0"/>
        <v>-0.47537518327693323</v>
      </c>
      <c r="I9">
        <f t="shared" si="0"/>
        <v>-0.51051751549761715</v>
      </c>
      <c r="J9">
        <f t="shared" si="0"/>
        <v>-0.5431496811311094</v>
      </c>
      <c r="K9">
        <f t="shared" si="0"/>
        <v>-0.54043033399498497</v>
      </c>
    </row>
    <row r="10" spans="1:11" x14ac:dyDescent="0.2">
      <c r="A10">
        <v>10</v>
      </c>
      <c r="B10">
        <f t="shared" si="1"/>
        <v>-0.66695077468551034</v>
      </c>
      <c r="C10">
        <f t="shared" si="0"/>
        <v>-0.29278372720927726</v>
      </c>
      <c r="D10">
        <f t="shared" si="0"/>
        <v>-0.2522502292357135</v>
      </c>
      <c r="E10">
        <f t="shared" si="0"/>
        <v>-0.21106310899491437</v>
      </c>
      <c r="F10">
        <f t="shared" si="0"/>
        <v>-0.16719266083547524</v>
      </c>
      <c r="G10">
        <f t="shared" si="0"/>
        <v>-0.1536990158300045</v>
      </c>
      <c r="H10">
        <f t="shared" si="0"/>
        <v>-0.47537518327693323</v>
      </c>
      <c r="I10">
        <f t="shared" si="0"/>
        <v>-0.51051751549761715</v>
      </c>
      <c r="J10">
        <f t="shared" si="0"/>
        <v>-0.5431496811311094</v>
      </c>
      <c r="K10">
        <f t="shared" si="0"/>
        <v>-0.54043033399498497</v>
      </c>
    </row>
    <row r="11" spans="1:11" x14ac:dyDescent="0.2">
      <c r="A11">
        <v>11</v>
      </c>
      <c r="B11">
        <f t="shared" si="1"/>
        <v>-0.66695077468551034</v>
      </c>
      <c r="C11">
        <f t="shared" si="0"/>
        <v>-0.29278372720927726</v>
      </c>
      <c r="D11">
        <f t="shared" si="0"/>
        <v>-0.2522502292357135</v>
      </c>
      <c r="E11">
        <f t="shared" si="0"/>
        <v>-0.21106310899491437</v>
      </c>
      <c r="F11">
        <f t="shared" si="0"/>
        <v>-0.16719266083547524</v>
      </c>
      <c r="G11">
        <f t="shared" si="0"/>
        <v>-0.1536990158300045</v>
      </c>
      <c r="H11">
        <f t="shared" si="0"/>
        <v>-0.47537518327693323</v>
      </c>
      <c r="I11">
        <f t="shared" si="0"/>
        <v>-0.51051751549761715</v>
      </c>
      <c r="J11">
        <f t="shared" si="0"/>
        <v>-0.5431496811311094</v>
      </c>
      <c r="K11">
        <f t="shared" si="0"/>
        <v>-0.54043033399498497</v>
      </c>
    </row>
    <row r="12" spans="1:11" x14ac:dyDescent="0.2">
      <c r="A12">
        <v>12</v>
      </c>
      <c r="B12">
        <f t="shared" si="1"/>
        <v>-0.66695077468551034</v>
      </c>
      <c r="C12">
        <f t="shared" si="0"/>
        <v>-0.29278372720927726</v>
      </c>
      <c r="D12">
        <f t="shared" si="0"/>
        <v>-0.2522502292357135</v>
      </c>
      <c r="E12">
        <f t="shared" si="0"/>
        <v>-0.21106310899491437</v>
      </c>
      <c r="F12">
        <f t="shared" si="0"/>
        <v>-0.16719266083547524</v>
      </c>
      <c r="G12">
        <f t="shared" si="0"/>
        <v>-0.1536990158300045</v>
      </c>
      <c r="H12">
        <f t="shared" si="0"/>
        <v>-0.47537518327693323</v>
      </c>
      <c r="I12">
        <f t="shared" si="0"/>
        <v>-0.51051751549761715</v>
      </c>
      <c r="J12">
        <f t="shared" si="0"/>
        <v>-0.5431496811311094</v>
      </c>
      <c r="K12">
        <f t="shared" si="0"/>
        <v>-0.54043033399498497</v>
      </c>
    </row>
    <row r="13" spans="1:11" x14ac:dyDescent="0.2">
      <c r="A13">
        <v>13</v>
      </c>
      <c r="B13">
        <f t="shared" si="1"/>
        <v>-0.66695077468551034</v>
      </c>
      <c r="C13">
        <f t="shared" si="0"/>
        <v>-0.29278372720927726</v>
      </c>
      <c r="D13">
        <f t="shared" si="0"/>
        <v>-0.2522502292357135</v>
      </c>
      <c r="E13">
        <f t="shared" si="0"/>
        <v>-0.21106310899491437</v>
      </c>
      <c r="F13">
        <f t="shared" si="0"/>
        <v>-0.16719266083547524</v>
      </c>
      <c r="G13">
        <f t="shared" si="0"/>
        <v>-0.1536990158300045</v>
      </c>
      <c r="H13">
        <f t="shared" si="0"/>
        <v>-0.47537518327693323</v>
      </c>
      <c r="I13">
        <f t="shared" si="0"/>
        <v>-0.51051751549761715</v>
      </c>
      <c r="J13">
        <f t="shared" si="0"/>
        <v>-0.5431496811311094</v>
      </c>
      <c r="K13">
        <f t="shared" si="0"/>
        <v>-0.54043033399498497</v>
      </c>
    </row>
    <row r="14" spans="1:11" x14ac:dyDescent="0.2">
      <c r="A14">
        <v>14</v>
      </c>
      <c r="B14">
        <f t="shared" si="1"/>
        <v>-0.66695077468551034</v>
      </c>
      <c r="C14">
        <f t="shared" si="0"/>
        <v>-0.29278372720927726</v>
      </c>
      <c r="D14">
        <f t="shared" si="0"/>
        <v>-0.2522502292357135</v>
      </c>
      <c r="E14">
        <f t="shared" si="0"/>
        <v>-0.21106310899491437</v>
      </c>
      <c r="F14">
        <f t="shared" si="0"/>
        <v>-0.16719266083547524</v>
      </c>
      <c r="G14">
        <f t="shared" si="0"/>
        <v>-0.1536990158300045</v>
      </c>
      <c r="H14">
        <f t="shared" si="0"/>
        <v>-0.47537518327693323</v>
      </c>
      <c r="I14">
        <f t="shared" si="0"/>
        <v>-0.51051751549761715</v>
      </c>
      <c r="J14">
        <f t="shared" si="0"/>
        <v>-0.5431496811311094</v>
      </c>
      <c r="K14">
        <f t="shared" si="0"/>
        <v>-0.54043033399498497</v>
      </c>
    </row>
    <row r="15" spans="1:11" x14ac:dyDescent="0.2">
      <c r="A15">
        <v>15</v>
      </c>
      <c r="B15">
        <f t="shared" si="1"/>
        <v>-0.66695077468551034</v>
      </c>
      <c r="C15">
        <f t="shared" si="0"/>
        <v>-0.29278372720927726</v>
      </c>
      <c r="D15">
        <f t="shared" si="0"/>
        <v>-0.2522502292357135</v>
      </c>
      <c r="E15">
        <f t="shared" si="0"/>
        <v>-0.21106310899491437</v>
      </c>
      <c r="F15">
        <f t="shared" si="0"/>
        <v>-0.16719266083547524</v>
      </c>
      <c r="G15">
        <f t="shared" si="0"/>
        <v>-0.1536990158300045</v>
      </c>
      <c r="H15">
        <f t="shared" si="0"/>
        <v>-0.47537518327693323</v>
      </c>
      <c r="I15">
        <f t="shared" si="0"/>
        <v>-0.51051751549761715</v>
      </c>
      <c r="J15">
        <f t="shared" si="0"/>
        <v>-0.5431496811311094</v>
      </c>
      <c r="K15">
        <f t="shared" si="0"/>
        <v>-0.54043033399498497</v>
      </c>
    </row>
    <row r="16" spans="1:11" x14ac:dyDescent="0.2">
      <c r="A16">
        <v>16</v>
      </c>
      <c r="B16">
        <f t="shared" si="1"/>
        <v>-0.66695077468551034</v>
      </c>
      <c r="C16">
        <f t="shared" si="0"/>
        <v>-0.29278372720927726</v>
      </c>
      <c r="D16">
        <f t="shared" si="0"/>
        <v>-0.2522502292357135</v>
      </c>
      <c r="E16">
        <f t="shared" si="0"/>
        <v>-0.21106310899491437</v>
      </c>
      <c r="F16">
        <f t="shared" si="0"/>
        <v>-0.16719266083547524</v>
      </c>
      <c r="G16">
        <f t="shared" si="0"/>
        <v>-0.1536990158300045</v>
      </c>
      <c r="H16">
        <f t="shared" si="0"/>
        <v>-0.47537518327693323</v>
      </c>
      <c r="I16">
        <f t="shared" si="0"/>
        <v>-0.51051751549761715</v>
      </c>
      <c r="J16">
        <f t="shared" si="0"/>
        <v>-0.5431496811311094</v>
      </c>
      <c r="K16">
        <f t="shared" si="0"/>
        <v>-0.54043033399498497</v>
      </c>
    </row>
    <row r="17" spans="1:11" x14ac:dyDescent="0.2">
      <c r="A17">
        <v>17</v>
      </c>
      <c r="B17">
        <f>IF(Rules!$B$10=Rules!$F$10,Dealer!B14-SUM(Dealer!B16:B19),Dealer!B3-SUM(Dealer!B5:B8))</f>
        <v>-0.47803347499473703</v>
      </c>
      <c r="C17">
        <f>IF(Rules!$B$10=Rules!$F$10,Dealer!C14-SUM(Dealer!C16:C19),Dealer!C3-SUM(Dealer!C5:C8))</f>
        <v>-0.15297458768154204</v>
      </c>
      <c r="D17">
        <f>IF(Rules!$B$10=Rules!$F$10,Dealer!D14-SUM(Dealer!D16:D19),Dealer!D3-SUM(Dealer!D5:D8))</f>
        <v>-0.11721624142457365</v>
      </c>
      <c r="E17">
        <f>IF(Rules!$B$10=Rules!$F$10,Dealer!E14-SUM(Dealer!E16:E19),Dealer!E3-SUM(Dealer!E5:E8))</f>
        <v>-8.0573373145316152E-2</v>
      </c>
      <c r="F17">
        <f>IF(Rules!$B$10=Rules!$F$10,Dealer!F14-SUM(Dealer!F16:F19),Dealer!F3-SUM(Dealer!F5:F8))</f>
        <v>-4.4941375564924446E-2</v>
      </c>
      <c r="G17">
        <f>IF(Rules!$B$10=Rules!$F$10,Dealer!G14-SUM(Dealer!G16:G19),Dealer!G3-SUM(Dealer!G5:G8))</f>
        <v>1.1739160673341853E-2</v>
      </c>
      <c r="H17">
        <f>IF(Rules!$B$10=Rules!$F$10,Dealer!H14-SUM(Dealer!H16:H19),Dealer!H3-SUM(Dealer!H5:H8))</f>
        <v>-0.10680898948269468</v>
      </c>
      <c r="I17">
        <f>IF(Rules!$B$10=Rules!$F$10,Dealer!I14-SUM(Dealer!I16:I19),Dealer!I3-SUM(Dealer!I5:I8))</f>
        <v>-0.38195097104844711</v>
      </c>
      <c r="J17">
        <f>IF(Rules!$B$10=Rules!$F$10,Dealer!J14-SUM(Dealer!J16:J19),Dealer!J3-SUM(Dealer!J5:J8))</f>
        <v>-0.42315423964521737</v>
      </c>
      <c r="K17">
        <f>IF(Rules!$B$10=Rules!$F$10,Dealer!K14-SUM(Dealer!K16:K19),Dealer!K3-SUM(Dealer!K5:K8))</f>
        <v>-0.41972063392881986</v>
      </c>
    </row>
    <row r="18" spans="1:11" x14ac:dyDescent="0.2">
      <c r="A18">
        <v>18</v>
      </c>
      <c r="B18">
        <f>IF(Rules!$B$10=Rules!$F$10,Dealer!B14+Dealer!B15-SUM(Dealer!B17:B19),SUM(Dealer!B3:B4)-SUM(Dealer!B6:B8))</f>
        <v>-0.10019887561319057</v>
      </c>
      <c r="C18">
        <f>IF(Rules!$B$10=Rules!$F$10,Dealer!C14+Dealer!C15-SUM(Dealer!C17:C19),SUM(Dealer!C3:C4)-SUM(Dealer!C6:C8))</f>
        <v>0.12174190222088771</v>
      </c>
      <c r="D18">
        <f>IF(Rules!$B$10=Rules!$F$10,Dealer!D14+Dealer!D15-SUM(Dealer!D17:D19),SUM(Dealer!D3:D4)-SUM(Dealer!D6:D8))</f>
        <v>0.14830007284131119</v>
      </c>
      <c r="E18">
        <f>IF(Rules!$B$10=Rules!$F$10,Dealer!E14+Dealer!E15-SUM(Dealer!E17:E19),SUM(Dealer!E3:E4)-SUM(Dealer!E6:E8))</f>
        <v>0.17585443719748528</v>
      </c>
      <c r="F18">
        <f>IF(Rules!$B$10=Rules!$F$10,Dealer!F14+Dealer!F15-SUM(Dealer!F17:F19),SUM(Dealer!F3:F4)-SUM(Dealer!F6:F8))</f>
        <v>0.19956119497617719</v>
      </c>
      <c r="G18">
        <f>IF(Rules!$B$10=Rules!$F$10,Dealer!G14+Dealer!G15-SUM(Dealer!G17:G19),SUM(Dealer!G3:G4)-SUM(Dealer!G6:G8))</f>
        <v>0.28344391604689856</v>
      </c>
      <c r="H18">
        <f>IF(Rules!$B$10=Rules!$F$10,Dealer!H14+Dealer!H15-SUM(Dealer!H17:H19),SUM(Dealer!H3:H4)-SUM(Dealer!H6:H8))</f>
        <v>0.3995541673365518</v>
      </c>
      <c r="I18">
        <f>IF(Rules!$B$10=Rules!$F$10,Dealer!I14+Dealer!I15-SUM(Dealer!I17:I19),SUM(Dealer!I3:I4)-SUM(Dealer!I6:I8))</f>
        <v>0.10595134861912359</v>
      </c>
      <c r="J18">
        <f>IF(Rules!$B$10=Rules!$F$10,Dealer!J14+Dealer!J15-SUM(Dealer!J17:J19),SUM(Dealer!J3:J4)-SUM(Dealer!J6:J8))</f>
        <v>-0.18316335667343331</v>
      </c>
      <c r="K18">
        <f>IF(Rules!$B$10=Rules!$F$10,Dealer!K14+Dealer!K15-SUM(Dealer!K17:K19),SUM(Dealer!K3:K4)-SUM(Dealer!K6:K8))</f>
        <v>-0.17830123379648949</v>
      </c>
    </row>
    <row r="19" spans="1:11" x14ac:dyDescent="0.2">
      <c r="A19">
        <v>19</v>
      </c>
      <c r="B19">
        <f>IF(Rules!$B$10=Rules!$F$10,SUM(Dealer!B14:B16)-Dealer!B18-Dealer!B19,SUM(Dealer!B3:B5)-SUM(Dealer!B7:B8))</f>
        <v>0.27763572376835594</v>
      </c>
      <c r="C19">
        <f>IF(Rules!$B$10=Rules!$F$10,SUM(Dealer!C14:C16)-Dealer!C18-Dealer!C19,SUM(Dealer!C3:C5)-SUM(Dealer!C7:C8))</f>
        <v>0.38630468602058993</v>
      </c>
      <c r="D19">
        <f>IF(Rules!$B$10=Rules!$F$10,SUM(Dealer!D14:D16)-Dealer!D18-Dealer!D19,SUM(Dealer!D3:D5)-SUM(Dealer!D7:D8))</f>
        <v>0.4043629365977599</v>
      </c>
      <c r="E19">
        <f>IF(Rules!$B$10=Rules!$F$10,SUM(Dealer!E14:E16)-Dealer!E18-Dealer!E19,SUM(Dealer!E3:E5)-SUM(Dealer!E7:E8))</f>
        <v>0.42317892482749653</v>
      </c>
      <c r="F19">
        <f>IF(Rules!$B$10=Rules!$F$10,SUM(Dealer!F14:F16)-Dealer!F18-Dealer!F19,SUM(Dealer!F3:F5)-SUM(Dealer!F7:F8))</f>
        <v>0.43951210416088371</v>
      </c>
      <c r="G19">
        <f>IF(Rules!$B$10=Rules!$F$10,SUM(Dealer!G14:G16)-Dealer!G18-Dealer!G19,SUM(Dealer!G3:G5)-SUM(Dealer!G7:G8))</f>
        <v>0.49597707378731914</v>
      </c>
      <c r="H19">
        <f>IF(Rules!$B$10=Rules!$F$10,SUM(Dealer!H14:H16)-Dealer!H18-Dealer!H19,SUM(Dealer!H3:H5)-SUM(Dealer!H7:H8))</f>
        <v>0.6159764957534315</v>
      </c>
      <c r="I19">
        <f>IF(Rules!$B$10=Rules!$F$10,SUM(Dealer!I14:I16)-Dealer!I18-Dealer!I19,SUM(Dealer!I3:I5)-SUM(Dealer!I7:I8))</f>
        <v>0.59385366828669439</v>
      </c>
      <c r="J19">
        <f>IF(Rules!$B$10=Rules!$F$10,SUM(Dealer!J14:J16)-Dealer!J18-Dealer!J19,SUM(Dealer!J3:J5)-SUM(Dealer!J7:J8))</f>
        <v>0.28759675706758148</v>
      </c>
      <c r="K19">
        <f>IF(Rules!$B$10=Rules!$F$10,SUM(Dealer!K14:K16)-Dealer!K18-Dealer!K19,SUM(Dealer!K3:K5)-SUM(Dealer!K7:K8))</f>
        <v>6.3118166335840831E-2</v>
      </c>
    </row>
    <row r="20" spans="1:11" x14ac:dyDescent="0.2">
      <c r="A20">
        <v>20</v>
      </c>
      <c r="B20">
        <f>IF(Rules!$B$10=Rules!$F$10,SUM(Dealer!B14:B17)-Dealer!B19,SUM(Dealer!B3:B6)-Dealer!B8)</f>
        <v>0.65547032314990239</v>
      </c>
      <c r="C20">
        <f>IF(Rules!$B$10=Rules!$F$10,SUM(Dealer!C14:C17)-Dealer!C19,SUM(Dealer!C3:C6)-Dealer!C8)</f>
        <v>0.63998657521683877</v>
      </c>
      <c r="D20">
        <f>IF(Rules!$B$10=Rules!$F$10,SUM(Dealer!D14:D17)-Dealer!D19,SUM(Dealer!D3:D6)-Dealer!D8)</f>
        <v>0.65027209425148136</v>
      </c>
      <c r="E20">
        <f>IF(Rules!$B$10=Rules!$F$10,SUM(Dealer!E14:E17)-Dealer!E19,SUM(Dealer!E3:E6)-Dealer!E8)</f>
        <v>0.66104996194807186</v>
      </c>
      <c r="F20">
        <f>IF(Rules!$B$10=Rules!$F$10,SUM(Dealer!F14:F17)-Dealer!F19,SUM(Dealer!F3:F6)-Dealer!F8)</f>
        <v>0.67035969063279999</v>
      </c>
      <c r="G20">
        <f>IF(Rules!$B$10=Rules!$F$10,SUM(Dealer!G14:G17)-Dealer!G19,SUM(Dealer!G3:G6)-Dealer!G8)</f>
        <v>0.70395857017134467</v>
      </c>
      <c r="H20">
        <f>IF(Rules!$B$10=Rules!$F$10,SUM(Dealer!H14:H17)-Dealer!H19,SUM(Dealer!H3:H6)-Dealer!H8)</f>
        <v>0.77322722653717491</v>
      </c>
      <c r="I20">
        <f>IF(Rules!$B$10=Rules!$F$10,SUM(Dealer!I14:I17)-Dealer!I19,SUM(Dealer!I3:I6)-Dealer!I8)</f>
        <v>0.79181515955189841</v>
      </c>
      <c r="J20">
        <f>IF(Rules!$B$10=Rules!$F$10,SUM(Dealer!J14:J17)-Dealer!J19,SUM(Dealer!J3:J6)-Dealer!J8)</f>
        <v>0.75835687080859626</v>
      </c>
      <c r="K20">
        <f>IF(Rules!$B$10=Rules!$F$10,SUM(Dealer!K14:K17)-Dealer!K19,SUM(Dealer!K3:K6)-Dealer!K8)</f>
        <v>0.55453756646817121</v>
      </c>
    </row>
    <row r="21" spans="1:11" x14ac:dyDescent="0.2">
      <c r="A21">
        <v>21</v>
      </c>
      <c r="B21">
        <f>IF(Rules!$B$13=Rules!$E$13,1,IF(Rules!$B$10=Rules!$F$10,SUM(Dealer!B14:B18),SUM(Dealer!B3:B7)))</f>
        <v>0.92219381142033785</v>
      </c>
      <c r="C21">
        <f>IF(Rules!$B$13=Rules!$E$13,1,IF(Rules!$B$10=Rules!$F$10,SUM(Dealer!C14:C18),SUM(Dealer!C3:C7)))</f>
        <v>0.88200651549403997</v>
      </c>
      <c r="D21">
        <f>IF(Rules!$B$13=Rules!$E$13,1,IF(Rules!$B$10=Rules!$F$10,SUM(Dealer!D14:D18),SUM(Dealer!D3:D7)))</f>
        <v>0.88530035730174927</v>
      </c>
      <c r="E21">
        <f>IF(Rules!$B$13=Rules!$E$13,1,IF(Rules!$B$10=Rules!$F$10,SUM(Dealer!E14:E18),SUM(Dealer!E3:E7)))</f>
        <v>0.88876729296591961</v>
      </c>
      <c r="F21">
        <f>IF(Rules!$B$13=Rules!$E$13,1,IF(Rules!$B$10=Rules!$F$10,SUM(Dealer!F14:F18),SUM(Dealer!F3:F7)))</f>
        <v>0.89175382659528035</v>
      </c>
      <c r="G21">
        <f>IF(Rules!$B$13=Rules!$E$13,1,IF(Rules!$B$10=Rules!$F$10,SUM(Dealer!G14:G18),SUM(Dealer!G3:G7)))</f>
        <v>0.90283674384257995</v>
      </c>
      <c r="H21">
        <f>IF(Rules!$B$13=Rules!$E$13,1,IF(Rules!$B$10=Rules!$F$10,SUM(Dealer!H14:H18),SUM(Dealer!H3:H7)))</f>
        <v>0.92592629596452325</v>
      </c>
      <c r="I21">
        <f>IF(Rules!$B$13=Rules!$E$13,1,IF(Rules!$B$10=Rules!$F$10,SUM(Dealer!I14:I18),SUM(Dealer!I3:I7)))</f>
        <v>0.93060505318396614</v>
      </c>
      <c r="J21">
        <f>IF(Rules!$B$13=Rules!$E$13,1,IF(Rules!$B$10=Rules!$F$10,SUM(Dealer!J14:J18),SUM(Dealer!J3:J7)))</f>
        <v>0.93917615614724415</v>
      </c>
      <c r="K21">
        <f>IF(Rules!$B$13=Rules!$E$13,1,IF(Rules!$B$10=Rules!$F$10,SUM(Dealer!K14:K18),SUM(Dealer!K3:K7)))</f>
        <v>0.96262363326716827</v>
      </c>
    </row>
    <row r="22" spans="1:11" x14ac:dyDescent="0.2">
      <c r="A22">
        <v>22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</row>
    <row r="23" spans="1:11" x14ac:dyDescent="0.2">
      <c r="A23">
        <v>23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</row>
    <row r="24" spans="1:11" x14ac:dyDescent="0.2">
      <c r="A24">
        <v>24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</row>
    <row r="25" spans="1:11" x14ac:dyDescent="0.2">
      <c r="A25">
        <v>25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</row>
    <row r="26" spans="1:11" x14ac:dyDescent="0.2">
      <c r="A26">
        <v>26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</row>
    <row r="27" spans="1:11" x14ac:dyDescent="0.2">
      <c r="A27">
        <v>27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</row>
    <row r="28" spans="1:11" x14ac:dyDescent="0.2">
      <c r="A28">
        <v>28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</row>
    <row r="29" spans="1:11" x14ac:dyDescent="0.2">
      <c r="A29">
        <v>29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</row>
    <row r="30" spans="1:11" x14ac:dyDescent="0.2">
      <c r="A30">
        <v>30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</row>
    <row r="31" spans="1:11" x14ac:dyDescent="0.2">
      <c r="A31">
        <v>31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</row>
    <row r="33" spans="1:11" x14ac:dyDescent="0.2">
      <c r="A33" t="s">
        <v>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1:11" x14ac:dyDescent="0.2">
      <c r="A34">
        <v>11</v>
      </c>
      <c r="B34">
        <f>B11</f>
        <v>-0.66695077468551034</v>
      </c>
      <c r="C34">
        <f t="shared" ref="C34:K34" si="2">C11</f>
        <v>-0.29278372720927726</v>
      </c>
      <c r="D34">
        <f t="shared" si="2"/>
        <v>-0.2522502292357135</v>
      </c>
      <c r="E34">
        <f t="shared" si="2"/>
        <v>-0.21106310899491437</v>
      </c>
      <c r="F34">
        <f t="shared" si="2"/>
        <v>-0.16719266083547524</v>
      </c>
      <c r="G34">
        <f t="shared" si="2"/>
        <v>-0.1536990158300045</v>
      </c>
      <c r="H34">
        <f t="shared" si="2"/>
        <v>-0.47537518327693323</v>
      </c>
      <c r="I34">
        <f t="shared" si="2"/>
        <v>-0.51051751549761715</v>
      </c>
      <c r="J34">
        <f t="shared" si="2"/>
        <v>-0.5431496811311094</v>
      </c>
      <c r="K34">
        <f t="shared" si="2"/>
        <v>-0.54043033399498497</v>
      </c>
    </row>
    <row r="35" spans="1:11" x14ac:dyDescent="0.2">
      <c r="A35">
        <v>12</v>
      </c>
      <c r="B35">
        <f t="shared" ref="B35:K35" si="3">B12</f>
        <v>-0.66695077468551034</v>
      </c>
      <c r="C35">
        <f t="shared" si="3"/>
        <v>-0.29278372720927726</v>
      </c>
      <c r="D35">
        <f t="shared" si="3"/>
        <v>-0.2522502292357135</v>
      </c>
      <c r="E35">
        <f t="shared" si="3"/>
        <v>-0.21106310899491437</v>
      </c>
      <c r="F35">
        <f t="shared" si="3"/>
        <v>-0.16719266083547524</v>
      </c>
      <c r="G35">
        <f t="shared" si="3"/>
        <v>-0.1536990158300045</v>
      </c>
      <c r="H35">
        <f t="shared" si="3"/>
        <v>-0.47537518327693323</v>
      </c>
      <c r="I35">
        <f t="shared" si="3"/>
        <v>-0.51051751549761715</v>
      </c>
      <c r="J35">
        <f t="shared" si="3"/>
        <v>-0.5431496811311094</v>
      </c>
      <c r="K35">
        <f t="shared" si="3"/>
        <v>-0.54043033399498497</v>
      </c>
    </row>
    <row r="36" spans="1:11" x14ac:dyDescent="0.2">
      <c r="A36">
        <v>13</v>
      </c>
      <c r="B36">
        <f t="shared" ref="B36:K36" si="4">B13</f>
        <v>-0.66695077468551034</v>
      </c>
      <c r="C36">
        <f t="shared" si="4"/>
        <v>-0.29278372720927726</v>
      </c>
      <c r="D36">
        <f t="shared" si="4"/>
        <v>-0.2522502292357135</v>
      </c>
      <c r="E36">
        <f t="shared" si="4"/>
        <v>-0.21106310899491437</v>
      </c>
      <c r="F36">
        <f t="shared" si="4"/>
        <v>-0.16719266083547524</v>
      </c>
      <c r="G36">
        <f t="shared" si="4"/>
        <v>-0.1536990158300045</v>
      </c>
      <c r="H36">
        <f t="shared" si="4"/>
        <v>-0.47537518327693323</v>
      </c>
      <c r="I36">
        <f t="shared" si="4"/>
        <v>-0.51051751549761715</v>
      </c>
      <c r="J36">
        <f t="shared" si="4"/>
        <v>-0.5431496811311094</v>
      </c>
      <c r="K36">
        <f t="shared" si="4"/>
        <v>-0.54043033399498497</v>
      </c>
    </row>
    <row r="37" spans="1:11" x14ac:dyDescent="0.2">
      <c r="A37">
        <v>14</v>
      </c>
      <c r="B37">
        <f t="shared" ref="B37:K37" si="5">B14</f>
        <v>-0.66695077468551034</v>
      </c>
      <c r="C37">
        <f t="shared" si="5"/>
        <v>-0.29278372720927726</v>
      </c>
      <c r="D37">
        <f t="shared" si="5"/>
        <v>-0.2522502292357135</v>
      </c>
      <c r="E37">
        <f t="shared" si="5"/>
        <v>-0.21106310899491437</v>
      </c>
      <c r="F37">
        <f t="shared" si="5"/>
        <v>-0.16719266083547524</v>
      </c>
      <c r="G37">
        <f t="shared" si="5"/>
        <v>-0.1536990158300045</v>
      </c>
      <c r="H37">
        <f t="shared" si="5"/>
        <v>-0.47537518327693323</v>
      </c>
      <c r="I37">
        <f t="shared" si="5"/>
        <v>-0.51051751549761715</v>
      </c>
      <c r="J37">
        <f t="shared" si="5"/>
        <v>-0.5431496811311094</v>
      </c>
      <c r="K37">
        <f t="shared" si="5"/>
        <v>-0.54043033399498497</v>
      </c>
    </row>
    <row r="38" spans="1:11" x14ac:dyDescent="0.2">
      <c r="A38">
        <v>15</v>
      </c>
      <c r="B38">
        <f t="shared" ref="B38:K38" si="6">B15</f>
        <v>-0.66695077468551034</v>
      </c>
      <c r="C38">
        <f t="shared" si="6"/>
        <v>-0.29278372720927726</v>
      </c>
      <c r="D38">
        <f t="shared" si="6"/>
        <v>-0.2522502292357135</v>
      </c>
      <c r="E38">
        <f t="shared" si="6"/>
        <v>-0.21106310899491437</v>
      </c>
      <c r="F38">
        <f t="shared" si="6"/>
        <v>-0.16719266083547524</v>
      </c>
      <c r="G38">
        <f t="shared" si="6"/>
        <v>-0.1536990158300045</v>
      </c>
      <c r="H38">
        <f t="shared" si="6"/>
        <v>-0.47537518327693323</v>
      </c>
      <c r="I38">
        <f t="shared" si="6"/>
        <v>-0.51051751549761715</v>
      </c>
      <c r="J38">
        <f t="shared" si="6"/>
        <v>-0.5431496811311094</v>
      </c>
      <c r="K38">
        <f t="shared" si="6"/>
        <v>-0.54043033399498497</v>
      </c>
    </row>
    <row r="39" spans="1:11" x14ac:dyDescent="0.2">
      <c r="A39">
        <v>16</v>
      </c>
      <c r="B39">
        <f t="shared" ref="B39:K39" si="7">B16</f>
        <v>-0.66695077468551034</v>
      </c>
      <c r="C39">
        <f t="shared" si="7"/>
        <v>-0.29278372720927726</v>
      </c>
      <c r="D39">
        <f t="shared" si="7"/>
        <v>-0.2522502292357135</v>
      </c>
      <c r="E39">
        <f t="shared" si="7"/>
        <v>-0.21106310899491437</v>
      </c>
      <c r="F39">
        <f t="shared" si="7"/>
        <v>-0.16719266083547524</v>
      </c>
      <c r="G39">
        <f t="shared" si="7"/>
        <v>-0.1536990158300045</v>
      </c>
      <c r="H39">
        <f t="shared" si="7"/>
        <v>-0.47537518327693323</v>
      </c>
      <c r="I39">
        <f t="shared" si="7"/>
        <v>-0.51051751549761715</v>
      </c>
      <c r="J39">
        <f t="shared" si="7"/>
        <v>-0.5431496811311094</v>
      </c>
      <c r="K39">
        <f t="shared" si="7"/>
        <v>-0.54043033399498497</v>
      </c>
    </row>
    <row r="40" spans="1:11" x14ac:dyDescent="0.2">
      <c r="A40">
        <v>17</v>
      </c>
      <c r="B40">
        <f t="shared" ref="B40:K40" si="8">B17</f>
        <v>-0.47803347499473703</v>
      </c>
      <c r="C40">
        <f t="shared" si="8"/>
        <v>-0.15297458768154204</v>
      </c>
      <c r="D40">
        <f t="shared" si="8"/>
        <v>-0.11721624142457365</v>
      </c>
      <c r="E40">
        <f t="shared" si="8"/>
        <v>-8.0573373145316152E-2</v>
      </c>
      <c r="F40">
        <f t="shared" si="8"/>
        <v>-4.4941375564924446E-2</v>
      </c>
      <c r="G40">
        <f t="shared" si="8"/>
        <v>1.1739160673341853E-2</v>
      </c>
      <c r="H40">
        <f t="shared" si="8"/>
        <v>-0.10680898948269468</v>
      </c>
      <c r="I40">
        <f t="shared" si="8"/>
        <v>-0.38195097104844711</v>
      </c>
      <c r="J40">
        <f t="shared" si="8"/>
        <v>-0.42315423964521737</v>
      </c>
      <c r="K40">
        <f t="shared" si="8"/>
        <v>-0.41972063392881986</v>
      </c>
    </row>
    <row r="41" spans="1:11" x14ac:dyDescent="0.2">
      <c r="A41">
        <v>18</v>
      </c>
      <c r="B41">
        <f t="shared" ref="B41:K41" si="9">B18</f>
        <v>-0.10019887561319057</v>
      </c>
      <c r="C41">
        <f t="shared" si="9"/>
        <v>0.12174190222088771</v>
      </c>
      <c r="D41">
        <f t="shared" si="9"/>
        <v>0.14830007284131119</v>
      </c>
      <c r="E41">
        <f t="shared" si="9"/>
        <v>0.17585443719748528</v>
      </c>
      <c r="F41">
        <f t="shared" si="9"/>
        <v>0.19956119497617719</v>
      </c>
      <c r="G41">
        <f t="shared" si="9"/>
        <v>0.28344391604689856</v>
      </c>
      <c r="H41">
        <f t="shared" si="9"/>
        <v>0.3995541673365518</v>
      </c>
      <c r="I41">
        <f t="shared" si="9"/>
        <v>0.10595134861912359</v>
      </c>
      <c r="J41">
        <f t="shared" si="9"/>
        <v>-0.18316335667343331</v>
      </c>
      <c r="K41">
        <f t="shared" si="9"/>
        <v>-0.17830123379648949</v>
      </c>
    </row>
    <row r="42" spans="1:11" x14ac:dyDescent="0.2">
      <c r="A42">
        <v>19</v>
      </c>
      <c r="B42">
        <f t="shared" ref="B42:K42" si="10">B19</f>
        <v>0.27763572376835594</v>
      </c>
      <c r="C42">
        <f t="shared" si="10"/>
        <v>0.38630468602058993</v>
      </c>
      <c r="D42">
        <f t="shared" si="10"/>
        <v>0.4043629365977599</v>
      </c>
      <c r="E42">
        <f t="shared" si="10"/>
        <v>0.42317892482749653</v>
      </c>
      <c r="F42">
        <f t="shared" si="10"/>
        <v>0.43951210416088371</v>
      </c>
      <c r="G42">
        <f t="shared" si="10"/>
        <v>0.49597707378731914</v>
      </c>
      <c r="H42">
        <f t="shared" si="10"/>
        <v>0.6159764957534315</v>
      </c>
      <c r="I42">
        <f t="shared" si="10"/>
        <v>0.59385366828669439</v>
      </c>
      <c r="J42">
        <f t="shared" si="10"/>
        <v>0.28759675706758148</v>
      </c>
      <c r="K42">
        <f t="shared" si="10"/>
        <v>6.3118166335840831E-2</v>
      </c>
    </row>
    <row r="43" spans="1:11" x14ac:dyDescent="0.2">
      <c r="A43">
        <v>20</v>
      </c>
      <c r="B43">
        <f t="shared" ref="B43:K43" si="11">B20</f>
        <v>0.65547032314990239</v>
      </c>
      <c r="C43">
        <f t="shared" si="11"/>
        <v>0.63998657521683877</v>
      </c>
      <c r="D43">
        <f t="shared" si="11"/>
        <v>0.65027209425148136</v>
      </c>
      <c r="E43">
        <f t="shared" si="11"/>
        <v>0.66104996194807186</v>
      </c>
      <c r="F43">
        <f t="shared" si="11"/>
        <v>0.67035969063279999</v>
      </c>
      <c r="G43">
        <f t="shared" si="11"/>
        <v>0.70395857017134467</v>
      </c>
      <c r="H43">
        <f t="shared" si="11"/>
        <v>0.77322722653717491</v>
      </c>
      <c r="I43">
        <f t="shared" si="11"/>
        <v>0.79181515955189841</v>
      </c>
      <c r="J43">
        <f t="shared" si="11"/>
        <v>0.75835687080859626</v>
      </c>
      <c r="K43">
        <f t="shared" si="11"/>
        <v>0.55453756646817121</v>
      </c>
    </row>
    <row r="44" spans="1:11" x14ac:dyDescent="0.2">
      <c r="A44">
        <v>21</v>
      </c>
      <c r="B44">
        <f t="shared" ref="B44:K44" si="12">B21</f>
        <v>0.92219381142033785</v>
      </c>
      <c r="C44">
        <f t="shared" si="12"/>
        <v>0.88200651549403997</v>
      </c>
      <c r="D44">
        <f t="shared" si="12"/>
        <v>0.88530035730174927</v>
      </c>
      <c r="E44">
        <f t="shared" si="12"/>
        <v>0.88876729296591961</v>
      </c>
      <c r="F44">
        <f t="shared" si="12"/>
        <v>0.89175382659528035</v>
      </c>
      <c r="G44">
        <f t="shared" si="12"/>
        <v>0.90283674384257995</v>
      </c>
      <c r="H44">
        <f t="shared" si="12"/>
        <v>0.92592629596452325</v>
      </c>
      <c r="I44">
        <f t="shared" si="12"/>
        <v>0.93060505318396614</v>
      </c>
      <c r="J44">
        <f t="shared" si="12"/>
        <v>0.93917615614724415</v>
      </c>
      <c r="K44">
        <f t="shared" si="12"/>
        <v>0.96262363326716827</v>
      </c>
    </row>
    <row r="45" spans="1:11" x14ac:dyDescent="0.2">
      <c r="A45">
        <v>22</v>
      </c>
      <c r="B45">
        <f>B12</f>
        <v>-0.66695077468551034</v>
      </c>
      <c r="C45">
        <f t="shared" ref="C45:K45" si="13">C12</f>
        <v>-0.29278372720927726</v>
      </c>
      <c r="D45">
        <f t="shared" si="13"/>
        <v>-0.2522502292357135</v>
      </c>
      <c r="E45">
        <f t="shared" si="13"/>
        <v>-0.21106310899491437</v>
      </c>
      <c r="F45">
        <f t="shared" si="13"/>
        <v>-0.16719266083547524</v>
      </c>
      <c r="G45">
        <f t="shared" si="13"/>
        <v>-0.1536990158300045</v>
      </c>
      <c r="H45">
        <f t="shared" si="13"/>
        <v>-0.47537518327693323</v>
      </c>
      <c r="I45">
        <f t="shared" si="13"/>
        <v>-0.51051751549761715</v>
      </c>
      <c r="J45">
        <f t="shared" si="13"/>
        <v>-0.5431496811311094</v>
      </c>
      <c r="K45">
        <f t="shared" si="13"/>
        <v>-0.54043033399498497</v>
      </c>
    </row>
    <row r="46" spans="1:11" x14ac:dyDescent="0.2">
      <c r="A46">
        <v>23</v>
      </c>
      <c r="B46">
        <f t="shared" ref="B46:K46" si="14">B13</f>
        <v>-0.66695077468551034</v>
      </c>
      <c r="C46">
        <f t="shared" si="14"/>
        <v>-0.29278372720927726</v>
      </c>
      <c r="D46">
        <f t="shared" si="14"/>
        <v>-0.2522502292357135</v>
      </c>
      <c r="E46">
        <f t="shared" si="14"/>
        <v>-0.21106310899491437</v>
      </c>
      <c r="F46">
        <f t="shared" si="14"/>
        <v>-0.16719266083547524</v>
      </c>
      <c r="G46">
        <f t="shared" si="14"/>
        <v>-0.1536990158300045</v>
      </c>
      <c r="H46">
        <f t="shared" si="14"/>
        <v>-0.47537518327693323</v>
      </c>
      <c r="I46">
        <f t="shared" si="14"/>
        <v>-0.51051751549761715</v>
      </c>
      <c r="J46">
        <f t="shared" si="14"/>
        <v>-0.5431496811311094</v>
      </c>
      <c r="K46">
        <f t="shared" si="14"/>
        <v>-0.54043033399498497</v>
      </c>
    </row>
    <row r="47" spans="1:11" x14ac:dyDescent="0.2">
      <c r="A47">
        <v>24</v>
      </c>
      <c r="B47">
        <f t="shared" ref="B47:K47" si="15">B14</f>
        <v>-0.66695077468551034</v>
      </c>
      <c r="C47">
        <f t="shared" si="15"/>
        <v>-0.29278372720927726</v>
      </c>
      <c r="D47">
        <f t="shared" si="15"/>
        <v>-0.2522502292357135</v>
      </c>
      <c r="E47">
        <f t="shared" si="15"/>
        <v>-0.21106310899491437</v>
      </c>
      <c r="F47">
        <f t="shared" si="15"/>
        <v>-0.16719266083547524</v>
      </c>
      <c r="G47">
        <f t="shared" si="15"/>
        <v>-0.1536990158300045</v>
      </c>
      <c r="H47">
        <f t="shared" si="15"/>
        <v>-0.47537518327693323</v>
      </c>
      <c r="I47">
        <f t="shared" si="15"/>
        <v>-0.51051751549761715</v>
      </c>
      <c r="J47">
        <f t="shared" si="15"/>
        <v>-0.5431496811311094</v>
      </c>
      <c r="K47">
        <f t="shared" si="15"/>
        <v>-0.54043033399498497</v>
      </c>
    </row>
    <row r="48" spans="1:11" x14ac:dyDescent="0.2">
      <c r="A48">
        <v>25</v>
      </c>
      <c r="B48">
        <f t="shared" ref="B48:K48" si="16">B15</f>
        <v>-0.66695077468551034</v>
      </c>
      <c r="C48">
        <f t="shared" si="16"/>
        <v>-0.29278372720927726</v>
      </c>
      <c r="D48">
        <f t="shared" si="16"/>
        <v>-0.2522502292357135</v>
      </c>
      <c r="E48">
        <f t="shared" si="16"/>
        <v>-0.21106310899491437</v>
      </c>
      <c r="F48">
        <f t="shared" si="16"/>
        <v>-0.16719266083547524</v>
      </c>
      <c r="G48">
        <f t="shared" si="16"/>
        <v>-0.1536990158300045</v>
      </c>
      <c r="H48">
        <f t="shared" si="16"/>
        <v>-0.47537518327693323</v>
      </c>
      <c r="I48">
        <f t="shared" si="16"/>
        <v>-0.51051751549761715</v>
      </c>
      <c r="J48">
        <f t="shared" si="16"/>
        <v>-0.5431496811311094</v>
      </c>
      <c r="K48">
        <f t="shared" si="16"/>
        <v>-0.54043033399498497</v>
      </c>
    </row>
    <row r="49" spans="1:11" x14ac:dyDescent="0.2">
      <c r="A49">
        <v>26</v>
      </c>
      <c r="B49">
        <f t="shared" ref="B49:K49" si="17">B16</f>
        <v>-0.66695077468551034</v>
      </c>
      <c r="C49">
        <f t="shared" si="17"/>
        <v>-0.29278372720927726</v>
      </c>
      <c r="D49">
        <f t="shared" si="17"/>
        <v>-0.2522502292357135</v>
      </c>
      <c r="E49">
        <f t="shared" si="17"/>
        <v>-0.21106310899491437</v>
      </c>
      <c r="F49">
        <f t="shared" si="17"/>
        <v>-0.16719266083547524</v>
      </c>
      <c r="G49">
        <f t="shared" si="17"/>
        <v>-0.1536990158300045</v>
      </c>
      <c r="H49">
        <f t="shared" si="17"/>
        <v>-0.47537518327693323</v>
      </c>
      <c r="I49">
        <f t="shared" si="17"/>
        <v>-0.51051751549761715</v>
      </c>
      <c r="J49">
        <f t="shared" si="17"/>
        <v>-0.5431496811311094</v>
      </c>
      <c r="K49">
        <f t="shared" si="17"/>
        <v>-0.54043033399498497</v>
      </c>
    </row>
    <row r="50" spans="1:11" x14ac:dyDescent="0.2">
      <c r="A50">
        <v>27</v>
      </c>
      <c r="B50">
        <f t="shared" ref="B50:K50" si="18">B17</f>
        <v>-0.47803347499473703</v>
      </c>
      <c r="C50">
        <f t="shared" si="18"/>
        <v>-0.15297458768154204</v>
      </c>
      <c r="D50">
        <f t="shared" si="18"/>
        <v>-0.11721624142457365</v>
      </c>
      <c r="E50">
        <f t="shared" si="18"/>
        <v>-8.0573373145316152E-2</v>
      </c>
      <c r="F50">
        <f t="shared" si="18"/>
        <v>-4.4941375564924446E-2</v>
      </c>
      <c r="G50">
        <f t="shared" si="18"/>
        <v>1.1739160673341853E-2</v>
      </c>
      <c r="H50">
        <f t="shared" si="18"/>
        <v>-0.10680898948269468</v>
      </c>
      <c r="I50">
        <f t="shared" si="18"/>
        <v>-0.38195097104844711</v>
      </c>
      <c r="J50">
        <f t="shared" si="18"/>
        <v>-0.42315423964521737</v>
      </c>
      <c r="K50">
        <f t="shared" si="18"/>
        <v>-0.41972063392881986</v>
      </c>
    </row>
    <row r="51" spans="1:11" x14ac:dyDescent="0.2">
      <c r="A51">
        <v>28</v>
      </c>
      <c r="B51">
        <f t="shared" ref="B51:K51" si="19">B18</f>
        <v>-0.10019887561319057</v>
      </c>
      <c r="C51">
        <f t="shared" si="19"/>
        <v>0.12174190222088771</v>
      </c>
      <c r="D51">
        <f t="shared" si="19"/>
        <v>0.14830007284131119</v>
      </c>
      <c r="E51">
        <f t="shared" si="19"/>
        <v>0.17585443719748528</v>
      </c>
      <c r="F51">
        <f t="shared" si="19"/>
        <v>0.19956119497617719</v>
      </c>
      <c r="G51">
        <f t="shared" si="19"/>
        <v>0.28344391604689856</v>
      </c>
      <c r="H51">
        <f t="shared" si="19"/>
        <v>0.3995541673365518</v>
      </c>
      <c r="I51">
        <f t="shared" si="19"/>
        <v>0.10595134861912359</v>
      </c>
      <c r="J51">
        <f t="shared" si="19"/>
        <v>-0.18316335667343331</v>
      </c>
      <c r="K51">
        <f t="shared" si="19"/>
        <v>-0.17830123379648949</v>
      </c>
    </row>
    <row r="52" spans="1:11" x14ac:dyDescent="0.2">
      <c r="A52">
        <v>29</v>
      </c>
      <c r="B52">
        <f t="shared" ref="B52:K52" si="20">B19</f>
        <v>0.27763572376835594</v>
      </c>
      <c r="C52">
        <f t="shared" si="20"/>
        <v>0.38630468602058993</v>
      </c>
      <c r="D52">
        <f t="shared" si="20"/>
        <v>0.4043629365977599</v>
      </c>
      <c r="E52">
        <f t="shared" si="20"/>
        <v>0.42317892482749653</v>
      </c>
      <c r="F52">
        <f t="shared" si="20"/>
        <v>0.43951210416088371</v>
      </c>
      <c r="G52">
        <f t="shared" si="20"/>
        <v>0.49597707378731914</v>
      </c>
      <c r="H52">
        <f t="shared" si="20"/>
        <v>0.6159764957534315</v>
      </c>
      <c r="I52">
        <f t="shared" si="20"/>
        <v>0.59385366828669439</v>
      </c>
      <c r="J52">
        <f t="shared" si="20"/>
        <v>0.28759675706758148</v>
      </c>
      <c r="K52">
        <f t="shared" si="20"/>
        <v>6.3118166335840831E-2</v>
      </c>
    </row>
    <row r="53" spans="1:11" x14ac:dyDescent="0.2">
      <c r="A53">
        <v>30</v>
      </c>
      <c r="B53">
        <f t="shared" ref="B53:K53" si="21">B20</f>
        <v>0.65547032314990239</v>
      </c>
      <c r="C53">
        <f t="shared" si="21"/>
        <v>0.63998657521683877</v>
      </c>
      <c r="D53">
        <f t="shared" si="21"/>
        <v>0.65027209425148136</v>
      </c>
      <c r="E53">
        <f t="shared" si="21"/>
        <v>0.66104996194807186</v>
      </c>
      <c r="F53">
        <f t="shared" si="21"/>
        <v>0.67035969063279999</v>
      </c>
      <c r="G53">
        <f t="shared" si="21"/>
        <v>0.70395857017134467</v>
      </c>
      <c r="H53">
        <f t="shared" si="21"/>
        <v>0.77322722653717491</v>
      </c>
      <c r="I53">
        <f t="shared" si="21"/>
        <v>0.79181515955189841</v>
      </c>
      <c r="J53">
        <f t="shared" si="21"/>
        <v>0.75835687080859626</v>
      </c>
      <c r="K53">
        <f t="shared" si="21"/>
        <v>0.55453756646817121</v>
      </c>
    </row>
    <row r="54" spans="1:11" x14ac:dyDescent="0.2">
      <c r="A54">
        <v>31</v>
      </c>
      <c r="B54">
        <f t="shared" ref="B54:K54" si="22">B21</f>
        <v>0.92219381142033785</v>
      </c>
      <c r="C54">
        <f t="shared" si="22"/>
        <v>0.88200651549403997</v>
      </c>
      <c r="D54">
        <f t="shared" si="22"/>
        <v>0.88530035730174927</v>
      </c>
      <c r="E54">
        <f t="shared" si="22"/>
        <v>0.88876729296591961</v>
      </c>
      <c r="F54">
        <f t="shared" si="22"/>
        <v>0.89175382659528035</v>
      </c>
      <c r="G54">
        <f t="shared" si="22"/>
        <v>0.90283674384257995</v>
      </c>
      <c r="H54">
        <f t="shared" si="22"/>
        <v>0.92592629596452325</v>
      </c>
      <c r="I54">
        <f t="shared" si="22"/>
        <v>0.93060505318396614</v>
      </c>
      <c r="J54">
        <f t="shared" si="22"/>
        <v>0.93917615614724415</v>
      </c>
      <c r="K54">
        <f t="shared" si="22"/>
        <v>0.96262363326716827</v>
      </c>
    </row>
  </sheetData>
  <sheetProtection sheet="1" objects="1" scenarios="1"/>
  <phoneticPr fontId="14" type="noConversion"/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4" workbookViewId="0">
      <selection activeCell="K9" sqref="K9"/>
    </sheetView>
  </sheetViews>
  <sheetFormatPr baseColWidth="10" defaultColWidth="8.83203125" defaultRowHeight="16" x14ac:dyDescent="0.2"/>
  <sheetData>
    <row r="1" spans="1:11" x14ac:dyDescent="0.2">
      <c r="A1" t="s">
        <v>7</v>
      </c>
      <c r="B1">
        <v>1</v>
      </c>
      <c r="C1">
        <v>2</v>
      </c>
      <c r="D1">
        <v>3</v>
      </c>
      <c r="E1" t="s">
        <v>65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2</v>
      </c>
      <c r="B2">
        <f>(SUM(HS!B4:B11)+Rules!$B$5*HS!B12+HS!B36)/(9+Rules!$B$5)</f>
        <v>-0.20335368314889377</v>
      </c>
      <c r="C2">
        <f>(SUM(HS!C4:C11)+Rules!$B$5*HS!C12+HS!C36)/(9+Rules!$B$5)</f>
        <v>-7.5884358318949102E-2</v>
      </c>
      <c r="D2">
        <f>(SUM(HS!D4:D11)+Rules!$B$5*HS!D12+HS!D36)/(9+Rules!$B$5)</f>
        <v>-4.9750706146412048E-2</v>
      </c>
      <c r="E2">
        <f>(SUM(HS!E4:E11)+Rules!$B$5*HS!E12+HS!E36)/(9+Rules!$B$5)</f>
        <v>-2.2100412135834389E-2</v>
      </c>
      <c r="F2">
        <f>(SUM(HS!F4:F11)+Rules!$B$5*HS!F12+HS!F36)/(9+Rules!$B$5)</f>
        <v>1.3730032284783571E-2</v>
      </c>
      <c r="G2">
        <f>(SUM(HS!G4:G11)+Rules!$B$5*HS!G12+HS!G36)/(9+Rules!$B$5)</f>
        <v>3.8883411946301231E-2</v>
      </c>
      <c r="H2">
        <f>(SUM(HS!H4:H11)+Rules!$B$5*HS!H12+HS!H36)/(9+Rules!$B$5)</f>
        <v>-2.7257021375862247E-2</v>
      </c>
      <c r="I2">
        <f>(SUM(HS!I4:I11)+Rules!$B$5*HS!I12+HS!I36)/(9+Rules!$B$5)</f>
        <v>-0.10316172777512726</v>
      </c>
      <c r="J2">
        <f>(SUM(HS!J4:J11)+Rules!$B$5*HS!J12+HS!J36)/(9+Rules!$B$5)</f>
        <v>-0.19004714305350842</v>
      </c>
      <c r="K2">
        <f>(SUM(HS!K4:K11)+Rules!$B$5*HS!K12+HS!K36)/(9+Rules!$B$5)</f>
        <v>-0.24199803315764098</v>
      </c>
    </row>
    <row r="3" spans="1:11" x14ac:dyDescent="0.2">
      <c r="A3">
        <v>3</v>
      </c>
      <c r="B3">
        <f>(SUM(HS!B5:B12)+Rules!$B$5*HS!B13+HS!B37)/(9+Rules!$B$5)</f>
        <v>-0.22793749290805351</v>
      </c>
      <c r="C3">
        <f>(SUM(HS!C5:C12)+Rules!$B$5*HS!C13+HS!C37)/(9+Rules!$B$5)</f>
        <v>-0.10052250439785246</v>
      </c>
      <c r="D3">
        <f>(SUM(HS!D5:D12)+Rules!$B$5*HS!D13+HS!D37)/(9+Rules!$B$5)</f>
        <v>-6.8875858278897514E-2</v>
      </c>
      <c r="E3">
        <f>(SUM(HS!E5:E12)+Rules!$B$5*HS!E13+HS!E37)/(9+Rules!$B$5)</f>
        <v>-3.6261290708905339E-2</v>
      </c>
      <c r="F3">
        <f>(SUM(HS!F5:F12)+Rules!$B$5*HS!F13+HS!F37)/(9+Rules!$B$5)</f>
        <v>1.6995712139687808E-4</v>
      </c>
      <c r="G3">
        <f>(SUM(HS!G5:G12)+Rules!$B$5*HS!G13+HS!G37)/(9+Rules!$B$5)</f>
        <v>2.447130320655936E-2</v>
      </c>
      <c r="H3">
        <f>(SUM(HS!H5:H12)+Rules!$B$5*HS!H13+HS!H37)/(9+Rules!$B$5)</f>
        <v>-5.7437588540356667E-2</v>
      </c>
      <c r="I3">
        <f>(SUM(HS!I5:I12)+Rules!$B$5*HS!I13+HS!I37)/(9+Rules!$B$5)</f>
        <v>-0.13094188065020101</v>
      </c>
      <c r="J3">
        <f>(SUM(HS!J5:J12)+Rules!$B$5*HS!J13+HS!J37)/(9+Rules!$B$5)</f>
        <v>-0.21507662281362433</v>
      </c>
      <c r="K3">
        <f>(SUM(HS!K5:K12)+Rules!$B$5*HS!K13+HS!K37)/(9+Rules!$B$5)</f>
        <v>-0.26532921479747562</v>
      </c>
    </row>
    <row r="4" spans="1:11" x14ac:dyDescent="0.2">
      <c r="A4">
        <v>4</v>
      </c>
      <c r="B4">
        <f>(SUM(HS!B6:B13)+Rules!$B$5*HS!B14+HS!B38)/(9+Rules!$B$5)</f>
        <v>-0.25307699440390863</v>
      </c>
      <c r="C4">
        <f>(SUM(HS!C6:C13)+Rules!$B$5*HS!C14+HS!C38)/(9+Rules!$B$5)</f>
        <v>-0.11491332761892134</v>
      </c>
      <c r="D4">
        <f>(SUM(HS!D6:D13)+Rules!$B$5*HS!D14+HS!D38)/(9+Rules!$B$5)</f>
        <v>-8.2613314299744361E-2</v>
      </c>
      <c r="E4">
        <f>(SUM(HS!E6:E13)+Rules!$B$5*HS!E14+HS!E38)/(9+Rules!$B$5)</f>
        <v>-4.9367420106916922E-2</v>
      </c>
      <c r="F4">
        <f>(SUM(HS!F6:F13)+Rules!$B$5*HS!F14+HS!F38)/(9+Rules!$B$5)</f>
        <v>-1.2379926519926384E-2</v>
      </c>
      <c r="G4">
        <f>(SUM(HS!G6:G13)+Rules!$B$5*HS!G14+HS!G38)/(9+Rules!$B$5)</f>
        <v>1.1130417280979797E-2</v>
      </c>
      <c r="H4">
        <f>(SUM(HS!H6:H13)+Rules!$B$5*HS!H14+HS!H38)/(9+Rules!$B$5)</f>
        <v>-8.8279201058463722E-2</v>
      </c>
      <c r="I4">
        <f>(SUM(HS!I6:I13)+Rules!$B$5*HS!I14+HS!I38)/(9+Rules!$B$5)</f>
        <v>-0.15933415266020512</v>
      </c>
      <c r="J4">
        <f>(SUM(HS!J6:J13)+Rules!$B$5*HS!J14+HS!J38)/(9+Rules!$B$5)</f>
        <v>-0.24066617915336547</v>
      </c>
      <c r="K4">
        <f>(SUM(HS!K6:K13)+Rules!$B$5*HS!K14+HS!K38)/(9+Rules!$B$5)</f>
        <v>-0.28919791448567511</v>
      </c>
    </row>
    <row r="5" spans="1:11" x14ac:dyDescent="0.2">
      <c r="A5">
        <v>5</v>
      </c>
      <c r="B5">
        <f>(SUM(HS!B7:B14)+Rules!$B$5*HS!B15+HS!B39)/(9+Rules!$B$5)</f>
        <v>-0.27857459755181968</v>
      </c>
      <c r="C5">
        <f>(SUM(HS!C7:C14)+Rules!$B$5*HS!C15+HS!C39)/(9+Rules!$B$5)</f>
        <v>-0.12821556706374745</v>
      </c>
      <c r="D5">
        <f>(SUM(HS!D7:D14)+Rules!$B$5*HS!D15+HS!D39)/(9+Rules!$B$5)</f>
        <v>-9.5310227261489883E-2</v>
      </c>
      <c r="E5">
        <f>(SUM(HS!E7:E14)+Rules!$B$5*HS!E15+HS!E39)/(9+Rules!$B$5)</f>
        <v>-6.1479464199694238E-2</v>
      </c>
      <c r="F5">
        <f>(SUM(HS!F7:F14)+Rules!$B$5*HS!F15+HS!F39)/(9+Rules!$B$5)</f>
        <v>-2.397897039185962E-2</v>
      </c>
      <c r="G5">
        <f>(SUM(HS!G7:G14)+Rules!$B$5*HS!G15+HS!G39)/(9+Rules!$B$5)</f>
        <v>-1.1863378384401623E-3</v>
      </c>
      <c r="H5">
        <f>(SUM(HS!H7:H14)+Rules!$B$5*HS!H15+HS!H39)/(9+Rules!$B$5)</f>
        <v>-0.11944744188414852</v>
      </c>
      <c r="I5">
        <f>(SUM(HS!I7:I14)+Rules!$B$5*HS!I15+HS!I39)/(9+Rules!$B$5)</f>
        <v>-0.18809330390318524</v>
      </c>
      <c r="J5">
        <f>(SUM(HS!J7:J14)+Rules!$B$5*HS!J15+HS!J39)/(9+Rules!$B$5)</f>
        <v>-0.26661505335795899</v>
      </c>
      <c r="K5">
        <f>(SUM(HS!K7:K14)+Rules!$B$5*HS!K15+HS!K39)/(9+Rules!$B$5)</f>
        <v>-0.31341164336497107</v>
      </c>
    </row>
    <row r="6" spans="1:11" x14ac:dyDescent="0.2">
      <c r="A6">
        <v>6</v>
      </c>
      <c r="B6">
        <f>(SUM(HS!B8:B15)+Rules!$B$5*HS!B16+HS!B40)/(9+Rules!$B$5)</f>
        <v>-0.30414663097569933</v>
      </c>
      <c r="C6">
        <f>(SUM(HS!C8:C15)+Rules!$B$5*HS!C16+HS!C40)/(9+Rules!$B$5)</f>
        <v>-0.14075911746001987</v>
      </c>
      <c r="D6">
        <f>(SUM(HS!D8:D15)+Rules!$B$5*HS!D16+HS!D40)/(9+Rules!$B$5)</f>
        <v>-0.10729107800860836</v>
      </c>
      <c r="E6">
        <f>(SUM(HS!E8:E15)+Rules!$B$5*HS!E16+HS!E40)/(9+Rules!$B$5)</f>
        <v>-7.2917141926387305E-2</v>
      </c>
      <c r="F6">
        <f>(SUM(HS!F8:F15)+Rules!$B$5*HS!F16+HS!F40)/(9+Rules!$B$5)</f>
        <v>-3.4915973330102178E-2</v>
      </c>
      <c r="G6">
        <f>(SUM(HS!G8:G15)+Rules!$B$5*HS!G16+HS!G40)/(9+Rules!$B$5)</f>
        <v>-1.3005835529874294E-2</v>
      </c>
      <c r="H6">
        <f>(SUM(HS!H8:H15)+Rules!$B$5*HS!H16+HS!H40)/(9+Rules!$B$5)</f>
        <v>-0.15193270723669944</v>
      </c>
      <c r="I6">
        <f>(SUM(HS!I8:I15)+Rules!$B$5*HS!I16+HS!I40)/(9+Rules!$B$5)</f>
        <v>-0.21724188132078476</v>
      </c>
      <c r="J6">
        <f>(SUM(HS!J8:J15)+Rules!$B$5*HS!J16+HS!J40)/(9+Rules!$B$5)</f>
        <v>-0.29264070019772598</v>
      </c>
      <c r="K6">
        <f>(SUM(HS!K8:K15)+Rules!$B$5*HS!K16+HS!K40)/(9+Rules!$B$5)</f>
        <v>-0.33774944037840804</v>
      </c>
    </row>
    <row r="7" spans="1:11" x14ac:dyDescent="0.2">
      <c r="A7">
        <v>7</v>
      </c>
      <c r="B7">
        <f>(SUM(HS!B9:B16)+Rules!$B$5*HS!B17+HS!B41)/(9+Rules!$B$5)</f>
        <v>-0.31007165033163697</v>
      </c>
      <c r="C7">
        <f>(SUM(HS!C9:C16)+Rules!$B$5*HS!C17+HS!C41)/(9+Rules!$B$5)</f>
        <v>-0.10918342786661633</v>
      </c>
      <c r="D7">
        <f>(SUM(HS!D9:D16)+Rules!$B$5*HS!D17+HS!D41)/(9+Rules!$B$5)</f>
        <v>-7.658298190446361E-2</v>
      </c>
      <c r="E7">
        <f>(SUM(HS!E9:E16)+Rules!$B$5*HS!E17+HS!E41)/(9+Rules!$B$5)</f>
        <v>-4.3021794004341876E-2</v>
      </c>
      <c r="F7">
        <f>(SUM(HS!F9:F16)+Rules!$B$5*HS!F17+HS!F41)/(9+Rules!$B$5)</f>
        <v>-7.2713609029408845E-3</v>
      </c>
      <c r="G7">
        <f>(SUM(HS!G9:G16)+Rules!$B$5*HS!G17+HS!G41)/(9+Rules!$B$5)</f>
        <v>2.9185342353860864E-2</v>
      </c>
      <c r="H7">
        <f>(SUM(HS!H9:H16)+Rules!$B$5*HS!H17+HS!H41)/(9+Rules!$B$5)</f>
        <v>-6.8807799580427764E-2</v>
      </c>
      <c r="I7">
        <f>(SUM(HS!I9:I16)+Rules!$B$5*HS!I17+HS!I41)/(9+Rules!$B$5)</f>
        <v>-0.21060476872434969</v>
      </c>
      <c r="J7">
        <f>(SUM(HS!J9:J16)+Rules!$B$5*HS!J17+HS!J41)/(9+Rules!$B$5)</f>
        <v>-0.28536544048687656</v>
      </c>
      <c r="K7">
        <f>(SUM(HS!K9:K16)+Rules!$B$5*HS!K17+HS!K41)/(9+Rules!$B$5)</f>
        <v>-0.31905479139833842</v>
      </c>
    </row>
    <row r="8" spans="1:11" x14ac:dyDescent="0.2">
      <c r="A8">
        <v>8</v>
      </c>
      <c r="B8">
        <f>(SUM(HS!B10:B17)+Rules!$B$5*HS!B18+HS!B42)/(9+Rules!$B$5)</f>
        <v>-0.1970288105741636</v>
      </c>
      <c r="C8">
        <f>(SUM(HS!C10:C17)+Rules!$B$5*HS!C18+HS!C42)/(9+Rules!$B$5)</f>
        <v>-2.1798188008805668E-2</v>
      </c>
      <c r="D8">
        <f>(SUM(HS!D10:D17)+Rules!$B$5*HS!D18+HS!D42)/(9+Rules!$B$5)</f>
        <v>8.0052625306546825E-3</v>
      </c>
      <c r="E8">
        <f>(SUM(HS!E10:E17)+Rules!$B$5*HS!E18+HS!E42)/(9+Rules!$B$5)</f>
        <v>3.8784473277208811E-2</v>
      </c>
      <c r="F8">
        <f>(SUM(HS!F10:F17)+Rules!$B$5*HS!F18+HS!F42)/(9+Rules!$B$5)</f>
        <v>7.0804635983033826E-2</v>
      </c>
      <c r="G8">
        <f>(SUM(HS!G10:G17)+Rules!$B$5*HS!G18+HS!G42)/(9+Rules!$B$5)</f>
        <v>0.11496015009622321</v>
      </c>
      <c r="H8">
        <f>(SUM(HS!H10:H17)+Rules!$B$5*HS!H18+HS!H42)/(9+Rules!$B$5)</f>
        <v>8.2207439363742862E-2</v>
      </c>
      <c r="I8">
        <f>(SUM(HS!I10:I17)+Rules!$B$5*HS!I18+HS!I42)/(9+Rules!$B$5)</f>
        <v>-5.9898275658656304E-2</v>
      </c>
      <c r="J8">
        <f>(SUM(HS!J10:J17)+Rules!$B$5*HS!J18+HS!J42)/(9+Rules!$B$5)</f>
        <v>-0.21018633199821757</v>
      </c>
      <c r="K8">
        <f>(SUM(HS!K10:K17)+Rules!$B$5*HS!K18+HS!K42)/(9+Rules!$B$5)</f>
        <v>-0.24937508055334259</v>
      </c>
    </row>
    <row r="9" spans="1:11" x14ac:dyDescent="0.2">
      <c r="A9">
        <v>9</v>
      </c>
      <c r="B9">
        <f>(SUM(HS!B11:B18)+Rules!$B$5*HS!B19+HS!B43)/(9+Rules!$B$5)</f>
        <v>-6.5680778778066204E-2</v>
      </c>
      <c r="C9">
        <f>(SUM(HS!C11:C18)+Rules!$B$5*HS!C19+HS!C43)/(9+Rules!$B$5)</f>
        <v>7.4446037576340524E-2</v>
      </c>
      <c r="D9">
        <f>(SUM(HS!D11:D18)+Rules!$B$5*HS!D19+HS!D43)/(9+Rules!$B$5)</f>
        <v>0.10126470173887674</v>
      </c>
      <c r="E9">
        <f>(SUM(HS!E11:E18)+Rules!$B$5*HS!E19+HS!E43)/(9+Rules!$B$5)</f>
        <v>0.12898088119574178</v>
      </c>
      <c r="F9">
        <f>(SUM(HS!F11:F18)+Rules!$B$5*HS!F19+HS!F43)/(9+Rules!$B$5)</f>
        <v>0.15803185626651736</v>
      </c>
      <c r="G9">
        <f>(SUM(HS!G11:G18)+Rules!$B$5*HS!G19+HS!G43)/(9+Rules!$B$5)</f>
        <v>0.19601883925727878</v>
      </c>
      <c r="H9">
        <f>(SUM(HS!H11:H18)+Rules!$B$5*HS!H19+HS!H43)/(9+Rules!$B$5)</f>
        <v>0.17186785993695267</v>
      </c>
      <c r="I9">
        <f>(SUM(HS!I11:I18)+Rules!$B$5*HS!I19+HS!I43)/(9+Rules!$B$5)</f>
        <v>9.8376217435392516E-2</v>
      </c>
      <c r="J9">
        <f>(SUM(HS!J11:J18)+Rules!$B$5*HS!J19+HS!J43)/(9+Rules!$B$5)</f>
        <v>-5.2178053462651669E-2</v>
      </c>
      <c r="K9">
        <f>(SUM(HS!K11:K18)+Rules!$B$5*HS!K19+HS!K43)/(9+Rules!$B$5)</f>
        <v>-0.15295298487455075</v>
      </c>
    </row>
    <row r="10" spans="1:11" x14ac:dyDescent="0.2">
      <c r="A10">
        <v>10</v>
      </c>
      <c r="B10">
        <f>(SUM(HS!B12:B19)+Rules!$B$5*HS!B20+HS!B44)/(9+Rules!$B$5)</f>
        <v>8.1449707945275923E-2</v>
      </c>
      <c r="C10">
        <f>(SUM(HS!C12:C19)+Rules!$B$5*HS!C20+HS!C44)/(9+Rules!$B$5)</f>
        <v>0.18249999400904487</v>
      </c>
      <c r="D10">
        <f>(SUM(HS!D12:D19)+Rules!$B$5*HS!D20+HS!D44)/(9+Rules!$B$5)</f>
        <v>0.20608797581394089</v>
      </c>
      <c r="E10">
        <f>(SUM(HS!E12:E19)+Rules!$B$5*HS!E20+HS!E44)/(9+Rules!$B$5)</f>
        <v>0.230470121897177</v>
      </c>
      <c r="F10">
        <f>(SUM(HS!F12:F19)+Rules!$B$5*HS!F20+HS!F44)/(9+Rules!$B$5)</f>
        <v>0.25625855450163387</v>
      </c>
      <c r="G10">
        <f>(SUM(HS!G12:G19)+Rules!$B$5*HS!G20+HS!G44)/(9+Rules!$B$5)</f>
        <v>0.28779508429888429</v>
      </c>
      <c r="H10">
        <f>(SUM(HS!H12:H19)+Rules!$B$5*HS!H20+HS!H44)/(9+Rules!$B$5)</f>
        <v>0.25690874433608657</v>
      </c>
      <c r="I10">
        <f>(SUM(HS!I12:I19)+Rules!$B$5*HS!I20+HS!I44)/(9+Rules!$B$5)</f>
        <v>0.19795370833197609</v>
      </c>
      <c r="J10">
        <f>(SUM(HS!J12:J19)+Rules!$B$5*HS!J20+HS!J44)/(9+Rules!$B$5)</f>
        <v>0.1165295910692839</v>
      </c>
      <c r="K10">
        <f>(SUM(HS!K12:K19)+Rules!$B$5*HS!K20+HS!K44)/(9+Rules!$B$5)</f>
        <v>2.5308523040868145E-2</v>
      </c>
    </row>
    <row r="11" spans="1:11" x14ac:dyDescent="0.2">
      <c r="A11">
        <v>11</v>
      </c>
      <c r="B11">
        <f>(SUM(HS!B12:B20)+Rules!$B$5*HS!B21)/(9+Rules!$B$5)</f>
        <v>0.14300128216153027</v>
      </c>
      <c r="C11">
        <f>(SUM(HS!C12:C20)+Rules!$B$5*HS!C21)/(9+Rules!$B$5)</f>
        <v>0.2383507494576298</v>
      </c>
      <c r="D11">
        <f>(SUM(HS!D12:D20)+Rules!$B$5*HS!D21)/(9+Rules!$B$5)</f>
        <v>0.26032526728707961</v>
      </c>
      <c r="E11">
        <f>(SUM(HS!E12:E20)+Rules!$B$5*HS!E21)/(9+Rules!$B$5)</f>
        <v>0.28302027520898798</v>
      </c>
      <c r="F11">
        <f>(SUM(HS!F12:F20)+Rules!$B$5*HS!F21)/(9+Rules!$B$5)</f>
        <v>0.30734950895451402</v>
      </c>
      <c r="G11">
        <f>(SUM(HS!G12:G20)+Rules!$B$5*HS!G21)/(9+Rules!$B$5)</f>
        <v>0.33369004745378472</v>
      </c>
      <c r="H11">
        <f>(SUM(HS!H12:H20)+Rules!$B$5*HS!H21)/(9+Rules!$B$5)</f>
        <v>0.29214699112701309</v>
      </c>
      <c r="I11">
        <f>(SUM(HS!I12:I20)+Rules!$B$5*HS!I21)/(9+Rules!$B$5)</f>
        <v>0.22998214532399169</v>
      </c>
      <c r="J11">
        <f>(SUM(HS!J12:J20)+Rules!$B$5*HS!J21)/(9+Rules!$B$5)</f>
        <v>0.15825711845512572</v>
      </c>
      <c r="K11">
        <f>(SUM(HS!K12:K20)+Rules!$B$5*HS!K21)/(9+Rules!$B$5)</f>
        <v>0.11948223076371363</v>
      </c>
    </row>
    <row r="12" spans="1:11" x14ac:dyDescent="0.2">
      <c r="A12">
        <v>12</v>
      </c>
      <c r="B12">
        <f>(SUM(HS!B13:B21)+Rules!$B$5*HS!B22)/(9+Rules!$B$5)</f>
        <v>-0.35054034044008009</v>
      </c>
      <c r="C12">
        <f>(SUM(HS!C13:C21)+Rules!$B$5*HS!C22)/(9+Rules!$B$5)</f>
        <v>-0.25338998596663809</v>
      </c>
      <c r="D12">
        <f>(SUM(HS!D13:D21)+Rules!$B$5*HS!D22)/(9+Rules!$B$5)</f>
        <v>-0.2336908997980866</v>
      </c>
      <c r="E12">
        <f>(SUM(HS!E13:E21)+Rules!$B$5*HS!E22)/(9+Rules!$B$5)</f>
        <v>-0.21353655324507695</v>
      </c>
      <c r="F12">
        <f>(SUM(HS!F13:F21)+Rules!$B$5*HS!F22)/(9+Rules!$B$5)</f>
        <v>-0.19327116942628339</v>
      </c>
      <c r="G12">
        <f>(SUM(HS!G13:G21)+Rules!$B$5*HS!G22)/(9+Rules!$B$5)</f>
        <v>-0.17052619990757953</v>
      </c>
      <c r="H12">
        <f>(SUM(HS!H13:H21)+Rules!$B$5*HS!H22)/(9+Rules!$B$5)</f>
        <v>-0.21284771451731424</v>
      </c>
      <c r="I12">
        <f>(SUM(HS!I13:I21)+Rules!$B$5*HS!I22)/(9+Rules!$B$5)</f>
        <v>-0.27157480502428616</v>
      </c>
      <c r="J12">
        <f>(SUM(HS!J13:J21)+Rules!$B$5*HS!J22)/(9+Rules!$B$5)</f>
        <v>-0.3400132806089356</v>
      </c>
      <c r="K12">
        <f>(SUM(HS!K13:K21)+Rules!$B$5*HS!K22)/(9+Rules!$B$5)</f>
        <v>-0.38104299284808768</v>
      </c>
    </row>
    <row r="13" spans="1:11" x14ac:dyDescent="0.2">
      <c r="A13">
        <v>13</v>
      </c>
      <c r="B13">
        <f>(SUM(HS!B14:B22)+Rules!$B$5*HS!B23)/(9+Rules!$B$5)</f>
        <v>-0.3969303161229315</v>
      </c>
      <c r="C13">
        <f>(SUM(HS!C14:C22)+Rules!$B$5*HS!C23)/(9+Rules!$B$5)</f>
        <v>-0.30779123771977057</v>
      </c>
      <c r="D13">
        <f>(SUM(HS!D14:D22)+Rules!$B$5*HS!D23)/(9+Rules!$B$5)</f>
        <v>-0.29121011293380095</v>
      </c>
      <c r="E13">
        <f>(SUM(HS!E14:E22)+Rules!$B$5*HS!E23)/(9+Rules!$B$5)</f>
        <v>-0.27422400639931432</v>
      </c>
      <c r="F13">
        <f>(SUM(HS!F14:F22)+Rules!$B$5*HS!F23)/(9+Rules!$B$5)</f>
        <v>-0.25733327243893911</v>
      </c>
      <c r="G13">
        <f>(SUM(HS!G14:G22)+Rules!$B$5*HS!G23)/(9+Rules!$B$5)</f>
        <v>-0.23562627561296379</v>
      </c>
      <c r="H13">
        <f>(SUM(HS!H14:H22)+Rules!$B$5*HS!H23)/(9+Rules!$B$5)</f>
        <v>-0.26907287776607752</v>
      </c>
      <c r="I13">
        <f>(SUM(HS!I14:I22)+Rules!$B$5*HS!I23)/(9+Rules!$B$5)</f>
        <v>-0.32360517609397998</v>
      </c>
      <c r="J13">
        <f>(SUM(HS!J14:J22)+Rules!$B$5*HS!J23)/(9+Rules!$B$5)</f>
        <v>-0.38715518913686875</v>
      </c>
      <c r="K13">
        <f>(SUM(HS!K14:K22)+Rules!$B$5*HS!K23)/(9+Rules!$B$5)</f>
        <v>-0.42525420764465277</v>
      </c>
    </row>
    <row r="14" spans="1:11" x14ac:dyDescent="0.2">
      <c r="A14">
        <v>14</v>
      </c>
      <c r="B14">
        <f>(SUM(HS!B15:B23)+Rules!$B$5*HS!B24)/(9+Rules!$B$5)</f>
        <v>-0.44000672211415065</v>
      </c>
      <c r="C14">
        <f>(SUM(HS!C15:C23)+Rules!$B$5*HS!C24)/(9+Rules!$B$5)</f>
        <v>-0.36219248947290311</v>
      </c>
      <c r="D14">
        <f>(SUM(HS!D15:D23)+Rules!$B$5*HS!D24)/(9+Rules!$B$5)</f>
        <v>-0.34872932606951529</v>
      </c>
      <c r="E14">
        <f>(SUM(HS!E15:E23)+Rules!$B$5*HS!E24)/(9+Rules!$B$5)</f>
        <v>-0.33491145955355167</v>
      </c>
      <c r="F14">
        <f>(SUM(HS!F15:F23)+Rules!$B$5*HS!F24)/(9+Rules!$B$5)</f>
        <v>-0.32139537545159491</v>
      </c>
      <c r="G14">
        <f>(SUM(HS!G15:G23)+Rules!$B$5*HS!G24)/(9+Rules!$B$5)</f>
        <v>-0.30072635131834807</v>
      </c>
      <c r="H14">
        <f>(SUM(HS!H15:H23)+Rules!$B$5*HS!H24)/(9+Rules!$B$5)</f>
        <v>-0.3212819579256434</v>
      </c>
      <c r="I14">
        <f>(SUM(HS!I15:I23)+Rules!$B$5*HS!I24)/(9+Rules!$B$5)</f>
        <v>-0.37191909208726714</v>
      </c>
      <c r="J14">
        <f>(SUM(HS!J15:J23)+Rules!$B$5*HS!J24)/(9+Rules!$B$5)</f>
        <v>-0.43092981848423528</v>
      </c>
      <c r="K14">
        <f>(SUM(HS!K15:K23)+Rules!$B$5*HS!K24)/(9+Rules!$B$5)</f>
        <v>-0.46630747852717758</v>
      </c>
    </row>
    <row r="15" spans="1:11" x14ac:dyDescent="0.2">
      <c r="A15">
        <v>15</v>
      </c>
      <c r="B15">
        <f>(SUM(HS!B16:B24)+Rules!$B$5*HS!B25)/(9+Rules!$B$5)</f>
        <v>-0.4800062419631399</v>
      </c>
      <c r="C15">
        <f>(SUM(HS!C16:C24)+Rules!$B$5*HS!C25)/(9+Rules!$B$5)</f>
        <v>-0.4165937412260356</v>
      </c>
      <c r="D15">
        <f>(SUM(HS!D16:D24)+Rules!$B$5*HS!D25)/(9+Rules!$B$5)</f>
        <v>-0.40624853920522963</v>
      </c>
      <c r="E15">
        <f>(SUM(HS!E16:E24)+Rules!$B$5*HS!E25)/(9+Rules!$B$5)</f>
        <v>-0.39559891270778902</v>
      </c>
      <c r="F15">
        <f>(SUM(HS!F16:F24)+Rules!$B$5*HS!F25)/(9+Rules!$B$5)</f>
        <v>-0.38545747846425066</v>
      </c>
      <c r="G15">
        <f>(SUM(HS!G16:G24)+Rules!$B$5*HS!G25)/(9+Rules!$B$5)</f>
        <v>-0.36582642702373236</v>
      </c>
      <c r="H15">
        <f>(SUM(HS!H16:H24)+Rules!$B$5*HS!H25)/(9+Rules!$B$5)</f>
        <v>-0.36976181807381175</v>
      </c>
      <c r="I15">
        <f>(SUM(HS!I16:I24)+Rules!$B$5*HS!I25)/(9+Rules!$B$5)</f>
        <v>-0.41678201408103371</v>
      </c>
      <c r="J15">
        <f>(SUM(HS!J16:J24)+Rules!$B$5*HS!J25)/(9+Rules!$B$5)</f>
        <v>-0.47157768859250415</v>
      </c>
      <c r="K15">
        <f>(SUM(HS!K16:K24)+Rules!$B$5*HS!K25)/(9+Rules!$B$5)</f>
        <v>-0.5044283729180935</v>
      </c>
    </row>
    <row r="16" spans="1:11" x14ac:dyDescent="0.2">
      <c r="A16">
        <v>16</v>
      </c>
      <c r="B16">
        <f>(SUM(HS!B17:B25)+Rules!$B$5*HS!B26)/(9+Rules!$B$5)</f>
        <v>-0.51714865325148707</v>
      </c>
      <c r="C16">
        <f>(SUM(HS!C17:C25)+Rules!$B$5*HS!C26)/(9+Rules!$B$5)</f>
        <v>-0.47099499297916808</v>
      </c>
      <c r="D16">
        <f>(SUM(HS!D17:D25)+Rules!$B$5*HS!D26)/(9+Rules!$B$5)</f>
        <v>-0.46376775234094403</v>
      </c>
      <c r="E16">
        <f>(SUM(HS!E17:E25)+Rules!$B$5*HS!E26)/(9+Rules!$B$5)</f>
        <v>-0.45628636586202637</v>
      </c>
      <c r="F16">
        <f>(SUM(HS!F17:F25)+Rules!$B$5*HS!F26)/(9+Rules!$B$5)</f>
        <v>-0.4495195814769064</v>
      </c>
      <c r="G16">
        <f>(SUM(HS!G17:G25)+Rules!$B$5*HS!G26)/(9+Rules!$B$5)</f>
        <v>-0.43092650272911659</v>
      </c>
      <c r="H16">
        <f>(SUM(HS!H17:H25)+Rules!$B$5*HS!H26)/(9+Rules!$B$5)</f>
        <v>-0.41477883106853947</v>
      </c>
      <c r="I16">
        <f>(SUM(HS!I17:I25)+Rules!$B$5*HS!I26)/(9+Rules!$B$5)</f>
        <v>-0.45844044164667419</v>
      </c>
      <c r="J16">
        <f>(SUM(HS!J17:J25)+Rules!$B$5*HS!J26)/(9+Rules!$B$5)</f>
        <v>-0.50932213940732529</v>
      </c>
      <c r="K16">
        <f>(SUM(HS!K17:K25)+Rules!$B$5*HS!K26)/(9+Rules!$B$5)</f>
        <v>-0.53982634628108683</v>
      </c>
    </row>
    <row r="17" spans="1:11" x14ac:dyDescent="0.2">
      <c r="A17">
        <v>17</v>
      </c>
      <c r="B17">
        <f>(SUM(HS!B18:B26)+Rules!$B$5*HS!B27)/(9+Rules!$B$5)</f>
        <v>-0.55729992440573806</v>
      </c>
      <c r="C17">
        <f>(SUM(HS!C18:C26)+Rules!$B$5*HS!C27)/(9+Rules!$B$5)</f>
        <v>-0.53615079392674181</v>
      </c>
      <c r="D17">
        <f>(SUM(HS!D18:D26)+Rules!$B$5*HS!D27)/(9+Rules!$B$5)</f>
        <v>-0.53167419530828453</v>
      </c>
      <c r="E17">
        <f>(SUM(HS!E18:E26)+Rules!$B$5*HS!E27)/(9+Rules!$B$5)</f>
        <v>-0.52701149100469435</v>
      </c>
      <c r="F17">
        <f>(SUM(HS!F18:F26)+Rules!$B$5*HS!F27)/(9+Rules!$B$5)</f>
        <v>-0.52298562951037375</v>
      </c>
      <c r="G17">
        <f>(SUM(HS!G18:G26)+Rules!$B$5*HS!G27)/(9+Rules!$B$5)</f>
        <v>-0.50875259201168133</v>
      </c>
      <c r="H17">
        <f>(SUM(HS!H18:H26)+Rules!$B$5*HS!H27)/(9+Rules!$B$5)</f>
        <v>-0.48348583187756294</v>
      </c>
      <c r="I17">
        <f>(SUM(HS!I18:I26)+Rules!$B$5*HS!I27)/(9+Rules!$B$5)</f>
        <v>-0.50598267464294744</v>
      </c>
      <c r="J17">
        <f>(SUM(HS!J18:J26)+Rules!$B$5*HS!J27)/(9+Rules!$B$5)</f>
        <v>-0.55369489020384699</v>
      </c>
      <c r="K17">
        <f>(SUM(HS!K18:K26)+Rules!$B$5*HS!K27)/(9+Rules!$B$5)</f>
        <v>-0.5844632205942546</v>
      </c>
    </row>
    <row r="18" spans="1:11" x14ac:dyDescent="0.2">
      <c r="A18">
        <v>18</v>
      </c>
      <c r="B18">
        <f>(SUM(HS!B19:B27)+Rules!$B$5*HS!B28)/(9+Rules!$B$5)</f>
        <v>-0.62651539551241564</v>
      </c>
      <c r="C18">
        <f>(SUM(HS!C19:C27)+Rules!$B$5*HS!C28)/(9+Rules!$B$5)</f>
        <v>-0.62243863255911769</v>
      </c>
      <c r="D18">
        <f>(SUM(HS!D19:D27)+Rules!$B$5*HS!D28)/(9+Rules!$B$5)</f>
        <v>-0.62000497014223144</v>
      </c>
      <c r="E18">
        <f>(SUM(HS!E19:E27)+Rules!$B$5*HS!E28)/(9+Rules!$B$5)</f>
        <v>-0.6174618323275779</v>
      </c>
      <c r="F18">
        <f>(SUM(HS!F19:F27)+Rules!$B$5*HS!F28)/(9+Rules!$B$5)</f>
        <v>-0.6152595675854643</v>
      </c>
      <c r="G18">
        <f>(SUM(HS!G19:G27)+Rules!$B$5*HS!G28)/(9+Rules!$B$5)</f>
        <v>-0.60747904709221201</v>
      </c>
      <c r="H18">
        <f>(SUM(HS!H19:H27)+Rules!$B$5*HS!H28)/(9+Rules!$B$5)</f>
        <v>-0.59114384474960535</v>
      </c>
      <c r="I18">
        <f>(SUM(HS!I19:I27)+Rules!$B$5*HS!I28)/(9+Rules!$B$5)</f>
        <v>-0.59105585530595706</v>
      </c>
      <c r="J18">
        <f>(SUM(HS!J19:J27)+Rules!$B$5*HS!J28)/(9+Rules!$B$5)</f>
        <v>-0.61652847815204459</v>
      </c>
      <c r="K18">
        <f>(SUM(HS!K19:K27)+Rules!$B$5*HS!K28)/(9+Rules!$B$5)</f>
        <v>-0.64767081799452453</v>
      </c>
    </row>
    <row r="19" spans="1:11" x14ac:dyDescent="0.2">
      <c r="A19">
        <v>19</v>
      </c>
      <c r="B19">
        <f>(SUM(HS!B20:B28)+Rules!$B$5*HS!B29)/(9+Rules!$B$5)</f>
        <v>-0.72479506657152004</v>
      </c>
      <c r="C19">
        <f>(SUM(HS!C20:C28)+Rules!$B$5*HS!C29)/(9+Rules!$B$5)</f>
        <v>-0.72907745456070161</v>
      </c>
      <c r="D19">
        <f>(SUM(HS!D20:D28)+Rules!$B$5*HS!D29)/(9+Rules!$B$5)</f>
        <v>-0.72803288834205915</v>
      </c>
      <c r="E19">
        <f>(SUM(HS!E20:E28)+Rules!$B$5*HS!E29)/(9+Rules!$B$5)</f>
        <v>-0.72693713423738526</v>
      </c>
      <c r="F19">
        <f>(SUM(HS!F20:F28)+Rules!$B$5*HS!F29)/(9+Rules!$B$5)</f>
        <v>-0.72599126790553226</v>
      </c>
      <c r="G19">
        <f>(SUM(HS!G20:G28)+Rules!$B$5*HS!G29)/(9+Rules!$B$5)</f>
        <v>-0.72255420661431358</v>
      </c>
      <c r="H19">
        <f>(SUM(HS!H20:H28)+Rules!$B$5*HS!H29)/(9+Rules!$B$5)</f>
        <v>-0.71544972903833093</v>
      </c>
      <c r="I19">
        <f>(SUM(HS!I20:I28)+Rules!$B$5*HS!I29)/(9+Rules!$B$5)</f>
        <v>-0.71365998363570271</v>
      </c>
      <c r="J19">
        <f>(SUM(HS!J20:J28)+Rules!$B$5*HS!J29)/(9+Rules!$B$5)</f>
        <v>-0.71557438254185846</v>
      </c>
      <c r="K19">
        <f>(SUM(HS!K20:K28)+Rules!$B$5*HS!K29)/(9+Rules!$B$5)</f>
        <v>-0.72944913848189696</v>
      </c>
    </row>
    <row r="20" spans="1:11" x14ac:dyDescent="0.2">
      <c r="A20">
        <v>20</v>
      </c>
      <c r="B20">
        <f>(SUM(HS!B21:B29)+Rules!$B$5*HS!B30)/(9+Rules!$B$5)</f>
        <v>-0.85213893758305082</v>
      </c>
      <c r="C20">
        <f>(SUM(HS!C21:C29)+Rules!$B$5*HS!C30)/(9+Rules!$B$5)</f>
        <v>-0.85523026803891988</v>
      </c>
      <c r="D20">
        <f>(SUM(HS!D21:D29)+Rules!$B$5*HS!D30)/(9+Rules!$B$5)</f>
        <v>-0.85497689559217327</v>
      </c>
      <c r="E20">
        <f>(SUM(HS!E21:E29)+Rules!$B$5*HS!E30)/(9+Rules!$B$5)</f>
        <v>-0.85471020823339083</v>
      </c>
      <c r="F20">
        <f>(SUM(HS!F21:F29)+Rules!$B$5*HS!F30)/(9+Rules!$B$5)</f>
        <v>-0.85448047487728607</v>
      </c>
      <c r="G20">
        <f>(SUM(HS!G21:G29)+Rules!$B$5*HS!G30)/(9+Rules!$B$5)</f>
        <v>-0.85362794278133991</v>
      </c>
      <c r="H20">
        <f>(SUM(HS!H21:H29)+Rules!$B$5*HS!H30)/(9+Rules!$B$5)</f>
        <v>-0.85185182338734444</v>
      </c>
      <c r="I20">
        <f>(SUM(HS!I21:I29)+Rules!$B$5*HS!I30)/(9+Rules!$B$5)</f>
        <v>-0.85149191898584875</v>
      </c>
      <c r="J20">
        <f>(SUM(HS!J21:J29)+Rules!$B$5*HS!J30)/(9+Rules!$B$5)</f>
        <v>-0.85083260337328892</v>
      </c>
      <c r="K20">
        <f>(SUM(HS!K21:K29)+Rules!$B$5*HS!K30)/(9+Rules!$B$5)</f>
        <v>-0.84902895128714095</v>
      </c>
    </row>
    <row r="21" spans="1:11" x14ac:dyDescent="0.2">
      <c r="A21">
        <v>21</v>
      </c>
      <c r="B21">
        <f>(SUM(HS!B22:B30)+Rules!$B$5*HS!B31)/(9+Rules!$B$5)</f>
        <v>-1</v>
      </c>
      <c r="C21">
        <f>(SUM(HS!C22:C30)+Rules!$B$5*HS!C31)/(9+Rules!$B$5)</f>
        <v>-1</v>
      </c>
      <c r="D21">
        <f>(SUM(HS!D22:D30)+Rules!$B$5*HS!D31)/(9+Rules!$B$5)</f>
        <v>-1</v>
      </c>
      <c r="E21">
        <f>(SUM(HS!E22:E30)+Rules!$B$5*HS!E31)/(9+Rules!$B$5)</f>
        <v>-1</v>
      </c>
      <c r="F21">
        <f>(SUM(HS!F22:F30)+Rules!$B$5*HS!F31)/(9+Rules!$B$5)</f>
        <v>-1</v>
      </c>
      <c r="G21">
        <f>(SUM(HS!G22:G30)+Rules!$B$5*HS!G31)/(9+Rules!$B$5)</f>
        <v>-1</v>
      </c>
      <c r="H21">
        <f>(SUM(HS!H22:H30)+Rules!$B$5*HS!H31)/(9+Rules!$B$5)</f>
        <v>-1</v>
      </c>
      <c r="I21">
        <f>(SUM(HS!I22:I30)+Rules!$B$5*HS!I31)/(9+Rules!$B$5)</f>
        <v>-1</v>
      </c>
      <c r="J21">
        <f>(SUM(HS!J22:J30)+Rules!$B$5*HS!J31)/(9+Rules!$B$5)</f>
        <v>-1</v>
      </c>
      <c r="K21">
        <f>(SUM(HS!K22:K30)+Rules!$B$5*HS!K31)/(9+Rules!$B$5)</f>
        <v>-1</v>
      </c>
    </row>
    <row r="22" spans="1:11" x14ac:dyDescent="0.2">
      <c r="A22">
        <v>22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</row>
    <row r="23" spans="1:11" x14ac:dyDescent="0.2">
      <c r="A23">
        <v>23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</row>
    <row r="24" spans="1:11" x14ac:dyDescent="0.2">
      <c r="A24">
        <v>24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</row>
    <row r="25" spans="1:11" x14ac:dyDescent="0.2">
      <c r="A25">
        <v>25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</row>
    <row r="26" spans="1:11" x14ac:dyDescent="0.2">
      <c r="A26">
        <v>26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</row>
    <row r="27" spans="1:11" x14ac:dyDescent="0.2">
      <c r="A27">
        <v>27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</row>
    <row r="28" spans="1:11" x14ac:dyDescent="0.2">
      <c r="A28">
        <v>28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</row>
    <row r="29" spans="1:11" x14ac:dyDescent="0.2">
      <c r="A29">
        <v>29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</row>
    <row r="30" spans="1:11" x14ac:dyDescent="0.2">
      <c r="A30">
        <v>30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</row>
    <row r="31" spans="1:11" x14ac:dyDescent="0.2">
      <c r="A31">
        <v>31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</row>
    <row r="33" spans="1:11" x14ac:dyDescent="0.2">
      <c r="A33" t="s">
        <v>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1:11" x14ac:dyDescent="0.2">
      <c r="A34">
        <v>11</v>
      </c>
      <c r="B34">
        <f>(SUM(HS!B35:B43)+Rules!$B$5*HS!B44)/(9+Rules!$B$5)</f>
        <v>0.29861942370404337</v>
      </c>
      <c r="C34">
        <f>(SUM(HS!C35:C43)+Rules!$B$5*HS!C44)/(9+Rules!$B$5)</f>
        <v>0.3696374242362967</v>
      </c>
      <c r="D34">
        <f>(SUM(HS!D35:D43)+Rules!$B$5*HS!D44)/(9+Rules!$B$5)</f>
        <v>0.38767410174512951</v>
      </c>
      <c r="E34">
        <f>(SUM(HS!E35:E43)+Rules!$B$5*HS!E44)/(9+Rules!$B$5)</f>
        <v>0.40637639293641487</v>
      </c>
      <c r="F34">
        <f>(SUM(HS!F35:F43)+Rules!$B$5*HS!F44)/(9+Rules!$B$5)</f>
        <v>0.42575273133176267</v>
      </c>
      <c r="G34">
        <f>(SUM(HS!G35:G43)+Rules!$B$5*HS!G44)/(9+Rules!$B$5)</f>
        <v>0.45589668319225651</v>
      </c>
      <c r="H34">
        <f>(SUM(HS!H35:H43)+Rules!$B$5*HS!H44)/(9+Rules!$B$5)</f>
        <v>0.45736852128859351</v>
      </c>
      <c r="I34">
        <f>(SUM(HS!I35:I43)+Rules!$B$5*HS!I44)/(9+Rules!$B$5)</f>
        <v>0.40074805174057648</v>
      </c>
      <c r="J34">
        <f>(SUM(HS!J35:J43)+Rules!$B$5*HS!J44)/(9+Rules!$B$5)</f>
        <v>0.32142328174266549</v>
      </c>
      <c r="K34">
        <f>(SUM(HS!K35:K43)+Rules!$B$5*HS!K44)/(9+Rules!$B$5)</f>
        <v>0.26400071601402691</v>
      </c>
    </row>
    <row r="35" spans="1:11" x14ac:dyDescent="0.2">
      <c r="A35">
        <v>12</v>
      </c>
      <c r="B35">
        <f>(SUM(HS!B36:B44)+Rules!$B$5*HS!B45)/(9+Rules!$B$5)</f>
        <v>-2.0477877704912145E-2</v>
      </c>
      <c r="C35">
        <f>(SUM(HS!C36:C44)+Rules!$B$5*HS!C45)/(9+Rules!$B$5)</f>
        <v>8.1836216051656044E-2</v>
      </c>
      <c r="D35">
        <f>(SUM(HS!D36:D44)+Rules!$B$5*HS!D45)/(9+Rules!$B$5)</f>
        <v>0.10350704654207775</v>
      </c>
      <c r="E35">
        <f>(SUM(HS!E36:E44)+Rules!$B$5*HS!E45)/(9+Rules!$B$5)</f>
        <v>0.12659562809256977</v>
      </c>
      <c r="F35">
        <f>(SUM(HS!F36:F44)+Rules!$B$5*HS!F45)/(9+Rules!$B$5)</f>
        <v>0.15648238458465519</v>
      </c>
      <c r="G35">
        <f>(SUM(HS!G36:G44)+Rules!$B$5*HS!G45)/(9+Rules!$B$5)</f>
        <v>0.18595361333225549</v>
      </c>
      <c r="H35">
        <f>(SUM(HS!H36:H44)+Rules!$B$5*HS!H45)/(9+Rules!$B$5)</f>
        <v>0.16547293077063496</v>
      </c>
      <c r="I35">
        <f>(SUM(HS!I36:I44)+Rules!$B$5*HS!I45)/(9+Rules!$B$5)</f>
        <v>9.5115020927032265E-2</v>
      </c>
      <c r="J35">
        <f>(SUM(HS!J36:J44)+Rules!$B$5*HS!J45)/(9+Rules!$B$5)</f>
        <v>6.5790841226914386E-5</v>
      </c>
      <c r="K35">
        <f>(SUM(HS!K36:K44)+Rules!$B$5*HS!K45)/(9+Rules!$B$5)</f>
        <v>-7.0002397357964694E-2</v>
      </c>
    </row>
    <row r="36" spans="1:11" x14ac:dyDescent="0.2">
      <c r="A36">
        <v>13</v>
      </c>
      <c r="B36">
        <f>(SUM(HS!B37:B45)+Rules!$B$5*HS!B46)/(9+Rules!$B$5)</f>
        <v>-5.7308046666810254E-2</v>
      </c>
      <c r="C36">
        <f>(SUM(HS!C37:C45)+Rules!$B$5*HS!C46)/(9+Rules!$B$5)</f>
        <v>4.6636132695309578E-2</v>
      </c>
      <c r="D36">
        <f>(SUM(HS!D37:D45)+Rules!$B$5*HS!D46)/(9+Rules!$B$5)</f>
        <v>7.4118813392744051E-2</v>
      </c>
      <c r="E36">
        <f>(SUM(HS!E37:E45)+Rules!$B$5*HS!E46)/(9+Rules!$B$5)</f>
        <v>0.10247714687203523</v>
      </c>
      <c r="F36">
        <f>(SUM(HS!F37:F45)+Rules!$B$5*HS!F46)/(9+Rules!$B$5)</f>
        <v>0.13336273848321728</v>
      </c>
      <c r="G36">
        <f>(SUM(HS!G37:G45)+Rules!$B$5*HS!G46)/(9+Rules!$B$5)</f>
        <v>0.16169271124923693</v>
      </c>
      <c r="H36">
        <f>(SUM(HS!H37:H45)+Rules!$B$5*HS!H46)/(9+Rules!$B$5)</f>
        <v>0.12238569517899196</v>
      </c>
      <c r="I36">
        <f>(SUM(HS!I37:I45)+Rules!$B$5*HS!I46)/(9+Rules!$B$5)</f>
        <v>5.4057070196311299E-2</v>
      </c>
      <c r="J36">
        <f>(SUM(HS!J37:J45)+Rules!$B$5*HS!J46)/(9+Rules!$B$5)</f>
        <v>-3.7694688127479885E-2</v>
      </c>
      <c r="K36">
        <f>(SUM(HS!K37:K45)+Rules!$B$5*HS!K46)/(9+Rules!$B$5)</f>
        <v>-0.10485135840627779</v>
      </c>
    </row>
    <row r="37" spans="1:11" x14ac:dyDescent="0.2">
      <c r="A37">
        <v>14</v>
      </c>
      <c r="B37">
        <f>(SUM(HS!B38:B46)+Rules!$B$5*HS!B47)/(9+Rules!$B$5)</f>
        <v>-9.3874324768310105E-2</v>
      </c>
      <c r="C37">
        <f>(SUM(HS!C38:C46)+Rules!$B$5*HS!C47)/(9+Rules!$B$5)</f>
        <v>2.2391856987839083E-2</v>
      </c>
      <c r="D37">
        <f>(SUM(HS!D38:D46)+Rules!$B$5*HS!D47)/(9+Rules!$B$5)</f>
        <v>5.0806738919282814E-2</v>
      </c>
      <c r="E37">
        <f>(SUM(HS!E38:E46)+Rules!$B$5*HS!E47)/(9+Rules!$B$5)</f>
        <v>8.0081414310110233E-2</v>
      </c>
      <c r="F37">
        <f>(SUM(HS!F38:F46)+Rules!$B$5*HS!F47)/(9+Rules!$B$5)</f>
        <v>0.11189449567473925</v>
      </c>
      <c r="G37">
        <f>(SUM(HS!G38:G46)+Rules!$B$5*HS!G47)/(9+Rules!$B$5)</f>
        <v>0.1391647307435768</v>
      </c>
      <c r="H37">
        <f>(SUM(HS!H38:H46)+Rules!$B$5*HS!H47)/(9+Rules!$B$5)</f>
        <v>7.9507488494468148E-2</v>
      </c>
      <c r="I37">
        <f>(SUM(HS!I38:I46)+Rules!$B$5*HS!I47)/(9+Rules!$B$5)</f>
        <v>1.3277219463208444E-2</v>
      </c>
      <c r="J37">
        <f>(SUM(HS!J38:J46)+Rules!$B$5*HS!J47)/(9+Rules!$B$5)</f>
        <v>-7.516318944168382E-2</v>
      </c>
      <c r="K37">
        <f>(SUM(HS!K38:K46)+Rules!$B$5*HS!K47)/(9+Rules!$B$5)</f>
        <v>-0.13946678217545452</v>
      </c>
    </row>
    <row r="38" spans="1:11" x14ac:dyDescent="0.2">
      <c r="A38">
        <v>15</v>
      </c>
      <c r="B38">
        <f>(SUM(HS!B39:B47)+Rules!$B$5*HS!B48)/(9+Rules!$B$5)</f>
        <v>-0.13002650167843849</v>
      </c>
      <c r="C38">
        <f>(SUM(HS!C39:C47)+Rules!$B$5*HS!C48)/(9+Rules!$B$5)</f>
        <v>-1.2068474052636583E-4</v>
      </c>
      <c r="D38">
        <f>(SUM(HS!D39:D47)+Rules!$B$5*HS!D48)/(9+Rules!$B$5)</f>
        <v>2.9159812622497363E-2</v>
      </c>
      <c r="E38">
        <f>(SUM(HS!E39:E47)+Rules!$B$5*HS!E48)/(9+Rules!$B$5)</f>
        <v>5.9285376931179926E-2</v>
      </c>
      <c r="F38">
        <f>(SUM(HS!F39:F47)+Rules!$B$5*HS!F48)/(9+Rules!$B$5)</f>
        <v>9.1959698781152482E-2</v>
      </c>
      <c r="G38">
        <f>(SUM(HS!G39:G47)+Rules!$B$5*HS!G48)/(9+Rules!$B$5)</f>
        <v>0.11824589170260671</v>
      </c>
      <c r="H38">
        <f>(SUM(HS!H39:H47)+Rules!$B$5*HS!H48)/(9+Rules!$B$5)</f>
        <v>3.7028282279269235E-2</v>
      </c>
      <c r="I38">
        <f>(SUM(HS!I39:I47)+Rules!$B$5*HS!I48)/(9+Rules!$B$5)</f>
        <v>-2.7054780502901672E-2</v>
      </c>
      <c r="J38">
        <f>(SUM(HS!J39:J47)+Rules!$B$5*HS!J48)/(9+Rules!$B$5)</f>
        <v>-0.11218876868994289</v>
      </c>
      <c r="K38">
        <f>(SUM(HS!K39:K47)+Rules!$B$5*HS!K48)/(9+Rules!$B$5)</f>
        <v>-0.17370423031226784</v>
      </c>
    </row>
    <row r="39" spans="1:11" x14ac:dyDescent="0.2">
      <c r="A39">
        <v>16</v>
      </c>
      <c r="B39">
        <f>(SUM(HS!B40:B48)+Rules!$B$5*HS!B49)/(9+Rules!$B$5)</f>
        <v>-0.16563717206687348</v>
      </c>
      <c r="C39">
        <f>(SUM(HS!C40:C48)+Rules!$B$5*HS!C49)/(9+Rules!$B$5)</f>
        <v>-2.1025187774008566E-2</v>
      </c>
      <c r="D39">
        <f>(SUM(HS!D40:D48)+Rules!$B$5*HS!D49)/(9+Rules!$B$5)</f>
        <v>9.0590953469108244E-3</v>
      </c>
      <c r="E39">
        <f>(SUM(HS!E40:E48)+Rules!$B$5*HS!E49)/(9+Rules!$B$5)</f>
        <v>3.9974770793601705E-2</v>
      </c>
      <c r="F39">
        <f>(SUM(HS!F40:F48)+Rules!$B$5*HS!F49)/(9+Rules!$B$5)</f>
        <v>7.3448815951393354E-2</v>
      </c>
      <c r="G39">
        <f>(SUM(HS!G40:G48)+Rules!$B$5*HS!G49)/(9+Rules!$B$5)</f>
        <v>9.8821255450277368E-2</v>
      </c>
      <c r="H39">
        <f>(SUM(HS!H40:H48)+Rules!$B$5*HS!H49)/(9+Rules!$B$5)</f>
        <v>-4.8901571730158942E-3</v>
      </c>
      <c r="I39">
        <f>(SUM(HS!I40:I48)+Rules!$B$5*HS!I49)/(9+Rules!$B$5)</f>
        <v>-6.6794847920094103E-2</v>
      </c>
      <c r="J39">
        <f>(SUM(HS!J40:J48)+Rules!$B$5*HS!J49)/(9+Rules!$B$5)</f>
        <v>-0.14864353463007471</v>
      </c>
      <c r="K39">
        <f>(SUM(HS!K40:K48)+Rules!$B$5*HS!K49)/(9+Rules!$B$5)</f>
        <v>-0.20744109003068206</v>
      </c>
    </row>
    <row r="40" spans="1:11" x14ac:dyDescent="0.2">
      <c r="A40">
        <v>17</v>
      </c>
      <c r="B40">
        <f>(SUM(HS!B41:B49)+Rules!$B$5*HS!B50)/(9+Rules!$B$5)</f>
        <v>-0.17956936979241733</v>
      </c>
      <c r="C40">
        <f>(SUM(HS!C41:C49)+Rules!$B$5*HS!C50)/(9+Rules!$B$5)</f>
        <v>-4.9104358288912882E-4</v>
      </c>
      <c r="D40">
        <f>(SUM(HS!D41:D49)+Rules!$B$5*HS!D50)/(9+Rules!$B$5)</f>
        <v>2.8975282965620488E-2</v>
      </c>
      <c r="E40">
        <f>(SUM(HS!E41:E49)+Rules!$B$5*HS!E50)/(9+Rules!$B$5)</f>
        <v>5.9326275337164343E-2</v>
      </c>
      <c r="F40">
        <f>(SUM(HS!F41:F49)+Rules!$B$5*HS!F50)/(9+Rules!$B$5)</f>
        <v>9.1189077686774395E-2</v>
      </c>
      <c r="G40">
        <f>(SUM(HS!G41:G49)+Rules!$B$5*HS!G50)/(9+Rules!$B$5)</f>
        <v>0.12805214364549905</v>
      </c>
      <c r="H40">
        <f>(SUM(HS!H41:H49)+Rules!$B$5*HS!H50)/(9+Rules!$B$5)</f>
        <v>5.3823463716116654E-2</v>
      </c>
      <c r="I40">
        <f>(SUM(HS!I41:I49)+Rules!$B$5*HS!I50)/(9+Rules!$B$5)</f>
        <v>-7.2915398729642075E-2</v>
      </c>
      <c r="J40">
        <f>(SUM(HS!J41:J49)+Rules!$B$5*HS!J50)/(9+Rules!$B$5)</f>
        <v>-0.1497868921821332</v>
      </c>
      <c r="K40">
        <f>(SUM(HS!K41:K49)+Rules!$B$5*HS!K50)/(9+Rules!$B$5)</f>
        <v>-0.19686697623363469</v>
      </c>
    </row>
    <row r="41" spans="1:11" x14ac:dyDescent="0.2">
      <c r="A41">
        <v>18</v>
      </c>
      <c r="B41">
        <f>(SUM(HS!B42:B50)+Rules!$B$5*HS!B51)/(9+Rules!$B$5)</f>
        <v>-9.2935491769284034E-2</v>
      </c>
      <c r="C41">
        <f>(SUM(HS!C42:C50)+Rules!$B$5*HS!C51)/(9+Rules!$B$5)</f>
        <v>6.2905069471517722E-2</v>
      </c>
      <c r="D41">
        <f>(SUM(HS!D42:D50)+Rules!$B$5*HS!D51)/(9+Rules!$B$5)</f>
        <v>9.0248278565440057E-2</v>
      </c>
      <c r="E41">
        <f>(SUM(HS!E42:E50)+Rules!$B$5*HS!E51)/(9+Rules!$B$5)</f>
        <v>0.11850192387781083</v>
      </c>
      <c r="F41">
        <f>(SUM(HS!F42:F50)+Rules!$B$5*HS!F51)/(9+Rules!$B$5)</f>
        <v>0.14761274781164402</v>
      </c>
      <c r="G41">
        <f>(SUM(HS!G42:G50)+Rules!$B$5*HS!G51)/(9+Rules!$B$5)</f>
        <v>0.19075324103939673</v>
      </c>
      <c r="H41">
        <f>(SUM(HS!H42:H50)+Rules!$B$5*HS!H51)/(9+Rules!$B$5)</f>
        <v>0.17067649990517353</v>
      </c>
      <c r="I41">
        <f>(SUM(HS!I42:I50)+Rules!$B$5*HS!I51)/(9+Rules!$B$5)</f>
        <v>3.967744427056652E-2</v>
      </c>
      <c r="J41">
        <f>(SUM(HS!J42:J50)+Rules!$B$5*HS!J51)/(9+Rules!$B$5)</f>
        <v>-0.10074430758041522</v>
      </c>
      <c r="K41">
        <f>(SUM(HS!K42:K50)+Rules!$B$5*HS!K51)/(9+Rules!$B$5)</f>
        <v>-0.14380812317405353</v>
      </c>
    </row>
    <row r="42" spans="1:11" x14ac:dyDescent="0.2">
      <c r="A42">
        <v>19</v>
      </c>
      <c r="B42">
        <f>(SUM(HS!B43:B51)+Rules!$B$5*HS!B52)/(9+Rules!$B$5)</f>
        <v>-5.7428919120040816E-3</v>
      </c>
      <c r="C42">
        <f>(SUM(HS!C43:C51)+Rules!$B$5*HS!C52)/(9+Rules!$B$5)</f>
        <v>0.12395801957914129</v>
      </c>
      <c r="D42">
        <f>(SUM(HS!D43:D51)+Rules!$B$5*HS!D52)/(9+Rules!$B$5)</f>
        <v>0.14933970866308208</v>
      </c>
      <c r="E42">
        <f>(SUM(HS!E43:E51)+Rules!$B$5*HS!E52)/(9+Rules!$B$5)</f>
        <v>0.17557680563858266</v>
      </c>
      <c r="F42">
        <f>(SUM(HS!F43:F51)+Rules!$B$5*HS!F52)/(9+Rules!$B$5)</f>
        <v>0.20298603454657632</v>
      </c>
      <c r="G42">
        <f>(SUM(HS!G43:G51)+Rules!$B$5*HS!G52)/(9+Rules!$B$5)</f>
        <v>0.23979935436410921</v>
      </c>
      <c r="H42">
        <f>(SUM(HS!H43:H51)+Rules!$B$5*HS!H52)/(9+Rules!$B$5)</f>
        <v>0.2206201141552227</v>
      </c>
      <c r="I42">
        <f>(SUM(HS!I43:I51)+Rules!$B$5*HS!I52)/(9+Rules!$B$5)</f>
        <v>0.15227028727077518</v>
      </c>
      <c r="J42">
        <f>(SUM(HS!J43:J51)+Rules!$B$5*HS!J52)/(9+Rules!$B$5)</f>
        <v>7.892641744434355E-3</v>
      </c>
      <c r="K42">
        <f>(SUM(HS!K43:K51)+Rules!$B$5*HS!K52)/(9+Rules!$B$5)</f>
        <v>-8.8095953912746522E-2</v>
      </c>
    </row>
    <row r="43" spans="1:11" x14ac:dyDescent="0.2">
      <c r="A43">
        <v>20</v>
      </c>
      <c r="B43">
        <f>(SUM(HS!B44:B52)+Rules!$B$5*HS!B53)/(9+Rules!$B$5)</f>
        <v>8.1449707945275895E-2</v>
      </c>
      <c r="C43">
        <f>(SUM(HS!C44:C52)+Rules!$B$5*HS!C53)/(9+Rules!$B$5)</f>
        <v>0.18249999400904487</v>
      </c>
      <c r="D43">
        <f>(SUM(HS!D44:D52)+Rules!$B$5*HS!D53)/(9+Rules!$B$5)</f>
        <v>0.20608797581394089</v>
      </c>
      <c r="E43">
        <f>(SUM(HS!E44:E52)+Rules!$B$5*HS!E53)/(9+Rules!$B$5)</f>
        <v>0.230470121897177</v>
      </c>
      <c r="F43">
        <f>(SUM(HS!F44:F52)+Rules!$B$5*HS!F53)/(9+Rules!$B$5)</f>
        <v>0.25625855450163387</v>
      </c>
      <c r="G43">
        <f>(SUM(HS!G44:G52)+Rules!$B$5*HS!G53)/(9+Rules!$B$5)</f>
        <v>0.28779508429888429</v>
      </c>
      <c r="H43">
        <f>(SUM(HS!H44:H52)+Rules!$B$5*HS!H53)/(9+Rules!$B$5)</f>
        <v>0.25690874433608657</v>
      </c>
      <c r="I43">
        <f>(SUM(HS!I44:I52)+Rules!$B$5*HS!I53)/(9+Rules!$B$5)</f>
        <v>0.19795370833197609</v>
      </c>
      <c r="J43">
        <f>(SUM(HS!J44:J52)+Rules!$B$5*HS!J53)/(9+Rules!$B$5)</f>
        <v>0.11652959106928391</v>
      </c>
      <c r="K43">
        <f>(SUM(HS!K44:K52)+Rules!$B$5*HS!K53)/(9+Rules!$B$5)</f>
        <v>2.5308523040868176E-2</v>
      </c>
    </row>
    <row r="44" spans="1:11" x14ac:dyDescent="0.2">
      <c r="A44">
        <v>21</v>
      </c>
      <c r="B44">
        <f>(SUM(HS!B45:B53)+Rules!$B$5*HS!B54)/(9+Rules!$B$5)</f>
        <v>0.14300128216153027</v>
      </c>
      <c r="C44">
        <f>(SUM(HS!C45:C53)+Rules!$B$5*HS!C54)/(9+Rules!$B$5)</f>
        <v>0.2383507494576298</v>
      </c>
      <c r="D44">
        <f>(SUM(HS!D45:D53)+Rules!$B$5*HS!D54)/(9+Rules!$B$5)</f>
        <v>0.26032526728707961</v>
      </c>
      <c r="E44">
        <f>(SUM(HS!E45:E53)+Rules!$B$5*HS!E54)/(9+Rules!$B$5)</f>
        <v>0.28302027520898798</v>
      </c>
      <c r="F44">
        <f>(SUM(HS!F45:F53)+Rules!$B$5*HS!F54)/(9+Rules!$B$5)</f>
        <v>0.30734950895451402</v>
      </c>
      <c r="G44">
        <f>(SUM(HS!G45:G53)+Rules!$B$5*HS!G54)/(9+Rules!$B$5)</f>
        <v>0.33369004745378472</v>
      </c>
      <c r="H44">
        <f>(SUM(HS!H45:H53)+Rules!$B$5*HS!H54)/(9+Rules!$B$5)</f>
        <v>0.29214699112701309</v>
      </c>
      <c r="I44">
        <f>(SUM(HS!I45:I53)+Rules!$B$5*HS!I54)/(9+Rules!$B$5)</f>
        <v>0.22998214532399169</v>
      </c>
      <c r="J44">
        <f>(SUM(HS!J45:J53)+Rules!$B$5*HS!J54)/(9+Rules!$B$5)</f>
        <v>0.15825711845512572</v>
      </c>
      <c r="K44">
        <f>(SUM(HS!K45:K53)+Rules!$B$5*HS!K54)/(9+Rules!$B$5)</f>
        <v>0.11948223076371363</v>
      </c>
    </row>
    <row r="45" spans="1:11" x14ac:dyDescent="0.2">
      <c r="A45">
        <v>22</v>
      </c>
      <c r="B45">
        <f>B12</f>
        <v>-0.35054034044008009</v>
      </c>
      <c r="C45">
        <f t="shared" ref="C45:K45" si="0">C12</f>
        <v>-0.25338998596663809</v>
      </c>
      <c r="D45">
        <f t="shared" si="0"/>
        <v>-0.2336908997980866</v>
      </c>
      <c r="E45">
        <f t="shared" si="0"/>
        <v>-0.21353655324507695</v>
      </c>
      <c r="F45">
        <f t="shared" si="0"/>
        <v>-0.19327116942628339</v>
      </c>
      <c r="G45">
        <f t="shared" si="0"/>
        <v>-0.17052619990757953</v>
      </c>
      <c r="H45">
        <f t="shared" si="0"/>
        <v>-0.21284771451731424</v>
      </c>
      <c r="I45">
        <f t="shared" si="0"/>
        <v>-0.27157480502428616</v>
      </c>
      <c r="J45">
        <f t="shared" si="0"/>
        <v>-0.3400132806089356</v>
      </c>
      <c r="K45">
        <f t="shared" si="0"/>
        <v>-0.38104299284808768</v>
      </c>
    </row>
    <row r="46" spans="1:11" x14ac:dyDescent="0.2">
      <c r="A46">
        <v>23</v>
      </c>
      <c r="B46">
        <f t="shared" ref="B46:K46" si="1">B13</f>
        <v>-0.3969303161229315</v>
      </c>
      <c r="C46">
        <f t="shared" si="1"/>
        <v>-0.30779123771977057</v>
      </c>
      <c r="D46">
        <f t="shared" si="1"/>
        <v>-0.29121011293380095</v>
      </c>
      <c r="E46">
        <f t="shared" si="1"/>
        <v>-0.27422400639931432</v>
      </c>
      <c r="F46">
        <f t="shared" si="1"/>
        <v>-0.25733327243893911</v>
      </c>
      <c r="G46">
        <f t="shared" si="1"/>
        <v>-0.23562627561296379</v>
      </c>
      <c r="H46">
        <f t="shared" si="1"/>
        <v>-0.26907287776607752</v>
      </c>
      <c r="I46">
        <f t="shared" si="1"/>
        <v>-0.32360517609397998</v>
      </c>
      <c r="J46">
        <f t="shared" si="1"/>
        <v>-0.38715518913686875</v>
      </c>
      <c r="K46">
        <f t="shared" si="1"/>
        <v>-0.42525420764465277</v>
      </c>
    </row>
    <row r="47" spans="1:11" x14ac:dyDescent="0.2">
      <c r="A47">
        <v>24</v>
      </c>
      <c r="B47">
        <f t="shared" ref="B47:K47" si="2">B14</f>
        <v>-0.44000672211415065</v>
      </c>
      <c r="C47">
        <f t="shared" si="2"/>
        <v>-0.36219248947290311</v>
      </c>
      <c r="D47">
        <f t="shared" si="2"/>
        <v>-0.34872932606951529</v>
      </c>
      <c r="E47">
        <f t="shared" si="2"/>
        <v>-0.33491145955355167</v>
      </c>
      <c r="F47">
        <f t="shared" si="2"/>
        <v>-0.32139537545159491</v>
      </c>
      <c r="G47">
        <f t="shared" si="2"/>
        <v>-0.30072635131834807</v>
      </c>
      <c r="H47">
        <f t="shared" si="2"/>
        <v>-0.3212819579256434</v>
      </c>
      <c r="I47">
        <f t="shared" si="2"/>
        <v>-0.37191909208726714</v>
      </c>
      <c r="J47">
        <f t="shared" si="2"/>
        <v>-0.43092981848423528</v>
      </c>
      <c r="K47">
        <f t="shared" si="2"/>
        <v>-0.46630747852717758</v>
      </c>
    </row>
    <row r="48" spans="1:11" x14ac:dyDescent="0.2">
      <c r="A48">
        <v>25</v>
      </c>
      <c r="B48">
        <f t="shared" ref="B48:K48" si="3">B15</f>
        <v>-0.4800062419631399</v>
      </c>
      <c r="C48">
        <f t="shared" si="3"/>
        <v>-0.4165937412260356</v>
      </c>
      <c r="D48">
        <f t="shared" si="3"/>
        <v>-0.40624853920522963</v>
      </c>
      <c r="E48">
        <f t="shared" si="3"/>
        <v>-0.39559891270778902</v>
      </c>
      <c r="F48">
        <f t="shared" si="3"/>
        <v>-0.38545747846425066</v>
      </c>
      <c r="G48">
        <f t="shared" si="3"/>
        <v>-0.36582642702373236</v>
      </c>
      <c r="H48">
        <f t="shared" si="3"/>
        <v>-0.36976181807381175</v>
      </c>
      <c r="I48">
        <f t="shared" si="3"/>
        <v>-0.41678201408103371</v>
      </c>
      <c r="J48">
        <f t="shared" si="3"/>
        <v>-0.47157768859250415</v>
      </c>
      <c r="K48">
        <f t="shared" si="3"/>
        <v>-0.5044283729180935</v>
      </c>
    </row>
    <row r="49" spans="1:11" x14ac:dyDescent="0.2">
      <c r="A49">
        <v>26</v>
      </c>
      <c r="B49">
        <f t="shared" ref="B49:K49" si="4">B16</f>
        <v>-0.51714865325148707</v>
      </c>
      <c r="C49">
        <f t="shared" si="4"/>
        <v>-0.47099499297916808</v>
      </c>
      <c r="D49">
        <f t="shared" si="4"/>
        <v>-0.46376775234094403</v>
      </c>
      <c r="E49">
        <f t="shared" si="4"/>
        <v>-0.45628636586202637</v>
      </c>
      <c r="F49">
        <f t="shared" si="4"/>
        <v>-0.4495195814769064</v>
      </c>
      <c r="G49">
        <f t="shared" si="4"/>
        <v>-0.43092650272911659</v>
      </c>
      <c r="H49">
        <f t="shared" si="4"/>
        <v>-0.41477883106853947</v>
      </c>
      <c r="I49">
        <f t="shared" si="4"/>
        <v>-0.45844044164667419</v>
      </c>
      <c r="J49">
        <f t="shared" si="4"/>
        <v>-0.50932213940732529</v>
      </c>
      <c r="K49">
        <f t="shared" si="4"/>
        <v>-0.53982634628108683</v>
      </c>
    </row>
    <row r="50" spans="1:11" x14ac:dyDescent="0.2">
      <c r="A50">
        <v>27</v>
      </c>
      <c r="B50">
        <f t="shared" ref="B50:K50" si="5">B17</f>
        <v>-0.55729992440573806</v>
      </c>
      <c r="C50">
        <f t="shared" si="5"/>
        <v>-0.53615079392674181</v>
      </c>
      <c r="D50">
        <f t="shared" si="5"/>
        <v>-0.53167419530828453</v>
      </c>
      <c r="E50">
        <f t="shared" si="5"/>
        <v>-0.52701149100469435</v>
      </c>
      <c r="F50">
        <f t="shared" si="5"/>
        <v>-0.52298562951037375</v>
      </c>
      <c r="G50">
        <f t="shared" si="5"/>
        <v>-0.50875259201168133</v>
      </c>
      <c r="H50">
        <f t="shared" si="5"/>
        <v>-0.48348583187756294</v>
      </c>
      <c r="I50">
        <f t="shared" si="5"/>
        <v>-0.50598267464294744</v>
      </c>
      <c r="J50">
        <f t="shared" si="5"/>
        <v>-0.55369489020384699</v>
      </c>
      <c r="K50">
        <f t="shared" si="5"/>
        <v>-0.5844632205942546</v>
      </c>
    </row>
    <row r="51" spans="1:11" x14ac:dyDescent="0.2">
      <c r="A51">
        <v>28</v>
      </c>
      <c r="B51">
        <f t="shared" ref="B51:K51" si="6">B18</f>
        <v>-0.62651539551241564</v>
      </c>
      <c r="C51">
        <f t="shared" si="6"/>
        <v>-0.62243863255911769</v>
      </c>
      <c r="D51">
        <f t="shared" si="6"/>
        <v>-0.62000497014223144</v>
      </c>
      <c r="E51">
        <f t="shared" si="6"/>
        <v>-0.6174618323275779</v>
      </c>
      <c r="F51">
        <f t="shared" si="6"/>
        <v>-0.6152595675854643</v>
      </c>
      <c r="G51">
        <f t="shared" si="6"/>
        <v>-0.60747904709221201</v>
      </c>
      <c r="H51">
        <f t="shared" si="6"/>
        <v>-0.59114384474960535</v>
      </c>
      <c r="I51">
        <f t="shared" si="6"/>
        <v>-0.59105585530595706</v>
      </c>
      <c r="J51">
        <f t="shared" si="6"/>
        <v>-0.61652847815204459</v>
      </c>
      <c r="K51">
        <f t="shared" si="6"/>
        <v>-0.64767081799452453</v>
      </c>
    </row>
    <row r="52" spans="1:11" x14ac:dyDescent="0.2">
      <c r="A52">
        <v>29</v>
      </c>
      <c r="B52">
        <f t="shared" ref="B52:K52" si="7">B19</f>
        <v>-0.72479506657152004</v>
      </c>
      <c r="C52">
        <f t="shared" si="7"/>
        <v>-0.72907745456070161</v>
      </c>
      <c r="D52">
        <f t="shared" si="7"/>
        <v>-0.72803288834205915</v>
      </c>
      <c r="E52">
        <f t="shared" si="7"/>
        <v>-0.72693713423738526</v>
      </c>
      <c r="F52">
        <f t="shared" si="7"/>
        <v>-0.72599126790553226</v>
      </c>
      <c r="G52">
        <f t="shared" si="7"/>
        <v>-0.72255420661431358</v>
      </c>
      <c r="H52">
        <f t="shared" si="7"/>
        <v>-0.71544972903833093</v>
      </c>
      <c r="I52">
        <f t="shared" si="7"/>
        <v>-0.71365998363570271</v>
      </c>
      <c r="J52">
        <f t="shared" si="7"/>
        <v>-0.71557438254185846</v>
      </c>
      <c r="K52">
        <f t="shared" si="7"/>
        <v>-0.72944913848189696</v>
      </c>
    </row>
    <row r="53" spans="1:11" x14ac:dyDescent="0.2">
      <c r="A53">
        <v>30</v>
      </c>
      <c r="B53">
        <f t="shared" ref="B53:K53" si="8">B20</f>
        <v>-0.85213893758305082</v>
      </c>
      <c r="C53">
        <f t="shared" si="8"/>
        <v>-0.85523026803891988</v>
      </c>
      <c r="D53">
        <f t="shared" si="8"/>
        <v>-0.85497689559217327</v>
      </c>
      <c r="E53">
        <f t="shared" si="8"/>
        <v>-0.85471020823339083</v>
      </c>
      <c r="F53">
        <f t="shared" si="8"/>
        <v>-0.85448047487728607</v>
      </c>
      <c r="G53">
        <f t="shared" si="8"/>
        <v>-0.85362794278133991</v>
      </c>
      <c r="H53">
        <f t="shared" si="8"/>
        <v>-0.85185182338734444</v>
      </c>
      <c r="I53">
        <f t="shared" si="8"/>
        <v>-0.85149191898584875</v>
      </c>
      <c r="J53">
        <f t="shared" si="8"/>
        <v>-0.85083260337328892</v>
      </c>
      <c r="K53">
        <f t="shared" si="8"/>
        <v>-0.84902895128714095</v>
      </c>
    </row>
    <row r="54" spans="1:11" x14ac:dyDescent="0.2">
      <c r="A54">
        <v>31</v>
      </c>
      <c r="B54">
        <f t="shared" ref="B54:K54" si="9">B21</f>
        <v>-1</v>
      </c>
      <c r="C54">
        <f t="shared" si="9"/>
        <v>-1</v>
      </c>
      <c r="D54">
        <f t="shared" si="9"/>
        <v>-1</v>
      </c>
      <c r="E54">
        <f t="shared" si="9"/>
        <v>-1</v>
      </c>
      <c r="F54">
        <f t="shared" si="9"/>
        <v>-1</v>
      </c>
      <c r="G54">
        <f t="shared" si="9"/>
        <v>-1</v>
      </c>
      <c r="H54">
        <f t="shared" si="9"/>
        <v>-1</v>
      </c>
      <c r="I54">
        <f t="shared" si="9"/>
        <v>-1</v>
      </c>
      <c r="J54">
        <f t="shared" si="9"/>
        <v>-1</v>
      </c>
      <c r="K54">
        <f t="shared" si="9"/>
        <v>-1</v>
      </c>
    </row>
  </sheetData>
  <sheetProtection sheet="1" objects="1" scenarios="1"/>
  <phoneticPr fontId="14" type="noConversion"/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workbookViewId="0">
      <selection activeCell="K9" sqref="K9"/>
    </sheetView>
  </sheetViews>
  <sheetFormatPr baseColWidth="10" defaultColWidth="8.83203125" defaultRowHeight="16" x14ac:dyDescent="0.2"/>
  <cols>
    <col min="14" max="24" width="4" style="31" customWidth="1"/>
  </cols>
  <sheetData>
    <row r="1" spans="1:24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N1" s="31" t="s">
        <v>7</v>
      </c>
      <c r="O1" s="31">
        <v>1</v>
      </c>
      <c r="P1" s="31">
        <v>2</v>
      </c>
      <c r="Q1" s="31">
        <v>3</v>
      </c>
      <c r="R1" s="31">
        <v>4</v>
      </c>
      <c r="S1" s="31">
        <v>5</v>
      </c>
      <c r="T1" s="31">
        <v>6</v>
      </c>
      <c r="U1" s="31">
        <v>7</v>
      </c>
      <c r="V1" s="31">
        <v>8</v>
      </c>
      <c r="W1" s="31">
        <v>9</v>
      </c>
      <c r="X1" s="31">
        <v>10</v>
      </c>
    </row>
    <row r="2" spans="1:24" x14ac:dyDescent="0.2">
      <c r="A2">
        <v>2</v>
      </c>
      <c r="B2">
        <f>MAX(Hit!B2,Stand!B2)</f>
        <v>-0.20335368314889377</v>
      </c>
      <c r="C2">
        <f>MAX(Hit!C2,Stand!C2)</f>
        <v>-7.5884358318949102E-2</v>
      </c>
      <c r="D2">
        <f>MAX(Hit!D2,Stand!D2)</f>
        <v>-4.9750706146412048E-2</v>
      </c>
      <c r="E2">
        <f>MAX(Hit!E2,Stand!E2)</f>
        <v>-2.2100412135834389E-2</v>
      </c>
      <c r="F2">
        <f>MAX(Hit!F2,Stand!F2)</f>
        <v>1.3730032284783571E-2</v>
      </c>
      <c r="G2">
        <f>MAX(Hit!G2,Stand!G2)</f>
        <v>3.8883411946301231E-2</v>
      </c>
      <c r="H2">
        <f>MAX(Hit!H2,Stand!H2)</f>
        <v>-2.7257021375862247E-2</v>
      </c>
      <c r="I2">
        <f>MAX(Hit!I2,Stand!I2)</f>
        <v>-0.10316172777512726</v>
      </c>
      <c r="J2">
        <f>MAX(Hit!J2,Stand!J2)</f>
        <v>-0.19004714305350842</v>
      </c>
      <c r="K2">
        <f>MAX(Hit!K2,Stand!K2)</f>
        <v>-0.24199803315764098</v>
      </c>
      <c r="N2" s="31">
        <v>2</v>
      </c>
      <c r="O2" s="31" t="str">
        <f>IF(B2=Stand!B2,"S","H")</f>
        <v>H</v>
      </c>
      <c r="P2" s="31" t="str">
        <f>IF(C2=Stand!C2,"S","H")</f>
        <v>H</v>
      </c>
      <c r="Q2" s="31" t="str">
        <f>IF(D2=Stand!D2,"S","H")</f>
        <v>H</v>
      </c>
      <c r="R2" s="31" t="str">
        <f>IF(E2=Stand!E2,"S","H")</f>
        <v>H</v>
      </c>
      <c r="S2" s="31" t="str">
        <f>IF(F2=Stand!F2,"S","H")</f>
        <v>H</v>
      </c>
      <c r="T2" s="31" t="str">
        <f>IF(G2=Stand!G2,"S","H")</f>
        <v>H</v>
      </c>
      <c r="U2" s="31" t="str">
        <f>IF(H2=Stand!H2,"S","H")</f>
        <v>H</v>
      </c>
      <c r="V2" s="31" t="str">
        <f>IF(I2=Stand!I2,"S","H")</f>
        <v>H</v>
      </c>
      <c r="W2" s="31" t="str">
        <f>IF(J2=Stand!J2,"S","H")</f>
        <v>H</v>
      </c>
      <c r="X2" s="31" t="str">
        <f>IF(K2=Stand!K2,"S","H")</f>
        <v>H</v>
      </c>
    </row>
    <row r="3" spans="1:24" x14ac:dyDescent="0.2">
      <c r="A3">
        <v>3</v>
      </c>
      <c r="B3">
        <f>MAX(Hit!B3,Stand!B3)</f>
        <v>-0.22793749290805351</v>
      </c>
      <c r="C3">
        <f>MAX(Hit!C3,Stand!C3)</f>
        <v>-0.10052250439785246</v>
      </c>
      <c r="D3">
        <f>MAX(Hit!D3,Stand!D3)</f>
        <v>-6.8875858278897514E-2</v>
      </c>
      <c r="E3">
        <f>MAX(Hit!E3,Stand!E3)</f>
        <v>-3.6261290708905339E-2</v>
      </c>
      <c r="F3">
        <f>MAX(Hit!F3,Stand!F3)</f>
        <v>1.6995712139687808E-4</v>
      </c>
      <c r="G3">
        <f>MAX(Hit!G3,Stand!G3)</f>
        <v>2.447130320655936E-2</v>
      </c>
      <c r="H3">
        <f>MAX(Hit!H3,Stand!H3)</f>
        <v>-5.7437588540356667E-2</v>
      </c>
      <c r="I3">
        <f>MAX(Hit!I3,Stand!I3)</f>
        <v>-0.13094188065020101</v>
      </c>
      <c r="J3">
        <f>MAX(Hit!J3,Stand!J3)</f>
        <v>-0.21507662281362433</v>
      </c>
      <c r="K3">
        <f>MAX(Hit!K3,Stand!K3)</f>
        <v>-0.26532921479747562</v>
      </c>
      <c r="N3" s="31">
        <v>3</v>
      </c>
      <c r="O3" s="31" t="str">
        <f>IF(B3=Stand!B3,"S","H")</f>
        <v>H</v>
      </c>
      <c r="P3" s="31" t="str">
        <f>IF(C3=Stand!C3,"S","H")</f>
        <v>H</v>
      </c>
      <c r="Q3" s="31" t="str">
        <f>IF(D3=Stand!D3,"S","H")</f>
        <v>H</v>
      </c>
      <c r="R3" s="31" t="str">
        <f>IF(E3=Stand!E3,"S","H")</f>
        <v>H</v>
      </c>
      <c r="S3" s="31" t="str">
        <f>IF(F3=Stand!F3,"S","H")</f>
        <v>H</v>
      </c>
      <c r="T3" s="31" t="str">
        <f>IF(G3=Stand!G3,"S","H")</f>
        <v>H</v>
      </c>
      <c r="U3" s="31" t="str">
        <f>IF(H3=Stand!H3,"S","H")</f>
        <v>H</v>
      </c>
      <c r="V3" s="31" t="str">
        <f>IF(I3=Stand!I3,"S","H")</f>
        <v>H</v>
      </c>
      <c r="W3" s="31" t="str">
        <f>IF(J3=Stand!J3,"S","H")</f>
        <v>H</v>
      </c>
      <c r="X3" s="31" t="str">
        <f>IF(K3=Stand!K3,"S","H")</f>
        <v>H</v>
      </c>
    </row>
    <row r="4" spans="1:24" x14ac:dyDescent="0.2">
      <c r="A4">
        <v>4</v>
      </c>
      <c r="B4">
        <f>MAX(Hit!B4,Stand!B4)</f>
        <v>-0.25307699440390863</v>
      </c>
      <c r="C4">
        <f>MAX(Hit!C4,Stand!C4)</f>
        <v>-0.11491332761892134</v>
      </c>
      <c r="D4">
        <f>MAX(Hit!D4,Stand!D4)</f>
        <v>-8.2613314299744361E-2</v>
      </c>
      <c r="E4">
        <f>MAX(Hit!E4,Stand!E4)</f>
        <v>-4.9367420106916922E-2</v>
      </c>
      <c r="F4">
        <f>MAX(Hit!F4,Stand!F4)</f>
        <v>-1.2379926519926384E-2</v>
      </c>
      <c r="G4">
        <f>MAX(Hit!G4,Stand!G4)</f>
        <v>1.1130417280979797E-2</v>
      </c>
      <c r="H4">
        <f>MAX(Hit!H4,Stand!H4)</f>
        <v>-8.8279201058463722E-2</v>
      </c>
      <c r="I4">
        <f>MAX(Hit!I4,Stand!I4)</f>
        <v>-0.15933415266020512</v>
      </c>
      <c r="J4">
        <f>MAX(Hit!J4,Stand!J4)</f>
        <v>-0.24066617915336547</v>
      </c>
      <c r="K4">
        <f>MAX(Hit!K4,Stand!K4)</f>
        <v>-0.28919791448567511</v>
      </c>
      <c r="N4" s="31">
        <v>4</v>
      </c>
      <c r="O4" s="31" t="str">
        <f>IF(B4=Stand!B4,"S","H")</f>
        <v>H</v>
      </c>
      <c r="P4" s="31" t="str">
        <f>IF(C4=Stand!C4,"S","H")</f>
        <v>H</v>
      </c>
      <c r="Q4" s="31" t="str">
        <f>IF(D4=Stand!D4,"S","H")</f>
        <v>H</v>
      </c>
      <c r="R4" s="31" t="str">
        <f>IF(E4=Stand!E4,"S","H")</f>
        <v>H</v>
      </c>
      <c r="S4" s="31" t="str">
        <f>IF(F4=Stand!F4,"S","H")</f>
        <v>H</v>
      </c>
      <c r="T4" s="31" t="str">
        <f>IF(G4=Stand!G4,"S","H")</f>
        <v>H</v>
      </c>
      <c r="U4" s="31" t="str">
        <f>IF(H4=Stand!H4,"S","H")</f>
        <v>H</v>
      </c>
      <c r="V4" s="31" t="str">
        <f>IF(I4=Stand!I4,"S","H")</f>
        <v>H</v>
      </c>
      <c r="W4" s="31" t="str">
        <f>IF(J4=Stand!J4,"S","H")</f>
        <v>H</v>
      </c>
      <c r="X4" s="31" t="str">
        <f>IF(K4=Stand!K4,"S","H")</f>
        <v>H</v>
      </c>
    </row>
    <row r="5" spans="1:24" x14ac:dyDescent="0.2">
      <c r="A5">
        <v>5</v>
      </c>
      <c r="B5">
        <f>MAX(Hit!B5,Stand!B5)</f>
        <v>-0.27857459755181968</v>
      </c>
      <c r="C5">
        <f>MAX(Hit!C5,Stand!C5)</f>
        <v>-0.12821556706374745</v>
      </c>
      <c r="D5">
        <f>MAX(Hit!D5,Stand!D5)</f>
        <v>-9.5310227261489883E-2</v>
      </c>
      <c r="E5">
        <f>MAX(Hit!E5,Stand!E5)</f>
        <v>-6.1479464199694238E-2</v>
      </c>
      <c r="F5">
        <f>MAX(Hit!F5,Stand!F5)</f>
        <v>-2.397897039185962E-2</v>
      </c>
      <c r="G5">
        <f>MAX(Hit!G5,Stand!G5)</f>
        <v>-1.1863378384401623E-3</v>
      </c>
      <c r="H5">
        <f>MAX(Hit!H5,Stand!H5)</f>
        <v>-0.11944744188414852</v>
      </c>
      <c r="I5">
        <f>MAX(Hit!I5,Stand!I5)</f>
        <v>-0.18809330390318524</v>
      </c>
      <c r="J5">
        <f>MAX(Hit!J5,Stand!J5)</f>
        <v>-0.26661505335795899</v>
      </c>
      <c r="K5">
        <f>MAX(Hit!K5,Stand!K5)</f>
        <v>-0.31341164336497107</v>
      </c>
      <c r="N5" s="31">
        <v>5</v>
      </c>
      <c r="O5" s="31" t="str">
        <f>IF(B5=Stand!B5,"S","H")</f>
        <v>H</v>
      </c>
      <c r="P5" s="31" t="str">
        <f>IF(C5=Stand!C5,"S","H")</f>
        <v>H</v>
      </c>
      <c r="Q5" s="31" t="str">
        <f>IF(D5=Stand!D5,"S","H")</f>
        <v>H</v>
      </c>
      <c r="R5" s="31" t="str">
        <f>IF(E5=Stand!E5,"S","H")</f>
        <v>H</v>
      </c>
      <c r="S5" s="31" t="str">
        <f>IF(F5=Stand!F5,"S","H")</f>
        <v>H</v>
      </c>
      <c r="T5" s="31" t="str">
        <f>IF(G5=Stand!G5,"S","H")</f>
        <v>H</v>
      </c>
      <c r="U5" s="31" t="str">
        <f>IF(H5=Stand!H5,"S","H")</f>
        <v>H</v>
      </c>
      <c r="V5" s="31" t="str">
        <f>IF(I5=Stand!I5,"S","H")</f>
        <v>H</v>
      </c>
      <c r="W5" s="31" t="str">
        <f>IF(J5=Stand!J5,"S","H")</f>
        <v>H</v>
      </c>
      <c r="X5" s="31" t="str">
        <f>IF(K5=Stand!K5,"S","H")</f>
        <v>H</v>
      </c>
    </row>
    <row r="6" spans="1:24" x14ac:dyDescent="0.2">
      <c r="A6">
        <v>6</v>
      </c>
      <c r="B6">
        <f>MAX(Hit!B6,Stand!B6)</f>
        <v>-0.30414663097569933</v>
      </c>
      <c r="C6">
        <f>MAX(Hit!C6,Stand!C6)</f>
        <v>-0.14075911746001987</v>
      </c>
      <c r="D6">
        <f>MAX(Hit!D6,Stand!D6)</f>
        <v>-0.10729107800860836</v>
      </c>
      <c r="E6">
        <f>MAX(Hit!E6,Stand!E6)</f>
        <v>-7.2917141926387305E-2</v>
      </c>
      <c r="F6">
        <f>MAX(Hit!F6,Stand!F6)</f>
        <v>-3.4915973330102178E-2</v>
      </c>
      <c r="G6">
        <f>MAX(Hit!G6,Stand!G6)</f>
        <v>-1.3005835529874294E-2</v>
      </c>
      <c r="H6">
        <f>MAX(Hit!H6,Stand!H6)</f>
        <v>-0.15193270723669944</v>
      </c>
      <c r="I6">
        <f>MAX(Hit!I6,Stand!I6)</f>
        <v>-0.21724188132078476</v>
      </c>
      <c r="J6">
        <f>MAX(Hit!J6,Stand!J6)</f>
        <v>-0.29264070019772598</v>
      </c>
      <c r="K6">
        <f>MAX(Hit!K6,Stand!K6)</f>
        <v>-0.33774944037840804</v>
      </c>
      <c r="N6" s="31">
        <v>6</v>
      </c>
      <c r="O6" s="31" t="str">
        <f>IF(B6=Stand!B6,"S","H")</f>
        <v>H</v>
      </c>
      <c r="P6" s="31" t="str">
        <f>IF(C6=Stand!C6,"S","H")</f>
        <v>H</v>
      </c>
      <c r="Q6" s="31" t="str">
        <f>IF(D6=Stand!D6,"S","H")</f>
        <v>H</v>
      </c>
      <c r="R6" s="31" t="str">
        <f>IF(E6=Stand!E6,"S","H")</f>
        <v>H</v>
      </c>
      <c r="S6" s="31" t="str">
        <f>IF(F6=Stand!F6,"S","H")</f>
        <v>H</v>
      </c>
      <c r="T6" s="31" t="str">
        <f>IF(G6=Stand!G6,"S","H")</f>
        <v>H</v>
      </c>
      <c r="U6" s="31" t="str">
        <f>IF(H6=Stand!H6,"S","H")</f>
        <v>H</v>
      </c>
      <c r="V6" s="31" t="str">
        <f>IF(I6=Stand!I6,"S","H")</f>
        <v>H</v>
      </c>
      <c r="W6" s="31" t="str">
        <f>IF(J6=Stand!J6,"S","H")</f>
        <v>H</v>
      </c>
      <c r="X6" s="31" t="str">
        <f>IF(K6=Stand!K6,"S","H")</f>
        <v>H</v>
      </c>
    </row>
    <row r="7" spans="1:24" x14ac:dyDescent="0.2">
      <c r="A7">
        <v>7</v>
      </c>
      <c r="B7">
        <f>MAX(Hit!B7,Stand!B7)</f>
        <v>-0.31007165033163697</v>
      </c>
      <c r="C7">
        <f>MAX(Hit!C7,Stand!C7)</f>
        <v>-0.10918342786661633</v>
      </c>
      <c r="D7">
        <f>MAX(Hit!D7,Stand!D7)</f>
        <v>-7.658298190446361E-2</v>
      </c>
      <c r="E7">
        <f>MAX(Hit!E7,Stand!E7)</f>
        <v>-4.3021794004341876E-2</v>
      </c>
      <c r="F7">
        <f>MAX(Hit!F7,Stand!F7)</f>
        <v>-7.2713609029408845E-3</v>
      </c>
      <c r="G7">
        <f>MAX(Hit!G7,Stand!G7)</f>
        <v>2.9185342353860864E-2</v>
      </c>
      <c r="H7">
        <f>MAX(Hit!H7,Stand!H7)</f>
        <v>-6.8807799580427764E-2</v>
      </c>
      <c r="I7">
        <f>MAX(Hit!I7,Stand!I7)</f>
        <v>-0.21060476872434969</v>
      </c>
      <c r="J7">
        <f>MAX(Hit!J7,Stand!J7)</f>
        <v>-0.28536544048687656</v>
      </c>
      <c r="K7">
        <f>MAX(Hit!K7,Stand!K7)</f>
        <v>-0.31905479139833842</v>
      </c>
      <c r="N7" s="31">
        <v>7</v>
      </c>
      <c r="O7" s="31" t="str">
        <f>IF(B7=Stand!B7,"S","H")</f>
        <v>H</v>
      </c>
      <c r="P7" s="31" t="str">
        <f>IF(C7=Stand!C7,"S","H")</f>
        <v>H</v>
      </c>
      <c r="Q7" s="31" t="str">
        <f>IF(D7=Stand!D7,"S","H")</f>
        <v>H</v>
      </c>
      <c r="R7" s="31" t="str">
        <f>IF(E7=Stand!E7,"S","H")</f>
        <v>H</v>
      </c>
      <c r="S7" s="31" t="str">
        <f>IF(F7=Stand!F7,"S","H")</f>
        <v>H</v>
      </c>
      <c r="T7" s="31" t="str">
        <f>IF(G7=Stand!G7,"S","H")</f>
        <v>H</v>
      </c>
      <c r="U7" s="31" t="str">
        <f>IF(H7=Stand!H7,"S","H")</f>
        <v>H</v>
      </c>
      <c r="V7" s="31" t="str">
        <f>IF(I7=Stand!I7,"S","H")</f>
        <v>H</v>
      </c>
      <c r="W7" s="31" t="str">
        <f>IF(J7=Stand!J7,"S","H")</f>
        <v>H</v>
      </c>
      <c r="X7" s="31" t="str">
        <f>IF(K7=Stand!K7,"S","H")</f>
        <v>H</v>
      </c>
    </row>
    <row r="8" spans="1:24" x14ac:dyDescent="0.2">
      <c r="A8">
        <v>8</v>
      </c>
      <c r="B8">
        <f>MAX(Hit!B8,Stand!B8)</f>
        <v>-0.1970288105741636</v>
      </c>
      <c r="C8">
        <f>MAX(Hit!C8,Stand!C8)</f>
        <v>-2.1798188008805668E-2</v>
      </c>
      <c r="D8">
        <f>MAX(Hit!D8,Stand!D8)</f>
        <v>8.0052625306546825E-3</v>
      </c>
      <c r="E8">
        <f>MAX(Hit!E8,Stand!E8)</f>
        <v>3.8784473277208811E-2</v>
      </c>
      <c r="F8">
        <f>MAX(Hit!F8,Stand!F8)</f>
        <v>7.0804635983033826E-2</v>
      </c>
      <c r="G8">
        <f>MAX(Hit!G8,Stand!G8)</f>
        <v>0.11496015009622321</v>
      </c>
      <c r="H8">
        <f>MAX(Hit!H8,Stand!H8)</f>
        <v>8.2207439363742862E-2</v>
      </c>
      <c r="I8">
        <f>MAX(Hit!I8,Stand!I8)</f>
        <v>-5.9898275658656304E-2</v>
      </c>
      <c r="J8">
        <f>MAX(Hit!J8,Stand!J8)</f>
        <v>-0.21018633199821757</v>
      </c>
      <c r="K8">
        <f>MAX(Hit!K8,Stand!K8)</f>
        <v>-0.24937508055334259</v>
      </c>
      <c r="N8" s="31">
        <v>8</v>
      </c>
      <c r="O8" s="31" t="str">
        <f>IF(B8=Stand!B8,"S","H")</f>
        <v>H</v>
      </c>
      <c r="P8" s="31" t="str">
        <f>IF(C8=Stand!C8,"S","H")</f>
        <v>H</v>
      </c>
      <c r="Q8" s="31" t="str">
        <f>IF(D8=Stand!D8,"S","H")</f>
        <v>H</v>
      </c>
      <c r="R8" s="31" t="str">
        <f>IF(E8=Stand!E8,"S","H")</f>
        <v>H</v>
      </c>
      <c r="S8" s="31" t="str">
        <f>IF(F8=Stand!F8,"S","H")</f>
        <v>H</v>
      </c>
      <c r="T8" s="31" t="str">
        <f>IF(G8=Stand!G8,"S","H")</f>
        <v>H</v>
      </c>
      <c r="U8" s="31" t="str">
        <f>IF(H8=Stand!H8,"S","H")</f>
        <v>H</v>
      </c>
      <c r="V8" s="31" t="str">
        <f>IF(I8=Stand!I8,"S","H")</f>
        <v>H</v>
      </c>
      <c r="W8" s="31" t="str">
        <f>IF(J8=Stand!J8,"S","H")</f>
        <v>H</v>
      </c>
      <c r="X8" s="31" t="str">
        <f>IF(K8=Stand!K8,"S","H")</f>
        <v>H</v>
      </c>
    </row>
    <row r="9" spans="1:24" x14ac:dyDescent="0.2">
      <c r="A9">
        <v>9</v>
      </c>
      <c r="B9">
        <f>MAX(Hit!B9,Stand!B9)</f>
        <v>-6.5680778778066204E-2</v>
      </c>
      <c r="C9">
        <f>MAX(Hit!C9,Stand!C9)</f>
        <v>7.4446037576340524E-2</v>
      </c>
      <c r="D9">
        <f>MAX(Hit!D9,Stand!D9)</f>
        <v>0.10126470173887674</v>
      </c>
      <c r="E9">
        <f>MAX(Hit!E9,Stand!E9)</f>
        <v>0.12898088119574178</v>
      </c>
      <c r="F9">
        <f>MAX(Hit!F9,Stand!F9)</f>
        <v>0.15803185626651736</v>
      </c>
      <c r="G9">
        <f>MAX(Hit!G9,Stand!G9)</f>
        <v>0.19601883925727878</v>
      </c>
      <c r="H9">
        <f>MAX(Hit!H9,Stand!H9)</f>
        <v>0.17186785993695267</v>
      </c>
      <c r="I9">
        <f>MAX(Hit!I9,Stand!I9)</f>
        <v>9.8376217435392516E-2</v>
      </c>
      <c r="J9">
        <f>MAX(Hit!J9,Stand!J9)</f>
        <v>-5.2178053462651669E-2</v>
      </c>
      <c r="K9">
        <f>MAX(Hit!K9,Stand!K9)</f>
        <v>-0.15295298487455075</v>
      </c>
      <c r="N9" s="31">
        <v>9</v>
      </c>
      <c r="O9" s="31" t="str">
        <f>IF(B9=Stand!B9,"S","H")</f>
        <v>H</v>
      </c>
      <c r="P9" s="31" t="str">
        <f>IF(C9=Stand!C9,"S","H")</f>
        <v>H</v>
      </c>
      <c r="Q9" s="31" t="str">
        <f>IF(D9=Stand!D9,"S","H")</f>
        <v>H</v>
      </c>
      <c r="R9" s="31" t="str">
        <f>IF(E9=Stand!E9,"S","H")</f>
        <v>H</v>
      </c>
      <c r="S9" s="31" t="str">
        <f>IF(F9=Stand!F9,"S","H")</f>
        <v>H</v>
      </c>
      <c r="T9" s="31" t="str">
        <f>IF(G9=Stand!G9,"S","H")</f>
        <v>H</v>
      </c>
      <c r="U9" s="31" t="str">
        <f>IF(H9=Stand!H9,"S","H")</f>
        <v>H</v>
      </c>
      <c r="V9" s="31" t="str">
        <f>IF(I9=Stand!I9,"S","H")</f>
        <v>H</v>
      </c>
      <c r="W9" s="31" t="str">
        <f>IF(J9=Stand!J9,"S","H")</f>
        <v>H</v>
      </c>
      <c r="X9" s="31" t="str">
        <f>IF(K9=Stand!K9,"S","H")</f>
        <v>H</v>
      </c>
    </row>
    <row r="10" spans="1:24" x14ac:dyDescent="0.2">
      <c r="A10">
        <v>10</v>
      </c>
      <c r="B10">
        <f>MAX(Hit!B10,Stand!B10)</f>
        <v>8.1449707945275923E-2</v>
      </c>
      <c r="C10">
        <f>MAX(Hit!C10,Stand!C10)</f>
        <v>0.18249999400904487</v>
      </c>
      <c r="D10">
        <f>MAX(Hit!D10,Stand!D10)</f>
        <v>0.20608797581394089</v>
      </c>
      <c r="E10">
        <f>MAX(Hit!E10,Stand!E10)</f>
        <v>0.230470121897177</v>
      </c>
      <c r="F10">
        <f>MAX(Hit!F10,Stand!F10)</f>
        <v>0.25625855450163387</v>
      </c>
      <c r="G10">
        <f>MAX(Hit!G10,Stand!G10)</f>
        <v>0.28779508429888429</v>
      </c>
      <c r="H10">
        <f>MAX(Hit!H10,Stand!H10)</f>
        <v>0.25690874433608657</v>
      </c>
      <c r="I10">
        <f>MAX(Hit!I10,Stand!I10)</f>
        <v>0.19795370833197609</v>
      </c>
      <c r="J10">
        <f>MAX(Hit!J10,Stand!J10)</f>
        <v>0.1165295910692839</v>
      </c>
      <c r="K10">
        <f>MAX(Hit!K10,Stand!K10)</f>
        <v>2.5308523040868145E-2</v>
      </c>
      <c r="N10" s="31">
        <v>10</v>
      </c>
      <c r="O10" s="31" t="str">
        <f>IF(B10=Stand!B10,"S","H")</f>
        <v>H</v>
      </c>
      <c r="P10" s="31" t="str">
        <f>IF(C10=Stand!C10,"S","H")</f>
        <v>H</v>
      </c>
      <c r="Q10" s="31" t="str">
        <f>IF(D10=Stand!D10,"S","H")</f>
        <v>H</v>
      </c>
      <c r="R10" s="31" t="str">
        <f>IF(E10=Stand!E10,"S","H")</f>
        <v>H</v>
      </c>
      <c r="S10" s="31" t="str">
        <f>IF(F10=Stand!F10,"S","H")</f>
        <v>H</v>
      </c>
      <c r="T10" s="31" t="str">
        <f>IF(G10=Stand!G10,"S","H")</f>
        <v>H</v>
      </c>
      <c r="U10" s="31" t="str">
        <f>IF(H10=Stand!H10,"S","H")</f>
        <v>H</v>
      </c>
      <c r="V10" s="31" t="str">
        <f>IF(I10=Stand!I10,"S","H")</f>
        <v>H</v>
      </c>
      <c r="W10" s="31" t="str">
        <f>IF(J10=Stand!J10,"S","H")</f>
        <v>H</v>
      </c>
      <c r="X10" s="31" t="str">
        <f>IF(K10=Stand!K10,"S","H")</f>
        <v>H</v>
      </c>
    </row>
    <row r="11" spans="1:24" x14ac:dyDescent="0.2">
      <c r="A11">
        <v>11</v>
      </c>
      <c r="B11">
        <f>MAX(Hit!B11,Stand!B11)</f>
        <v>0.14300128216153027</v>
      </c>
      <c r="C11">
        <f>MAX(Hit!C11,Stand!C11)</f>
        <v>0.2383507494576298</v>
      </c>
      <c r="D11">
        <f>MAX(Hit!D11,Stand!D11)</f>
        <v>0.26032526728707961</v>
      </c>
      <c r="E11">
        <f>MAX(Hit!E11,Stand!E11)</f>
        <v>0.28302027520898798</v>
      </c>
      <c r="F11">
        <f>MAX(Hit!F11,Stand!F11)</f>
        <v>0.30734950895451402</v>
      </c>
      <c r="G11">
        <f>MAX(Hit!G11,Stand!G11)</f>
        <v>0.33369004745378472</v>
      </c>
      <c r="H11">
        <f>MAX(Hit!H11,Stand!H11)</f>
        <v>0.29214699112701309</v>
      </c>
      <c r="I11">
        <f>MAX(Hit!I11,Stand!I11)</f>
        <v>0.22998214532399169</v>
      </c>
      <c r="J11">
        <f>MAX(Hit!J11,Stand!J11)</f>
        <v>0.15825711845512572</v>
      </c>
      <c r="K11">
        <f>MAX(Hit!K11,Stand!K11)</f>
        <v>0.11948223076371363</v>
      </c>
      <c r="N11" s="31">
        <v>11</v>
      </c>
      <c r="O11" s="31" t="str">
        <f>IF(B11=Stand!B11,"S","H")</f>
        <v>H</v>
      </c>
      <c r="P11" s="31" t="str">
        <f>IF(C11=Stand!C11,"S","H")</f>
        <v>H</v>
      </c>
      <c r="Q11" s="31" t="str">
        <f>IF(D11=Stand!D11,"S","H")</f>
        <v>H</v>
      </c>
      <c r="R11" s="31" t="str">
        <f>IF(E11=Stand!E11,"S","H")</f>
        <v>H</v>
      </c>
      <c r="S11" s="31" t="str">
        <f>IF(F11=Stand!F11,"S","H")</f>
        <v>H</v>
      </c>
      <c r="T11" s="31" t="str">
        <f>IF(G11=Stand!G11,"S","H")</f>
        <v>H</v>
      </c>
      <c r="U11" s="31" t="str">
        <f>IF(H11=Stand!H11,"S","H")</f>
        <v>H</v>
      </c>
      <c r="V11" s="31" t="str">
        <f>IF(I11=Stand!I11,"S","H")</f>
        <v>H</v>
      </c>
      <c r="W11" s="31" t="str">
        <f>IF(J11=Stand!J11,"S","H")</f>
        <v>H</v>
      </c>
      <c r="X11" s="31" t="str">
        <f>IF(K11=Stand!K11,"S","H")</f>
        <v>H</v>
      </c>
    </row>
    <row r="12" spans="1:24" x14ac:dyDescent="0.2">
      <c r="A12">
        <v>12</v>
      </c>
      <c r="B12">
        <f>MAX(Hit!B12,Stand!B12)</f>
        <v>-0.35054034044008009</v>
      </c>
      <c r="C12">
        <f>MAX(Hit!C12,Stand!C12)</f>
        <v>-0.25338998596663809</v>
      </c>
      <c r="D12">
        <f>MAX(Hit!D12,Stand!D12)</f>
        <v>-0.2336908997980866</v>
      </c>
      <c r="E12">
        <f>MAX(Hit!E12,Stand!E12)</f>
        <v>-0.21106310899491437</v>
      </c>
      <c r="F12">
        <f>MAX(Hit!F12,Stand!F12)</f>
        <v>-0.16719266083547524</v>
      </c>
      <c r="G12">
        <f>MAX(Hit!G12,Stand!G12)</f>
        <v>-0.1536990158300045</v>
      </c>
      <c r="H12">
        <f>MAX(Hit!H12,Stand!H12)</f>
        <v>-0.21284771451731424</v>
      </c>
      <c r="I12">
        <f>MAX(Hit!I12,Stand!I12)</f>
        <v>-0.27157480502428616</v>
      </c>
      <c r="J12">
        <f>MAX(Hit!J12,Stand!J12)</f>
        <v>-0.3400132806089356</v>
      </c>
      <c r="K12">
        <f>MAX(Hit!K12,Stand!K12)</f>
        <v>-0.38104299284808768</v>
      </c>
      <c r="N12" s="31">
        <v>12</v>
      </c>
      <c r="O12" s="31" t="str">
        <f>IF(B12=Stand!B12,"S","H")</f>
        <v>H</v>
      </c>
      <c r="P12" s="31" t="str">
        <f>IF(C12=Stand!C12,"S","H")</f>
        <v>H</v>
      </c>
      <c r="Q12" s="31" t="str">
        <f>IF(D12=Stand!D12,"S","H")</f>
        <v>H</v>
      </c>
      <c r="R12" s="31" t="str">
        <f>IF(E12=Stand!E12,"S","H")</f>
        <v>S</v>
      </c>
      <c r="S12" s="31" t="str">
        <f>IF(F12=Stand!F12,"S","H")</f>
        <v>S</v>
      </c>
      <c r="T12" s="31" t="str">
        <f>IF(G12=Stand!G12,"S","H")</f>
        <v>S</v>
      </c>
      <c r="U12" s="31" t="str">
        <f>IF(H12=Stand!H12,"S","H")</f>
        <v>H</v>
      </c>
      <c r="V12" s="31" t="str">
        <f>IF(I12=Stand!I12,"S","H")</f>
        <v>H</v>
      </c>
      <c r="W12" s="31" t="str">
        <f>IF(J12=Stand!J12,"S","H")</f>
        <v>H</v>
      </c>
      <c r="X12" s="31" t="str">
        <f>IF(K12=Stand!K12,"S","H")</f>
        <v>H</v>
      </c>
    </row>
    <row r="13" spans="1:24" x14ac:dyDescent="0.2">
      <c r="A13">
        <v>13</v>
      </c>
      <c r="B13">
        <f>MAX(Hit!B13,Stand!B13)</f>
        <v>-0.3969303161229315</v>
      </c>
      <c r="C13">
        <f>MAX(Hit!C13,Stand!C13)</f>
        <v>-0.29278372720927726</v>
      </c>
      <c r="D13">
        <f>MAX(Hit!D13,Stand!D13)</f>
        <v>-0.2522502292357135</v>
      </c>
      <c r="E13">
        <f>MAX(Hit!E13,Stand!E13)</f>
        <v>-0.21106310899491437</v>
      </c>
      <c r="F13">
        <f>MAX(Hit!F13,Stand!F13)</f>
        <v>-0.16719266083547524</v>
      </c>
      <c r="G13">
        <f>MAX(Hit!G13,Stand!G13)</f>
        <v>-0.1536990158300045</v>
      </c>
      <c r="H13">
        <f>MAX(Hit!H13,Stand!H13)</f>
        <v>-0.26907287776607752</v>
      </c>
      <c r="I13">
        <f>MAX(Hit!I13,Stand!I13)</f>
        <v>-0.32360517609397998</v>
      </c>
      <c r="J13">
        <f>MAX(Hit!J13,Stand!J13)</f>
        <v>-0.38715518913686875</v>
      </c>
      <c r="K13">
        <f>MAX(Hit!K13,Stand!K13)</f>
        <v>-0.42525420764465277</v>
      </c>
      <c r="N13" s="31">
        <v>13</v>
      </c>
      <c r="O13" s="31" t="str">
        <f>IF(B13=Stand!B13,"S","H")</f>
        <v>H</v>
      </c>
      <c r="P13" s="31" t="str">
        <f>IF(C13=Stand!C13,"S","H")</f>
        <v>S</v>
      </c>
      <c r="Q13" s="31" t="str">
        <f>IF(D13=Stand!D13,"S","H")</f>
        <v>S</v>
      </c>
      <c r="R13" s="31" t="str">
        <f>IF(E13=Stand!E13,"S","H")</f>
        <v>S</v>
      </c>
      <c r="S13" s="31" t="str">
        <f>IF(F13=Stand!F13,"S","H")</f>
        <v>S</v>
      </c>
      <c r="T13" s="31" t="str">
        <f>IF(G13=Stand!G13,"S","H")</f>
        <v>S</v>
      </c>
      <c r="U13" s="31" t="str">
        <f>IF(H13=Stand!H13,"S","H")</f>
        <v>H</v>
      </c>
      <c r="V13" s="31" t="str">
        <f>IF(I13=Stand!I13,"S","H")</f>
        <v>H</v>
      </c>
      <c r="W13" s="31" t="str">
        <f>IF(J13=Stand!J13,"S","H")</f>
        <v>H</v>
      </c>
      <c r="X13" s="31" t="str">
        <f>IF(K13=Stand!K13,"S","H")</f>
        <v>H</v>
      </c>
    </row>
    <row r="14" spans="1:24" x14ac:dyDescent="0.2">
      <c r="A14">
        <v>14</v>
      </c>
      <c r="B14">
        <f>MAX(Hit!B14,Stand!B14)</f>
        <v>-0.44000672211415065</v>
      </c>
      <c r="C14">
        <f>MAX(Hit!C14,Stand!C14)</f>
        <v>-0.29278372720927726</v>
      </c>
      <c r="D14">
        <f>MAX(Hit!D14,Stand!D14)</f>
        <v>-0.2522502292357135</v>
      </c>
      <c r="E14">
        <f>MAX(Hit!E14,Stand!E14)</f>
        <v>-0.21106310899491437</v>
      </c>
      <c r="F14">
        <f>MAX(Hit!F14,Stand!F14)</f>
        <v>-0.16719266083547524</v>
      </c>
      <c r="G14">
        <f>MAX(Hit!G14,Stand!G14)</f>
        <v>-0.1536990158300045</v>
      </c>
      <c r="H14">
        <f>MAX(Hit!H14,Stand!H14)</f>
        <v>-0.3212819579256434</v>
      </c>
      <c r="I14">
        <f>MAX(Hit!I14,Stand!I14)</f>
        <v>-0.37191909208726714</v>
      </c>
      <c r="J14">
        <f>MAX(Hit!J14,Stand!J14)</f>
        <v>-0.43092981848423528</v>
      </c>
      <c r="K14">
        <f>MAX(Hit!K14,Stand!K14)</f>
        <v>-0.46630747852717758</v>
      </c>
      <c r="N14" s="31">
        <v>14</v>
      </c>
      <c r="O14" s="31" t="str">
        <f>IF(B14=Stand!B14,"S","H")</f>
        <v>H</v>
      </c>
      <c r="P14" s="31" t="str">
        <f>IF(C14=Stand!C14,"S","H")</f>
        <v>S</v>
      </c>
      <c r="Q14" s="31" t="str">
        <f>IF(D14=Stand!D14,"S","H")</f>
        <v>S</v>
      </c>
      <c r="R14" s="31" t="str">
        <f>IF(E14=Stand!E14,"S","H")</f>
        <v>S</v>
      </c>
      <c r="S14" s="31" t="str">
        <f>IF(F14=Stand!F14,"S","H")</f>
        <v>S</v>
      </c>
      <c r="T14" s="31" t="str">
        <f>IF(G14=Stand!G14,"S","H")</f>
        <v>S</v>
      </c>
      <c r="U14" s="31" t="str">
        <f>IF(H14=Stand!H14,"S","H")</f>
        <v>H</v>
      </c>
      <c r="V14" s="31" t="str">
        <f>IF(I14=Stand!I14,"S","H")</f>
        <v>H</v>
      </c>
      <c r="W14" s="31" t="str">
        <f>IF(J14=Stand!J14,"S","H")</f>
        <v>H</v>
      </c>
      <c r="X14" s="31" t="str">
        <f>IF(K14=Stand!K14,"S","H")</f>
        <v>H</v>
      </c>
    </row>
    <row r="15" spans="1:24" x14ac:dyDescent="0.2">
      <c r="A15">
        <v>15</v>
      </c>
      <c r="B15">
        <f>MAX(Hit!B15,Stand!B15)</f>
        <v>-0.4800062419631399</v>
      </c>
      <c r="C15">
        <f>MAX(Hit!C15,Stand!C15)</f>
        <v>-0.29278372720927726</v>
      </c>
      <c r="D15">
        <f>MAX(Hit!D15,Stand!D15)</f>
        <v>-0.2522502292357135</v>
      </c>
      <c r="E15">
        <f>MAX(Hit!E15,Stand!E15)</f>
        <v>-0.21106310899491437</v>
      </c>
      <c r="F15">
        <f>MAX(Hit!F15,Stand!F15)</f>
        <v>-0.16719266083547524</v>
      </c>
      <c r="G15">
        <f>MAX(Hit!G15,Stand!G15)</f>
        <v>-0.1536990158300045</v>
      </c>
      <c r="H15">
        <f>MAX(Hit!H15,Stand!H15)</f>
        <v>-0.36976181807381175</v>
      </c>
      <c r="I15">
        <f>MAX(Hit!I15,Stand!I15)</f>
        <v>-0.41678201408103371</v>
      </c>
      <c r="J15">
        <f>MAX(Hit!J15,Stand!J15)</f>
        <v>-0.47157768859250415</v>
      </c>
      <c r="K15">
        <f>MAX(Hit!K15,Stand!K15)</f>
        <v>-0.5044283729180935</v>
      </c>
      <c r="N15" s="31">
        <v>15</v>
      </c>
      <c r="O15" s="31" t="str">
        <f>IF(B15=Stand!B15,"S","H")</f>
        <v>H</v>
      </c>
      <c r="P15" s="31" t="str">
        <f>IF(C15=Stand!C15,"S","H")</f>
        <v>S</v>
      </c>
      <c r="Q15" s="31" t="str">
        <f>IF(D15=Stand!D15,"S","H")</f>
        <v>S</v>
      </c>
      <c r="R15" s="31" t="str">
        <f>IF(E15=Stand!E15,"S","H")</f>
        <v>S</v>
      </c>
      <c r="S15" s="31" t="str">
        <f>IF(F15=Stand!F15,"S","H")</f>
        <v>S</v>
      </c>
      <c r="T15" s="31" t="str">
        <f>IF(G15=Stand!G15,"S","H")</f>
        <v>S</v>
      </c>
      <c r="U15" s="31" t="str">
        <f>IF(H15=Stand!H15,"S","H")</f>
        <v>H</v>
      </c>
      <c r="V15" s="31" t="str">
        <f>IF(I15=Stand!I15,"S","H")</f>
        <v>H</v>
      </c>
      <c r="W15" s="31" t="str">
        <f>IF(J15=Stand!J15,"S","H")</f>
        <v>H</v>
      </c>
      <c r="X15" s="31" t="str">
        <f>IF(K15=Stand!K15,"S","H")</f>
        <v>H</v>
      </c>
    </row>
    <row r="16" spans="1:24" x14ac:dyDescent="0.2">
      <c r="A16">
        <v>16</v>
      </c>
      <c r="B16">
        <f>MAX(Hit!B16,Stand!B16)</f>
        <v>-0.51714865325148707</v>
      </c>
      <c r="C16">
        <f>MAX(Hit!C16,Stand!C16)</f>
        <v>-0.29278372720927726</v>
      </c>
      <c r="D16">
        <f>MAX(Hit!D16,Stand!D16)</f>
        <v>-0.2522502292357135</v>
      </c>
      <c r="E16">
        <f>MAX(Hit!E16,Stand!E16)</f>
        <v>-0.21106310899491437</v>
      </c>
      <c r="F16">
        <f>MAX(Hit!F16,Stand!F16)</f>
        <v>-0.16719266083547524</v>
      </c>
      <c r="G16">
        <f>MAX(Hit!G16,Stand!G16)</f>
        <v>-0.1536990158300045</v>
      </c>
      <c r="H16">
        <f>MAX(Hit!H16,Stand!H16)</f>
        <v>-0.41477883106853947</v>
      </c>
      <c r="I16">
        <f>MAX(Hit!I16,Stand!I16)</f>
        <v>-0.45844044164667419</v>
      </c>
      <c r="J16">
        <f>MAX(Hit!J16,Stand!J16)</f>
        <v>-0.50932213940732529</v>
      </c>
      <c r="K16">
        <f>MAX(Hit!K16,Stand!K16)</f>
        <v>-0.53982634628108683</v>
      </c>
      <c r="N16" s="31">
        <v>16</v>
      </c>
      <c r="O16" s="31" t="str">
        <f>IF(B16=Stand!B16,"S","H")</f>
        <v>H</v>
      </c>
      <c r="P16" s="31" t="str">
        <f>IF(C16=Stand!C16,"S","H")</f>
        <v>S</v>
      </c>
      <c r="Q16" s="31" t="str">
        <f>IF(D16=Stand!D16,"S","H")</f>
        <v>S</v>
      </c>
      <c r="R16" s="31" t="str">
        <f>IF(E16=Stand!E16,"S","H")</f>
        <v>S</v>
      </c>
      <c r="S16" s="31" t="str">
        <f>IF(F16=Stand!F16,"S","H")</f>
        <v>S</v>
      </c>
      <c r="T16" s="31" t="str">
        <f>IF(G16=Stand!G16,"S","H")</f>
        <v>S</v>
      </c>
      <c r="U16" s="31" t="str">
        <f>IF(H16=Stand!H16,"S","H")</f>
        <v>H</v>
      </c>
      <c r="V16" s="31" t="str">
        <f>IF(I16=Stand!I16,"S","H")</f>
        <v>H</v>
      </c>
      <c r="W16" s="31" t="str">
        <f>IF(J16=Stand!J16,"S","H")</f>
        <v>H</v>
      </c>
      <c r="X16" s="31" t="str">
        <f>IF(K16=Stand!K16,"S","H")</f>
        <v>H</v>
      </c>
    </row>
    <row r="17" spans="1:24" x14ac:dyDescent="0.2">
      <c r="A17">
        <v>17</v>
      </c>
      <c r="B17">
        <f>MAX(Hit!B17,Stand!B17)</f>
        <v>-0.47803347499473703</v>
      </c>
      <c r="C17">
        <f>MAX(Hit!C17,Stand!C17)</f>
        <v>-0.15297458768154204</v>
      </c>
      <c r="D17">
        <f>MAX(Hit!D17,Stand!D17)</f>
        <v>-0.11721624142457365</v>
      </c>
      <c r="E17">
        <f>MAX(Hit!E17,Stand!E17)</f>
        <v>-8.0573373145316152E-2</v>
      </c>
      <c r="F17">
        <f>MAX(Hit!F17,Stand!F17)</f>
        <v>-4.4941375564924446E-2</v>
      </c>
      <c r="G17">
        <f>MAX(Hit!G17,Stand!G17)</f>
        <v>1.1739160673341853E-2</v>
      </c>
      <c r="H17">
        <f>MAX(Hit!H17,Stand!H17)</f>
        <v>-0.10680898948269468</v>
      </c>
      <c r="I17">
        <f>MAX(Hit!I17,Stand!I17)</f>
        <v>-0.38195097104844711</v>
      </c>
      <c r="J17">
        <f>MAX(Hit!J17,Stand!J17)</f>
        <v>-0.42315423964521737</v>
      </c>
      <c r="K17">
        <f>MAX(Hit!K17,Stand!K17)</f>
        <v>-0.41972063392881986</v>
      </c>
      <c r="N17" s="31">
        <v>17</v>
      </c>
      <c r="O17" s="31" t="str">
        <f>IF(B17=Stand!B17,"S","H")</f>
        <v>S</v>
      </c>
      <c r="P17" s="31" t="str">
        <f>IF(C17=Stand!C17,"S","H")</f>
        <v>S</v>
      </c>
      <c r="Q17" s="31" t="str">
        <f>IF(D17=Stand!D17,"S","H")</f>
        <v>S</v>
      </c>
      <c r="R17" s="31" t="str">
        <f>IF(E17=Stand!E17,"S","H")</f>
        <v>S</v>
      </c>
      <c r="S17" s="31" t="str">
        <f>IF(F17=Stand!F17,"S","H")</f>
        <v>S</v>
      </c>
      <c r="T17" s="31" t="str">
        <f>IF(G17=Stand!G17,"S","H")</f>
        <v>S</v>
      </c>
      <c r="U17" s="31" t="str">
        <f>IF(H17=Stand!H17,"S","H")</f>
        <v>S</v>
      </c>
      <c r="V17" s="31" t="str">
        <f>IF(I17=Stand!I17,"S","H")</f>
        <v>S</v>
      </c>
      <c r="W17" s="31" t="str">
        <f>IF(J17=Stand!J17,"S","H")</f>
        <v>S</v>
      </c>
      <c r="X17" s="31" t="str">
        <f>IF(K17=Stand!K17,"S","H")</f>
        <v>S</v>
      </c>
    </row>
    <row r="18" spans="1:24" x14ac:dyDescent="0.2">
      <c r="A18">
        <v>18</v>
      </c>
      <c r="B18">
        <f>MAX(Hit!B18,Stand!B18)</f>
        <v>-0.10019887561319057</v>
      </c>
      <c r="C18">
        <f>MAX(Hit!C18,Stand!C18)</f>
        <v>0.12174190222088771</v>
      </c>
      <c r="D18">
        <f>MAX(Hit!D18,Stand!D18)</f>
        <v>0.14830007284131119</v>
      </c>
      <c r="E18">
        <f>MAX(Hit!E18,Stand!E18)</f>
        <v>0.17585443719748528</v>
      </c>
      <c r="F18">
        <f>MAX(Hit!F18,Stand!F18)</f>
        <v>0.19956119497617719</v>
      </c>
      <c r="G18">
        <f>MAX(Hit!G18,Stand!G18)</f>
        <v>0.28344391604689856</v>
      </c>
      <c r="H18">
        <f>MAX(Hit!H18,Stand!H18)</f>
        <v>0.3995541673365518</v>
      </c>
      <c r="I18">
        <f>MAX(Hit!I18,Stand!I18)</f>
        <v>0.10595134861912359</v>
      </c>
      <c r="J18">
        <f>MAX(Hit!J18,Stand!J18)</f>
        <v>-0.18316335667343331</v>
      </c>
      <c r="K18">
        <f>MAX(Hit!K18,Stand!K18)</f>
        <v>-0.17830123379648949</v>
      </c>
      <c r="N18" s="31">
        <v>18</v>
      </c>
      <c r="O18" s="31" t="str">
        <f>IF(B18=Stand!B18,"S","H")</f>
        <v>S</v>
      </c>
      <c r="P18" s="31" t="str">
        <f>IF(C18=Stand!C18,"S","H")</f>
        <v>S</v>
      </c>
      <c r="Q18" s="31" t="str">
        <f>IF(D18=Stand!D18,"S","H")</f>
        <v>S</v>
      </c>
      <c r="R18" s="31" t="str">
        <f>IF(E18=Stand!E18,"S","H")</f>
        <v>S</v>
      </c>
      <c r="S18" s="31" t="str">
        <f>IF(F18=Stand!F18,"S","H")</f>
        <v>S</v>
      </c>
      <c r="T18" s="31" t="str">
        <f>IF(G18=Stand!G18,"S","H")</f>
        <v>S</v>
      </c>
      <c r="U18" s="31" t="str">
        <f>IF(H18=Stand!H18,"S","H")</f>
        <v>S</v>
      </c>
      <c r="V18" s="31" t="str">
        <f>IF(I18=Stand!I18,"S","H")</f>
        <v>S</v>
      </c>
      <c r="W18" s="31" t="str">
        <f>IF(J18=Stand!J18,"S","H")</f>
        <v>S</v>
      </c>
      <c r="X18" s="31" t="str">
        <f>IF(K18=Stand!K18,"S","H")</f>
        <v>S</v>
      </c>
    </row>
    <row r="19" spans="1:24" x14ac:dyDescent="0.2">
      <c r="A19">
        <v>19</v>
      </c>
      <c r="B19">
        <f>MAX(Hit!B19,Stand!B19)</f>
        <v>0.27763572376835594</v>
      </c>
      <c r="C19">
        <f>MAX(Hit!C19,Stand!C19)</f>
        <v>0.38630468602058993</v>
      </c>
      <c r="D19">
        <f>MAX(Hit!D19,Stand!D19)</f>
        <v>0.4043629365977599</v>
      </c>
      <c r="E19">
        <f>MAX(Hit!E19,Stand!E19)</f>
        <v>0.42317892482749653</v>
      </c>
      <c r="F19">
        <f>MAX(Hit!F19,Stand!F19)</f>
        <v>0.43951210416088371</v>
      </c>
      <c r="G19">
        <f>MAX(Hit!G19,Stand!G19)</f>
        <v>0.49597707378731914</v>
      </c>
      <c r="H19">
        <f>MAX(Hit!H19,Stand!H19)</f>
        <v>0.6159764957534315</v>
      </c>
      <c r="I19">
        <f>MAX(Hit!I19,Stand!I19)</f>
        <v>0.59385366828669439</v>
      </c>
      <c r="J19">
        <f>MAX(Hit!J19,Stand!J19)</f>
        <v>0.28759675706758148</v>
      </c>
      <c r="K19">
        <f>MAX(Hit!K19,Stand!K19)</f>
        <v>6.3118166335840831E-2</v>
      </c>
      <c r="N19" s="31">
        <v>19</v>
      </c>
      <c r="O19" s="31" t="str">
        <f>IF(B19=Stand!B19,"S","H")</f>
        <v>S</v>
      </c>
      <c r="P19" s="31" t="str">
        <f>IF(C19=Stand!C19,"S","H")</f>
        <v>S</v>
      </c>
      <c r="Q19" s="31" t="str">
        <f>IF(D19=Stand!D19,"S","H")</f>
        <v>S</v>
      </c>
      <c r="R19" s="31" t="str">
        <f>IF(E19=Stand!E19,"S","H")</f>
        <v>S</v>
      </c>
      <c r="S19" s="31" t="str">
        <f>IF(F19=Stand!F19,"S","H")</f>
        <v>S</v>
      </c>
      <c r="T19" s="31" t="str">
        <f>IF(G19=Stand!G19,"S","H")</f>
        <v>S</v>
      </c>
      <c r="U19" s="31" t="str">
        <f>IF(H19=Stand!H19,"S","H")</f>
        <v>S</v>
      </c>
      <c r="V19" s="31" t="str">
        <f>IF(I19=Stand!I19,"S","H")</f>
        <v>S</v>
      </c>
      <c r="W19" s="31" t="str">
        <f>IF(J19=Stand!J19,"S","H")</f>
        <v>S</v>
      </c>
      <c r="X19" s="31" t="str">
        <f>IF(K19=Stand!K19,"S","H")</f>
        <v>S</v>
      </c>
    </row>
    <row r="20" spans="1:24" x14ac:dyDescent="0.2">
      <c r="A20">
        <v>20</v>
      </c>
      <c r="B20">
        <f>MAX(Hit!B20,Stand!B20)</f>
        <v>0.65547032314990239</v>
      </c>
      <c r="C20">
        <f>MAX(Hit!C20,Stand!C20)</f>
        <v>0.63998657521683877</v>
      </c>
      <c r="D20">
        <f>MAX(Hit!D20,Stand!D20)</f>
        <v>0.65027209425148136</v>
      </c>
      <c r="E20">
        <f>MAX(Hit!E20,Stand!E20)</f>
        <v>0.66104996194807186</v>
      </c>
      <c r="F20">
        <f>MAX(Hit!F20,Stand!F20)</f>
        <v>0.67035969063279999</v>
      </c>
      <c r="G20">
        <f>MAX(Hit!G20,Stand!G20)</f>
        <v>0.70395857017134467</v>
      </c>
      <c r="H20">
        <f>MAX(Hit!H20,Stand!H20)</f>
        <v>0.77322722653717491</v>
      </c>
      <c r="I20">
        <f>MAX(Hit!I20,Stand!I20)</f>
        <v>0.79181515955189841</v>
      </c>
      <c r="J20">
        <f>MAX(Hit!J20,Stand!J20)</f>
        <v>0.75835687080859626</v>
      </c>
      <c r="K20">
        <f>MAX(Hit!K20,Stand!K20)</f>
        <v>0.55453756646817121</v>
      </c>
      <c r="N20" s="31">
        <v>20</v>
      </c>
      <c r="O20" s="31" t="str">
        <f>IF(B20=Stand!B20,"S","H")</f>
        <v>S</v>
      </c>
      <c r="P20" s="31" t="str">
        <f>IF(C20=Stand!C20,"S","H")</f>
        <v>S</v>
      </c>
      <c r="Q20" s="31" t="str">
        <f>IF(D20=Stand!D20,"S","H")</f>
        <v>S</v>
      </c>
      <c r="R20" s="31" t="str">
        <f>IF(E20=Stand!E20,"S","H")</f>
        <v>S</v>
      </c>
      <c r="S20" s="31" t="str">
        <f>IF(F20=Stand!F20,"S","H")</f>
        <v>S</v>
      </c>
      <c r="T20" s="31" t="str">
        <f>IF(G20=Stand!G20,"S","H")</f>
        <v>S</v>
      </c>
      <c r="U20" s="31" t="str">
        <f>IF(H20=Stand!H20,"S","H")</f>
        <v>S</v>
      </c>
      <c r="V20" s="31" t="str">
        <f>IF(I20=Stand!I20,"S","H")</f>
        <v>S</v>
      </c>
      <c r="W20" s="31" t="str">
        <f>IF(J20=Stand!J20,"S","H")</f>
        <v>S</v>
      </c>
      <c r="X20" s="31" t="str">
        <f>IF(K20=Stand!K20,"S","H")</f>
        <v>S</v>
      </c>
    </row>
    <row r="21" spans="1:24" x14ac:dyDescent="0.2">
      <c r="A21">
        <v>21</v>
      </c>
      <c r="B21">
        <f>MAX(Hit!B21,Stand!B21)</f>
        <v>0.92219381142033785</v>
      </c>
      <c r="C21">
        <f>MAX(Hit!C21,Stand!C21)</f>
        <v>0.88200651549403997</v>
      </c>
      <c r="D21">
        <f>MAX(Hit!D21,Stand!D21)</f>
        <v>0.88530035730174927</v>
      </c>
      <c r="E21">
        <f>MAX(Hit!E21,Stand!E21)</f>
        <v>0.88876729296591961</v>
      </c>
      <c r="F21">
        <f>MAX(Hit!F21,Stand!F21)</f>
        <v>0.89175382659528035</v>
      </c>
      <c r="G21">
        <f>MAX(Hit!G21,Stand!G21)</f>
        <v>0.90283674384257995</v>
      </c>
      <c r="H21">
        <f>MAX(Hit!H21,Stand!H21)</f>
        <v>0.92592629596452325</v>
      </c>
      <c r="I21">
        <f>MAX(Hit!I21,Stand!I21)</f>
        <v>0.93060505318396614</v>
      </c>
      <c r="J21">
        <f>MAX(Hit!J21,Stand!J21)</f>
        <v>0.93917615614724415</v>
      </c>
      <c r="K21">
        <f>MAX(Hit!K21,Stand!K21)</f>
        <v>0.96262363326716827</v>
      </c>
      <c r="N21" s="31">
        <v>21</v>
      </c>
      <c r="O21" s="31" t="str">
        <f>IF(B21=Stand!B21,"S","H")</f>
        <v>S</v>
      </c>
      <c r="P21" s="31" t="str">
        <f>IF(C21=Stand!C21,"S","H")</f>
        <v>S</v>
      </c>
      <c r="Q21" s="31" t="str">
        <f>IF(D21=Stand!D21,"S","H")</f>
        <v>S</v>
      </c>
      <c r="R21" s="31" t="str">
        <f>IF(E21=Stand!E21,"S","H")</f>
        <v>S</v>
      </c>
      <c r="S21" s="31" t="str">
        <f>IF(F21=Stand!F21,"S","H")</f>
        <v>S</v>
      </c>
      <c r="T21" s="31" t="str">
        <f>IF(G21=Stand!G21,"S","H")</f>
        <v>S</v>
      </c>
      <c r="U21" s="31" t="str">
        <f>IF(H21=Stand!H21,"S","H")</f>
        <v>S</v>
      </c>
      <c r="V21" s="31" t="str">
        <f>IF(I21=Stand!I21,"S","H")</f>
        <v>S</v>
      </c>
      <c r="W21" s="31" t="str">
        <f>IF(J21=Stand!J21,"S","H")</f>
        <v>S</v>
      </c>
      <c r="X21" s="31" t="str">
        <f>IF(K21=Stand!K21,"S","H")</f>
        <v>S</v>
      </c>
    </row>
    <row r="22" spans="1:24" x14ac:dyDescent="0.2">
      <c r="A22">
        <v>22</v>
      </c>
      <c r="B22">
        <f>MAX(Hit!B22,Stand!B22)</f>
        <v>-1</v>
      </c>
      <c r="C22">
        <f>MAX(Hit!C22,Stand!C22)</f>
        <v>-1</v>
      </c>
      <c r="D22">
        <f>MAX(Hit!D22,Stand!D22)</f>
        <v>-1</v>
      </c>
      <c r="E22">
        <f>MAX(Hit!E22,Stand!E22)</f>
        <v>-1</v>
      </c>
      <c r="F22">
        <f>MAX(Hit!F22,Stand!F22)</f>
        <v>-1</v>
      </c>
      <c r="G22">
        <f>MAX(Hit!G22,Stand!G22)</f>
        <v>-1</v>
      </c>
      <c r="H22">
        <f>MAX(Hit!H22,Stand!H22)</f>
        <v>-1</v>
      </c>
      <c r="I22">
        <f>MAX(Hit!I22,Stand!I22)</f>
        <v>-1</v>
      </c>
      <c r="J22">
        <f>MAX(Hit!J22,Stand!J22)</f>
        <v>-1</v>
      </c>
      <c r="K22">
        <f>MAX(Hit!K22,Stand!K22)</f>
        <v>-1</v>
      </c>
      <c r="N22" s="31">
        <v>22</v>
      </c>
      <c r="O22" s="31" t="str">
        <f>IF(B22=Stand!B22,"S","H")</f>
        <v>S</v>
      </c>
      <c r="P22" s="31" t="str">
        <f>IF(C22=Stand!C22,"S","H")</f>
        <v>S</v>
      </c>
      <c r="Q22" s="31" t="str">
        <f>IF(D22=Stand!D22,"S","H")</f>
        <v>S</v>
      </c>
      <c r="R22" s="31" t="str">
        <f>IF(E22=Stand!E22,"S","H")</f>
        <v>S</v>
      </c>
      <c r="S22" s="31" t="str">
        <f>IF(F22=Stand!F22,"S","H")</f>
        <v>S</v>
      </c>
      <c r="T22" s="31" t="str">
        <f>IF(G22=Stand!G22,"S","H")</f>
        <v>S</v>
      </c>
      <c r="U22" s="31" t="str">
        <f>IF(H22=Stand!H22,"S","H")</f>
        <v>S</v>
      </c>
      <c r="V22" s="31" t="str">
        <f>IF(I22=Stand!I22,"S","H")</f>
        <v>S</v>
      </c>
      <c r="W22" s="31" t="str">
        <f>IF(J22=Stand!J22,"S","H")</f>
        <v>S</v>
      </c>
      <c r="X22" s="31" t="str">
        <f>IF(K22=Stand!K22,"S","H")</f>
        <v>S</v>
      </c>
    </row>
    <row r="23" spans="1:24" x14ac:dyDescent="0.2">
      <c r="A23">
        <v>23</v>
      </c>
      <c r="B23">
        <f>MAX(Hit!B23,Stand!B23)</f>
        <v>-1</v>
      </c>
      <c r="C23">
        <f>MAX(Hit!C23,Stand!C23)</f>
        <v>-1</v>
      </c>
      <c r="D23">
        <f>MAX(Hit!D23,Stand!D23)</f>
        <v>-1</v>
      </c>
      <c r="E23">
        <f>MAX(Hit!E23,Stand!E23)</f>
        <v>-1</v>
      </c>
      <c r="F23">
        <f>MAX(Hit!F23,Stand!F23)</f>
        <v>-1</v>
      </c>
      <c r="G23">
        <f>MAX(Hit!G23,Stand!G23)</f>
        <v>-1</v>
      </c>
      <c r="H23">
        <f>MAX(Hit!H23,Stand!H23)</f>
        <v>-1</v>
      </c>
      <c r="I23">
        <f>MAX(Hit!I23,Stand!I23)</f>
        <v>-1</v>
      </c>
      <c r="J23">
        <f>MAX(Hit!J23,Stand!J23)</f>
        <v>-1</v>
      </c>
      <c r="K23">
        <f>MAX(Hit!K23,Stand!K23)</f>
        <v>-1</v>
      </c>
      <c r="N23" s="31">
        <v>23</v>
      </c>
      <c r="O23" s="31" t="str">
        <f>IF(B23=Stand!B23,"S","H")</f>
        <v>S</v>
      </c>
      <c r="P23" s="31" t="str">
        <f>IF(C23=Stand!C23,"S","H")</f>
        <v>S</v>
      </c>
      <c r="Q23" s="31" t="str">
        <f>IF(D23=Stand!D23,"S","H")</f>
        <v>S</v>
      </c>
      <c r="R23" s="31" t="str">
        <f>IF(E23=Stand!E23,"S","H")</f>
        <v>S</v>
      </c>
      <c r="S23" s="31" t="str">
        <f>IF(F23=Stand!F23,"S","H")</f>
        <v>S</v>
      </c>
      <c r="T23" s="31" t="str">
        <f>IF(G23=Stand!G23,"S","H")</f>
        <v>S</v>
      </c>
      <c r="U23" s="31" t="str">
        <f>IF(H23=Stand!H23,"S","H")</f>
        <v>S</v>
      </c>
      <c r="V23" s="31" t="str">
        <f>IF(I23=Stand!I23,"S","H")</f>
        <v>S</v>
      </c>
      <c r="W23" s="31" t="str">
        <f>IF(J23=Stand!J23,"S","H")</f>
        <v>S</v>
      </c>
      <c r="X23" s="31" t="str">
        <f>IF(K23=Stand!K23,"S","H")</f>
        <v>S</v>
      </c>
    </row>
    <row r="24" spans="1:24" x14ac:dyDescent="0.2">
      <c r="A24">
        <v>24</v>
      </c>
      <c r="B24">
        <f>MAX(Hit!B24,Stand!B24)</f>
        <v>-1</v>
      </c>
      <c r="C24">
        <f>MAX(Hit!C24,Stand!C24)</f>
        <v>-1</v>
      </c>
      <c r="D24">
        <f>MAX(Hit!D24,Stand!D24)</f>
        <v>-1</v>
      </c>
      <c r="E24">
        <f>MAX(Hit!E24,Stand!E24)</f>
        <v>-1</v>
      </c>
      <c r="F24">
        <f>MAX(Hit!F24,Stand!F24)</f>
        <v>-1</v>
      </c>
      <c r="G24">
        <f>MAX(Hit!G24,Stand!G24)</f>
        <v>-1</v>
      </c>
      <c r="H24">
        <f>MAX(Hit!H24,Stand!H24)</f>
        <v>-1</v>
      </c>
      <c r="I24">
        <f>MAX(Hit!I24,Stand!I24)</f>
        <v>-1</v>
      </c>
      <c r="J24">
        <f>MAX(Hit!J24,Stand!J24)</f>
        <v>-1</v>
      </c>
      <c r="K24">
        <f>MAX(Hit!K24,Stand!K24)</f>
        <v>-1</v>
      </c>
      <c r="N24" s="31">
        <v>24</v>
      </c>
      <c r="O24" s="31" t="str">
        <f>IF(B24=Stand!B24,"S","H")</f>
        <v>S</v>
      </c>
      <c r="P24" s="31" t="str">
        <f>IF(C24=Stand!C24,"S","H")</f>
        <v>S</v>
      </c>
      <c r="Q24" s="31" t="str">
        <f>IF(D24=Stand!D24,"S","H")</f>
        <v>S</v>
      </c>
      <c r="R24" s="31" t="str">
        <f>IF(E24=Stand!E24,"S","H")</f>
        <v>S</v>
      </c>
      <c r="S24" s="31" t="str">
        <f>IF(F24=Stand!F24,"S","H")</f>
        <v>S</v>
      </c>
      <c r="T24" s="31" t="str">
        <f>IF(G24=Stand!G24,"S","H")</f>
        <v>S</v>
      </c>
      <c r="U24" s="31" t="str">
        <f>IF(H24=Stand!H24,"S","H")</f>
        <v>S</v>
      </c>
      <c r="V24" s="31" t="str">
        <f>IF(I24=Stand!I24,"S","H")</f>
        <v>S</v>
      </c>
      <c r="W24" s="31" t="str">
        <f>IF(J24=Stand!J24,"S","H")</f>
        <v>S</v>
      </c>
      <c r="X24" s="31" t="str">
        <f>IF(K24=Stand!K24,"S","H")</f>
        <v>S</v>
      </c>
    </row>
    <row r="25" spans="1:24" x14ac:dyDescent="0.2">
      <c r="A25">
        <v>25</v>
      </c>
      <c r="B25">
        <f>MAX(Hit!B25,Stand!B25)</f>
        <v>-1</v>
      </c>
      <c r="C25">
        <f>MAX(Hit!C25,Stand!C25)</f>
        <v>-1</v>
      </c>
      <c r="D25">
        <f>MAX(Hit!D25,Stand!D25)</f>
        <v>-1</v>
      </c>
      <c r="E25">
        <f>MAX(Hit!E25,Stand!E25)</f>
        <v>-1</v>
      </c>
      <c r="F25">
        <f>MAX(Hit!F25,Stand!F25)</f>
        <v>-1</v>
      </c>
      <c r="G25">
        <f>MAX(Hit!G25,Stand!G25)</f>
        <v>-1</v>
      </c>
      <c r="H25">
        <f>MAX(Hit!H25,Stand!H25)</f>
        <v>-1</v>
      </c>
      <c r="I25">
        <f>MAX(Hit!I25,Stand!I25)</f>
        <v>-1</v>
      </c>
      <c r="J25">
        <f>MAX(Hit!J25,Stand!J25)</f>
        <v>-1</v>
      </c>
      <c r="K25">
        <f>MAX(Hit!K25,Stand!K25)</f>
        <v>-1</v>
      </c>
      <c r="N25" s="31">
        <v>25</v>
      </c>
      <c r="O25" s="31" t="str">
        <f>IF(B25=Stand!B25,"S","H")</f>
        <v>S</v>
      </c>
      <c r="P25" s="31" t="str">
        <f>IF(C25=Stand!C25,"S","H")</f>
        <v>S</v>
      </c>
      <c r="Q25" s="31" t="str">
        <f>IF(D25=Stand!D25,"S","H")</f>
        <v>S</v>
      </c>
      <c r="R25" s="31" t="str">
        <f>IF(E25=Stand!E25,"S","H")</f>
        <v>S</v>
      </c>
      <c r="S25" s="31" t="str">
        <f>IF(F25=Stand!F25,"S","H")</f>
        <v>S</v>
      </c>
      <c r="T25" s="31" t="str">
        <f>IF(G25=Stand!G25,"S","H")</f>
        <v>S</v>
      </c>
      <c r="U25" s="31" t="str">
        <f>IF(H25=Stand!H25,"S","H")</f>
        <v>S</v>
      </c>
      <c r="V25" s="31" t="str">
        <f>IF(I25=Stand!I25,"S","H")</f>
        <v>S</v>
      </c>
      <c r="W25" s="31" t="str">
        <f>IF(J25=Stand!J25,"S","H")</f>
        <v>S</v>
      </c>
      <c r="X25" s="31" t="str">
        <f>IF(K25=Stand!K25,"S","H")</f>
        <v>S</v>
      </c>
    </row>
    <row r="26" spans="1:24" x14ac:dyDescent="0.2">
      <c r="A26">
        <v>26</v>
      </c>
      <c r="B26">
        <f>MAX(Hit!B26,Stand!B26)</f>
        <v>-1</v>
      </c>
      <c r="C26">
        <f>MAX(Hit!C26,Stand!C26)</f>
        <v>-1</v>
      </c>
      <c r="D26">
        <f>MAX(Hit!D26,Stand!D26)</f>
        <v>-1</v>
      </c>
      <c r="E26">
        <f>MAX(Hit!E26,Stand!E26)</f>
        <v>-1</v>
      </c>
      <c r="F26">
        <f>MAX(Hit!F26,Stand!F26)</f>
        <v>-1</v>
      </c>
      <c r="G26">
        <f>MAX(Hit!G26,Stand!G26)</f>
        <v>-1</v>
      </c>
      <c r="H26">
        <f>MAX(Hit!H26,Stand!H26)</f>
        <v>-1</v>
      </c>
      <c r="I26">
        <f>MAX(Hit!I26,Stand!I26)</f>
        <v>-1</v>
      </c>
      <c r="J26">
        <f>MAX(Hit!J26,Stand!J26)</f>
        <v>-1</v>
      </c>
      <c r="K26">
        <f>MAX(Hit!K26,Stand!K26)</f>
        <v>-1</v>
      </c>
      <c r="N26" s="31">
        <v>26</v>
      </c>
      <c r="O26" s="31" t="str">
        <f>IF(B26=Stand!B26,"S","H")</f>
        <v>S</v>
      </c>
      <c r="P26" s="31" t="str">
        <f>IF(C26=Stand!C26,"S","H")</f>
        <v>S</v>
      </c>
      <c r="Q26" s="31" t="str">
        <f>IF(D26=Stand!D26,"S","H")</f>
        <v>S</v>
      </c>
      <c r="R26" s="31" t="str">
        <f>IF(E26=Stand!E26,"S","H")</f>
        <v>S</v>
      </c>
      <c r="S26" s="31" t="str">
        <f>IF(F26=Stand!F26,"S","H")</f>
        <v>S</v>
      </c>
      <c r="T26" s="31" t="str">
        <f>IF(G26=Stand!G26,"S","H")</f>
        <v>S</v>
      </c>
      <c r="U26" s="31" t="str">
        <f>IF(H26=Stand!H26,"S","H")</f>
        <v>S</v>
      </c>
      <c r="V26" s="31" t="str">
        <f>IF(I26=Stand!I26,"S","H")</f>
        <v>S</v>
      </c>
      <c r="W26" s="31" t="str">
        <f>IF(J26=Stand!J26,"S","H")</f>
        <v>S</v>
      </c>
      <c r="X26" s="31" t="str">
        <f>IF(K26=Stand!K26,"S","H")</f>
        <v>S</v>
      </c>
    </row>
    <row r="27" spans="1:24" x14ac:dyDescent="0.2">
      <c r="A27">
        <v>27</v>
      </c>
      <c r="B27">
        <f>MAX(Hit!B27,Stand!B27)</f>
        <v>-1</v>
      </c>
      <c r="C27">
        <f>MAX(Hit!C27,Stand!C27)</f>
        <v>-1</v>
      </c>
      <c r="D27">
        <f>MAX(Hit!D27,Stand!D27)</f>
        <v>-1</v>
      </c>
      <c r="E27">
        <f>MAX(Hit!E27,Stand!E27)</f>
        <v>-1</v>
      </c>
      <c r="F27">
        <f>MAX(Hit!F27,Stand!F27)</f>
        <v>-1</v>
      </c>
      <c r="G27">
        <f>MAX(Hit!G27,Stand!G27)</f>
        <v>-1</v>
      </c>
      <c r="H27">
        <f>MAX(Hit!H27,Stand!H27)</f>
        <v>-1</v>
      </c>
      <c r="I27">
        <f>MAX(Hit!I27,Stand!I27)</f>
        <v>-1</v>
      </c>
      <c r="J27">
        <f>MAX(Hit!J27,Stand!J27)</f>
        <v>-1</v>
      </c>
      <c r="K27">
        <f>MAX(Hit!K27,Stand!K27)</f>
        <v>-1</v>
      </c>
      <c r="N27" s="31">
        <v>27</v>
      </c>
      <c r="O27" s="31" t="str">
        <f>IF(B27=Stand!B27,"S","H")</f>
        <v>S</v>
      </c>
      <c r="P27" s="31" t="str">
        <f>IF(C27=Stand!C27,"S","H")</f>
        <v>S</v>
      </c>
      <c r="Q27" s="31" t="str">
        <f>IF(D27=Stand!D27,"S","H")</f>
        <v>S</v>
      </c>
      <c r="R27" s="31" t="str">
        <f>IF(E27=Stand!E27,"S","H")</f>
        <v>S</v>
      </c>
      <c r="S27" s="31" t="str">
        <f>IF(F27=Stand!F27,"S","H")</f>
        <v>S</v>
      </c>
      <c r="T27" s="31" t="str">
        <f>IF(G27=Stand!G27,"S","H")</f>
        <v>S</v>
      </c>
      <c r="U27" s="31" t="str">
        <f>IF(H27=Stand!H27,"S","H")</f>
        <v>S</v>
      </c>
      <c r="V27" s="31" t="str">
        <f>IF(I27=Stand!I27,"S","H")</f>
        <v>S</v>
      </c>
      <c r="W27" s="31" t="str">
        <f>IF(J27=Stand!J27,"S","H")</f>
        <v>S</v>
      </c>
      <c r="X27" s="31" t="str">
        <f>IF(K27=Stand!K27,"S","H")</f>
        <v>S</v>
      </c>
    </row>
    <row r="28" spans="1:24" x14ac:dyDescent="0.2">
      <c r="A28">
        <v>28</v>
      </c>
      <c r="B28">
        <f>MAX(Hit!B28,Stand!B28)</f>
        <v>-1</v>
      </c>
      <c r="C28">
        <f>MAX(Hit!C28,Stand!C28)</f>
        <v>-1</v>
      </c>
      <c r="D28">
        <f>MAX(Hit!D28,Stand!D28)</f>
        <v>-1</v>
      </c>
      <c r="E28">
        <f>MAX(Hit!E28,Stand!E28)</f>
        <v>-1</v>
      </c>
      <c r="F28">
        <f>MAX(Hit!F28,Stand!F28)</f>
        <v>-1</v>
      </c>
      <c r="G28">
        <f>MAX(Hit!G28,Stand!G28)</f>
        <v>-1</v>
      </c>
      <c r="H28">
        <f>MAX(Hit!H28,Stand!H28)</f>
        <v>-1</v>
      </c>
      <c r="I28">
        <f>MAX(Hit!I28,Stand!I28)</f>
        <v>-1</v>
      </c>
      <c r="J28">
        <f>MAX(Hit!J28,Stand!J28)</f>
        <v>-1</v>
      </c>
      <c r="K28">
        <f>MAX(Hit!K28,Stand!K28)</f>
        <v>-1</v>
      </c>
      <c r="N28" s="31">
        <v>28</v>
      </c>
      <c r="O28" s="31" t="str">
        <f>IF(B28=Stand!B28,"S","H")</f>
        <v>S</v>
      </c>
      <c r="P28" s="31" t="str">
        <f>IF(C28=Stand!C28,"S","H")</f>
        <v>S</v>
      </c>
      <c r="Q28" s="31" t="str">
        <f>IF(D28=Stand!D28,"S","H")</f>
        <v>S</v>
      </c>
      <c r="R28" s="31" t="str">
        <f>IF(E28=Stand!E28,"S","H")</f>
        <v>S</v>
      </c>
      <c r="S28" s="31" t="str">
        <f>IF(F28=Stand!F28,"S","H")</f>
        <v>S</v>
      </c>
      <c r="T28" s="31" t="str">
        <f>IF(G28=Stand!G28,"S","H")</f>
        <v>S</v>
      </c>
      <c r="U28" s="31" t="str">
        <f>IF(H28=Stand!H28,"S","H")</f>
        <v>S</v>
      </c>
      <c r="V28" s="31" t="str">
        <f>IF(I28=Stand!I28,"S","H")</f>
        <v>S</v>
      </c>
      <c r="W28" s="31" t="str">
        <f>IF(J28=Stand!J28,"S","H")</f>
        <v>S</v>
      </c>
      <c r="X28" s="31" t="str">
        <f>IF(K28=Stand!K28,"S","H")</f>
        <v>S</v>
      </c>
    </row>
    <row r="29" spans="1:24" x14ac:dyDescent="0.2">
      <c r="A29">
        <v>29</v>
      </c>
      <c r="B29">
        <f>MAX(Hit!B29,Stand!B29)</f>
        <v>-1</v>
      </c>
      <c r="C29">
        <f>MAX(Hit!C29,Stand!C29)</f>
        <v>-1</v>
      </c>
      <c r="D29">
        <f>MAX(Hit!D29,Stand!D29)</f>
        <v>-1</v>
      </c>
      <c r="E29">
        <f>MAX(Hit!E29,Stand!E29)</f>
        <v>-1</v>
      </c>
      <c r="F29">
        <f>MAX(Hit!F29,Stand!F29)</f>
        <v>-1</v>
      </c>
      <c r="G29">
        <f>MAX(Hit!G29,Stand!G29)</f>
        <v>-1</v>
      </c>
      <c r="H29">
        <f>MAX(Hit!H29,Stand!H29)</f>
        <v>-1</v>
      </c>
      <c r="I29">
        <f>MAX(Hit!I29,Stand!I29)</f>
        <v>-1</v>
      </c>
      <c r="J29">
        <f>MAX(Hit!J29,Stand!J29)</f>
        <v>-1</v>
      </c>
      <c r="K29">
        <f>MAX(Hit!K29,Stand!K29)</f>
        <v>-1</v>
      </c>
      <c r="N29" s="31">
        <v>29</v>
      </c>
      <c r="O29" s="31" t="str">
        <f>IF(B29=Stand!B29,"S","H")</f>
        <v>S</v>
      </c>
      <c r="P29" s="31" t="str">
        <f>IF(C29=Stand!C29,"S","H")</f>
        <v>S</v>
      </c>
      <c r="Q29" s="31" t="str">
        <f>IF(D29=Stand!D29,"S","H")</f>
        <v>S</v>
      </c>
      <c r="R29" s="31" t="str">
        <f>IF(E29=Stand!E29,"S","H")</f>
        <v>S</v>
      </c>
      <c r="S29" s="31" t="str">
        <f>IF(F29=Stand!F29,"S","H")</f>
        <v>S</v>
      </c>
      <c r="T29" s="31" t="str">
        <f>IF(G29=Stand!G29,"S","H")</f>
        <v>S</v>
      </c>
      <c r="U29" s="31" t="str">
        <f>IF(H29=Stand!H29,"S","H")</f>
        <v>S</v>
      </c>
      <c r="V29" s="31" t="str">
        <f>IF(I29=Stand!I29,"S","H")</f>
        <v>S</v>
      </c>
      <c r="W29" s="31" t="str">
        <f>IF(J29=Stand!J29,"S","H")</f>
        <v>S</v>
      </c>
      <c r="X29" s="31" t="str">
        <f>IF(K29=Stand!K29,"S","H")</f>
        <v>S</v>
      </c>
    </row>
    <row r="30" spans="1:24" x14ac:dyDescent="0.2">
      <c r="A30">
        <v>30</v>
      </c>
      <c r="B30">
        <f>MAX(Hit!B30,Stand!B30)</f>
        <v>-1</v>
      </c>
      <c r="C30">
        <f>MAX(Hit!C30,Stand!C30)</f>
        <v>-1</v>
      </c>
      <c r="D30">
        <f>MAX(Hit!D30,Stand!D30)</f>
        <v>-1</v>
      </c>
      <c r="E30">
        <f>MAX(Hit!E30,Stand!E30)</f>
        <v>-1</v>
      </c>
      <c r="F30">
        <f>MAX(Hit!F30,Stand!F30)</f>
        <v>-1</v>
      </c>
      <c r="G30">
        <f>MAX(Hit!G30,Stand!G30)</f>
        <v>-1</v>
      </c>
      <c r="H30">
        <f>MAX(Hit!H30,Stand!H30)</f>
        <v>-1</v>
      </c>
      <c r="I30">
        <f>MAX(Hit!I30,Stand!I30)</f>
        <v>-1</v>
      </c>
      <c r="J30">
        <f>MAX(Hit!J30,Stand!J30)</f>
        <v>-1</v>
      </c>
      <c r="K30">
        <f>MAX(Hit!K30,Stand!K30)</f>
        <v>-1</v>
      </c>
      <c r="N30" s="31">
        <v>30</v>
      </c>
      <c r="O30" s="31" t="str">
        <f>IF(B30=Stand!B30,"S","H")</f>
        <v>S</v>
      </c>
      <c r="P30" s="31" t="str">
        <f>IF(C30=Stand!C30,"S","H")</f>
        <v>S</v>
      </c>
      <c r="Q30" s="31" t="str">
        <f>IF(D30=Stand!D30,"S","H")</f>
        <v>S</v>
      </c>
      <c r="R30" s="31" t="str">
        <f>IF(E30=Stand!E30,"S","H")</f>
        <v>S</v>
      </c>
      <c r="S30" s="31" t="str">
        <f>IF(F30=Stand!F30,"S","H")</f>
        <v>S</v>
      </c>
      <c r="T30" s="31" t="str">
        <f>IF(G30=Stand!G30,"S","H")</f>
        <v>S</v>
      </c>
      <c r="U30" s="31" t="str">
        <f>IF(H30=Stand!H30,"S","H")</f>
        <v>S</v>
      </c>
      <c r="V30" s="31" t="str">
        <f>IF(I30=Stand!I30,"S","H")</f>
        <v>S</v>
      </c>
      <c r="W30" s="31" t="str">
        <f>IF(J30=Stand!J30,"S","H")</f>
        <v>S</v>
      </c>
      <c r="X30" s="31" t="str">
        <f>IF(K30=Stand!K30,"S","H")</f>
        <v>S</v>
      </c>
    </row>
    <row r="31" spans="1:24" x14ac:dyDescent="0.2">
      <c r="A31">
        <v>31</v>
      </c>
      <c r="B31">
        <f>MAX(Hit!B31,Stand!B31)</f>
        <v>-1</v>
      </c>
      <c r="C31">
        <f>MAX(Hit!C31,Stand!C31)</f>
        <v>-1</v>
      </c>
      <c r="D31">
        <f>MAX(Hit!D31,Stand!D31)</f>
        <v>-1</v>
      </c>
      <c r="E31">
        <f>MAX(Hit!E31,Stand!E31)</f>
        <v>-1</v>
      </c>
      <c r="F31">
        <f>MAX(Hit!F31,Stand!F31)</f>
        <v>-1</v>
      </c>
      <c r="G31">
        <f>MAX(Hit!G31,Stand!G31)</f>
        <v>-1</v>
      </c>
      <c r="H31">
        <f>MAX(Hit!H31,Stand!H31)</f>
        <v>-1</v>
      </c>
      <c r="I31">
        <f>MAX(Hit!I31,Stand!I31)</f>
        <v>-1</v>
      </c>
      <c r="J31">
        <f>MAX(Hit!J31,Stand!J31)</f>
        <v>-1</v>
      </c>
      <c r="K31">
        <f>MAX(Hit!K31,Stand!K31)</f>
        <v>-1</v>
      </c>
      <c r="N31" s="31">
        <v>31</v>
      </c>
      <c r="O31" s="31" t="str">
        <f>IF(B31=Stand!B31,"S","H")</f>
        <v>S</v>
      </c>
      <c r="P31" s="31" t="str">
        <f>IF(C31=Stand!C31,"S","H")</f>
        <v>S</v>
      </c>
      <c r="Q31" s="31" t="str">
        <f>IF(D31=Stand!D31,"S","H")</f>
        <v>S</v>
      </c>
      <c r="R31" s="31" t="str">
        <f>IF(E31=Stand!E31,"S","H")</f>
        <v>S</v>
      </c>
      <c r="S31" s="31" t="str">
        <f>IF(F31=Stand!F31,"S","H")</f>
        <v>S</v>
      </c>
      <c r="T31" s="31" t="str">
        <f>IF(G31=Stand!G31,"S","H")</f>
        <v>S</v>
      </c>
      <c r="U31" s="31" t="str">
        <f>IF(H31=Stand!H31,"S","H")</f>
        <v>S</v>
      </c>
      <c r="V31" s="31" t="str">
        <f>IF(I31=Stand!I31,"S","H")</f>
        <v>S</v>
      </c>
      <c r="W31" s="31" t="str">
        <f>IF(J31=Stand!J31,"S","H")</f>
        <v>S</v>
      </c>
      <c r="X31" s="31" t="str">
        <f>IF(K31=Stand!K31,"S","H")</f>
        <v>S</v>
      </c>
    </row>
    <row r="33" spans="1:24" x14ac:dyDescent="0.2">
      <c r="A33" t="s">
        <v>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N33" s="31" t="s">
        <v>4</v>
      </c>
      <c r="O33" s="31">
        <v>1</v>
      </c>
      <c r="P33" s="31">
        <v>2</v>
      </c>
      <c r="Q33" s="31">
        <v>3</v>
      </c>
      <c r="R33" s="31">
        <v>4</v>
      </c>
      <c r="S33" s="31">
        <v>5</v>
      </c>
      <c r="T33" s="31">
        <v>6</v>
      </c>
      <c r="U33" s="31">
        <v>7</v>
      </c>
      <c r="V33" s="31">
        <v>8</v>
      </c>
      <c r="W33" s="31">
        <v>9</v>
      </c>
      <c r="X33" s="31">
        <v>10</v>
      </c>
    </row>
    <row r="34" spans="1:24" x14ac:dyDescent="0.2">
      <c r="A34">
        <v>11</v>
      </c>
      <c r="B34">
        <f>MAX(Hit!B34,Stand!B34)</f>
        <v>0.29861942370404337</v>
      </c>
      <c r="C34">
        <f>MAX(Hit!C34,Stand!C34)</f>
        <v>0.3696374242362967</v>
      </c>
      <c r="D34">
        <f>MAX(Hit!D34,Stand!D34)</f>
        <v>0.38767410174512951</v>
      </c>
      <c r="E34">
        <f>MAX(Hit!E34,Stand!E34)</f>
        <v>0.40637639293641487</v>
      </c>
      <c r="F34">
        <f>MAX(Hit!F34,Stand!F34)</f>
        <v>0.42575273133176267</v>
      </c>
      <c r="G34">
        <f>MAX(Hit!G34,Stand!G34)</f>
        <v>0.45589668319225651</v>
      </c>
      <c r="H34">
        <f>MAX(Hit!H34,Stand!H34)</f>
        <v>0.45736852128859351</v>
      </c>
      <c r="I34">
        <f>MAX(Hit!I34,Stand!I34)</f>
        <v>0.40074805174057648</v>
      </c>
      <c r="J34">
        <f>MAX(Hit!J34,Stand!J34)</f>
        <v>0.32142328174266549</v>
      </c>
      <c r="K34">
        <f>MAX(Hit!K34,Stand!K34)</f>
        <v>0.26400071601402691</v>
      </c>
      <c r="N34" s="31">
        <v>11</v>
      </c>
      <c r="O34" s="31" t="str">
        <f>IF(B34=Stand!B34,"S","H")</f>
        <v>H</v>
      </c>
      <c r="P34" s="31" t="str">
        <f>IF(C34=Stand!C34,"S","H")</f>
        <v>H</v>
      </c>
      <c r="Q34" s="31" t="str">
        <f>IF(D34=Stand!D34,"S","H")</f>
        <v>H</v>
      </c>
      <c r="R34" s="31" t="str">
        <f>IF(E34=Stand!E34,"S","H")</f>
        <v>H</v>
      </c>
      <c r="S34" s="31" t="str">
        <f>IF(F34=Stand!F34,"S","H")</f>
        <v>H</v>
      </c>
      <c r="T34" s="31" t="str">
        <f>IF(G34=Stand!G34,"S","H")</f>
        <v>H</v>
      </c>
      <c r="U34" s="31" t="str">
        <f>IF(H34=Stand!H34,"S","H")</f>
        <v>H</v>
      </c>
      <c r="V34" s="31" t="str">
        <f>IF(I34=Stand!I34,"S","H")</f>
        <v>H</v>
      </c>
      <c r="W34" s="31" t="str">
        <f>IF(J34=Stand!J34,"S","H")</f>
        <v>H</v>
      </c>
      <c r="X34" s="31" t="str">
        <f>IF(K34=Stand!K34,"S","H")</f>
        <v>H</v>
      </c>
    </row>
    <row r="35" spans="1:24" x14ac:dyDescent="0.2">
      <c r="A35">
        <v>12</v>
      </c>
      <c r="B35">
        <f>MAX(Hit!B35,Stand!B35)</f>
        <v>-2.0477877704912145E-2</v>
      </c>
      <c r="C35">
        <f>MAX(Hit!C35,Stand!C35)</f>
        <v>8.1836216051656044E-2</v>
      </c>
      <c r="D35">
        <f>MAX(Hit!D35,Stand!D35)</f>
        <v>0.10350704654207775</v>
      </c>
      <c r="E35">
        <f>MAX(Hit!E35,Stand!E35)</f>
        <v>0.12659562809256977</v>
      </c>
      <c r="F35">
        <f>MAX(Hit!F35,Stand!F35)</f>
        <v>0.15648238458465519</v>
      </c>
      <c r="G35">
        <f>MAX(Hit!G35,Stand!G35)</f>
        <v>0.18595361333225549</v>
      </c>
      <c r="H35">
        <f>MAX(Hit!H35,Stand!H35)</f>
        <v>0.16547293077063496</v>
      </c>
      <c r="I35">
        <f>MAX(Hit!I35,Stand!I35)</f>
        <v>9.5115020927032265E-2</v>
      </c>
      <c r="J35">
        <f>MAX(Hit!J35,Stand!J35)</f>
        <v>6.5790841226914386E-5</v>
      </c>
      <c r="K35">
        <f>MAX(Hit!K35,Stand!K35)</f>
        <v>-7.0002397357964694E-2</v>
      </c>
      <c r="N35" s="31">
        <v>12</v>
      </c>
      <c r="O35" s="31" t="str">
        <f>IF(B35=Stand!B35,"S","H")</f>
        <v>H</v>
      </c>
      <c r="P35" s="31" t="str">
        <f>IF(C35=Stand!C35,"S","H")</f>
        <v>H</v>
      </c>
      <c r="Q35" s="31" t="str">
        <f>IF(D35=Stand!D35,"S","H")</f>
        <v>H</v>
      </c>
      <c r="R35" s="31" t="str">
        <f>IF(E35=Stand!E35,"S","H")</f>
        <v>H</v>
      </c>
      <c r="S35" s="31" t="str">
        <f>IF(F35=Stand!F35,"S","H")</f>
        <v>H</v>
      </c>
      <c r="T35" s="31" t="str">
        <f>IF(G35=Stand!G35,"S","H")</f>
        <v>H</v>
      </c>
      <c r="U35" s="31" t="str">
        <f>IF(H35=Stand!H35,"S","H")</f>
        <v>H</v>
      </c>
      <c r="V35" s="31" t="str">
        <f>IF(I35=Stand!I35,"S","H")</f>
        <v>H</v>
      </c>
      <c r="W35" s="31" t="str">
        <f>IF(J35=Stand!J35,"S","H")</f>
        <v>H</v>
      </c>
      <c r="X35" s="31" t="str">
        <f>IF(K35=Stand!K35,"S","H")</f>
        <v>H</v>
      </c>
    </row>
    <row r="36" spans="1:24" x14ac:dyDescent="0.2">
      <c r="A36">
        <v>13</v>
      </c>
      <c r="B36">
        <f>MAX(Hit!B36,Stand!B36)</f>
        <v>-5.7308046666810254E-2</v>
      </c>
      <c r="C36">
        <f>MAX(Hit!C36,Stand!C36)</f>
        <v>4.6636132695309578E-2</v>
      </c>
      <c r="D36">
        <f>MAX(Hit!D36,Stand!D36)</f>
        <v>7.4118813392744051E-2</v>
      </c>
      <c r="E36">
        <f>MAX(Hit!E36,Stand!E36)</f>
        <v>0.10247714687203523</v>
      </c>
      <c r="F36">
        <f>MAX(Hit!F36,Stand!F36)</f>
        <v>0.13336273848321728</v>
      </c>
      <c r="G36">
        <f>MAX(Hit!G36,Stand!G36)</f>
        <v>0.16169271124923693</v>
      </c>
      <c r="H36">
        <f>MAX(Hit!H36,Stand!H36)</f>
        <v>0.12238569517899196</v>
      </c>
      <c r="I36">
        <f>MAX(Hit!I36,Stand!I36)</f>
        <v>5.4057070196311299E-2</v>
      </c>
      <c r="J36">
        <f>MAX(Hit!J36,Stand!J36)</f>
        <v>-3.7694688127479885E-2</v>
      </c>
      <c r="K36">
        <f>MAX(Hit!K36,Stand!K36)</f>
        <v>-0.10485135840627779</v>
      </c>
      <c r="N36" s="31">
        <v>13</v>
      </c>
      <c r="O36" s="31" t="str">
        <f>IF(B36=Stand!B36,"S","H")</f>
        <v>H</v>
      </c>
      <c r="P36" s="31" t="str">
        <f>IF(C36=Stand!C36,"S","H")</f>
        <v>H</v>
      </c>
      <c r="Q36" s="31" t="str">
        <f>IF(D36=Stand!D36,"S","H")</f>
        <v>H</v>
      </c>
      <c r="R36" s="31" t="str">
        <f>IF(E36=Stand!E36,"S","H")</f>
        <v>H</v>
      </c>
      <c r="S36" s="31" t="str">
        <f>IF(F36=Stand!F36,"S","H")</f>
        <v>H</v>
      </c>
      <c r="T36" s="31" t="str">
        <f>IF(G36=Stand!G36,"S","H")</f>
        <v>H</v>
      </c>
      <c r="U36" s="31" t="str">
        <f>IF(H36=Stand!H36,"S","H")</f>
        <v>H</v>
      </c>
      <c r="V36" s="31" t="str">
        <f>IF(I36=Stand!I36,"S","H")</f>
        <v>H</v>
      </c>
      <c r="W36" s="31" t="str">
        <f>IF(J36=Stand!J36,"S","H")</f>
        <v>H</v>
      </c>
      <c r="X36" s="31" t="str">
        <f>IF(K36=Stand!K36,"S","H")</f>
        <v>H</v>
      </c>
    </row>
    <row r="37" spans="1:24" x14ac:dyDescent="0.2">
      <c r="A37">
        <v>14</v>
      </c>
      <c r="B37">
        <f>MAX(Hit!B37,Stand!B37)</f>
        <v>-9.3874324768310105E-2</v>
      </c>
      <c r="C37">
        <f>MAX(Hit!C37,Stand!C37)</f>
        <v>2.2391856987839083E-2</v>
      </c>
      <c r="D37">
        <f>MAX(Hit!D37,Stand!D37)</f>
        <v>5.0806738919282814E-2</v>
      </c>
      <c r="E37">
        <f>MAX(Hit!E37,Stand!E37)</f>
        <v>8.0081414310110233E-2</v>
      </c>
      <c r="F37">
        <f>MAX(Hit!F37,Stand!F37)</f>
        <v>0.11189449567473925</v>
      </c>
      <c r="G37">
        <f>MAX(Hit!G37,Stand!G37)</f>
        <v>0.1391647307435768</v>
      </c>
      <c r="H37">
        <f>MAX(Hit!H37,Stand!H37)</f>
        <v>7.9507488494468148E-2</v>
      </c>
      <c r="I37">
        <f>MAX(Hit!I37,Stand!I37)</f>
        <v>1.3277219463208444E-2</v>
      </c>
      <c r="J37">
        <f>MAX(Hit!J37,Stand!J37)</f>
        <v>-7.516318944168382E-2</v>
      </c>
      <c r="K37">
        <f>MAX(Hit!K37,Stand!K37)</f>
        <v>-0.13946678217545452</v>
      </c>
      <c r="N37" s="31">
        <v>14</v>
      </c>
      <c r="O37" s="31" t="str">
        <f>IF(B37=Stand!B37,"S","H")</f>
        <v>H</v>
      </c>
      <c r="P37" s="31" t="str">
        <f>IF(C37=Stand!C37,"S","H")</f>
        <v>H</v>
      </c>
      <c r="Q37" s="31" t="str">
        <f>IF(D37=Stand!D37,"S","H")</f>
        <v>H</v>
      </c>
      <c r="R37" s="31" t="str">
        <f>IF(E37=Stand!E37,"S","H")</f>
        <v>H</v>
      </c>
      <c r="S37" s="31" t="str">
        <f>IF(F37=Stand!F37,"S","H")</f>
        <v>H</v>
      </c>
      <c r="T37" s="31" t="str">
        <f>IF(G37=Stand!G37,"S","H")</f>
        <v>H</v>
      </c>
      <c r="U37" s="31" t="str">
        <f>IF(H37=Stand!H37,"S","H")</f>
        <v>H</v>
      </c>
      <c r="V37" s="31" t="str">
        <f>IF(I37=Stand!I37,"S","H")</f>
        <v>H</v>
      </c>
      <c r="W37" s="31" t="str">
        <f>IF(J37=Stand!J37,"S","H")</f>
        <v>H</v>
      </c>
      <c r="X37" s="31" t="str">
        <f>IF(K37=Stand!K37,"S","H")</f>
        <v>H</v>
      </c>
    </row>
    <row r="38" spans="1:24" x14ac:dyDescent="0.2">
      <c r="A38">
        <v>15</v>
      </c>
      <c r="B38">
        <f>MAX(Hit!B38,Stand!B38)</f>
        <v>-0.13002650167843849</v>
      </c>
      <c r="C38">
        <f>MAX(Hit!C38,Stand!C38)</f>
        <v>-1.2068474052636583E-4</v>
      </c>
      <c r="D38">
        <f>MAX(Hit!D38,Stand!D38)</f>
        <v>2.9159812622497363E-2</v>
      </c>
      <c r="E38">
        <f>MAX(Hit!E38,Stand!E38)</f>
        <v>5.9285376931179926E-2</v>
      </c>
      <c r="F38">
        <f>MAX(Hit!F38,Stand!F38)</f>
        <v>9.1959698781152482E-2</v>
      </c>
      <c r="G38">
        <f>MAX(Hit!G38,Stand!G38)</f>
        <v>0.11824589170260671</v>
      </c>
      <c r="H38">
        <f>MAX(Hit!H38,Stand!H38)</f>
        <v>3.7028282279269235E-2</v>
      </c>
      <c r="I38">
        <f>MAX(Hit!I38,Stand!I38)</f>
        <v>-2.7054780502901672E-2</v>
      </c>
      <c r="J38">
        <f>MAX(Hit!J38,Stand!J38)</f>
        <v>-0.11218876868994289</v>
      </c>
      <c r="K38">
        <f>MAX(Hit!K38,Stand!K38)</f>
        <v>-0.17370423031226784</v>
      </c>
      <c r="N38" s="31">
        <v>15</v>
      </c>
      <c r="O38" s="31" t="str">
        <f>IF(B38=Stand!B38,"S","H")</f>
        <v>H</v>
      </c>
      <c r="P38" s="31" t="str">
        <f>IF(C38=Stand!C38,"S","H")</f>
        <v>H</v>
      </c>
      <c r="Q38" s="31" t="str">
        <f>IF(D38=Stand!D38,"S","H")</f>
        <v>H</v>
      </c>
      <c r="R38" s="31" t="str">
        <f>IF(E38=Stand!E38,"S","H")</f>
        <v>H</v>
      </c>
      <c r="S38" s="31" t="str">
        <f>IF(F38=Stand!F38,"S","H")</f>
        <v>H</v>
      </c>
      <c r="T38" s="31" t="str">
        <f>IF(G38=Stand!G38,"S","H")</f>
        <v>H</v>
      </c>
      <c r="U38" s="31" t="str">
        <f>IF(H38=Stand!H38,"S","H")</f>
        <v>H</v>
      </c>
      <c r="V38" s="31" t="str">
        <f>IF(I38=Stand!I38,"S","H")</f>
        <v>H</v>
      </c>
      <c r="W38" s="31" t="str">
        <f>IF(J38=Stand!J38,"S","H")</f>
        <v>H</v>
      </c>
      <c r="X38" s="31" t="str">
        <f>IF(K38=Stand!K38,"S","H")</f>
        <v>H</v>
      </c>
    </row>
    <row r="39" spans="1:24" x14ac:dyDescent="0.2">
      <c r="A39">
        <v>16</v>
      </c>
      <c r="B39">
        <f>MAX(Hit!B39,Stand!B39)</f>
        <v>-0.16563717206687348</v>
      </c>
      <c r="C39">
        <f>MAX(Hit!C39,Stand!C39)</f>
        <v>-2.1025187774008566E-2</v>
      </c>
      <c r="D39">
        <f>MAX(Hit!D39,Stand!D39)</f>
        <v>9.0590953469108244E-3</v>
      </c>
      <c r="E39">
        <f>MAX(Hit!E39,Stand!E39)</f>
        <v>3.9974770793601705E-2</v>
      </c>
      <c r="F39">
        <f>MAX(Hit!F39,Stand!F39)</f>
        <v>7.3448815951393354E-2</v>
      </c>
      <c r="G39">
        <f>MAX(Hit!G39,Stand!G39)</f>
        <v>9.8821255450277368E-2</v>
      </c>
      <c r="H39">
        <f>MAX(Hit!H39,Stand!H39)</f>
        <v>-4.8901571730158942E-3</v>
      </c>
      <c r="I39">
        <f>MAX(Hit!I39,Stand!I39)</f>
        <v>-6.6794847920094103E-2</v>
      </c>
      <c r="J39">
        <f>MAX(Hit!J39,Stand!J39)</f>
        <v>-0.14864353463007471</v>
      </c>
      <c r="K39">
        <f>MAX(Hit!K39,Stand!K39)</f>
        <v>-0.20744109003068206</v>
      </c>
      <c r="N39" s="31">
        <v>16</v>
      </c>
      <c r="O39" s="31" t="str">
        <f>IF(B39=Stand!B39,"S","H")</f>
        <v>H</v>
      </c>
      <c r="P39" s="31" t="str">
        <f>IF(C39=Stand!C39,"S","H")</f>
        <v>H</v>
      </c>
      <c r="Q39" s="31" t="str">
        <f>IF(D39=Stand!D39,"S","H")</f>
        <v>H</v>
      </c>
      <c r="R39" s="31" t="str">
        <f>IF(E39=Stand!E39,"S","H")</f>
        <v>H</v>
      </c>
      <c r="S39" s="31" t="str">
        <f>IF(F39=Stand!F39,"S","H")</f>
        <v>H</v>
      </c>
      <c r="T39" s="31" t="str">
        <f>IF(G39=Stand!G39,"S","H")</f>
        <v>H</v>
      </c>
      <c r="U39" s="31" t="str">
        <f>IF(H39=Stand!H39,"S","H")</f>
        <v>H</v>
      </c>
      <c r="V39" s="31" t="str">
        <f>IF(I39=Stand!I39,"S","H")</f>
        <v>H</v>
      </c>
      <c r="W39" s="31" t="str">
        <f>IF(J39=Stand!J39,"S","H")</f>
        <v>H</v>
      </c>
      <c r="X39" s="31" t="str">
        <f>IF(K39=Stand!K39,"S","H")</f>
        <v>H</v>
      </c>
    </row>
    <row r="40" spans="1:24" x14ac:dyDescent="0.2">
      <c r="A40">
        <v>17</v>
      </c>
      <c r="B40">
        <f>MAX(Hit!B40,Stand!B40)</f>
        <v>-0.17956936979241733</v>
      </c>
      <c r="C40">
        <f>MAX(Hit!C40,Stand!C40)</f>
        <v>-4.9104358288912882E-4</v>
      </c>
      <c r="D40">
        <f>MAX(Hit!D40,Stand!D40)</f>
        <v>2.8975282965620488E-2</v>
      </c>
      <c r="E40">
        <f>MAX(Hit!E40,Stand!E40)</f>
        <v>5.9326275337164343E-2</v>
      </c>
      <c r="F40">
        <f>MAX(Hit!F40,Stand!F40)</f>
        <v>9.1189077686774395E-2</v>
      </c>
      <c r="G40">
        <f>MAX(Hit!G40,Stand!G40)</f>
        <v>0.12805214364549905</v>
      </c>
      <c r="H40">
        <f>MAX(Hit!H40,Stand!H40)</f>
        <v>5.3823463716116654E-2</v>
      </c>
      <c r="I40">
        <f>MAX(Hit!I40,Stand!I40)</f>
        <v>-7.2915398729642075E-2</v>
      </c>
      <c r="J40">
        <f>MAX(Hit!J40,Stand!J40)</f>
        <v>-0.1497868921821332</v>
      </c>
      <c r="K40">
        <f>MAX(Hit!K40,Stand!K40)</f>
        <v>-0.19686697623363469</v>
      </c>
      <c r="N40" s="31">
        <v>17</v>
      </c>
      <c r="O40" s="31" t="str">
        <f>IF(B40=Stand!B40,"S","H")</f>
        <v>H</v>
      </c>
      <c r="P40" s="31" t="str">
        <f>IF(C40=Stand!C40,"S","H")</f>
        <v>H</v>
      </c>
      <c r="Q40" s="31" t="str">
        <f>IF(D40=Stand!D40,"S","H")</f>
        <v>H</v>
      </c>
      <c r="R40" s="31" t="str">
        <f>IF(E40=Stand!E40,"S","H")</f>
        <v>H</v>
      </c>
      <c r="S40" s="31" t="str">
        <f>IF(F40=Stand!F40,"S","H")</f>
        <v>H</v>
      </c>
      <c r="T40" s="31" t="str">
        <f>IF(G40=Stand!G40,"S","H")</f>
        <v>H</v>
      </c>
      <c r="U40" s="31" t="str">
        <f>IF(H40=Stand!H40,"S","H")</f>
        <v>H</v>
      </c>
      <c r="V40" s="31" t="str">
        <f>IF(I40=Stand!I40,"S","H")</f>
        <v>H</v>
      </c>
      <c r="W40" s="31" t="str">
        <f>IF(J40=Stand!J40,"S","H")</f>
        <v>H</v>
      </c>
      <c r="X40" s="31" t="str">
        <f>IF(K40=Stand!K40,"S","H")</f>
        <v>H</v>
      </c>
    </row>
    <row r="41" spans="1:24" x14ac:dyDescent="0.2">
      <c r="A41">
        <v>18</v>
      </c>
      <c r="B41">
        <f>MAX(Hit!B41,Stand!B41)</f>
        <v>-9.2935491769284034E-2</v>
      </c>
      <c r="C41">
        <f>MAX(Hit!C41,Stand!C41)</f>
        <v>0.12174190222088771</v>
      </c>
      <c r="D41">
        <f>MAX(Hit!D41,Stand!D41)</f>
        <v>0.14830007284131119</v>
      </c>
      <c r="E41">
        <f>MAX(Hit!E41,Stand!E41)</f>
        <v>0.17585443719748528</v>
      </c>
      <c r="F41">
        <f>MAX(Hit!F41,Stand!F41)</f>
        <v>0.19956119497617719</v>
      </c>
      <c r="G41">
        <f>MAX(Hit!G41,Stand!G41)</f>
        <v>0.28344391604689856</v>
      </c>
      <c r="H41">
        <f>MAX(Hit!H41,Stand!H41)</f>
        <v>0.3995541673365518</v>
      </c>
      <c r="I41">
        <f>MAX(Hit!I41,Stand!I41)</f>
        <v>0.10595134861912359</v>
      </c>
      <c r="J41">
        <f>MAX(Hit!J41,Stand!J41)</f>
        <v>-0.10074430758041522</v>
      </c>
      <c r="K41">
        <f>MAX(Hit!K41,Stand!K41)</f>
        <v>-0.14380812317405353</v>
      </c>
      <c r="N41" s="31">
        <v>18</v>
      </c>
      <c r="O41" s="31" t="str">
        <f>IF(B41=Stand!B41,"S","H")</f>
        <v>H</v>
      </c>
      <c r="P41" s="31" t="str">
        <f>IF(C41=Stand!C41,"S","H")</f>
        <v>S</v>
      </c>
      <c r="Q41" s="31" t="str">
        <f>IF(D41=Stand!D41,"S","H")</f>
        <v>S</v>
      </c>
      <c r="R41" s="31" t="str">
        <f>IF(E41=Stand!E41,"S","H")</f>
        <v>S</v>
      </c>
      <c r="S41" s="31" t="str">
        <f>IF(F41=Stand!F41,"S","H")</f>
        <v>S</v>
      </c>
      <c r="T41" s="31" t="str">
        <f>IF(G41=Stand!G41,"S","H")</f>
        <v>S</v>
      </c>
      <c r="U41" s="31" t="str">
        <f>IF(H41=Stand!H41,"S","H")</f>
        <v>S</v>
      </c>
      <c r="V41" s="31" t="str">
        <f>IF(I41=Stand!I41,"S","H")</f>
        <v>S</v>
      </c>
      <c r="W41" s="31" t="str">
        <f>IF(J41=Stand!J41,"S","H")</f>
        <v>H</v>
      </c>
      <c r="X41" s="31" t="str">
        <f>IF(K41=Stand!K41,"S","H")</f>
        <v>H</v>
      </c>
    </row>
    <row r="42" spans="1:24" x14ac:dyDescent="0.2">
      <c r="A42">
        <v>19</v>
      </c>
      <c r="B42">
        <f>MAX(Hit!B42,Stand!B42)</f>
        <v>0.27763572376835594</v>
      </c>
      <c r="C42">
        <f>MAX(Hit!C42,Stand!C42)</f>
        <v>0.38630468602058993</v>
      </c>
      <c r="D42">
        <f>MAX(Hit!D42,Stand!D42)</f>
        <v>0.4043629365977599</v>
      </c>
      <c r="E42">
        <f>MAX(Hit!E42,Stand!E42)</f>
        <v>0.42317892482749653</v>
      </c>
      <c r="F42">
        <f>MAX(Hit!F42,Stand!F42)</f>
        <v>0.43951210416088371</v>
      </c>
      <c r="G42">
        <f>MAX(Hit!G42,Stand!G42)</f>
        <v>0.49597707378731914</v>
      </c>
      <c r="H42">
        <f>MAX(Hit!H42,Stand!H42)</f>
        <v>0.6159764957534315</v>
      </c>
      <c r="I42">
        <f>MAX(Hit!I42,Stand!I42)</f>
        <v>0.59385366828669439</v>
      </c>
      <c r="J42">
        <f>MAX(Hit!J42,Stand!J42)</f>
        <v>0.28759675706758148</v>
      </c>
      <c r="K42">
        <f>MAX(Hit!K42,Stand!K42)</f>
        <v>6.3118166335840831E-2</v>
      </c>
      <c r="N42" s="31">
        <v>19</v>
      </c>
      <c r="O42" s="31" t="str">
        <f>IF(B42=Stand!B42,"S","H")</f>
        <v>S</v>
      </c>
      <c r="P42" s="31" t="str">
        <f>IF(C42=Stand!C42,"S","H")</f>
        <v>S</v>
      </c>
      <c r="Q42" s="31" t="str">
        <f>IF(D42=Stand!D42,"S","H")</f>
        <v>S</v>
      </c>
      <c r="R42" s="31" t="str">
        <f>IF(E42=Stand!E42,"S","H")</f>
        <v>S</v>
      </c>
      <c r="S42" s="31" t="str">
        <f>IF(F42=Stand!F42,"S","H")</f>
        <v>S</v>
      </c>
      <c r="T42" s="31" t="str">
        <f>IF(G42=Stand!G42,"S","H")</f>
        <v>S</v>
      </c>
      <c r="U42" s="31" t="str">
        <f>IF(H42=Stand!H42,"S","H")</f>
        <v>S</v>
      </c>
      <c r="V42" s="31" t="str">
        <f>IF(I42=Stand!I42,"S","H")</f>
        <v>S</v>
      </c>
      <c r="W42" s="31" t="str">
        <f>IF(J42=Stand!J42,"S","H")</f>
        <v>S</v>
      </c>
      <c r="X42" s="31" t="str">
        <f>IF(K42=Stand!K42,"S","H")</f>
        <v>S</v>
      </c>
    </row>
    <row r="43" spans="1:24" x14ac:dyDescent="0.2">
      <c r="A43">
        <v>20</v>
      </c>
      <c r="B43">
        <f>MAX(Hit!B43,Stand!B43)</f>
        <v>0.65547032314990239</v>
      </c>
      <c r="C43">
        <f>MAX(Hit!C43,Stand!C43)</f>
        <v>0.63998657521683877</v>
      </c>
      <c r="D43">
        <f>MAX(Hit!D43,Stand!D43)</f>
        <v>0.65027209425148136</v>
      </c>
      <c r="E43">
        <f>MAX(Hit!E43,Stand!E43)</f>
        <v>0.66104996194807186</v>
      </c>
      <c r="F43">
        <f>MAX(Hit!F43,Stand!F43)</f>
        <v>0.67035969063279999</v>
      </c>
      <c r="G43">
        <f>MAX(Hit!G43,Stand!G43)</f>
        <v>0.70395857017134467</v>
      </c>
      <c r="H43">
        <f>MAX(Hit!H43,Stand!H43)</f>
        <v>0.77322722653717491</v>
      </c>
      <c r="I43">
        <f>MAX(Hit!I43,Stand!I43)</f>
        <v>0.79181515955189841</v>
      </c>
      <c r="J43">
        <f>MAX(Hit!J43,Stand!J43)</f>
        <v>0.75835687080859626</v>
      </c>
      <c r="K43">
        <f>MAX(Hit!K43,Stand!K43)</f>
        <v>0.55453756646817121</v>
      </c>
      <c r="N43" s="31">
        <v>20</v>
      </c>
      <c r="O43" s="31" t="str">
        <f>IF(B43=Stand!B43,"S","H")</f>
        <v>S</v>
      </c>
      <c r="P43" s="31" t="str">
        <f>IF(C43=Stand!C43,"S","H")</f>
        <v>S</v>
      </c>
      <c r="Q43" s="31" t="str">
        <f>IF(D43=Stand!D43,"S","H")</f>
        <v>S</v>
      </c>
      <c r="R43" s="31" t="str">
        <f>IF(E43=Stand!E43,"S","H")</f>
        <v>S</v>
      </c>
      <c r="S43" s="31" t="str">
        <f>IF(F43=Stand!F43,"S","H")</f>
        <v>S</v>
      </c>
      <c r="T43" s="31" t="str">
        <f>IF(G43=Stand!G43,"S","H")</f>
        <v>S</v>
      </c>
      <c r="U43" s="31" t="str">
        <f>IF(H43=Stand!H43,"S","H")</f>
        <v>S</v>
      </c>
      <c r="V43" s="31" t="str">
        <f>IF(I43=Stand!I43,"S","H")</f>
        <v>S</v>
      </c>
      <c r="W43" s="31" t="str">
        <f>IF(J43=Stand!J43,"S","H")</f>
        <v>S</v>
      </c>
      <c r="X43" s="31" t="str">
        <f>IF(K43=Stand!K43,"S","H")</f>
        <v>S</v>
      </c>
    </row>
    <row r="44" spans="1:24" x14ac:dyDescent="0.2">
      <c r="A44">
        <v>21</v>
      </c>
      <c r="B44">
        <f>MAX(Hit!B44,Stand!B44)</f>
        <v>0.92219381142033785</v>
      </c>
      <c r="C44">
        <f>MAX(Hit!C44,Stand!C44)</f>
        <v>0.88200651549403997</v>
      </c>
      <c r="D44">
        <f>MAX(Hit!D44,Stand!D44)</f>
        <v>0.88530035730174927</v>
      </c>
      <c r="E44">
        <f>MAX(Hit!E44,Stand!E44)</f>
        <v>0.88876729296591961</v>
      </c>
      <c r="F44">
        <f>MAX(Hit!F44,Stand!F44)</f>
        <v>0.89175382659528035</v>
      </c>
      <c r="G44">
        <f>MAX(Hit!G44,Stand!G44)</f>
        <v>0.90283674384257995</v>
      </c>
      <c r="H44">
        <f>MAX(Hit!H44,Stand!H44)</f>
        <v>0.92592629596452325</v>
      </c>
      <c r="I44">
        <f>MAX(Hit!I44,Stand!I44)</f>
        <v>0.93060505318396614</v>
      </c>
      <c r="J44">
        <f>MAX(Hit!J44,Stand!J44)</f>
        <v>0.93917615614724415</v>
      </c>
      <c r="K44">
        <f>MAX(Hit!K44,Stand!K44)</f>
        <v>0.96262363326716827</v>
      </c>
      <c r="N44" s="31">
        <v>21</v>
      </c>
      <c r="O44" s="31" t="str">
        <f>IF(B44=Stand!B44,"S","H")</f>
        <v>S</v>
      </c>
      <c r="P44" s="31" t="str">
        <f>IF(C44=Stand!C44,"S","H")</f>
        <v>S</v>
      </c>
      <c r="Q44" s="31" t="str">
        <f>IF(D44=Stand!D44,"S","H")</f>
        <v>S</v>
      </c>
      <c r="R44" s="31" t="str">
        <f>IF(E44=Stand!E44,"S","H")</f>
        <v>S</v>
      </c>
      <c r="S44" s="31" t="str">
        <f>IF(F44=Stand!F44,"S","H")</f>
        <v>S</v>
      </c>
      <c r="T44" s="31" t="str">
        <f>IF(G44=Stand!G44,"S","H")</f>
        <v>S</v>
      </c>
      <c r="U44" s="31" t="str">
        <f>IF(H44=Stand!H44,"S","H")</f>
        <v>S</v>
      </c>
      <c r="V44" s="31" t="str">
        <f>IF(I44=Stand!I44,"S","H")</f>
        <v>S</v>
      </c>
      <c r="W44" s="31" t="str">
        <f>IF(J44=Stand!J44,"S","H")</f>
        <v>S</v>
      </c>
      <c r="X44" s="31" t="str">
        <f>IF(K44=Stand!K44,"S","H")</f>
        <v>S</v>
      </c>
    </row>
    <row r="45" spans="1:24" x14ac:dyDescent="0.2">
      <c r="A45">
        <v>22</v>
      </c>
      <c r="B45">
        <f>MAX(Hit!B45,Stand!B45)</f>
        <v>-0.35054034044008009</v>
      </c>
      <c r="C45">
        <f>MAX(Hit!C45,Stand!C45)</f>
        <v>-0.25338998596663809</v>
      </c>
      <c r="D45">
        <f>MAX(Hit!D45,Stand!D45)</f>
        <v>-0.2336908997980866</v>
      </c>
      <c r="E45">
        <f>MAX(Hit!E45,Stand!E45)</f>
        <v>-0.21106310899491437</v>
      </c>
      <c r="F45">
        <f>MAX(Hit!F45,Stand!F45)</f>
        <v>-0.16719266083547524</v>
      </c>
      <c r="G45">
        <f>MAX(Hit!G45,Stand!G45)</f>
        <v>-0.1536990158300045</v>
      </c>
      <c r="H45">
        <f>MAX(Hit!H45,Stand!H45)</f>
        <v>-0.21284771451731424</v>
      </c>
      <c r="I45">
        <f>MAX(Hit!I45,Stand!I45)</f>
        <v>-0.27157480502428616</v>
      </c>
      <c r="J45">
        <f>MAX(Hit!J45,Stand!J45)</f>
        <v>-0.3400132806089356</v>
      </c>
      <c r="K45">
        <f>MAX(Hit!K45,Stand!K45)</f>
        <v>-0.38104299284808768</v>
      </c>
      <c r="N45" s="31">
        <v>22</v>
      </c>
      <c r="O45" s="31" t="str">
        <f>IF(B45=Stand!B45,"S","H")</f>
        <v>H</v>
      </c>
      <c r="P45" s="31" t="str">
        <f>IF(C45=Stand!C45,"S","H")</f>
        <v>H</v>
      </c>
      <c r="Q45" s="31" t="str">
        <f>IF(D45=Stand!D45,"S","H")</f>
        <v>H</v>
      </c>
      <c r="R45" s="31" t="str">
        <f>IF(E45=Stand!E45,"S","H")</f>
        <v>S</v>
      </c>
      <c r="S45" s="31" t="str">
        <f>IF(F45=Stand!F45,"S","H")</f>
        <v>S</v>
      </c>
      <c r="T45" s="31" t="str">
        <f>IF(G45=Stand!G45,"S","H")</f>
        <v>S</v>
      </c>
      <c r="U45" s="31" t="str">
        <f>IF(H45=Stand!H45,"S","H")</f>
        <v>H</v>
      </c>
      <c r="V45" s="31" t="str">
        <f>IF(I45=Stand!I45,"S","H")</f>
        <v>H</v>
      </c>
      <c r="W45" s="31" t="str">
        <f>IF(J45=Stand!J45,"S","H")</f>
        <v>H</v>
      </c>
      <c r="X45" s="31" t="str">
        <f>IF(K45=Stand!K45,"S","H")</f>
        <v>H</v>
      </c>
    </row>
    <row r="46" spans="1:24" x14ac:dyDescent="0.2">
      <c r="A46">
        <v>23</v>
      </c>
      <c r="B46">
        <f>MAX(Hit!B46,Stand!B46)</f>
        <v>-0.3969303161229315</v>
      </c>
      <c r="C46">
        <f>MAX(Hit!C46,Stand!C46)</f>
        <v>-0.29278372720927726</v>
      </c>
      <c r="D46">
        <f>MAX(Hit!D46,Stand!D46)</f>
        <v>-0.2522502292357135</v>
      </c>
      <c r="E46">
        <f>MAX(Hit!E46,Stand!E46)</f>
        <v>-0.21106310899491437</v>
      </c>
      <c r="F46">
        <f>MAX(Hit!F46,Stand!F46)</f>
        <v>-0.16719266083547524</v>
      </c>
      <c r="G46">
        <f>MAX(Hit!G46,Stand!G46)</f>
        <v>-0.1536990158300045</v>
      </c>
      <c r="H46">
        <f>MAX(Hit!H46,Stand!H46)</f>
        <v>-0.26907287776607752</v>
      </c>
      <c r="I46">
        <f>MAX(Hit!I46,Stand!I46)</f>
        <v>-0.32360517609397998</v>
      </c>
      <c r="J46">
        <f>MAX(Hit!J46,Stand!J46)</f>
        <v>-0.38715518913686875</v>
      </c>
      <c r="K46">
        <f>MAX(Hit!K46,Stand!K46)</f>
        <v>-0.42525420764465277</v>
      </c>
      <c r="N46" s="31">
        <v>23</v>
      </c>
      <c r="O46" s="31" t="str">
        <f>IF(B46=Stand!B46,"S","H")</f>
        <v>H</v>
      </c>
      <c r="P46" s="31" t="str">
        <f>IF(C46=Stand!C46,"S","H")</f>
        <v>S</v>
      </c>
      <c r="Q46" s="31" t="str">
        <f>IF(D46=Stand!D46,"S","H")</f>
        <v>S</v>
      </c>
      <c r="R46" s="31" t="str">
        <f>IF(E46=Stand!E46,"S","H")</f>
        <v>S</v>
      </c>
      <c r="S46" s="31" t="str">
        <f>IF(F46=Stand!F46,"S","H")</f>
        <v>S</v>
      </c>
      <c r="T46" s="31" t="str">
        <f>IF(G46=Stand!G46,"S","H")</f>
        <v>S</v>
      </c>
      <c r="U46" s="31" t="str">
        <f>IF(H46=Stand!H46,"S","H")</f>
        <v>H</v>
      </c>
      <c r="V46" s="31" t="str">
        <f>IF(I46=Stand!I46,"S","H")</f>
        <v>H</v>
      </c>
      <c r="W46" s="31" t="str">
        <f>IF(J46=Stand!J46,"S","H")</f>
        <v>H</v>
      </c>
      <c r="X46" s="31" t="str">
        <f>IF(K46=Stand!K46,"S","H")</f>
        <v>H</v>
      </c>
    </row>
    <row r="47" spans="1:24" x14ac:dyDescent="0.2">
      <c r="A47">
        <v>24</v>
      </c>
      <c r="B47">
        <f>MAX(Hit!B47,Stand!B47)</f>
        <v>-0.44000672211415065</v>
      </c>
      <c r="C47">
        <f>MAX(Hit!C47,Stand!C47)</f>
        <v>-0.29278372720927726</v>
      </c>
      <c r="D47">
        <f>MAX(Hit!D47,Stand!D47)</f>
        <v>-0.2522502292357135</v>
      </c>
      <c r="E47">
        <f>MAX(Hit!E47,Stand!E47)</f>
        <v>-0.21106310899491437</v>
      </c>
      <c r="F47">
        <f>MAX(Hit!F47,Stand!F47)</f>
        <v>-0.16719266083547524</v>
      </c>
      <c r="G47">
        <f>MAX(Hit!G47,Stand!G47)</f>
        <v>-0.1536990158300045</v>
      </c>
      <c r="H47">
        <f>MAX(Hit!H47,Stand!H47)</f>
        <v>-0.3212819579256434</v>
      </c>
      <c r="I47">
        <f>MAX(Hit!I47,Stand!I47)</f>
        <v>-0.37191909208726714</v>
      </c>
      <c r="J47">
        <f>MAX(Hit!J47,Stand!J47)</f>
        <v>-0.43092981848423528</v>
      </c>
      <c r="K47">
        <f>MAX(Hit!K47,Stand!K47)</f>
        <v>-0.46630747852717758</v>
      </c>
      <c r="N47" s="31">
        <v>24</v>
      </c>
      <c r="O47" s="31" t="str">
        <f>IF(B47=Stand!B47,"S","H")</f>
        <v>H</v>
      </c>
      <c r="P47" s="31" t="str">
        <f>IF(C47=Stand!C47,"S","H")</f>
        <v>S</v>
      </c>
      <c r="Q47" s="31" t="str">
        <f>IF(D47=Stand!D47,"S","H")</f>
        <v>S</v>
      </c>
      <c r="R47" s="31" t="str">
        <f>IF(E47=Stand!E47,"S","H")</f>
        <v>S</v>
      </c>
      <c r="S47" s="31" t="str">
        <f>IF(F47=Stand!F47,"S","H")</f>
        <v>S</v>
      </c>
      <c r="T47" s="31" t="str">
        <f>IF(G47=Stand!G47,"S","H")</f>
        <v>S</v>
      </c>
      <c r="U47" s="31" t="str">
        <f>IF(H47=Stand!H47,"S","H")</f>
        <v>H</v>
      </c>
      <c r="V47" s="31" t="str">
        <f>IF(I47=Stand!I47,"S","H")</f>
        <v>H</v>
      </c>
      <c r="W47" s="31" t="str">
        <f>IF(J47=Stand!J47,"S","H")</f>
        <v>H</v>
      </c>
      <c r="X47" s="31" t="str">
        <f>IF(K47=Stand!K47,"S","H")</f>
        <v>H</v>
      </c>
    </row>
    <row r="48" spans="1:24" x14ac:dyDescent="0.2">
      <c r="A48">
        <v>25</v>
      </c>
      <c r="B48">
        <f>MAX(Hit!B48,Stand!B48)</f>
        <v>-0.4800062419631399</v>
      </c>
      <c r="C48">
        <f>MAX(Hit!C48,Stand!C48)</f>
        <v>-0.29278372720927726</v>
      </c>
      <c r="D48">
        <f>MAX(Hit!D48,Stand!D48)</f>
        <v>-0.2522502292357135</v>
      </c>
      <c r="E48">
        <f>MAX(Hit!E48,Stand!E48)</f>
        <v>-0.21106310899491437</v>
      </c>
      <c r="F48">
        <f>MAX(Hit!F48,Stand!F48)</f>
        <v>-0.16719266083547524</v>
      </c>
      <c r="G48">
        <f>MAX(Hit!G48,Stand!G48)</f>
        <v>-0.1536990158300045</v>
      </c>
      <c r="H48">
        <f>MAX(Hit!H48,Stand!H48)</f>
        <v>-0.36976181807381175</v>
      </c>
      <c r="I48">
        <f>MAX(Hit!I48,Stand!I48)</f>
        <v>-0.41678201408103371</v>
      </c>
      <c r="J48">
        <f>MAX(Hit!J48,Stand!J48)</f>
        <v>-0.47157768859250415</v>
      </c>
      <c r="K48">
        <f>MAX(Hit!K48,Stand!K48)</f>
        <v>-0.5044283729180935</v>
      </c>
      <c r="N48" s="31">
        <v>25</v>
      </c>
      <c r="O48" s="31" t="str">
        <f>IF(B48=Stand!B48,"S","H")</f>
        <v>H</v>
      </c>
      <c r="P48" s="31" t="str">
        <f>IF(C48=Stand!C48,"S","H")</f>
        <v>S</v>
      </c>
      <c r="Q48" s="31" t="str">
        <f>IF(D48=Stand!D48,"S","H")</f>
        <v>S</v>
      </c>
      <c r="R48" s="31" t="str">
        <f>IF(E48=Stand!E48,"S","H")</f>
        <v>S</v>
      </c>
      <c r="S48" s="31" t="str">
        <f>IF(F48=Stand!F48,"S","H")</f>
        <v>S</v>
      </c>
      <c r="T48" s="31" t="str">
        <f>IF(G48=Stand!G48,"S","H")</f>
        <v>S</v>
      </c>
      <c r="U48" s="31" t="str">
        <f>IF(H48=Stand!H48,"S","H")</f>
        <v>H</v>
      </c>
      <c r="V48" s="31" t="str">
        <f>IF(I48=Stand!I48,"S","H")</f>
        <v>H</v>
      </c>
      <c r="W48" s="31" t="str">
        <f>IF(J48=Stand!J48,"S","H")</f>
        <v>H</v>
      </c>
      <c r="X48" s="31" t="str">
        <f>IF(K48=Stand!K48,"S","H")</f>
        <v>H</v>
      </c>
    </row>
    <row r="49" spans="1:24" x14ac:dyDescent="0.2">
      <c r="A49">
        <v>26</v>
      </c>
      <c r="B49">
        <f>MAX(Hit!B49,Stand!B49)</f>
        <v>-0.51714865325148707</v>
      </c>
      <c r="C49">
        <f>MAX(Hit!C49,Stand!C49)</f>
        <v>-0.29278372720927726</v>
      </c>
      <c r="D49">
        <f>MAX(Hit!D49,Stand!D49)</f>
        <v>-0.2522502292357135</v>
      </c>
      <c r="E49">
        <f>MAX(Hit!E49,Stand!E49)</f>
        <v>-0.21106310899491437</v>
      </c>
      <c r="F49">
        <f>MAX(Hit!F49,Stand!F49)</f>
        <v>-0.16719266083547524</v>
      </c>
      <c r="G49">
        <f>MAX(Hit!G49,Stand!G49)</f>
        <v>-0.1536990158300045</v>
      </c>
      <c r="H49">
        <f>MAX(Hit!H49,Stand!H49)</f>
        <v>-0.41477883106853947</v>
      </c>
      <c r="I49">
        <f>MAX(Hit!I49,Stand!I49)</f>
        <v>-0.45844044164667419</v>
      </c>
      <c r="J49">
        <f>MAX(Hit!J49,Stand!J49)</f>
        <v>-0.50932213940732529</v>
      </c>
      <c r="K49">
        <f>MAX(Hit!K49,Stand!K49)</f>
        <v>-0.53982634628108683</v>
      </c>
      <c r="N49" s="31">
        <v>26</v>
      </c>
      <c r="O49" s="31" t="str">
        <f>IF(B49=Stand!B49,"S","H")</f>
        <v>H</v>
      </c>
      <c r="P49" s="31" t="str">
        <f>IF(C49=Stand!C49,"S","H")</f>
        <v>S</v>
      </c>
      <c r="Q49" s="31" t="str">
        <f>IF(D49=Stand!D49,"S","H")</f>
        <v>S</v>
      </c>
      <c r="R49" s="31" t="str">
        <f>IF(E49=Stand!E49,"S","H")</f>
        <v>S</v>
      </c>
      <c r="S49" s="31" t="str">
        <f>IF(F49=Stand!F49,"S","H")</f>
        <v>S</v>
      </c>
      <c r="T49" s="31" t="str">
        <f>IF(G49=Stand!G49,"S","H")</f>
        <v>S</v>
      </c>
      <c r="U49" s="31" t="str">
        <f>IF(H49=Stand!H49,"S","H")</f>
        <v>H</v>
      </c>
      <c r="V49" s="31" t="str">
        <f>IF(I49=Stand!I49,"S","H")</f>
        <v>H</v>
      </c>
      <c r="W49" s="31" t="str">
        <f>IF(J49=Stand!J49,"S","H")</f>
        <v>H</v>
      </c>
      <c r="X49" s="31" t="str">
        <f>IF(K49=Stand!K49,"S","H")</f>
        <v>H</v>
      </c>
    </row>
    <row r="50" spans="1:24" x14ac:dyDescent="0.2">
      <c r="A50">
        <v>27</v>
      </c>
      <c r="B50">
        <f>MAX(Hit!B50,Stand!B50)</f>
        <v>-0.47803347499473703</v>
      </c>
      <c r="C50">
        <f>MAX(Hit!C50,Stand!C50)</f>
        <v>-0.15297458768154204</v>
      </c>
      <c r="D50">
        <f>MAX(Hit!D50,Stand!D50)</f>
        <v>-0.11721624142457365</v>
      </c>
      <c r="E50">
        <f>MAX(Hit!E50,Stand!E50)</f>
        <v>-8.0573373145316152E-2</v>
      </c>
      <c r="F50">
        <f>MAX(Hit!F50,Stand!F50)</f>
        <v>-4.4941375564924446E-2</v>
      </c>
      <c r="G50">
        <f>MAX(Hit!G50,Stand!G50)</f>
        <v>1.1739160673341853E-2</v>
      </c>
      <c r="H50">
        <f>MAX(Hit!H50,Stand!H50)</f>
        <v>-0.10680898948269468</v>
      </c>
      <c r="I50">
        <f>MAX(Hit!I50,Stand!I50)</f>
        <v>-0.38195097104844711</v>
      </c>
      <c r="J50">
        <f>MAX(Hit!J50,Stand!J50)</f>
        <v>-0.42315423964521737</v>
      </c>
      <c r="K50">
        <f>MAX(Hit!K50,Stand!K50)</f>
        <v>-0.41972063392881986</v>
      </c>
      <c r="N50" s="31">
        <v>27</v>
      </c>
      <c r="O50" s="31" t="str">
        <f>IF(B50=Stand!B50,"S","H")</f>
        <v>S</v>
      </c>
      <c r="P50" s="31" t="str">
        <f>IF(C50=Stand!C50,"S","H")</f>
        <v>S</v>
      </c>
      <c r="Q50" s="31" t="str">
        <f>IF(D50=Stand!D50,"S","H")</f>
        <v>S</v>
      </c>
      <c r="R50" s="31" t="str">
        <f>IF(E50=Stand!E50,"S","H")</f>
        <v>S</v>
      </c>
      <c r="S50" s="31" t="str">
        <f>IF(F50=Stand!F50,"S","H")</f>
        <v>S</v>
      </c>
      <c r="T50" s="31" t="str">
        <f>IF(G50=Stand!G50,"S","H")</f>
        <v>S</v>
      </c>
      <c r="U50" s="31" t="str">
        <f>IF(H50=Stand!H50,"S","H")</f>
        <v>S</v>
      </c>
      <c r="V50" s="31" t="str">
        <f>IF(I50=Stand!I50,"S","H")</f>
        <v>S</v>
      </c>
      <c r="W50" s="31" t="str">
        <f>IF(J50=Stand!J50,"S","H")</f>
        <v>S</v>
      </c>
      <c r="X50" s="31" t="str">
        <f>IF(K50=Stand!K50,"S","H")</f>
        <v>S</v>
      </c>
    </row>
    <row r="51" spans="1:24" x14ac:dyDescent="0.2">
      <c r="A51">
        <v>28</v>
      </c>
      <c r="B51">
        <f>MAX(Hit!B51,Stand!B51)</f>
        <v>-0.10019887561319057</v>
      </c>
      <c r="C51">
        <f>MAX(Hit!C51,Stand!C51)</f>
        <v>0.12174190222088771</v>
      </c>
      <c r="D51">
        <f>MAX(Hit!D51,Stand!D51)</f>
        <v>0.14830007284131119</v>
      </c>
      <c r="E51">
        <f>MAX(Hit!E51,Stand!E51)</f>
        <v>0.17585443719748528</v>
      </c>
      <c r="F51">
        <f>MAX(Hit!F51,Stand!F51)</f>
        <v>0.19956119497617719</v>
      </c>
      <c r="G51">
        <f>MAX(Hit!G51,Stand!G51)</f>
        <v>0.28344391604689856</v>
      </c>
      <c r="H51">
        <f>MAX(Hit!H51,Stand!H51)</f>
        <v>0.3995541673365518</v>
      </c>
      <c r="I51">
        <f>MAX(Hit!I51,Stand!I51)</f>
        <v>0.10595134861912359</v>
      </c>
      <c r="J51">
        <f>MAX(Hit!J51,Stand!J51)</f>
        <v>-0.18316335667343331</v>
      </c>
      <c r="K51">
        <f>MAX(Hit!K51,Stand!K51)</f>
        <v>-0.17830123379648949</v>
      </c>
      <c r="N51" s="31">
        <v>28</v>
      </c>
      <c r="O51" s="31" t="str">
        <f>IF(B51=Stand!B51,"S","H")</f>
        <v>S</v>
      </c>
      <c r="P51" s="31" t="str">
        <f>IF(C51=Stand!C51,"S","H")</f>
        <v>S</v>
      </c>
      <c r="Q51" s="31" t="str">
        <f>IF(D51=Stand!D51,"S","H")</f>
        <v>S</v>
      </c>
      <c r="R51" s="31" t="str">
        <f>IF(E51=Stand!E51,"S","H")</f>
        <v>S</v>
      </c>
      <c r="S51" s="31" t="str">
        <f>IF(F51=Stand!F51,"S","H")</f>
        <v>S</v>
      </c>
      <c r="T51" s="31" t="str">
        <f>IF(G51=Stand!G51,"S","H")</f>
        <v>S</v>
      </c>
      <c r="U51" s="31" t="str">
        <f>IF(H51=Stand!H51,"S","H")</f>
        <v>S</v>
      </c>
      <c r="V51" s="31" t="str">
        <f>IF(I51=Stand!I51,"S","H")</f>
        <v>S</v>
      </c>
      <c r="W51" s="31" t="str">
        <f>IF(J51=Stand!J51,"S","H")</f>
        <v>S</v>
      </c>
      <c r="X51" s="31" t="str">
        <f>IF(K51=Stand!K51,"S","H")</f>
        <v>S</v>
      </c>
    </row>
    <row r="52" spans="1:24" x14ac:dyDescent="0.2">
      <c r="A52">
        <v>29</v>
      </c>
      <c r="B52">
        <f>MAX(Hit!B52,Stand!B52)</f>
        <v>0.27763572376835594</v>
      </c>
      <c r="C52">
        <f>MAX(Hit!C52,Stand!C52)</f>
        <v>0.38630468602058993</v>
      </c>
      <c r="D52">
        <f>MAX(Hit!D52,Stand!D52)</f>
        <v>0.4043629365977599</v>
      </c>
      <c r="E52">
        <f>MAX(Hit!E52,Stand!E52)</f>
        <v>0.42317892482749653</v>
      </c>
      <c r="F52">
        <f>MAX(Hit!F52,Stand!F52)</f>
        <v>0.43951210416088371</v>
      </c>
      <c r="G52">
        <f>MAX(Hit!G52,Stand!G52)</f>
        <v>0.49597707378731914</v>
      </c>
      <c r="H52">
        <f>MAX(Hit!H52,Stand!H52)</f>
        <v>0.6159764957534315</v>
      </c>
      <c r="I52">
        <f>MAX(Hit!I52,Stand!I52)</f>
        <v>0.59385366828669439</v>
      </c>
      <c r="J52">
        <f>MAX(Hit!J52,Stand!J52)</f>
        <v>0.28759675706758148</v>
      </c>
      <c r="K52">
        <f>MAX(Hit!K52,Stand!K52)</f>
        <v>6.3118166335840831E-2</v>
      </c>
      <c r="N52" s="31">
        <v>29</v>
      </c>
      <c r="O52" s="31" t="str">
        <f>IF(B52=Stand!B52,"S","H")</f>
        <v>S</v>
      </c>
      <c r="P52" s="31" t="str">
        <f>IF(C52=Stand!C52,"S","H")</f>
        <v>S</v>
      </c>
      <c r="Q52" s="31" t="str">
        <f>IF(D52=Stand!D52,"S","H")</f>
        <v>S</v>
      </c>
      <c r="R52" s="31" t="str">
        <f>IF(E52=Stand!E52,"S","H")</f>
        <v>S</v>
      </c>
      <c r="S52" s="31" t="str">
        <f>IF(F52=Stand!F52,"S","H")</f>
        <v>S</v>
      </c>
      <c r="T52" s="31" t="str">
        <f>IF(G52=Stand!G52,"S","H")</f>
        <v>S</v>
      </c>
      <c r="U52" s="31" t="str">
        <f>IF(H52=Stand!H52,"S","H")</f>
        <v>S</v>
      </c>
      <c r="V52" s="31" t="str">
        <f>IF(I52=Stand!I52,"S","H")</f>
        <v>S</v>
      </c>
      <c r="W52" s="31" t="str">
        <f>IF(J52=Stand!J52,"S","H")</f>
        <v>S</v>
      </c>
      <c r="X52" s="31" t="str">
        <f>IF(K52=Stand!K52,"S","H")</f>
        <v>S</v>
      </c>
    </row>
    <row r="53" spans="1:24" x14ac:dyDescent="0.2">
      <c r="A53">
        <v>30</v>
      </c>
      <c r="B53">
        <f>MAX(Hit!B53,Stand!B53)</f>
        <v>0.65547032314990239</v>
      </c>
      <c r="C53">
        <f>MAX(Hit!C53,Stand!C53)</f>
        <v>0.63998657521683877</v>
      </c>
      <c r="D53">
        <f>MAX(Hit!D53,Stand!D53)</f>
        <v>0.65027209425148136</v>
      </c>
      <c r="E53">
        <f>MAX(Hit!E53,Stand!E53)</f>
        <v>0.66104996194807186</v>
      </c>
      <c r="F53">
        <f>MAX(Hit!F53,Stand!F53)</f>
        <v>0.67035969063279999</v>
      </c>
      <c r="G53">
        <f>MAX(Hit!G53,Stand!G53)</f>
        <v>0.70395857017134467</v>
      </c>
      <c r="H53">
        <f>MAX(Hit!H53,Stand!H53)</f>
        <v>0.77322722653717491</v>
      </c>
      <c r="I53">
        <f>MAX(Hit!I53,Stand!I53)</f>
        <v>0.79181515955189841</v>
      </c>
      <c r="J53">
        <f>MAX(Hit!J53,Stand!J53)</f>
        <v>0.75835687080859626</v>
      </c>
      <c r="K53">
        <f>MAX(Hit!K53,Stand!K53)</f>
        <v>0.55453756646817121</v>
      </c>
      <c r="N53" s="31">
        <v>30</v>
      </c>
      <c r="O53" s="31" t="str">
        <f>IF(B53=Stand!B53,"S","H")</f>
        <v>S</v>
      </c>
      <c r="P53" s="31" t="str">
        <f>IF(C53=Stand!C53,"S","H")</f>
        <v>S</v>
      </c>
      <c r="Q53" s="31" t="str">
        <f>IF(D53=Stand!D53,"S","H")</f>
        <v>S</v>
      </c>
      <c r="R53" s="31" t="str">
        <f>IF(E53=Stand!E53,"S","H")</f>
        <v>S</v>
      </c>
      <c r="S53" s="31" t="str">
        <f>IF(F53=Stand!F53,"S","H")</f>
        <v>S</v>
      </c>
      <c r="T53" s="31" t="str">
        <f>IF(G53=Stand!G53,"S","H")</f>
        <v>S</v>
      </c>
      <c r="U53" s="31" t="str">
        <f>IF(H53=Stand!H53,"S","H")</f>
        <v>S</v>
      </c>
      <c r="V53" s="31" t="str">
        <f>IF(I53=Stand!I53,"S","H")</f>
        <v>S</v>
      </c>
      <c r="W53" s="31" t="str">
        <f>IF(J53=Stand!J53,"S","H")</f>
        <v>S</v>
      </c>
      <c r="X53" s="31" t="str">
        <f>IF(K53=Stand!K53,"S","H")</f>
        <v>S</v>
      </c>
    </row>
    <row r="54" spans="1:24" x14ac:dyDescent="0.2">
      <c r="A54">
        <v>31</v>
      </c>
      <c r="B54">
        <f>MAX(Hit!B54,Stand!B54)</f>
        <v>0.92219381142033785</v>
      </c>
      <c r="C54">
        <f>MAX(Hit!C54,Stand!C54)</f>
        <v>0.88200651549403997</v>
      </c>
      <c r="D54">
        <f>MAX(Hit!D54,Stand!D54)</f>
        <v>0.88530035730174927</v>
      </c>
      <c r="E54">
        <f>MAX(Hit!E54,Stand!E54)</f>
        <v>0.88876729296591961</v>
      </c>
      <c r="F54">
        <f>MAX(Hit!F54,Stand!F54)</f>
        <v>0.89175382659528035</v>
      </c>
      <c r="G54">
        <f>MAX(Hit!G54,Stand!G54)</f>
        <v>0.90283674384257995</v>
      </c>
      <c r="H54">
        <f>MAX(Hit!H54,Stand!H54)</f>
        <v>0.92592629596452325</v>
      </c>
      <c r="I54">
        <f>MAX(Hit!I54,Stand!I54)</f>
        <v>0.93060505318396614</v>
      </c>
      <c r="J54">
        <f>MAX(Hit!J54,Stand!J54)</f>
        <v>0.93917615614724415</v>
      </c>
      <c r="K54">
        <f>MAX(Hit!K54,Stand!K54)</f>
        <v>0.96262363326716827</v>
      </c>
      <c r="N54" s="31">
        <v>31</v>
      </c>
      <c r="O54" s="31" t="str">
        <f>IF(B54=Stand!B54,"S","H")</f>
        <v>S</v>
      </c>
      <c r="P54" s="31" t="str">
        <f>IF(C54=Stand!C54,"S","H")</f>
        <v>S</v>
      </c>
      <c r="Q54" s="31" t="str">
        <f>IF(D54=Stand!D54,"S","H")</f>
        <v>S</v>
      </c>
      <c r="R54" s="31" t="str">
        <f>IF(E54=Stand!E54,"S","H")</f>
        <v>S</v>
      </c>
      <c r="S54" s="31" t="str">
        <f>IF(F54=Stand!F54,"S","H")</f>
        <v>S</v>
      </c>
      <c r="T54" s="31" t="str">
        <f>IF(G54=Stand!G54,"S","H")</f>
        <v>S</v>
      </c>
      <c r="U54" s="31" t="str">
        <f>IF(H54=Stand!H54,"S","H")</f>
        <v>S</v>
      </c>
      <c r="V54" s="31" t="str">
        <f>IF(I54=Stand!I54,"S","H")</f>
        <v>S</v>
      </c>
      <c r="W54" s="31" t="str">
        <f>IF(J54=Stand!J54,"S","H")</f>
        <v>S</v>
      </c>
      <c r="X54" s="31" t="str">
        <f>IF(K54=Stand!K54,"S","H")</f>
        <v>S</v>
      </c>
    </row>
  </sheetData>
  <sheetProtection sheet="1" objects="1" scenarios="1"/>
  <phoneticPr fontId="14" type="noConversion"/>
  <conditionalFormatting sqref="O2:X31">
    <cfRule type="containsText" dxfId="92" priority="5" operator="containsText" text="S">
      <formula>NOT(ISERROR(SEARCH("S",O2)))</formula>
    </cfRule>
    <cfRule type="containsText" dxfId="91" priority="6" operator="containsText" text="H">
      <formula>NOT(ISERROR(SEARCH("H",O2)))</formula>
    </cfRule>
  </conditionalFormatting>
  <conditionalFormatting sqref="O35:X54">
    <cfRule type="containsText" dxfId="90" priority="3" operator="containsText" text="S">
      <formula>NOT(ISERROR(SEARCH("S",O35)))</formula>
    </cfRule>
    <cfRule type="containsText" dxfId="89" priority="4" operator="containsText" text="H">
      <formula>NOT(ISERROR(SEARCH("H",O35)))</formula>
    </cfRule>
  </conditionalFormatting>
  <conditionalFormatting sqref="O34:X34">
    <cfRule type="containsText" dxfId="88" priority="1" operator="containsText" text="S">
      <formula>NOT(ISERROR(SEARCH("S",O34)))</formula>
    </cfRule>
    <cfRule type="containsText" dxfId="87" priority="2" operator="containsText" text="H">
      <formula>NOT(ISERROR(SEARCH("H",O34)))</formula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K9" sqref="K9"/>
    </sheetView>
  </sheetViews>
  <sheetFormatPr baseColWidth="10" defaultColWidth="8.83203125" defaultRowHeight="16" x14ac:dyDescent="0.2"/>
  <sheetData>
    <row r="1" spans="1:11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2</v>
      </c>
      <c r="B2">
        <f>IF(Rules!$B$6=Rules!$E$6,2*(SUM(Stand!B4:B11)+Rules!$B$5*Stand!B12+Stand!B36)/(9+Rules!$B$5),HS!B2)</f>
        <v>-1.3339015493710207</v>
      </c>
      <c r="C2">
        <f>IF(Rules!$B$6=Rules!$E$6,2*(SUM(Stand!C4:C11)+Rules!$B$5*Stand!C12+Stand!C36)/(9+Rules!$B$5),HS!C2)</f>
        <v>-0.58556745441855451</v>
      </c>
      <c r="D2">
        <f>IF(Rules!$B$6=Rules!$E$6,2*(SUM(Stand!D4:D11)+Rules!$B$5*Stand!D12+Stand!D36)/(9+Rules!$B$5),HS!D2)</f>
        <v>-0.5045004584714271</v>
      </c>
      <c r="E2">
        <f>IF(Rules!$B$6=Rules!$E$6,2*(SUM(Stand!E4:E11)+Rules!$B$5*Stand!E12+Stand!E36)/(9+Rules!$B$5),HS!E2)</f>
        <v>-0.42212621798982874</v>
      </c>
      <c r="F2">
        <f>IF(Rules!$B$6=Rules!$E$6,2*(SUM(Stand!F4:F11)+Rules!$B$5*Stand!F12+Stand!F36)/(9+Rules!$B$5),HS!F2)</f>
        <v>-0.33438532167095047</v>
      </c>
      <c r="G2">
        <f>IF(Rules!$B$6=Rules!$E$6,2*(SUM(Stand!G4:G11)+Rules!$B$5*Stand!G12+Stand!G36)/(9+Rules!$B$5),HS!G2)</f>
        <v>-0.30739803166000895</v>
      </c>
      <c r="H2">
        <f>IF(Rules!$B$6=Rules!$E$6,2*(SUM(Stand!H4:H11)+Rules!$B$5*Stand!H12+Stand!H36)/(9+Rules!$B$5),HS!H2)</f>
        <v>-0.95075036655386636</v>
      </c>
      <c r="I2">
        <f>IF(Rules!$B$6=Rules!$E$6,2*(SUM(Stand!I4:I11)+Rules!$B$5*Stand!I12+Stand!I36)/(9+Rules!$B$5),HS!I2)</f>
        <v>-1.0210350309952343</v>
      </c>
      <c r="J2">
        <f>IF(Rules!$B$6=Rules!$E$6,2*(SUM(Stand!J4:J11)+Rules!$B$5*Stand!J12+Stand!J36)/(9+Rules!$B$5),HS!J2)</f>
        <v>-1.0862993622622188</v>
      </c>
      <c r="K2">
        <f>IF(Rules!$B$6=Rules!$E$6,2*(SUM(Stand!K4:K11)+Rules!$B$5*Stand!K12+Stand!K36)/(9+Rules!$B$5),HS!K2)</f>
        <v>-1.0808606679899702</v>
      </c>
    </row>
    <row r="3" spans="1:11" x14ac:dyDescent="0.2">
      <c r="A3">
        <v>3</v>
      </c>
      <c r="B3">
        <f>IF(Rules!$B$6=Rules!$E$6,2*(SUM(Stand!B5:B12)+Rules!$B$5*Stand!B13+Stand!B37)/(9+Rules!$B$5),HS!B3)</f>
        <v>-1.3339015493710207</v>
      </c>
      <c r="C3">
        <f>IF(Rules!$B$6=Rules!$E$6,2*(SUM(Stand!C5:C12)+Rules!$B$5*Stand!C13+Stand!C37)/(9+Rules!$B$5),HS!C3)</f>
        <v>-0.58556745441855451</v>
      </c>
      <c r="D3">
        <f>IF(Rules!$B$6=Rules!$E$6,2*(SUM(Stand!D5:D12)+Rules!$B$5*Stand!D13+Stand!D37)/(9+Rules!$B$5),HS!D3)</f>
        <v>-0.5045004584714271</v>
      </c>
      <c r="E3">
        <f>IF(Rules!$B$6=Rules!$E$6,2*(SUM(Stand!E5:E12)+Rules!$B$5*Stand!E13+Stand!E37)/(9+Rules!$B$5),HS!E3)</f>
        <v>-0.42212621798982874</v>
      </c>
      <c r="F3">
        <f>IF(Rules!$B$6=Rules!$E$6,2*(SUM(Stand!F5:F12)+Rules!$B$5*Stand!F13+Stand!F37)/(9+Rules!$B$5),HS!F3)</f>
        <v>-0.33438532167095047</v>
      </c>
      <c r="G3">
        <f>IF(Rules!$B$6=Rules!$E$6,2*(SUM(Stand!G5:G12)+Rules!$B$5*Stand!G13+Stand!G37)/(9+Rules!$B$5),HS!G3)</f>
        <v>-0.30739803166000895</v>
      </c>
      <c r="H3">
        <f>IF(Rules!$B$6=Rules!$E$6,2*(SUM(Stand!H5:H12)+Rules!$B$5*Stand!H13+Stand!H37)/(9+Rules!$B$5),HS!H3)</f>
        <v>-0.95075036655386636</v>
      </c>
      <c r="I3">
        <f>IF(Rules!$B$6=Rules!$E$6,2*(SUM(Stand!I5:I12)+Rules!$B$5*Stand!I13+Stand!I37)/(9+Rules!$B$5),HS!I3)</f>
        <v>-1.0210350309952343</v>
      </c>
      <c r="J3">
        <f>IF(Rules!$B$6=Rules!$E$6,2*(SUM(Stand!J5:J12)+Rules!$B$5*Stand!J13+Stand!J37)/(9+Rules!$B$5),HS!J3)</f>
        <v>-1.0862993622622188</v>
      </c>
      <c r="K3">
        <f>IF(Rules!$B$6=Rules!$E$6,2*(SUM(Stand!K5:K12)+Rules!$B$5*Stand!K13+Stand!K37)/(9+Rules!$B$5),HS!K3)</f>
        <v>-1.0808606679899702</v>
      </c>
    </row>
    <row r="4" spans="1:11" x14ac:dyDescent="0.2">
      <c r="A4">
        <v>4</v>
      </c>
      <c r="B4">
        <f>IF(Rules!$B$6=Rules!$E$6,2*(SUM(Stand!B6:B13)+Rules!$B$5*Stand!B14+Stand!B38)/(9+Rules!$B$5),HS!B4)</f>
        <v>-1.3339015493710207</v>
      </c>
      <c r="C4">
        <f>IF(Rules!$B$6=Rules!$E$6,2*(SUM(Stand!C6:C13)+Rules!$B$5*Stand!C14+Stand!C38)/(9+Rules!$B$5),HS!C4)</f>
        <v>-0.58556745441855451</v>
      </c>
      <c r="D4">
        <f>IF(Rules!$B$6=Rules!$E$6,2*(SUM(Stand!D6:D13)+Rules!$B$5*Stand!D14+Stand!D38)/(9+Rules!$B$5),HS!D4)</f>
        <v>-0.5045004584714271</v>
      </c>
      <c r="E4">
        <f>IF(Rules!$B$6=Rules!$E$6,2*(SUM(Stand!E6:E13)+Rules!$B$5*Stand!E14+Stand!E38)/(9+Rules!$B$5),HS!E4)</f>
        <v>-0.42212621798982874</v>
      </c>
      <c r="F4">
        <f>IF(Rules!$B$6=Rules!$E$6,2*(SUM(Stand!F6:F13)+Rules!$B$5*Stand!F14+Stand!F38)/(9+Rules!$B$5),HS!F4)</f>
        <v>-0.33438532167095047</v>
      </c>
      <c r="G4">
        <f>IF(Rules!$B$6=Rules!$E$6,2*(SUM(Stand!G6:G13)+Rules!$B$5*Stand!G14+Stand!G38)/(9+Rules!$B$5),HS!G4)</f>
        <v>-0.30739803166000895</v>
      </c>
      <c r="H4">
        <f>IF(Rules!$B$6=Rules!$E$6,2*(SUM(Stand!H6:H13)+Rules!$B$5*Stand!H14+Stand!H38)/(9+Rules!$B$5),HS!H4)</f>
        <v>-0.95075036655386636</v>
      </c>
      <c r="I4">
        <f>IF(Rules!$B$6=Rules!$E$6,2*(SUM(Stand!I6:I13)+Rules!$B$5*Stand!I14+Stand!I38)/(9+Rules!$B$5),HS!I4)</f>
        <v>-1.0210350309952343</v>
      </c>
      <c r="J4">
        <f>IF(Rules!$B$6=Rules!$E$6,2*(SUM(Stand!J6:J13)+Rules!$B$5*Stand!J14+Stand!J38)/(9+Rules!$B$5),HS!J4)</f>
        <v>-1.0862993622622188</v>
      </c>
      <c r="K4">
        <f>IF(Rules!$B$6=Rules!$E$6,2*(SUM(Stand!K6:K13)+Rules!$B$5*Stand!K14+Stand!K38)/(9+Rules!$B$5),HS!K4)</f>
        <v>-1.0808606679899702</v>
      </c>
    </row>
    <row r="5" spans="1:11" x14ac:dyDescent="0.2">
      <c r="A5">
        <v>5</v>
      </c>
      <c r="B5">
        <f>IF(Rules!$B$6=Rules!$E$6,2*(SUM(Stand!B7:B14)+Rules!$B$5*Stand!B15+Stand!B39)/(9+Rules!$B$5),HS!B5)</f>
        <v>-1.3339015493710207</v>
      </c>
      <c r="C5">
        <f>IF(Rules!$B$6=Rules!$E$6,2*(SUM(Stand!C7:C14)+Rules!$B$5*Stand!C15+Stand!C39)/(9+Rules!$B$5),HS!C5)</f>
        <v>-0.58556745441855451</v>
      </c>
      <c r="D5">
        <f>IF(Rules!$B$6=Rules!$E$6,2*(SUM(Stand!D7:D14)+Rules!$B$5*Stand!D15+Stand!D39)/(9+Rules!$B$5),HS!D5)</f>
        <v>-0.5045004584714271</v>
      </c>
      <c r="E5">
        <f>IF(Rules!$B$6=Rules!$E$6,2*(SUM(Stand!E7:E14)+Rules!$B$5*Stand!E15+Stand!E39)/(9+Rules!$B$5),HS!E5)</f>
        <v>-0.42212621798982874</v>
      </c>
      <c r="F5">
        <f>IF(Rules!$B$6=Rules!$E$6,2*(SUM(Stand!F7:F14)+Rules!$B$5*Stand!F15+Stand!F39)/(9+Rules!$B$5),HS!F5)</f>
        <v>-0.33438532167095047</v>
      </c>
      <c r="G5">
        <f>IF(Rules!$B$6=Rules!$E$6,2*(SUM(Stand!G7:G14)+Rules!$B$5*Stand!G15+Stand!G39)/(9+Rules!$B$5),HS!G5)</f>
        <v>-0.30739803166000895</v>
      </c>
      <c r="H5">
        <f>IF(Rules!$B$6=Rules!$E$6,2*(SUM(Stand!H7:H14)+Rules!$B$5*Stand!H15+Stand!H39)/(9+Rules!$B$5),HS!H5)</f>
        <v>-0.95075036655386636</v>
      </c>
      <c r="I5">
        <f>IF(Rules!$B$6=Rules!$E$6,2*(SUM(Stand!I7:I14)+Rules!$B$5*Stand!I15+Stand!I39)/(9+Rules!$B$5),HS!I5)</f>
        <v>-1.0210350309952343</v>
      </c>
      <c r="J5">
        <f>IF(Rules!$B$6=Rules!$E$6,2*(SUM(Stand!J7:J14)+Rules!$B$5*Stand!J15+Stand!J39)/(9+Rules!$B$5),HS!J5)</f>
        <v>-1.0862993622622188</v>
      </c>
      <c r="K5">
        <f>IF(Rules!$B$6=Rules!$E$6,2*(SUM(Stand!K7:K14)+Rules!$B$5*Stand!K15+Stand!K39)/(9+Rules!$B$5),HS!K5)</f>
        <v>-1.0808606679899702</v>
      </c>
    </row>
    <row r="6" spans="1:11" x14ac:dyDescent="0.2">
      <c r="A6">
        <v>6</v>
      </c>
      <c r="B6">
        <f>IF(Rules!$B$6=Rules!$E$6,2*(SUM(Stand!B8:B15)+Rules!$B$5*Stand!B16+Stand!B40)/(9+Rules!$B$5),HS!B6)</f>
        <v>-1.3048373494185941</v>
      </c>
      <c r="C6">
        <f>IF(Rules!$B$6=Rules!$E$6,2*(SUM(Stand!C8:C15)+Rules!$B$5*Stand!C16+Stand!C40)/(9+Rules!$B$5),HS!C6)</f>
        <v>-0.56405835602967214</v>
      </c>
      <c r="D6">
        <f>IF(Rules!$B$6=Rules!$E$6,2*(SUM(Stand!D8:D15)+Rules!$B$5*Stand!D16+Stand!D40)/(9+Rules!$B$5),HS!D6)</f>
        <v>-0.4837259988081748</v>
      </c>
      <c r="E6">
        <f>IF(Rules!$B$6=Rules!$E$6,2*(SUM(Stand!E8:E15)+Rules!$B$5*Stand!E16+Stand!E40)/(9+Rules!$B$5),HS!E6)</f>
        <v>-0.40205087401296752</v>
      </c>
      <c r="F6">
        <f>IF(Rules!$B$6=Rules!$E$6,2*(SUM(Stand!F8:F15)+Rules!$B$5*Stand!F16+Stand!F40)/(9+Rules!$B$5),HS!F6)</f>
        <v>-0.31557743162932728</v>
      </c>
      <c r="G6">
        <f>IF(Rules!$B$6=Rules!$E$6,2*(SUM(Stand!G8:G15)+Rules!$B$5*Stand!G16+Stand!G40)/(9+Rules!$B$5),HS!G6)</f>
        <v>-0.281946004505648</v>
      </c>
      <c r="H6">
        <f>IF(Rules!$B$6=Rules!$E$6,2*(SUM(Stand!H8:H15)+Rules!$B$5*Stand!H16+Stand!H40)/(9+Rules!$B$5),HS!H6)</f>
        <v>-0.89404787520090667</v>
      </c>
      <c r="I6">
        <f>IF(Rules!$B$6=Rules!$E$6,2*(SUM(Stand!I8:I15)+Rules!$B$5*Stand!I16+Stand!I40)/(9+Rules!$B$5),HS!I6)</f>
        <v>-1.001255562618439</v>
      </c>
      <c r="J6">
        <f>IF(Rules!$B$6=Rules!$E$6,2*(SUM(Stand!J8:J15)+Rules!$B$5*Stand!J16+Stand!J40)/(9+Rules!$B$5),HS!J6)</f>
        <v>-1.0678385251105431</v>
      </c>
      <c r="K6">
        <f>IF(Rules!$B$6=Rules!$E$6,2*(SUM(Stand!K8:K15)+Rules!$B$5*Stand!K16+Stand!K40)/(9+Rules!$B$5),HS!K6)</f>
        <v>-1.0622899449028678</v>
      </c>
    </row>
    <row r="7" spans="1:11" x14ac:dyDescent="0.2">
      <c r="A7">
        <v>7</v>
      </c>
      <c r="B7">
        <f>IF(Rules!$B$6=Rules!$E$6,2*(SUM(Stand!B9:B16)+Rules!$B$5*Stand!B17+Stand!B41)/(9+Rules!$B$5),HS!B7)</f>
        <v>-1.1304521497040341</v>
      </c>
      <c r="C7">
        <f>IF(Rules!$B$6=Rules!$E$6,2*(SUM(Stand!C9:C16)+Rules!$B$5*Stand!C17+Stand!C41)/(9+Rules!$B$5),HS!C7)</f>
        <v>-0.43575788710453822</v>
      </c>
      <c r="D7">
        <f>IF(Rules!$B$6=Rules!$E$6,2*(SUM(Stand!D9:D16)+Rules!$B$5*Stand!D17+Stand!D41)/(9+Rules!$B$5),HS!D7)</f>
        <v>-0.35977949642195262</v>
      </c>
      <c r="E7">
        <f>IF(Rules!$B$6=Rules!$E$6,2*(SUM(Stand!E9:E16)+Rules!$B$5*Stand!E17+Stand!E41)/(9+Rules!$B$5),HS!E7)</f>
        <v>-0.28229906574509145</v>
      </c>
      <c r="F7">
        <f>IF(Rules!$B$6=Rules!$E$6,2*(SUM(Stand!F9:F16)+Rules!$B$5*Stand!F17+Stand!F41)/(9+Rules!$B$5),HS!F7)</f>
        <v>-0.20273009137958806</v>
      </c>
      <c r="G7">
        <f>IF(Rules!$B$6=Rules!$E$6,2*(SUM(Stand!G9:G16)+Rules!$B$5*Stand!G17+Stand!G41)/(9+Rules!$B$5),HS!G7)</f>
        <v>-0.13833716429227227</v>
      </c>
      <c r="H7">
        <f>IF(Rules!$B$6=Rules!$E$6,2*(SUM(Stand!H9:H16)+Rules!$B$5*Stand!H17+Stand!H41)/(9+Rules!$B$5),HS!H7)</f>
        <v>-0.58933588566302952</v>
      </c>
      <c r="I7">
        <f>IF(Rules!$B$6=Rules!$E$6,2*(SUM(Stand!I9:I16)+Rules!$B$5*Stand!I17+Stand!I41)/(9+Rules!$B$5),HS!I7)</f>
        <v>-0.84707579377778497</v>
      </c>
      <c r="J7">
        <f>IF(Rules!$B$6=Rules!$E$6,2*(SUM(Stand!J9:J16)+Rules!$B$5*Stand!J17+Stand!J41)/(9+Rules!$B$5),HS!J7)</f>
        <v>-0.95707350220048881</v>
      </c>
      <c r="K7">
        <f>IF(Rules!$B$6=Rules!$E$6,2*(SUM(Stand!K9:K16)+Rules!$B$5*Stand!K17+Stand!K41)/(9+Rules!$B$5),HS!K7)</f>
        <v>-0.95086560638025364</v>
      </c>
    </row>
    <row r="8" spans="1:11" x14ac:dyDescent="0.2">
      <c r="A8">
        <v>8</v>
      </c>
      <c r="B8">
        <f>IF(Rules!$B$6=Rules!$E$6,2*(SUM(Stand!B10:B17)+Rules!$B$5*Stand!B18+Stand!B42)/(9+Rules!$B$5),HS!B8)</f>
        <v>-0.81074595022734097</v>
      </c>
      <c r="C8">
        <f>IF(Rules!$B$6=Rules!$E$6,2*(SUM(Stand!C10:C17)+Rules!$B$5*Stand!C18+Stand!C42)/(9+Rules!$B$5),HS!C8)</f>
        <v>-0.20449052049882185</v>
      </c>
      <c r="D8">
        <f>IF(Rules!$B$6=Rules!$E$6,2*(SUM(Stand!D10:D17)+Rules!$B$5*Stand!D18+Stand!D42)/(9+Rules!$B$5),HS!D8)</f>
        <v>-0.13621609509408675</v>
      </c>
      <c r="E8">
        <f>IF(Rules!$B$6=Rules!$E$6,2*(SUM(Stand!E10:E17)+Rules!$B$5*Stand!E18+Stand!E42)/(9+Rules!$B$5),HS!E8)</f>
        <v>-6.6372071152658363E-2</v>
      </c>
      <c r="F8">
        <f>IF(Rules!$B$6=Rules!$E$6,2*(SUM(Stand!F10:F17)+Rules!$B$5*Stand!F18+Stand!F42)/(9+Rules!$B$5),HS!F8)</f>
        <v>3.456443484975604E-3</v>
      </c>
      <c r="G8">
        <f>IF(Rules!$B$6=Rules!$E$6,2*(SUM(Stand!G10:G17)+Rules!$B$5*Stand!G18+Stand!G42)/(9+Rules!$B$5),HS!G8)</f>
        <v>8.7015198128957527E-2</v>
      </c>
      <c r="H8">
        <f>IF(Rules!$B$6=Rules!$E$6,2*(SUM(Stand!H10:H17)+Rules!$B$5*Stand!H18+Stand!H42)/(9+Rules!$B$5),HS!H8)</f>
        <v>-0.18772955497255212</v>
      </c>
      <c r="I8">
        <f>IF(Rules!$B$6=Rules!$E$6,2*(SUM(Stand!I10:I17)+Rules!$B$5*Stand!I18+Stand!I42)/(9+Rules!$B$5),HS!I8)</f>
        <v>-0.45198684873362743</v>
      </c>
      <c r="J8">
        <f>IF(Rules!$B$6=Rules!$E$6,2*(SUM(Stand!J10:J17)+Rules!$B$5*Stand!J18+Stand!J42)/(9+Rules!$B$5),HS!J8)</f>
        <v>-0.7185013349521745</v>
      </c>
      <c r="K8">
        <f>IF(Rules!$B$6=Rules!$E$6,2*(SUM(Stand!K10:K17)+Rules!$B$5*Stand!K18+Stand!K42)/(9+Rules!$B$5),HS!K8)</f>
        <v>-0.7465876524221281</v>
      </c>
    </row>
    <row r="9" spans="1:11" x14ac:dyDescent="0.2">
      <c r="A9">
        <v>9</v>
      </c>
      <c r="B9">
        <f>2*(SUM(Stand!B11:B18)+Rules!$B$5*Stand!B19+Stand!B43)/(9+Rules!$B$5)</f>
        <v>-0.4329113508457943</v>
      </c>
      <c r="C9">
        <f>2*(SUM(Stand!C11:C18)+Rules!$B$5*Stand!C19+Stand!C43)/(9+Rules!$B$5)</f>
        <v>6.1118503166597012E-2</v>
      </c>
      <c r="D9">
        <f>2*(SUM(Stand!D11:D18)+Rules!$B$5*Stand!D19+Stand!D43)/(9+Rules!$B$5)</f>
        <v>0.12081635332999649</v>
      </c>
      <c r="E9">
        <f>2*(SUM(Stand!E11:E18)+Rules!$B$5*Stand!E19+Stand!E43)/(9+Rules!$B$5)</f>
        <v>0.18194893405242166</v>
      </c>
      <c r="F9">
        <f>2*(SUM(Stand!F11:F18)+Rules!$B$5*Stand!F19+Stand!F43)/(9+Rules!$B$5)</f>
        <v>0.24305722487303633</v>
      </c>
      <c r="G9">
        <f>2*(SUM(Stand!G11:G18)+Rules!$B$5*Stand!G19+Stand!G43)/(9+Rules!$B$5)</f>
        <v>0.31705474570166692</v>
      </c>
      <c r="H9">
        <f>2*(SUM(Stand!H11:H18)+Rules!$B$5*Stand!H19+Stand!H43)/(9+Rules!$B$5)</f>
        <v>0.10425035196048602</v>
      </c>
      <c r="I9">
        <f>2*(SUM(Stand!I11:I18)+Rules!$B$5*Stand!I19+Stand!I43)/(9+Rules!$B$5)</f>
        <v>-2.6442289648669331E-2</v>
      </c>
      <c r="J9">
        <f>2*(SUM(Stand!J11:J18)+Rules!$B$5*Stand!J19+Stand!J43)/(9+Rules!$B$5)</f>
        <v>-0.30099565908098225</v>
      </c>
      <c r="K9">
        <f>2*(SUM(Stand!K11:K18)+Rules!$B$5*Stand!K19+Stand!K43)/(9+Rules!$B$5)</f>
        <v>-0.46670671382825923</v>
      </c>
    </row>
    <row r="10" spans="1:11" x14ac:dyDescent="0.2">
      <c r="A10">
        <v>10</v>
      </c>
      <c r="B10">
        <f>2*(SUM(Stand!B12:B19)+Rules!$B$5*Stand!B20+Stand!B44)/(9+Rules!$B$5)</f>
        <v>-1.4042368653411651E-2</v>
      </c>
      <c r="C10">
        <f>2*(SUM(Stand!C12:C19)+Rules!$B$5*Stand!C20+Stand!C44)/(9+Rules!$B$5)</f>
        <v>0.3589394124422991</v>
      </c>
      <c r="D10">
        <f>2*(SUM(Stand!D12:D19)+Rules!$B$5*Stand!D20+Stand!D44)/(9+Rules!$B$5)</f>
        <v>0.40932067017593915</v>
      </c>
      <c r="E10">
        <f>2*(SUM(Stand!E12:E19)+Rules!$B$5*Stand!E20+Stand!E44)/(9+Rules!$B$5)</f>
        <v>0.460940243794354</v>
      </c>
      <c r="F10">
        <f>2*(SUM(Stand!F12:F19)+Rules!$B$5*Stand!F20+Stand!F44)/(9+Rules!$B$5)</f>
        <v>0.51251710900326775</v>
      </c>
      <c r="G10">
        <f>2*(SUM(Stand!G12:G19)+Rules!$B$5*Stand!G20+Stand!G44)/(9+Rules!$B$5)</f>
        <v>0.57559016859776857</v>
      </c>
      <c r="H10">
        <f>2*(SUM(Stand!H12:H19)+Rules!$B$5*Stand!H20+Stand!H44)/(9+Rules!$B$5)</f>
        <v>0.39241245528243773</v>
      </c>
      <c r="I10">
        <f>2*(SUM(Stand!I12:I19)+Rules!$B$5*Stand!I20+Stand!I44)/(9+Rules!$B$5)</f>
        <v>0.28663571688628381</v>
      </c>
      <c r="J10">
        <f>2*(SUM(Stand!J12:J19)+Rules!$B$5*Stand!J20+Stand!J44)/(9+Rules!$B$5)</f>
        <v>0.1443283683807712</v>
      </c>
      <c r="K10">
        <f>2*(SUM(Stand!K12:K19)+Rules!$B$5*Stand!K20+Stand!K44)/(9+Rules!$B$5)</f>
        <v>-8.6586880345447086E-3</v>
      </c>
    </row>
    <row r="11" spans="1:11" x14ac:dyDescent="0.2">
      <c r="A11">
        <v>11</v>
      </c>
      <c r="B11">
        <f>2*(SUM(Stand!B13:B20)+Rules!$B$5*Stand!B21+Stand!B45)/(9+Rules!$B$5)</f>
        <v>0.10906077977909699</v>
      </c>
      <c r="C11">
        <f>2*(SUM(Stand!C13:C20)+Rules!$B$5*Stand!C21+Stand!C45)/(9+Rules!$B$5)</f>
        <v>0.47064092333946889</v>
      </c>
      <c r="D11">
        <f>2*(SUM(Stand!D13:D20)+Rules!$B$5*Stand!D21+Stand!D45)/(9+Rules!$B$5)</f>
        <v>0.51779525312221675</v>
      </c>
      <c r="E11">
        <f>2*(SUM(Stand!E13:E20)+Rules!$B$5*Stand!E21+Stand!E45)/(9+Rules!$B$5)</f>
        <v>0.56604055041797607</v>
      </c>
      <c r="F11">
        <f>2*(SUM(Stand!F13:F20)+Rules!$B$5*Stand!F21+Stand!F45)/(9+Rules!$B$5)</f>
        <v>0.61469901790902803</v>
      </c>
      <c r="G11">
        <f>2*(SUM(Stand!G13:G20)+Rules!$B$5*Stand!G21+Stand!G45)/(9+Rules!$B$5)</f>
        <v>0.66738009490756944</v>
      </c>
      <c r="H11">
        <f>2*(SUM(Stand!H13:H20)+Rules!$B$5*Stand!H21+Stand!H45)/(9+Rules!$B$5)</f>
        <v>0.46288894886429077</v>
      </c>
      <c r="I11">
        <f>2*(SUM(Stand!I13:I20)+Rules!$B$5*Stand!I21+Stand!I45)/(9+Rules!$B$5)</f>
        <v>0.35069259087031501</v>
      </c>
      <c r="J11">
        <f>2*(SUM(Stand!J13:J20)+Rules!$B$5*Stand!J21+Stand!J45)/(9+Rules!$B$5)</f>
        <v>0.22778342315245487</v>
      </c>
      <c r="K11">
        <f>2*(SUM(Stand!K13:K20)+Rules!$B$5*Stand!K21+Stand!K45)/(9+Rules!$B$5)</f>
        <v>0.1796887274111463</v>
      </c>
    </row>
    <row r="12" spans="1:11" x14ac:dyDescent="0.2">
      <c r="A12">
        <v>12</v>
      </c>
      <c r="B12">
        <f>IF(Rules!$B$6=Rules!$E$6,2*(SUM(Stand!B14:B21)+Rules!$B$5*Stand!B22+Stand!B46)/(9+Rules!$B$5),HS!B12)</f>
        <v>-0.82934393707867271</v>
      </c>
      <c r="C12">
        <f>IF(Rules!$B$6=Rules!$E$6,2*(SUM(Stand!C14:C21)+Rules!$B$5*Stand!C22+Stand!C46)/(9+Rules!$B$5),HS!C12)</f>
        <v>-0.50677997193327606</v>
      </c>
      <c r="D12">
        <f>IF(Rules!$B$6=Rules!$E$6,2*(SUM(Stand!D14:D21)+Rules!$B$5*Stand!D22+Stand!D46)/(9+Rules!$B$5),HS!D12)</f>
        <v>-0.46738179959617321</v>
      </c>
      <c r="E12">
        <f>IF(Rules!$B$6=Rules!$E$6,2*(SUM(Stand!E14:E21)+Rules!$B$5*Stand!E22+Stand!E46)/(9+Rules!$B$5),HS!E12)</f>
        <v>-0.4270731064901539</v>
      </c>
      <c r="F12">
        <f>IF(Rules!$B$6=Rules!$E$6,2*(SUM(Stand!F14:F21)+Rules!$B$5*Stand!F22+Stand!F46)/(9+Rules!$B$5),HS!F12)</f>
        <v>-0.38654233885256678</v>
      </c>
      <c r="G12">
        <f>IF(Rules!$B$6=Rules!$E$6,2*(SUM(Stand!G14:G21)+Rules!$B$5*Stand!G22+Stand!G46)/(9+Rules!$B$5),HS!G12)</f>
        <v>-0.34105239981515906</v>
      </c>
      <c r="H12">
        <f>IF(Rules!$B$6=Rules!$E$6,2*(SUM(Stand!H14:H21)+Rules!$B$5*Stand!H22+Stand!H46)/(9+Rules!$B$5),HS!H12)</f>
        <v>-0.50671162107673018</v>
      </c>
      <c r="I12">
        <f>IF(Rules!$B$6=Rules!$E$6,2*(SUM(Stand!I14:I21)+Rules!$B$5*Stand!I22+Stand!I46)/(9+Rules!$B$5),HS!I12)</f>
        <v>-0.61566089283034364</v>
      </c>
      <c r="J12">
        <f>IF(Rules!$B$6=Rules!$E$6,2*(SUM(Stand!J14:J21)+Rules!$B$5*Stand!J22+Stand!J46)/(9+Rules!$B$5),HS!J12)</f>
        <v>-0.73750562104917949</v>
      </c>
      <c r="K12">
        <f>IF(Rules!$B$6=Rules!$E$6,2*(SUM(Stand!K14:K21)+Rules!$B$5*Stand!K22+Stand!K46)/(9+Rules!$B$5),HS!K12)</f>
        <v>-0.79684059040524136</v>
      </c>
    </row>
    <row r="13" spans="1:11" x14ac:dyDescent="0.2">
      <c r="A13">
        <v>13</v>
      </c>
      <c r="B13">
        <f>IF(Rules!$B$6=Rules!$E$6,2*(SUM(Stand!B15:B22)+Rules!$B$5*Stand!B23+Stand!B47)/(9+Rules!$B$5),HS!B13)</f>
        <v>-0.88058227943474798</v>
      </c>
      <c r="C13">
        <f>IF(Rules!$B$6=Rules!$E$6,2*(SUM(Stand!C15:C22)+Rules!$B$5*Stand!C23+Stand!C47)/(9+Rules!$B$5),HS!C13)</f>
        <v>-0.61558247543954125</v>
      </c>
      <c r="D13">
        <f>IF(Rules!$B$6=Rules!$E$6,2*(SUM(Stand!D15:D22)+Rules!$B$5*Stand!D23+Stand!D47)/(9+Rules!$B$5),HS!D13)</f>
        <v>-0.58242022586760189</v>
      </c>
      <c r="E13">
        <f>IF(Rules!$B$6=Rules!$E$6,2*(SUM(Stand!E15:E22)+Rules!$B$5*Stand!E23+Stand!E47)/(9+Rules!$B$5),HS!E13)</f>
        <v>-0.54844801279862854</v>
      </c>
      <c r="F13">
        <f>IF(Rules!$B$6=Rules!$E$6,2*(SUM(Stand!F15:F22)+Rules!$B$5*Stand!F23+Stand!F47)/(9+Rules!$B$5),HS!F13)</f>
        <v>-0.51466654487787822</v>
      </c>
      <c r="G13">
        <f>IF(Rules!$B$6=Rules!$E$6,2*(SUM(Stand!G15:G22)+Rules!$B$5*Stand!G23+Stand!G47)/(9+Rules!$B$5),HS!G13)</f>
        <v>-0.47125255122592757</v>
      </c>
      <c r="H13">
        <f>IF(Rules!$B$6=Rules!$E$6,2*(SUM(Stand!H15:H22)+Rules!$B$5*Stand!H23+Stand!H47)/(9+Rules!$B$5),HS!H13)</f>
        <v>-0.58742313134181745</v>
      </c>
      <c r="I13">
        <f>IF(Rules!$B$6=Rules!$E$6,2*(SUM(Stand!I15:I22)+Rules!$B$5*Stand!I23+Stand!I47)/(9+Rules!$B$5),HS!I13)</f>
        <v>-0.6909658904460948</v>
      </c>
      <c r="J13">
        <f>IF(Rules!$B$6=Rules!$E$6,2*(SUM(Stand!J15:J22)+Rules!$B$5*Stand!J23+Stand!J47)/(9+Rules!$B$5),HS!J13)</f>
        <v>-0.80779028549054732</v>
      </c>
      <c r="K13">
        <f>IF(Rules!$B$6=Rules!$E$6,2*(SUM(Stand!K15:K22)+Rules!$B$5*Stand!K23+Stand!K47)/(9+Rules!$B$5),HS!K13)</f>
        <v>-0.86754361594447438</v>
      </c>
    </row>
    <row r="14" spans="1:11" x14ac:dyDescent="0.2">
      <c r="A14">
        <v>14</v>
      </c>
      <c r="B14">
        <f>IF(Rules!$B$6=Rules!$E$6,2*(SUM(Stand!B16:B23)+Rules!$B$5*Stand!B24+Stand!B48)/(9+Rules!$B$5),HS!B14)</f>
        <v>-0.93182062179082337</v>
      </c>
      <c r="C14">
        <f>IF(Rules!$B$6=Rules!$E$6,2*(SUM(Stand!C16:C23)+Rules!$B$5*Stand!C24+Stand!C48)/(9+Rules!$B$5),HS!C14)</f>
        <v>-0.72438497894580622</v>
      </c>
      <c r="D14">
        <f>IF(Rules!$B$6=Rules!$E$6,2*(SUM(Stand!D16:D23)+Rules!$B$5*Stand!D24+Stand!D48)/(9+Rules!$B$5),HS!D14)</f>
        <v>-0.69745865213903058</v>
      </c>
      <c r="E14">
        <f>IF(Rules!$B$6=Rules!$E$6,2*(SUM(Stand!E16:E23)+Rules!$B$5*Stand!E24+Stand!E48)/(9+Rules!$B$5),HS!E14)</f>
        <v>-0.66982291910710334</v>
      </c>
      <c r="F14">
        <f>IF(Rules!$B$6=Rules!$E$6,2*(SUM(Stand!F16:F23)+Rules!$B$5*Stand!F24+Stand!F48)/(9+Rules!$B$5),HS!F14)</f>
        <v>-0.64279075090318982</v>
      </c>
      <c r="G14">
        <f>IF(Rules!$B$6=Rules!$E$6,2*(SUM(Stand!G16:G23)+Rules!$B$5*Stand!G24+Stand!G48)/(9+Rules!$B$5),HS!G14)</f>
        <v>-0.60145270263669615</v>
      </c>
      <c r="H14">
        <f>IF(Rules!$B$6=Rules!$E$6,2*(SUM(Stand!H16:H23)+Rules!$B$5*Stand!H24+Stand!H48)/(9+Rules!$B$5),HS!H14)</f>
        <v>-0.66813464160690461</v>
      </c>
      <c r="I14">
        <f>IF(Rules!$B$6=Rules!$E$6,2*(SUM(Stand!I16:I23)+Rules!$B$5*Stand!I24+Stand!I48)/(9+Rules!$B$5),HS!I14)</f>
        <v>-0.76627088806184607</v>
      </c>
      <c r="J14">
        <f>IF(Rules!$B$6=Rules!$E$6,2*(SUM(Stand!J16:J23)+Rules!$B$5*Stand!J24+Stand!J48)/(9+Rules!$B$5),HS!J14)</f>
        <v>-0.87807494993191493</v>
      </c>
      <c r="K14">
        <f>IF(Rules!$B$6=Rules!$E$6,2*(SUM(Stand!K16:K23)+Rules!$B$5*Stand!K24+Stand!K48)/(9+Rules!$B$5),HS!K14)</f>
        <v>-0.93824664148370751</v>
      </c>
    </row>
    <row r="15" spans="1:11" x14ac:dyDescent="0.2">
      <c r="A15">
        <v>15</v>
      </c>
      <c r="B15">
        <f>IF(Rules!$B$6=Rules!$E$6,2*(SUM(Stand!B17:B24)+Rules!$B$5*Stand!B25+Stand!B49)/(9+Rules!$B$5),HS!B15)</f>
        <v>-0.98305896414689875</v>
      </c>
      <c r="C15">
        <f>IF(Rules!$B$6=Rules!$E$6,2*(SUM(Stand!C17:C24)+Rules!$B$5*Stand!C25+Stand!C49)/(9+Rules!$B$5),HS!C15)</f>
        <v>-0.83318748245207119</v>
      </c>
      <c r="D15">
        <f>IF(Rules!$B$6=Rules!$E$6,2*(SUM(Stand!D17:D24)+Rules!$B$5*Stand!D25+Stand!D49)/(9+Rules!$B$5),HS!D15)</f>
        <v>-0.81249707841045926</v>
      </c>
      <c r="E15">
        <f>IF(Rules!$B$6=Rules!$E$6,2*(SUM(Stand!E17:E24)+Rules!$B$5*Stand!E25+Stand!E49)/(9+Rules!$B$5),HS!E15)</f>
        <v>-0.79119782541557804</v>
      </c>
      <c r="F15">
        <f>IF(Rules!$B$6=Rules!$E$6,2*(SUM(Stand!F17:F24)+Rules!$B$5*Stand!F25+Stand!F49)/(9+Rules!$B$5),HS!F15)</f>
        <v>-0.77091495692850132</v>
      </c>
      <c r="G15">
        <f>IF(Rules!$B$6=Rules!$E$6,2*(SUM(Stand!G17:G24)+Rules!$B$5*Stand!G25+Stand!G49)/(9+Rules!$B$5),HS!G15)</f>
        <v>-0.73165285404746472</v>
      </c>
      <c r="H15">
        <f>IF(Rules!$B$6=Rules!$E$6,2*(SUM(Stand!H17:H24)+Rules!$B$5*Stand!H25+Stand!H49)/(9+Rules!$B$5),HS!H15)</f>
        <v>-0.74884615187199166</v>
      </c>
      <c r="I15">
        <f>IF(Rules!$B$6=Rules!$E$6,2*(SUM(Stand!I17:I24)+Rules!$B$5*Stand!I25+Stand!I49)/(9+Rules!$B$5),HS!I15)</f>
        <v>-0.84157588567759711</v>
      </c>
      <c r="J15">
        <f>IF(Rules!$B$6=Rules!$E$6,2*(SUM(Stand!J17:J24)+Rules!$B$5*Stand!J25+Stand!J49)/(9+Rules!$B$5),HS!J15)</f>
        <v>-0.94835961437328287</v>
      </c>
      <c r="K15">
        <f>IF(Rules!$B$6=Rules!$E$6,2*(SUM(Stand!K17:K24)+Rules!$B$5*Stand!K25+Stand!K49)/(9+Rules!$B$5),HS!K15)</f>
        <v>-1.0089496670229408</v>
      </c>
    </row>
    <row r="16" spans="1:11" x14ac:dyDescent="0.2">
      <c r="A16">
        <v>16</v>
      </c>
      <c r="B16">
        <f>IF(Rules!$B$6=Rules!$E$6,2*(SUM(Stand!B18:B25)+Rules!$B$5*Stand!B26+Stand!B50)/(9+Rules!$B$5),HS!B16)</f>
        <v>-1.0342973065029741</v>
      </c>
      <c r="C16">
        <f>IF(Rules!$B$6=Rules!$E$6,2*(SUM(Stand!C18:C25)+Rules!$B$5*Stand!C26+Stand!C50)/(9+Rules!$B$5),HS!C16)</f>
        <v>-0.94198998595833627</v>
      </c>
      <c r="D16">
        <f>IF(Rules!$B$6=Rules!$E$6,2*(SUM(Stand!D18:D25)+Rules!$B$5*Stand!D26+Stand!D50)/(9+Rules!$B$5),HS!D16)</f>
        <v>-0.92753550468188806</v>
      </c>
      <c r="E16">
        <f>IF(Rules!$B$6=Rules!$E$6,2*(SUM(Stand!E18:E25)+Rules!$B$5*Stand!E26+Stand!E50)/(9+Rules!$B$5),HS!E16)</f>
        <v>-0.91257273172405273</v>
      </c>
      <c r="F16">
        <f>IF(Rules!$B$6=Rules!$E$6,2*(SUM(Stand!F18:F25)+Rules!$B$5*Stand!F26+Stand!F50)/(9+Rules!$B$5),HS!F16)</f>
        <v>-0.89903916295381292</v>
      </c>
      <c r="G16">
        <f>IF(Rules!$B$6=Rules!$E$6,2*(SUM(Stand!G18:G25)+Rules!$B$5*Stand!G26+Stand!G50)/(9+Rules!$B$5),HS!G16)</f>
        <v>-0.86185300545823318</v>
      </c>
      <c r="H16">
        <f>IF(Rules!$B$6=Rules!$E$6,2*(SUM(Stand!H18:H25)+Rules!$B$5*Stand!H26+Stand!H50)/(9+Rules!$B$5),HS!H16)</f>
        <v>-0.82955766213707893</v>
      </c>
      <c r="I16">
        <f>IF(Rules!$B$6=Rules!$E$6,2*(SUM(Stand!I18:I25)+Rules!$B$5*Stand!I26+Stand!I50)/(9+Rules!$B$5),HS!I16)</f>
        <v>-0.91688088329334838</v>
      </c>
      <c r="J16">
        <f>IF(Rules!$B$6=Rules!$E$6,2*(SUM(Stand!J18:J25)+Rules!$B$5*Stand!J26+Stand!J50)/(9+Rules!$B$5),HS!J16)</f>
        <v>-1.0186442788146506</v>
      </c>
      <c r="K16">
        <f>IF(Rules!$B$6=Rules!$E$6,2*(SUM(Stand!K18:K25)+Rules!$B$5*Stand!K26+Stand!K50)/(9+Rules!$B$5),HS!K16)</f>
        <v>-1.0796526925621737</v>
      </c>
    </row>
    <row r="17" spans="1:11" x14ac:dyDescent="0.2">
      <c r="A17">
        <v>17</v>
      </c>
      <c r="B17">
        <f>IF(Rules!$B$6=Rules!$E$6,2*(SUM(Stand!B19:B26)+Rules!$B$5*Stand!B27+Stand!B51)/(9+Rules!$B$5),HS!B17)</f>
        <v>-1.1145998488114761</v>
      </c>
      <c r="C17">
        <f>IF(Rules!$B$6=Rules!$E$6,2*(SUM(Stand!C19:C26)+Rules!$B$5*Stand!C27+Stand!C51)/(9+Rules!$B$5),HS!C17)</f>
        <v>-1.0723015878534836</v>
      </c>
      <c r="D17">
        <f>IF(Rules!$B$6=Rules!$E$6,2*(SUM(Stand!D19:D26)+Rules!$B$5*Stand!D27+Stand!D51)/(9+Rules!$B$5),HS!D17)</f>
        <v>-1.0633483906165688</v>
      </c>
      <c r="E17">
        <f>IF(Rules!$B$6=Rules!$E$6,2*(SUM(Stand!E19:E26)+Rules!$B$5*Stand!E27+Stand!E51)/(9+Rules!$B$5),HS!E17)</f>
        <v>-1.0540229820093887</v>
      </c>
      <c r="F17">
        <f>IF(Rules!$B$6=Rules!$E$6,2*(SUM(Stand!F19:F26)+Rules!$B$5*Stand!F27+Stand!F51)/(9+Rules!$B$5),HS!F17)</f>
        <v>-1.0459712590207475</v>
      </c>
      <c r="G17">
        <f>IF(Rules!$B$6=Rules!$E$6,2*(SUM(Stand!G19:G26)+Rules!$B$5*Stand!G27+Stand!G51)/(9+Rules!$B$5),HS!G17)</f>
        <v>-1.0175051840233627</v>
      </c>
      <c r="H17">
        <f>IF(Rules!$B$6=Rules!$E$6,2*(SUM(Stand!H19:H26)+Rules!$B$5*Stand!H27+Stand!H51)/(9+Rules!$B$5),HS!H17)</f>
        <v>-0.96697166375512589</v>
      </c>
      <c r="I17">
        <f>IF(Rules!$B$6=Rules!$E$6,2*(SUM(Stand!I19:I26)+Rules!$B$5*Stand!I27+Stand!I51)/(9+Rules!$B$5),HS!I17)</f>
        <v>-1.0119653492858949</v>
      </c>
      <c r="J17">
        <f>IF(Rules!$B$6=Rules!$E$6,2*(SUM(Stand!J19:J26)+Rules!$B$5*Stand!J27+Stand!J51)/(9+Rules!$B$5),HS!J17)</f>
        <v>-1.107389780407694</v>
      </c>
      <c r="K17">
        <f>IF(Rules!$B$6=Rules!$E$6,2*(SUM(Stand!K19:K26)+Rules!$B$5*Stand!K27+Stand!K51)/(9+Rules!$B$5),HS!K17)</f>
        <v>-1.168926441188509</v>
      </c>
    </row>
    <row r="18" spans="1:11" x14ac:dyDescent="0.2">
      <c r="A18">
        <v>18</v>
      </c>
      <c r="B18">
        <f>IF(Rules!$B$6=Rules!$E$6,2*(SUM(Stand!B20:B27)+Rules!$B$5*Stand!B28+Stand!B52)/(9+Rules!$B$5),HS!B18)</f>
        <v>-1.2530307910248315</v>
      </c>
      <c r="C18">
        <f>IF(Rules!$B$6=Rules!$E$6,2*(SUM(Stand!C20:C27)+Rules!$B$5*Stand!C28+Stand!C52)/(9+Rules!$B$5),HS!C18)</f>
        <v>-1.2448772651182354</v>
      </c>
      <c r="D18">
        <f>IF(Rules!$B$6=Rules!$E$6,2*(SUM(Stand!D20:D27)+Rules!$B$5*Stand!D28+Stand!D52)/(9+Rules!$B$5),HS!D18)</f>
        <v>-1.2400099402844629</v>
      </c>
      <c r="E18">
        <f>IF(Rules!$B$6=Rules!$E$6,2*(SUM(Stand!E20:E27)+Rules!$B$5*Stand!E28+Stand!E52)/(9+Rules!$B$5),HS!E18)</f>
        <v>-1.2349236646551558</v>
      </c>
      <c r="F18">
        <f>IF(Rules!$B$6=Rules!$E$6,2*(SUM(Stand!F20:F27)+Rules!$B$5*Stand!F28+Stand!F52)/(9+Rules!$B$5),HS!F18)</f>
        <v>-1.2305191351709284</v>
      </c>
      <c r="G18">
        <f>IF(Rules!$B$6=Rules!$E$6,2*(SUM(Stand!G20:G27)+Rules!$B$5*Stand!G28+Stand!G52)/(9+Rules!$B$5),HS!G18)</f>
        <v>-1.214958094184424</v>
      </c>
      <c r="H18">
        <f>IF(Rules!$B$6=Rules!$E$6,2*(SUM(Stand!H20:H27)+Rules!$B$5*Stand!H28+Stand!H52)/(9+Rules!$B$5),HS!H18)</f>
        <v>-1.1822876894992109</v>
      </c>
      <c r="I18">
        <f>IF(Rules!$B$6=Rules!$E$6,2*(SUM(Stand!I20:I27)+Rules!$B$5*Stand!I28+Stand!I52)/(9+Rules!$B$5),HS!I18)</f>
        <v>-1.1821117106119141</v>
      </c>
      <c r="J18">
        <f>IF(Rules!$B$6=Rules!$E$6,2*(SUM(Stand!J20:J27)+Rules!$B$5*Stand!J28+Stand!J52)/(9+Rules!$B$5),HS!J18)</f>
        <v>-1.2330569563040892</v>
      </c>
      <c r="K18">
        <f>IF(Rules!$B$6=Rules!$E$6,2*(SUM(Stand!K20:K27)+Rules!$B$5*Stand!K28+Stand!K52)/(9+Rules!$B$5),HS!K18)</f>
        <v>-1.2953416359890493</v>
      </c>
    </row>
    <row r="19" spans="1:11" x14ac:dyDescent="0.2">
      <c r="A19">
        <v>19</v>
      </c>
      <c r="B19">
        <f>IF(Rules!$B$6=Rules!$E$6,2*(SUM(Stand!B21:B28)+Rules!$B$5*Stand!B29+Stand!B53)/(9+Rules!$B$5),HS!B19)</f>
        <v>-1.4495901331430399</v>
      </c>
      <c r="C19">
        <f>IF(Rules!$B$6=Rules!$E$6,2*(SUM(Stand!C21:C28)+Rules!$B$5*Stand!C29+Stand!C53)/(9+Rules!$B$5),HS!C19)</f>
        <v>-1.4581549091214032</v>
      </c>
      <c r="D19">
        <f>IF(Rules!$B$6=Rules!$E$6,2*(SUM(Stand!D21:D28)+Rules!$B$5*Stand!D29+Stand!D53)/(9+Rules!$B$5),HS!D19)</f>
        <v>-1.4560657766841187</v>
      </c>
      <c r="E19">
        <f>IF(Rules!$B$6=Rules!$E$6,2*(SUM(Stand!E21:E28)+Rules!$B$5*Stand!E29+Stand!E53)/(9+Rules!$B$5),HS!E19)</f>
        <v>-1.4538742684747705</v>
      </c>
      <c r="F19">
        <f>IF(Rules!$B$6=Rules!$E$6,2*(SUM(Stand!F21:F28)+Rules!$B$5*Stand!F29+Stand!F53)/(9+Rules!$B$5),HS!F19)</f>
        <v>-1.4519825358110645</v>
      </c>
      <c r="G19">
        <f>IF(Rules!$B$6=Rules!$E$6,2*(SUM(Stand!G21:G28)+Rules!$B$5*Stand!G29+Stand!G53)/(9+Rules!$B$5),HS!G19)</f>
        <v>-1.4451084132286267</v>
      </c>
      <c r="H19">
        <f>IF(Rules!$B$6=Rules!$E$6,2*(SUM(Stand!H21:H28)+Rules!$B$5*Stand!H29+Stand!H53)/(9+Rules!$B$5),HS!H19)</f>
        <v>-1.4308994580766619</v>
      </c>
      <c r="I19">
        <f>IF(Rules!$B$6=Rules!$E$6,2*(SUM(Stand!I21:I28)+Rules!$B$5*Stand!I29+Stand!I53)/(9+Rules!$B$5),HS!I19)</f>
        <v>-1.4273199672714054</v>
      </c>
      <c r="J19">
        <f>IF(Rules!$B$6=Rules!$E$6,2*(SUM(Stand!J21:J28)+Rules!$B$5*Stand!J29+Stand!J53)/(9+Rules!$B$5),HS!J19)</f>
        <v>-1.4311487650837169</v>
      </c>
      <c r="K19">
        <f>IF(Rules!$B$6=Rules!$E$6,2*(SUM(Stand!K21:K28)+Rules!$B$5*Stand!K29+Stand!K53)/(9+Rules!$B$5),HS!K19)</f>
        <v>-1.4588982769637939</v>
      </c>
    </row>
    <row r="20" spans="1:11" x14ac:dyDescent="0.2">
      <c r="A20">
        <v>20</v>
      </c>
      <c r="B20">
        <f>IF(Rules!$B$6=Rules!$E$6,2*(SUM(Stand!B22:B29)+Rules!$B$5*Stand!B30+Stand!B54)/(9+Rules!$B$5),HS!B20)</f>
        <v>-1.7042778751661021</v>
      </c>
      <c r="C20">
        <f>IF(Rules!$B$6=Rules!$E$6,2*(SUM(Stand!C22:C29)+Rules!$B$5*Stand!C30+Stand!C54)/(9+Rules!$B$5),HS!C20)</f>
        <v>-1.7104605360778398</v>
      </c>
      <c r="D20">
        <f>IF(Rules!$B$6=Rules!$E$6,2*(SUM(Stand!D22:D29)+Rules!$B$5*Stand!D30+Stand!D54)/(9+Rules!$B$5),HS!D20)</f>
        <v>-1.7099537911843461</v>
      </c>
      <c r="E20">
        <f>IF(Rules!$B$6=Rules!$E$6,2*(SUM(Stand!E22:E29)+Rules!$B$5*Stand!E30+Stand!E54)/(9+Rules!$B$5),HS!E20)</f>
        <v>-1.7094204164667817</v>
      </c>
      <c r="F20">
        <f>IF(Rules!$B$6=Rules!$E$6,2*(SUM(Stand!F22:F29)+Rules!$B$5*Stand!F30+Stand!F54)/(9+Rules!$B$5),HS!F20)</f>
        <v>-1.7089609497545721</v>
      </c>
      <c r="G20">
        <f>IF(Rules!$B$6=Rules!$E$6,2*(SUM(Stand!G22:G29)+Rules!$B$5*Stand!G30+Stand!G54)/(9+Rules!$B$5),HS!G20)</f>
        <v>-1.70725588556268</v>
      </c>
      <c r="H20">
        <f>IF(Rules!$B$6=Rules!$E$6,2*(SUM(Stand!H22:H29)+Rules!$B$5*Stand!H30+Stand!H54)/(9+Rules!$B$5),HS!H20)</f>
        <v>-1.7037036467746889</v>
      </c>
      <c r="I20">
        <f>IF(Rules!$B$6=Rules!$E$6,2*(SUM(Stand!I22:I29)+Rules!$B$5*Stand!I30+Stand!I54)/(9+Rules!$B$5),HS!I20)</f>
        <v>-1.7029838379716975</v>
      </c>
      <c r="J20">
        <f>IF(Rules!$B$6=Rules!$E$6,2*(SUM(Stand!J22:J29)+Rules!$B$5*Stand!J30+Stand!J54)/(9+Rules!$B$5),HS!J20)</f>
        <v>-1.7016652067465778</v>
      </c>
      <c r="K20">
        <f>IF(Rules!$B$6=Rules!$E$6,2*(SUM(Stand!K22:K29)+Rules!$B$5*Stand!K30+Stand!K54)/(9+Rules!$B$5),HS!K20)</f>
        <v>-1.6980579025742819</v>
      </c>
    </row>
    <row r="21" spans="1:11" x14ac:dyDescent="0.2">
      <c r="A21">
        <v>21</v>
      </c>
      <c r="B21">
        <f>IF(Rules!$B$6=Rules!$E$6,2*(SUM(Stand!B23:B30)+Rules!$B$5*Stand!B31+Stand!B55)/(9+Rules!$B$5),HS!B21)</f>
        <v>-1.8461538461538463</v>
      </c>
      <c r="C21">
        <f>IF(Rules!$B$6=Rules!$E$6,2*(SUM(Stand!C23:C30)+Rules!$B$5*Stand!C31+Stand!C55)/(9+Rules!$B$5),HS!C21)</f>
        <v>-1.8461538461538463</v>
      </c>
      <c r="D21">
        <f>IF(Rules!$B$6=Rules!$E$6,2*(SUM(Stand!D23:D30)+Rules!$B$5*Stand!D31+Stand!D55)/(9+Rules!$B$5),HS!D21)</f>
        <v>-1.8461538461538463</v>
      </c>
      <c r="E21">
        <f>IF(Rules!$B$6=Rules!$E$6,2*(SUM(Stand!E23:E30)+Rules!$B$5*Stand!E31+Stand!E55)/(9+Rules!$B$5),HS!E21)</f>
        <v>-1.8461538461538463</v>
      </c>
      <c r="F21">
        <f>IF(Rules!$B$6=Rules!$E$6,2*(SUM(Stand!F23:F30)+Rules!$B$5*Stand!F31+Stand!F55)/(9+Rules!$B$5),HS!F21)</f>
        <v>-1.8461538461538463</v>
      </c>
      <c r="G21">
        <f>IF(Rules!$B$6=Rules!$E$6,2*(SUM(Stand!G23:G30)+Rules!$B$5*Stand!G31+Stand!G55)/(9+Rules!$B$5),HS!G21)</f>
        <v>-1.8461538461538463</v>
      </c>
      <c r="H21">
        <f>IF(Rules!$B$6=Rules!$E$6,2*(SUM(Stand!H23:H30)+Rules!$B$5*Stand!H31+Stand!H55)/(9+Rules!$B$5),HS!H21)</f>
        <v>-1.8461538461538463</v>
      </c>
      <c r="I21">
        <f>IF(Rules!$B$6=Rules!$E$6,2*(SUM(Stand!I23:I30)+Rules!$B$5*Stand!I31+Stand!I55)/(9+Rules!$B$5),HS!I21)</f>
        <v>-1.8461538461538463</v>
      </c>
      <c r="J21">
        <f>IF(Rules!$B$6=Rules!$E$6,2*(SUM(Stand!J23:J30)+Rules!$B$5*Stand!J31+Stand!J55)/(9+Rules!$B$5),HS!J21)</f>
        <v>-1.8461538461538463</v>
      </c>
      <c r="K21">
        <f>IF(Rules!$B$6=Rules!$E$6,2*(SUM(Stand!K23:K30)+Rules!$B$5*Stand!K31+Stand!K55)/(9+Rules!$B$5),HS!K21)</f>
        <v>-1.8461538461538463</v>
      </c>
    </row>
    <row r="22" spans="1:11" x14ac:dyDescent="0.2">
      <c r="A22">
        <v>22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</row>
    <row r="23" spans="1:11" x14ac:dyDescent="0.2">
      <c r="A23">
        <v>23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</row>
    <row r="24" spans="1:11" x14ac:dyDescent="0.2">
      <c r="A24">
        <v>24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</row>
    <row r="25" spans="1:11" x14ac:dyDescent="0.2">
      <c r="A25">
        <v>25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</row>
    <row r="26" spans="1:11" x14ac:dyDescent="0.2">
      <c r="A26">
        <v>26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</row>
    <row r="27" spans="1:11" x14ac:dyDescent="0.2">
      <c r="A27">
        <v>27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</row>
    <row r="28" spans="1:11" x14ac:dyDescent="0.2">
      <c r="A28">
        <v>28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</row>
    <row r="29" spans="1:11" x14ac:dyDescent="0.2">
      <c r="A29">
        <v>29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</row>
    <row r="30" spans="1:11" x14ac:dyDescent="0.2">
      <c r="A30">
        <v>30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</row>
    <row r="31" spans="1:11" x14ac:dyDescent="0.2">
      <c r="A31">
        <v>31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</row>
    <row r="33" spans="1:11" x14ac:dyDescent="0.2">
      <c r="A33" t="s">
        <v>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1:11" x14ac:dyDescent="0.2">
      <c r="A34">
        <v>11</v>
      </c>
      <c r="B34">
        <f>IF(Rules!$B$6=Rules!$E$6,2*(SUM(Stand!B35:B43)+Rules!$B$5*Stand!B44)/(9+Rules!$B$5),HS!B34)</f>
        <v>0.10906077977909699</v>
      </c>
      <c r="C34">
        <f>IF(Rules!$B$6=Rules!$E$6,2*(SUM(Stand!C35:C43)+Rules!$B$5*Stand!C44)/(9+Rules!$B$5),HS!C34)</f>
        <v>0.47064092333946894</v>
      </c>
      <c r="D34">
        <f>IF(Rules!$B$6=Rules!$E$6,2*(SUM(Stand!D35:D43)+Rules!$B$5*Stand!D44)/(9+Rules!$B$5),HS!D34)</f>
        <v>0.51779525312221664</v>
      </c>
      <c r="E34">
        <f>IF(Rules!$B$6=Rules!$E$6,2*(SUM(Stand!E35:E43)+Rules!$B$5*Stand!E44)/(9+Rules!$B$5),HS!E34)</f>
        <v>0.56604055041797596</v>
      </c>
      <c r="F34">
        <f>IF(Rules!$B$6=Rules!$E$6,2*(SUM(Stand!F35:F43)+Rules!$B$5*Stand!F44)/(9+Rules!$B$5),HS!F34)</f>
        <v>0.61469901790902803</v>
      </c>
      <c r="G34">
        <f>IF(Rules!$B$6=Rules!$E$6,2*(SUM(Stand!G35:G43)+Rules!$B$5*Stand!G44)/(9+Rules!$B$5),HS!G34)</f>
        <v>0.66738009490756944</v>
      </c>
      <c r="H34">
        <f>IF(Rules!$B$6=Rules!$E$6,2*(SUM(Stand!H35:H43)+Rules!$B$5*Stand!H44)/(9+Rules!$B$5),HS!H34)</f>
        <v>0.46288894886429088</v>
      </c>
      <c r="I34">
        <f>IF(Rules!$B$6=Rules!$E$6,2*(SUM(Stand!I35:I43)+Rules!$B$5*Stand!I44)/(9+Rules!$B$5),HS!I34)</f>
        <v>0.35069259087031512</v>
      </c>
      <c r="J34">
        <f>IF(Rules!$B$6=Rules!$E$6,2*(SUM(Stand!J35:J43)+Rules!$B$5*Stand!J44)/(9+Rules!$B$5),HS!J34)</f>
        <v>0.22778342315245487</v>
      </c>
      <c r="K34">
        <f>IF(Rules!$B$6=Rules!$E$6,2*(SUM(Stand!K35:K43)+Rules!$B$5*Stand!K44)/(9+Rules!$B$5),HS!K34)</f>
        <v>0.17968872741114625</v>
      </c>
    </row>
    <row r="35" spans="1:11" x14ac:dyDescent="0.2">
      <c r="A35">
        <v>12</v>
      </c>
      <c r="B35">
        <f>IF(Rules!$B$6=Rules!$E$6,2*(SUM(Stand!B36:B44)+Rules!$B$5*Stand!B45)/(9+Rules!$B$5),HS!B35)</f>
        <v>-0.6243905676543714</v>
      </c>
      <c r="C35">
        <f>IF(Rules!$B$6=Rules!$E$6,2*(SUM(Stand!C36:C44)+Rules!$B$5*Stand!C45)/(9+Rules!$B$5),HS!C35)</f>
        <v>-7.1569957908215978E-2</v>
      </c>
      <c r="D35">
        <f>IF(Rules!$B$6=Rules!$E$6,2*(SUM(Stand!D36:D44)+Rules!$B$5*Stand!D45)/(9+Rules!$B$5),HS!D35)</f>
        <v>-7.2280945104584455E-3</v>
      </c>
      <c r="E35">
        <f>IF(Rules!$B$6=Rules!$E$6,2*(SUM(Stand!E36:E44)+Rules!$B$5*Stand!E45)/(9+Rules!$B$5),HS!E35)</f>
        <v>5.8426518743744951E-2</v>
      </c>
      <c r="F35">
        <f>IF(Rules!$B$6=Rules!$E$6,2*(SUM(Stand!F36:F44)+Rules!$B$5*Stand!F45)/(9+Rules!$B$5),HS!F35)</f>
        <v>0.12595448524867925</v>
      </c>
      <c r="G35">
        <f>IF(Rules!$B$6=Rules!$E$6,2*(SUM(Stand!G36:G44)+Rules!$B$5*Stand!G45)/(9+Rules!$B$5),HS!G35)</f>
        <v>0.17974820582791512</v>
      </c>
      <c r="H35">
        <f>IF(Rules!$B$6=Rules!$E$6,2*(SUM(Stand!H36:H44)+Rules!$B$5*Stand!H45)/(9+Rules!$B$5),HS!H35)</f>
        <v>-0.1838655800163814</v>
      </c>
      <c r="I35">
        <f>IF(Rules!$B$6=Rules!$E$6,2*(SUM(Stand!I36:I44)+Rules!$B$5*Stand!I45)/(9+Rules!$B$5),HS!I35)</f>
        <v>-0.31444090236733879</v>
      </c>
      <c r="J35">
        <f>IF(Rules!$B$6=Rules!$E$6,2*(SUM(Stand!J36:J44)+Rules!$B$5*Stand!J45)/(9+Rules!$B$5),HS!J35)</f>
        <v>-0.45636696328370829</v>
      </c>
      <c r="K35">
        <f>IF(Rules!$B$6=Rules!$E$6,2*(SUM(Stand!K36:K44)+Rules!$B$5*Stand!K45)/(9+Rules!$B$5),HS!K35)</f>
        <v>-0.51402848824830905</v>
      </c>
    </row>
    <row r="36" spans="1:11" x14ac:dyDescent="0.2">
      <c r="A36">
        <v>13</v>
      </c>
      <c r="B36">
        <f>IF(Rules!$B$6=Rules!$E$6,2*(SUM(Stand!B37:B45)+Rules!$B$5*Stand!B46)/(9+Rules!$B$5),HS!B36)</f>
        <v>-0.6243905676543714</v>
      </c>
      <c r="C36">
        <f>IF(Rules!$B$6=Rules!$E$6,2*(SUM(Stand!C37:C45)+Rules!$B$5*Stand!C46)/(9+Rules!$B$5),HS!C36)</f>
        <v>-7.1569957908215978E-2</v>
      </c>
      <c r="D36">
        <f>IF(Rules!$B$6=Rules!$E$6,2*(SUM(Stand!D37:D45)+Rules!$B$5*Stand!D46)/(9+Rules!$B$5),HS!D36)</f>
        <v>-7.228094510458429E-3</v>
      </c>
      <c r="E36">
        <f>IF(Rules!$B$6=Rules!$E$6,2*(SUM(Stand!E37:E45)+Rules!$B$5*Stand!E46)/(9+Rules!$B$5),HS!E36)</f>
        <v>5.8426518743744923E-2</v>
      </c>
      <c r="F36">
        <f>IF(Rules!$B$6=Rules!$E$6,2*(SUM(Stand!F37:F45)+Rules!$B$5*Stand!F46)/(9+Rules!$B$5),HS!F36)</f>
        <v>0.12595448524867925</v>
      </c>
      <c r="G36">
        <f>IF(Rules!$B$6=Rules!$E$6,2*(SUM(Stand!G37:G45)+Rules!$B$5*Stand!G46)/(9+Rules!$B$5),HS!G36)</f>
        <v>0.17974820582791512</v>
      </c>
      <c r="H36">
        <f>IF(Rules!$B$6=Rules!$E$6,2*(SUM(Stand!H37:H45)+Rules!$B$5*Stand!H46)/(9+Rules!$B$5),HS!H36)</f>
        <v>-0.18386558001638137</v>
      </c>
      <c r="I36">
        <f>IF(Rules!$B$6=Rules!$E$6,2*(SUM(Stand!I37:I45)+Rules!$B$5*Stand!I46)/(9+Rules!$B$5),HS!I36)</f>
        <v>-0.31444090236733879</v>
      </c>
      <c r="J36">
        <f>IF(Rules!$B$6=Rules!$E$6,2*(SUM(Stand!J37:J45)+Rules!$B$5*Stand!J46)/(9+Rules!$B$5),HS!J36)</f>
        <v>-0.45636696328370829</v>
      </c>
      <c r="K36">
        <f>IF(Rules!$B$6=Rules!$E$6,2*(SUM(Stand!K37:K45)+Rules!$B$5*Stand!K46)/(9+Rules!$B$5),HS!K36)</f>
        <v>-0.51402848824830905</v>
      </c>
    </row>
    <row r="37" spans="1:11" x14ac:dyDescent="0.2">
      <c r="A37">
        <v>14</v>
      </c>
      <c r="B37">
        <f>IF(Rules!$B$6=Rules!$E$6,2*(SUM(Stand!B38:B46)+Rules!$B$5*Stand!B47)/(9+Rules!$B$5),HS!B37)</f>
        <v>-0.6243905676543714</v>
      </c>
      <c r="C37">
        <f>IF(Rules!$B$6=Rules!$E$6,2*(SUM(Stand!C38:C46)+Rules!$B$5*Stand!C47)/(9+Rules!$B$5),HS!C37)</f>
        <v>-7.1569957908215978E-2</v>
      </c>
      <c r="D37">
        <f>IF(Rules!$B$6=Rules!$E$6,2*(SUM(Stand!D38:D46)+Rules!$B$5*Stand!D47)/(9+Rules!$B$5),HS!D37)</f>
        <v>-7.228094510458429E-3</v>
      </c>
      <c r="E37">
        <f>IF(Rules!$B$6=Rules!$E$6,2*(SUM(Stand!E38:E46)+Rules!$B$5*Stand!E47)/(9+Rules!$B$5),HS!E37)</f>
        <v>5.8426518743744951E-2</v>
      </c>
      <c r="F37">
        <f>IF(Rules!$B$6=Rules!$E$6,2*(SUM(Stand!F38:F46)+Rules!$B$5*Stand!F47)/(9+Rules!$B$5),HS!F37)</f>
        <v>0.12595448524867925</v>
      </c>
      <c r="G37">
        <f>IF(Rules!$B$6=Rules!$E$6,2*(SUM(Stand!G38:G46)+Rules!$B$5*Stand!G47)/(9+Rules!$B$5),HS!G37)</f>
        <v>0.17974820582791512</v>
      </c>
      <c r="H37">
        <f>IF(Rules!$B$6=Rules!$E$6,2*(SUM(Stand!H38:H46)+Rules!$B$5*Stand!H47)/(9+Rules!$B$5),HS!H37)</f>
        <v>-0.1838655800163814</v>
      </c>
      <c r="I37">
        <f>IF(Rules!$B$6=Rules!$E$6,2*(SUM(Stand!I38:I46)+Rules!$B$5*Stand!I47)/(9+Rules!$B$5),HS!I37)</f>
        <v>-0.31444090236733879</v>
      </c>
      <c r="J37">
        <f>IF(Rules!$B$6=Rules!$E$6,2*(SUM(Stand!J38:J46)+Rules!$B$5*Stand!J47)/(9+Rules!$B$5),HS!J37)</f>
        <v>-0.45636696328370829</v>
      </c>
      <c r="K37">
        <f>IF(Rules!$B$6=Rules!$E$6,2*(SUM(Stand!K38:K46)+Rules!$B$5*Stand!K47)/(9+Rules!$B$5),HS!K37)</f>
        <v>-0.51402848824830905</v>
      </c>
    </row>
    <row r="38" spans="1:11" x14ac:dyDescent="0.2">
      <c r="A38">
        <v>15</v>
      </c>
      <c r="B38">
        <f>IF(Rules!$B$6=Rules!$E$6,2*(SUM(Stand!B39:B47)+Rules!$B$5*Stand!B48)/(9+Rules!$B$5),HS!B38)</f>
        <v>-0.6243905676543714</v>
      </c>
      <c r="C38">
        <f>IF(Rules!$B$6=Rules!$E$6,2*(SUM(Stand!C39:C47)+Rules!$B$5*Stand!C48)/(9+Rules!$B$5),HS!C38)</f>
        <v>-7.1569957908215937E-2</v>
      </c>
      <c r="D38">
        <f>IF(Rules!$B$6=Rules!$E$6,2*(SUM(Stand!D39:D47)+Rules!$B$5*Stand!D48)/(9+Rules!$B$5),HS!D38)</f>
        <v>-7.2280945104584975E-3</v>
      </c>
      <c r="E38">
        <f>IF(Rules!$B$6=Rules!$E$6,2*(SUM(Stand!E39:E47)+Rules!$B$5*Stand!E48)/(9+Rules!$B$5),HS!E38)</f>
        <v>5.8426518743744923E-2</v>
      </c>
      <c r="F38">
        <f>IF(Rules!$B$6=Rules!$E$6,2*(SUM(Stand!F39:F47)+Rules!$B$5*Stand!F48)/(9+Rules!$B$5),HS!F38)</f>
        <v>0.12595448524867925</v>
      </c>
      <c r="G38">
        <f>IF(Rules!$B$6=Rules!$E$6,2*(SUM(Stand!G39:G47)+Rules!$B$5*Stand!G48)/(9+Rules!$B$5),HS!G38)</f>
        <v>0.17974820582791512</v>
      </c>
      <c r="H38">
        <f>IF(Rules!$B$6=Rules!$E$6,2*(SUM(Stand!H39:H47)+Rules!$B$5*Stand!H48)/(9+Rules!$B$5),HS!H38)</f>
        <v>-0.18386558001638142</v>
      </c>
      <c r="I38">
        <f>IF(Rules!$B$6=Rules!$E$6,2*(SUM(Stand!I39:I47)+Rules!$B$5*Stand!I48)/(9+Rules!$B$5),HS!I38)</f>
        <v>-0.31444090236733874</v>
      </c>
      <c r="J38">
        <f>IF(Rules!$B$6=Rules!$E$6,2*(SUM(Stand!J39:J47)+Rules!$B$5*Stand!J48)/(9+Rules!$B$5),HS!J38)</f>
        <v>-0.45636696328370829</v>
      </c>
      <c r="K38">
        <f>IF(Rules!$B$6=Rules!$E$6,2*(SUM(Stand!K39:K47)+Rules!$B$5*Stand!K48)/(9+Rules!$B$5),HS!K38)</f>
        <v>-0.51402848824830905</v>
      </c>
    </row>
    <row r="39" spans="1:11" x14ac:dyDescent="0.2">
      <c r="A39">
        <v>16</v>
      </c>
      <c r="B39">
        <f>IF(Rules!$B$6=Rules!$E$6,2*(SUM(Stand!B40:B48)+Rules!$B$5*Stand!B49)/(9+Rules!$B$5),HS!B39)</f>
        <v>-0.6243905676543714</v>
      </c>
      <c r="C39">
        <f>IF(Rules!$B$6=Rules!$E$6,2*(SUM(Stand!C40:C48)+Rules!$B$5*Stand!C49)/(9+Rules!$B$5),HS!C39)</f>
        <v>-7.1569957908215937E-2</v>
      </c>
      <c r="D39">
        <f>IF(Rules!$B$6=Rules!$E$6,2*(SUM(Stand!D40:D48)+Rules!$B$5*Stand!D49)/(9+Rules!$B$5),HS!D39)</f>
        <v>-7.2280945104584975E-3</v>
      </c>
      <c r="E39">
        <f>IF(Rules!$B$6=Rules!$E$6,2*(SUM(Stand!E40:E48)+Rules!$B$5*Stand!E49)/(9+Rules!$B$5),HS!E39)</f>
        <v>5.8426518743744951E-2</v>
      </c>
      <c r="F39">
        <f>IF(Rules!$B$6=Rules!$E$6,2*(SUM(Stand!F40:F48)+Rules!$B$5*Stand!F49)/(9+Rules!$B$5),HS!F39)</f>
        <v>0.12595448524867925</v>
      </c>
      <c r="G39">
        <f>IF(Rules!$B$6=Rules!$E$6,2*(SUM(Stand!G40:G48)+Rules!$B$5*Stand!G49)/(9+Rules!$B$5),HS!G39)</f>
        <v>0.17974820582791512</v>
      </c>
      <c r="H39">
        <f>IF(Rules!$B$6=Rules!$E$6,2*(SUM(Stand!H40:H48)+Rules!$B$5*Stand!H49)/(9+Rules!$B$5),HS!H39)</f>
        <v>-0.18386558001638142</v>
      </c>
      <c r="I39">
        <f>IF(Rules!$B$6=Rules!$E$6,2*(SUM(Stand!I40:I48)+Rules!$B$5*Stand!I49)/(9+Rules!$B$5),HS!I39)</f>
        <v>-0.31444090236733874</v>
      </c>
      <c r="J39">
        <f>IF(Rules!$B$6=Rules!$E$6,2*(SUM(Stand!J40:J48)+Rules!$B$5*Stand!J49)/(9+Rules!$B$5),HS!J39)</f>
        <v>-0.45636696328370829</v>
      </c>
      <c r="K39">
        <f>IF(Rules!$B$6=Rules!$E$6,2*(SUM(Stand!K40:K48)+Rules!$B$5*Stand!K49)/(9+Rules!$B$5),HS!K39)</f>
        <v>-0.51402848824830905</v>
      </c>
    </row>
    <row r="40" spans="1:11" x14ac:dyDescent="0.2">
      <c r="A40">
        <v>17</v>
      </c>
      <c r="B40">
        <f>IF(Rules!$B$6=Rules!$E$6,2*(SUM(Stand!B41:B49)+Rules!$B$5*Stand!B50)/(9+Rules!$B$5),HS!B40)</f>
        <v>-0.53719796779709139</v>
      </c>
      <c r="C40">
        <f>IF(Rules!$B$6=Rules!$E$6,2*(SUM(Stand!C41:C49)+Rules!$B$5*Stand!C50)/(9+Rules!$B$5),HS!C40)</f>
        <v>-7.0426627415689164E-3</v>
      </c>
      <c r="D40">
        <f>IF(Rules!$B$6=Rules!$E$6,2*(SUM(Stand!D41:D49)+Rules!$B$5*Stand!D50)/(9+Rules!$B$5),HS!D40)</f>
        <v>5.5095284479298338E-2</v>
      </c>
      <c r="E40">
        <f>IF(Rules!$B$6=Rules!$E$6,2*(SUM(Stand!E41:E49)+Rules!$B$5*Stand!E50)/(9+Rules!$B$5),HS!E40)</f>
        <v>0.11865255067432869</v>
      </c>
      <c r="F40">
        <f>IF(Rules!$B$6=Rules!$E$6,2*(SUM(Stand!F41:F49)+Rules!$B$5*Stand!F50)/(9+Rules!$B$5),HS!F40)</f>
        <v>0.18237815537354879</v>
      </c>
      <c r="G40">
        <f>IF(Rules!$B$6=Rules!$E$6,2*(SUM(Stand!G41:G49)+Rules!$B$5*Stand!G50)/(9+Rules!$B$5),HS!G40)</f>
        <v>0.2561042872909981</v>
      </c>
      <c r="H40">
        <f>IF(Rules!$B$6=Rules!$E$6,2*(SUM(Stand!H41:H49)+Rules!$B$5*Stand!H50)/(9+Rules!$B$5),HS!H40)</f>
        <v>-1.3758105957502069E-2</v>
      </c>
      <c r="I40">
        <f>IF(Rules!$B$6=Rules!$E$6,2*(SUM(Stand!I41:I49)+Rules!$B$5*Stand!I50)/(9+Rules!$B$5),HS!I40)</f>
        <v>-0.25510249723695255</v>
      </c>
      <c r="J40">
        <f>IF(Rules!$B$6=Rules!$E$6,2*(SUM(Stand!J41:J49)+Rules!$B$5*Stand!J50)/(9+Rules!$B$5),HS!J40)</f>
        <v>-0.40098445182868125</v>
      </c>
      <c r="K40">
        <f>IF(Rules!$B$6=Rules!$E$6,2*(SUM(Stand!K41:K49)+Rules!$B$5*Stand!K50)/(9+Rules!$B$5),HS!K40)</f>
        <v>-0.45831631898700209</v>
      </c>
    </row>
    <row r="41" spans="1:11" x14ac:dyDescent="0.2">
      <c r="A41">
        <v>18</v>
      </c>
      <c r="B41">
        <f>IF(Rules!$B$6=Rules!$E$6,2*(SUM(Stand!B42:B50)+Rules!$B$5*Stand!B51)/(9+Rules!$B$5),HS!B41)</f>
        <v>-0.36281276808253149</v>
      </c>
      <c r="C41">
        <f>IF(Rules!$B$6=Rules!$E$6,2*(SUM(Stand!C42:C50)+Rules!$B$5*Stand!C51)/(9+Rules!$B$5),HS!C41)</f>
        <v>0.11974956336724479</v>
      </c>
      <c r="D41">
        <f>IF(Rules!$B$6=Rules!$E$6,2*(SUM(Stand!D42:D50)+Rules!$B$5*Stand!D51)/(9+Rules!$B$5),HS!D41)</f>
        <v>0.17764127567893753</v>
      </c>
      <c r="E41">
        <f>IF(Rules!$B$6=Rules!$E$6,2*(SUM(Stand!E42:E50)+Rules!$B$5*Stand!E51)/(9+Rules!$B$5),HS!E41)</f>
        <v>0.23700384775562167</v>
      </c>
      <c r="F41">
        <f>IF(Rules!$B$6=Rules!$E$6,2*(SUM(Stand!F42:F50)+Rules!$B$5*Stand!F51)/(9+Rules!$B$5),HS!F41)</f>
        <v>0.29522549562328804</v>
      </c>
      <c r="G41">
        <f>IF(Rules!$B$6=Rules!$E$6,2*(SUM(Stand!G42:G50)+Rules!$B$5*Stand!G51)/(9+Rules!$B$5),HS!G41)</f>
        <v>0.38150648207879345</v>
      </c>
      <c r="H41">
        <f>IF(Rules!$B$6=Rules!$E$6,2*(SUM(Stand!H42:H50)+Rules!$B$5*Stand!H51)/(9+Rules!$B$5),HS!H41)</f>
        <v>0.21994796642061171</v>
      </c>
      <c r="I41">
        <f>IF(Rules!$B$6=Rules!$E$6,2*(SUM(Stand!I42:I50)+Rules!$B$5*Stand!I51)/(9+Rules!$B$5),HS!I41)</f>
        <v>-2.9916811236535352E-2</v>
      </c>
      <c r="J41">
        <f>IF(Rules!$B$6=Rules!$E$6,2*(SUM(Stand!J42:J50)+Rules!$B$5*Stand!J51)/(9+Rules!$B$5),HS!J41)</f>
        <v>-0.29021942891862701</v>
      </c>
      <c r="K41">
        <f>IF(Rules!$B$6=Rules!$E$6,2*(SUM(Stand!K42:K50)+Rules!$B$5*Stand!K51)/(9+Rules!$B$5),HS!K41)</f>
        <v>-0.34689198046438807</v>
      </c>
    </row>
    <row r="42" spans="1:11" x14ac:dyDescent="0.2">
      <c r="A42">
        <v>19</v>
      </c>
      <c r="B42">
        <f>2*(SUM(Stand!B43:B51)+Rules!$B$5*Stand!B52)/(9+Rules!$B$5)</f>
        <v>-0.18842756836797164</v>
      </c>
      <c r="C42">
        <f>2*(SUM(Stand!C43:C51)+Rules!$B$5*Stand!C52)/(9+Rules!$B$5)</f>
        <v>0.24185546358249196</v>
      </c>
      <c r="D42">
        <f>2*(SUM(Stand!D43:D51)+Rules!$B$5*Stand!D52)/(9+Rules!$B$5)</f>
        <v>0.29582413587422152</v>
      </c>
      <c r="E42">
        <f>2*(SUM(Stand!E43:E51)+Rules!$B$5*Stand!E52)/(9+Rules!$B$5)</f>
        <v>0.35115361127716532</v>
      </c>
      <c r="F42">
        <f>2*(SUM(Stand!F43:F51)+Rules!$B$5*Stand!F52)/(9+Rules!$B$5)</f>
        <v>0.40597206909315264</v>
      </c>
      <c r="G42">
        <f>2*(SUM(Stand!G43:G51)+Rules!$B$5*Stand!G52)/(9+Rules!$B$5)</f>
        <v>0.47959870872821841</v>
      </c>
      <c r="H42">
        <f>2*(SUM(Stand!H43:H51)+Rules!$B$5*Stand!H52)/(9+Rules!$B$5)</f>
        <v>0.31983519492071005</v>
      </c>
      <c r="I42">
        <f>2*(SUM(Stand!I43:I51)+Rules!$B$5*Stand!I52)/(9+Rules!$B$5)</f>
        <v>0.19526887476388194</v>
      </c>
      <c r="J42">
        <f>2*(SUM(Stand!J43:J51)+Rules!$B$5*Stand!J52)/(9+Rules!$B$5)</f>
        <v>-7.294553026892793E-2</v>
      </c>
      <c r="K42">
        <f>2*(SUM(Stand!K43:K51)+Rules!$B$5*Stand!K52)/(9+Rules!$B$5)</f>
        <v>-0.23546764194177403</v>
      </c>
    </row>
    <row r="43" spans="1:11" x14ac:dyDescent="0.2">
      <c r="A43">
        <v>20</v>
      </c>
      <c r="B43">
        <f>2*(SUM(Stand!B44:B52)+Rules!$B$5*Stand!B53)/(9+Rules!$B$5)</f>
        <v>-1.4042368653411618E-2</v>
      </c>
      <c r="C43">
        <f>2*(SUM(Stand!C44:C52)+Rules!$B$5*Stand!C53)/(9+Rules!$B$5)</f>
        <v>0.3589394124422991</v>
      </c>
      <c r="D43">
        <f>2*(SUM(Stand!D44:D52)+Rules!$B$5*Stand!D53)/(9+Rules!$B$5)</f>
        <v>0.40932067017593915</v>
      </c>
      <c r="E43">
        <f>2*(SUM(Stand!E44:E52)+Rules!$B$5*Stand!E53)/(9+Rules!$B$5)</f>
        <v>0.460940243794354</v>
      </c>
      <c r="F43">
        <f>2*(SUM(Stand!F44:F52)+Rules!$B$5*Stand!F53)/(9+Rules!$B$5)</f>
        <v>0.51251710900326775</v>
      </c>
      <c r="G43">
        <f>2*(SUM(Stand!G44:G52)+Rules!$B$5*Stand!G53)/(9+Rules!$B$5)</f>
        <v>0.57559016859776857</v>
      </c>
      <c r="H43">
        <f>2*(SUM(Stand!H44:H52)+Rules!$B$5*Stand!H53)/(9+Rules!$B$5)</f>
        <v>0.39241245528243773</v>
      </c>
      <c r="I43">
        <f>2*(SUM(Stand!I44:I52)+Rules!$B$5*Stand!I53)/(9+Rules!$B$5)</f>
        <v>0.28663571688628375</v>
      </c>
      <c r="J43">
        <f>2*(SUM(Stand!J44:J52)+Rules!$B$5*Stand!J53)/(9+Rules!$B$5)</f>
        <v>0.1443283683807712</v>
      </c>
      <c r="K43">
        <f>2*(SUM(Stand!K44:K52)+Rules!$B$5*Stand!K53)/(9+Rules!$B$5)</f>
        <v>-8.6586880345446409E-3</v>
      </c>
    </row>
    <row r="44" spans="1:11" x14ac:dyDescent="0.2">
      <c r="A44">
        <v>21</v>
      </c>
      <c r="B44">
        <f>2*(SUM(Stand!B45:B53)+Rules!$B$5*Stand!B54)/(9+Rules!$B$5)</f>
        <v>0.10906077977909699</v>
      </c>
      <c r="C44">
        <f>2*(SUM(Stand!C45:C53)+Rules!$B$5*Stand!C54)/(9+Rules!$B$5)</f>
        <v>0.47064092333946894</v>
      </c>
      <c r="D44">
        <f>2*(SUM(Stand!D45:D53)+Rules!$B$5*Stand!D54)/(9+Rules!$B$5)</f>
        <v>0.51779525312221664</v>
      </c>
      <c r="E44">
        <f>2*(SUM(Stand!E45:E53)+Rules!$B$5*Stand!E54)/(9+Rules!$B$5)</f>
        <v>0.56604055041797596</v>
      </c>
      <c r="F44">
        <f>2*(SUM(Stand!F45:F53)+Rules!$B$5*Stand!F54)/(9+Rules!$B$5)</f>
        <v>0.61469901790902803</v>
      </c>
      <c r="G44">
        <f>2*(SUM(Stand!G45:G53)+Rules!$B$5*Stand!G54)/(9+Rules!$B$5)</f>
        <v>0.66738009490756944</v>
      </c>
      <c r="H44">
        <f>2*(SUM(Stand!H45:H53)+Rules!$B$5*Stand!H54)/(9+Rules!$B$5)</f>
        <v>0.46288894886429088</v>
      </c>
      <c r="I44">
        <f>2*(SUM(Stand!I45:I53)+Rules!$B$5*Stand!I54)/(9+Rules!$B$5)</f>
        <v>0.35069259087031512</v>
      </c>
      <c r="J44">
        <f>2*(SUM(Stand!J45:J53)+Rules!$B$5*Stand!J54)/(9+Rules!$B$5)</f>
        <v>0.22778342315245487</v>
      </c>
      <c r="K44">
        <f>2*(SUM(Stand!K45:K53)+Rules!$B$5*Stand!K54)/(9+Rules!$B$5)</f>
        <v>0.17968872741114625</v>
      </c>
    </row>
    <row r="45" spans="1:11" x14ac:dyDescent="0.2">
      <c r="A45">
        <v>22</v>
      </c>
      <c r="B45">
        <f>B12</f>
        <v>-0.82934393707867271</v>
      </c>
      <c r="C45">
        <f t="shared" ref="C45:K45" si="0">C12</f>
        <v>-0.50677997193327606</v>
      </c>
      <c r="D45">
        <f t="shared" si="0"/>
        <v>-0.46738179959617321</v>
      </c>
      <c r="E45">
        <f t="shared" si="0"/>
        <v>-0.4270731064901539</v>
      </c>
      <c r="F45">
        <f t="shared" si="0"/>
        <v>-0.38654233885256678</v>
      </c>
      <c r="G45">
        <f t="shared" si="0"/>
        <v>-0.34105239981515906</v>
      </c>
      <c r="H45">
        <f t="shared" si="0"/>
        <v>-0.50671162107673018</v>
      </c>
      <c r="I45">
        <f t="shared" si="0"/>
        <v>-0.61566089283034364</v>
      </c>
      <c r="J45">
        <f t="shared" si="0"/>
        <v>-0.73750562104917949</v>
      </c>
      <c r="K45">
        <f t="shared" si="0"/>
        <v>-0.79684059040524136</v>
      </c>
    </row>
    <row r="46" spans="1:11" x14ac:dyDescent="0.2">
      <c r="A46">
        <v>23</v>
      </c>
      <c r="B46">
        <f t="shared" ref="B46:K54" si="1">B13</f>
        <v>-0.88058227943474798</v>
      </c>
      <c r="C46">
        <f t="shared" si="1"/>
        <v>-0.61558247543954125</v>
      </c>
      <c r="D46">
        <f t="shared" si="1"/>
        <v>-0.58242022586760189</v>
      </c>
      <c r="E46">
        <f t="shared" si="1"/>
        <v>-0.54844801279862854</v>
      </c>
      <c r="F46">
        <f t="shared" si="1"/>
        <v>-0.51466654487787822</v>
      </c>
      <c r="G46">
        <f t="shared" si="1"/>
        <v>-0.47125255122592757</v>
      </c>
      <c r="H46">
        <f t="shared" si="1"/>
        <v>-0.58742313134181745</v>
      </c>
      <c r="I46">
        <f t="shared" si="1"/>
        <v>-0.6909658904460948</v>
      </c>
      <c r="J46">
        <f t="shared" si="1"/>
        <v>-0.80779028549054732</v>
      </c>
      <c r="K46">
        <f t="shared" si="1"/>
        <v>-0.86754361594447438</v>
      </c>
    </row>
    <row r="47" spans="1:11" x14ac:dyDescent="0.2">
      <c r="A47">
        <v>24</v>
      </c>
      <c r="B47">
        <f t="shared" si="1"/>
        <v>-0.93182062179082337</v>
      </c>
      <c r="C47">
        <f t="shared" si="1"/>
        <v>-0.72438497894580622</v>
      </c>
      <c r="D47">
        <f t="shared" si="1"/>
        <v>-0.69745865213903058</v>
      </c>
      <c r="E47">
        <f t="shared" si="1"/>
        <v>-0.66982291910710334</v>
      </c>
      <c r="F47">
        <f t="shared" si="1"/>
        <v>-0.64279075090318982</v>
      </c>
      <c r="G47">
        <f t="shared" si="1"/>
        <v>-0.60145270263669615</v>
      </c>
      <c r="H47">
        <f t="shared" si="1"/>
        <v>-0.66813464160690461</v>
      </c>
      <c r="I47">
        <f t="shared" si="1"/>
        <v>-0.76627088806184607</v>
      </c>
      <c r="J47">
        <f t="shared" si="1"/>
        <v>-0.87807494993191493</v>
      </c>
      <c r="K47">
        <f t="shared" si="1"/>
        <v>-0.93824664148370751</v>
      </c>
    </row>
    <row r="48" spans="1:11" x14ac:dyDescent="0.2">
      <c r="A48">
        <v>25</v>
      </c>
      <c r="B48">
        <f t="shared" si="1"/>
        <v>-0.98305896414689875</v>
      </c>
      <c r="C48">
        <f t="shared" si="1"/>
        <v>-0.83318748245207119</v>
      </c>
      <c r="D48">
        <f t="shared" si="1"/>
        <v>-0.81249707841045926</v>
      </c>
      <c r="E48">
        <f t="shared" si="1"/>
        <v>-0.79119782541557804</v>
      </c>
      <c r="F48">
        <f t="shared" si="1"/>
        <v>-0.77091495692850132</v>
      </c>
      <c r="G48">
        <f t="shared" si="1"/>
        <v>-0.73165285404746472</v>
      </c>
      <c r="H48">
        <f t="shared" si="1"/>
        <v>-0.74884615187199166</v>
      </c>
      <c r="I48">
        <f t="shared" si="1"/>
        <v>-0.84157588567759711</v>
      </c>
      <c r="J48">
        <f t="shared" si="1"/>
        <v>-0.94835961437328287</v>
      </c>
      <c r="K48">
        <f t="shared" si="1"/>
        <v>-1.0089496670229408</v>
      </c>
    </row>
    <row r="49" spans="1:11" x14ac:dyDescent="0.2">
      <c r="A49">
        <v>26</v>
      </c>
      <c r="B49">
        <f t="shared" si="1"/>
        <v>-1.0342973065029741</v>
      </c>
      <c r="C49">
        <f t="shared" si="1"/>
        <v>-0.94198998595833627</v>
      </c>
      <c r="D49">
        <f t="shared" si="1"/>
        <v>-0.92753550468188806</v>
      </c>
      <c r="E49">
        <f t="shared" si="1"/>
        <v>-0.91257273172405273</v>
      </c>
      <c r="F49">
        <f t="shared" si="1"/>
        <v>-0.89903916295381292</v>
      </c>
      <c r="G49">
        <f t="shared" si="1"/>
        <v>-0.86185300545823318</v>
      </c>
      <c r="H49">
        <f t="shared" si="1"/>
        <v>-0.82955766213707893</v>
      </c>
      <c r="I49">
        <f t="shared" si="1"/>
        <v>-0.91688088329334838</v>
      </c>
      <c r="J49">
        <f t="shared" si="1"/>
        <v>-1.0186442788146506</v>
      </c>
      <c r="K49">
        <f t="shared" si="1"/>
        <v>-1.0796526925621737</v>
      </c>
    </row>
    <row r="50" spans="1:11" x14ac:dyDescent="0.2">
      <c r="A50">
        <v>27</v>
      </c>
      <c r="B50">
        <f t="shared" si="1"/>
        <v>-1.1145998488114761</v>
      </c>
      <c r="C50">
        <f t="shared" si="1"/>
        <v>-1.0723015878534836</v>
      </c>
      <c r="D50">
        <f t="shared" si="1"/>
        <v>-1.0633483906165688</v>
      </c>
      <c r="E50">
        <f t="shared" si="1"/>
        <v>-1.0540229820093887</v>
      </c>
      <c r="F50">
        <f t="shared" si="1"/>
        <v>-1.0459712590207475</v>
      </c>
      <c r="G50">
        <f t="shared" si="1"/>
        <v>-1.0175051840233627</v>
      </c>
      <c r="H50">
        <f t="shared" si="1"/>
        <v>-0.96697166375512589</v>
      </c>
      <c r="I50">
        <f t="shared" si="1"/>
        <v>-1.0119653492858949</v>
      </c>
      <c r="J50">
        <f t="shared" si="1"/>
        <v>-1.107389780407694</v>
      </c>
      <c r="K50">
        <f t="shared" si="1"/>
        <v>-1.168926441188509</v>
      </c>
    </row>
    <row r="51" spans="1:11" x14ac:dyDescent="0.2">
      <c r="A51">
        <v>28</v>
      </c>
      <c r="B51">
        <f t="shared" si="1"/>
        <v>-1.2530307910248315</v>
      </c>
      <c r="C51">
        <f t="shared" si="1"/>
        <v>-1.2448772651182354</v>
      </c>
      <c r="D51">
        <f t="shared" si="1"/>
        <v>-1.2400099402844629</v>
      </c>
      <c r="E51">
        <f t="shared" si="1"/>
        <v>-1.2349236646551558</v>
      </c>
      <c r="F51">
        <f t="shared" si="1"/>
        <v>-1.2305191351709284</v>
      </c>
      <c r="G51">
        <f t="shared" si="1"/>
        <v>-1.214958094184424</v>
      </c>
      <c r="H51">
        <f t="shared" si="1"/>
        <v>-1.1822876894992109</v>
      </c>
      <c r="I51">
        <f t="shared" si="1"/>
        <v>-1.1821117106119141</v>
      </c>
      <c r="J51">
        <f t="shared" si="1"/>
        <v>-1.2330569563040892</v>
      </c>
      <c r="K51">
        <f t="shared" si="1"/>
        <v>-1.2953416359890493</v>
      </c>
    </row>
    <row r="52" spans="1:11" x14ac:dyDescent="0.2">
      <c r="A52">
        <v>29</v>
      </c>
      <c r="B52">
        <f t="shared" si="1"/>
        <v>-1.4495901331430399</v>
      </c>
      <c r="C52">
        <f t="shared" si="1"/>
        <v>-1.4581549091214032</v>
      </c>
      <c r="D52">
        <f t="shared" si="1"/>
        <v>-1.4560657766841187</v>
      </c>
      <c r="E52">
        <f t="shared" si="1"/>
        <v>-1.4538742684747705</v>
      </c>
      <c r="F52">
        <f t="shared" si="1"/>
        <v>-1.4519825358110645</v>
      </c>
      <c r="G52">
        <f t="shared" si="1"/>
        <v>-1.4451084132286267</v>
      </c>
      <c r="H52">
        <f t="shared" si="1"/>
        <v>-1.4308994580766619</v>
      </c>
      <c r="I52">
        <f t="shared" si="1"/>
        <v>-1.4273199672714054</v>
      </c>
      <c r="J52">
        <f t="shared" si="1"/>
        <v>-1.4311487650837169</v>
      </c>
      <c r="K52">
        <f t="shared" si="1"/>
        <v>-1.4588982769637939</v>
      </c>
    </row>
    <row r="53" spans="1:11" x14ac:dyDescent="0.2">
      <c r="A53">
        <v>30</v>
      </c>
      <c r="B53">
        <f t="shared" si="1"/>
        <v>-1.7042778751661021</v>
      </c>
      <c r="C53">
        <f t="shared" si="1"/>
        <v>-1.7104605360778398</v>
      </c>
      <c r="D53">
        <f t="shared" si="1"/>
        <v>-1.7099537911843461</v>
      </c>
      <c r="E53">
        <f t="shared" si="1"/>
        <v>-1.7094204164667817</v>
      </c>
      <c r="F53">
        <f t="shared" si="1"/>
        <v>-1.7089609497545721</v>
      </c>
      <c r="G53">
        <f t="shared" si="1"/>
        <v>-1.70725588556268</v>
      </c>
      <c r="H53">
        <f t="shared" si="1"/>
        <v>-1.7037036467746889</v>
      </c>
      <c r="I53">
        <f t="shared" si="1"/>
        <v>-1.7029838379716975</v>
      </c>
      <c r="J53">
        <f t="shared" si="1"/>
        <v>-1.7016652067465778</v>
      </c>
      <c r="K53">
        <f t="shared" si="1"/>
        <v>-1.6980579025742819</v>
      </c>
    </row>
    <row r="54" spans="1:11" x14ac:dyDescent="0.2">
      <c r="A54">
        <v>31</v>
      </c>
      <c r="B54">
        <f t="shared" si="1"/>
        <v>-1.8461538461538463</v>
      </c>
      <c r="C54">
        <f t="shared" si="1"/>
        <v>-1.8461538461538463</v>
      </c>
      <c r="D54">
        <f t="shared" si="1"/>
        <v>-1.8461538461538463</v>
      </c>
      <c r="E54">
        <f t="shared" si="1"/>
        <v>-1.8461538461538463</v>
      </c>
      <c r="F54">
        <f t="shared" si="1"/>
        <v>-1.8461538461538463</v>
      </c>
      <c r="G54">
        <f t="shared" si="1"/>
        <v>-1.8461538461538463</v>
      </c>
      <c r="H54">
        <f t="shared" si="1"/>
        <v>-1.8461538461538463</v>
      </c>
      <c r="I54">
        <f t="shared" si="1"/>
        <v>-1.8461538461538463</v>
      </c>
      <c r="J54">
        <f t="shared" si="1"/>
        <v>-1.8461538461538463</v>
      </c>
      <c r="K54">
        <f t="shared" si="1"/>
        <v>-1.8461538461538463</v>
      </c>
    </row>
  </sheetData>
  <sheetProtection sheet="1" objects="1" scenarios="1"/>
  <phoneticPr fontId="14" type="noConversion"/>
  <pageMargins left="0.7" right="0.7" top="0.75" bottom="0.75" header="0.3" footer="0.3"/>
  <pageSetup paperSize="9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opLeftCell="A31" workbookViewId="0">
      <selection activeCell="K9" sqref="K9"/>
    </sheetView>
  </sheetViews>
  <sheetFormatPr baseColWidth="10" defaultColWidth="8.83203125" defaultRowHeight="16" x14ac:dyDescent="0.2"/>
  <cols>
    <col min="12" max="12" width="4.83203125" customWidth="1"/>
    <col min="13" max="13" width="4.6640625" customWidth="1"/>
    <col min="14" max="24" width="4" style="31" customWidth="1"/>
  </cols>
  <sheetData>
    <row r="1" spans="1:24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N1" s="31" t="s">
        <v>7</v>
      </c>
      <c r="O1" s="31">
        <v>1</v>
      </c>
      <c r="P1" s="31">
        <v>2</v>
      </c>
      <c r="Q1" s="31">
        <v>3</v>
      </c>
      <c r="R1" s="31">
        <v>4</v>
      </c>
      <c r="S1" s="31">
        <v>5</v>
      </c>
      <c r="T1" s="31">
        <v>6</v>
      </c>
      <c r="U1" s="31">
        <v>7</v>
      </c>
      <c r="V1" s="31">
        <v>8</v>
      </c>
      <c r="W1" s="31">
        <v>9</v>
      </c>
      <c r="X1" s="31">
        <v>10</v>
      </c>
    </row>
    <row r="2" spans="1:24" x14ac:dyDescent="0.2">
      <c r="A2">
        <v>2</v>
      </c>
      <c r="B2">
        <f>MAX(Hit!B2,Stand!B2,Double!B2)</f>
        <v>-0.20335368314889377</v>
      </c>
      <c r="C2">
        <f>MAX(Hit!C2,Stand!C2,Double!C2)</f>
        <v>-7.5884358318949102E-2</v>
      </c>
      <c r="D2">
        <f>MAX(Hit!D2,Stand!D2,Double!D2)</f>
        <v>-4.9750706146412048E-2</v>
      </c>
      <c r="E2">
        <f>MAX(Hit!E2,Stand!E2,Double!E2)</f>
        <v>-2.2100412135834389E-2</v>
      </c>
      <c r="F2">
        <f>MAX(Hit!F2,Stand!F2,Double!F2)</f>
        <v>1.3730032284783571E-2</v>
      </c>
      <c r="G2">
        <f>MAX(Hit!G2,Stand!G2,Double!G2)</f>
        <v>3.8883411946301231E-2</v>
      </c>
      <c r="H2">
        <f>MAX(Hit!H2,Stand!H2,Double!H2)</f>
        <v>-2.7257021375862247E-2</v>
      </c>
      <c r="I2">
        <f>MAX(Hit!I2,Stand!I2,Double!I2)</f>
        <v>-0.10316172777512726</v>
      </c>
      <c r="J2">
        <f>MAX(Hit!J2,Stand!J2,Double!J2)</f>
        <v>-0.19004714305350842</v>
      </c>
      <c r="K2">
        <f>MAX(Hit!K2,Stand!K2,Double!K2)</f>
        <v>-0.24199803315764098</v>
      </c>
      <c r="N2" s="31">
        <v>2</v>
      </c>
      <c r="O2" s="31" t="str">
        <f>IF(B2=HS!B2,HS!O2,"D")</f>
        <v>H</v>
      </c>
      <c r="P2" s="31" t="str">
        <f>IF(C2=HS!C2,HS!P2,"D")</f>
        <v>H</v>
      </c>
      <c r="Q2" s="31" t="str">
        <f>IF(D2=HS!D2,HS!Q2,"D")</f>
        <v>H</v>
      </c>
      <c r="R2" s="31" t="str">
        <f>IF(E2=HS!E2,HS!R2,"D")</f>
        <v>H</v>
      </c>
      <c r="S2" s="31" t="str">
        <f>IF(F2=HS!F2,HS!S2,"D")</f>
        <v>H</v>
      </c>
      <c r="T2" s="31" t="str">
        <f>IF(G2=HS!G2,HS!T2,"D")</f>
        <v>H</v>
      </c>
      <c r="U2" s="31" t="str">
        <f>IF(H2=HS!H2,HS!U2,"D")</f>
        <v>H</v>
      </c>
      <c r="V2" s="31" t="str">
        <f>IF(I2=HS!I2,HS!V2,"D")</f>
        <v>H</v>
      </c>
      <c r="W2" s="31" t="str">
        <f>IF(J2=HS!J2,HS!W2,"D")</f>
        <v>H</v>
      </c>
      <c r="X2" s="31" t="str">
        <f>IF(K2=HS!K2,HS!X2,"D")</f>
        <v>H</v>
      </c>
    </row>
    <row r="3" spans="1:24" x14ac:dyDescent="0.2">
      <c r="A3">
        <v>3</v>
      </c>
      <c r="B3">
        <f>MAX(Hit!B3,Stand!B3,Double!B3)</f>
        <v>-0.22793749290805351</v>
      </c>
      <c r="C3">
        <f>MAX(Hit!C3,Stand!C3,Double!C3)</f>
        <v>-0.10052250439785246</v>
      </c>
      <c r="D3">
        <f>MAX(Hit!D3,Stand!D3,Double!D3)</f>
        <v>-6.8875858278897514E-2</v>
      </c>
      <c r="E3">
        <f>MAX(Hit!E3,Stand!E3,Double!E3)</f>
        <v>-3.6261290708905339E-2</v>
      </c>
      <c r="F3">
        <f>MAX(Hit!F3,Stand!F3,Double!F3)</f>
        <v>1.6995712139687808E-4</v>
      </c>
      <c r="G3">
        <f>MAX(Hit!G3,Stand!G3,Double!G3)</f>
        <v>2.447130320655936E-2</v>
      </c>
      <c r="H3">
        <f>MAX(Hit!H3,Stand!H3,Double!H3)</f>
        <v>-5.7437588540356667E-2</v>
      </c>
      <c r="I3">
        <f>MAX(Hit!I3,Stand!I3,Double!I3)</f>
        <v>-0.13094188065020101</v>
      </c>
      <c r="J3">
        <f>MAX(Hit!J3,Stand!J3,Double!J3)</f>
        <v>-0.21507662281362433</v>
      </c>
      <c r="K3">
        <f>MAX(Hit!K3,Stand!K3,Double!K3)</f>
        <v>-0.26532921479747562</v>
      </c>
      <c r="N3" s="31">
        <v>3</v>
      </c>
      <c r="O3" s="31" t="str">
        <f>IF(B3=HS!B3,HS!O3,"D")</f>
        <v>H</v>
      </c>
      <c r="P3" s="31" t="str">
        <f>IF(C3=HS!C3,HS!P3,"D")</f>
        <v>H</v>
      </c>
      <c r="Q3" s="31" t="str">
        <f>IF(D3=HS!D3,HS!Q3,"D")</f>
        <v>H</v>
      </c>
      <c r="R3" s="31" t="str">
        <f>IF(E3=HS!E3,HS!R3,"D")</f>
        <v>H</v>
      </c>
      <c r="S3" s="31" t="str">
        <f>IF(F3=HS!F3,HS!S3,"D")</f>
        <v>H</v>
      </c>
      <c r="T3" s="31" t="str">
        <f>IF(G3=HS!G3,HS!T3,"D")</f>
        <v>H</v>
      </c>
      <c r="U3" s="31" t="str">
        <f>IF(H3=HS!H3,HS!U3,"D")</f>
        <v>H</v>
      </c>
      <c r="V3" s="31" t="str">
        <f>IF(I3=HS!I3,HS!V3,"D")</f>
        <v>H</v>
      </c>
      <c r="W3" s="31" t="str">
        <f>IF(J3=HS!J3,HS!W3,"D")</f>
        <v>H</v>
      </c>
      <c r="X3" s="31" t="str">
        <f>IF(K3=HS!K3,HS!X3,"D")</f>
        <v>H</v>
      </c>
    </row>
    <row r="4" spans="1:24" x14ac:dyDescent="0.2">
      <c r="A4">
        <v>4</v>
      </c>
      <c r="B4">
        <f>MAX(Hit!B4,Stand!B4,Double!B4)</f>
        <v>-0.25307699440390863</v>
      </c>
      <c r="C4">
        <f>MAX(Hit!C4,Stand!C4,Double!C4)</f>
        <v>-0.11491332761892134</v>
      </c>
      <c r="D4">
        <f>MAX(Hit!D4,Stand!D4,Double!D4)</f>
        <v>-8.2613314299744361E-2</v>
      </c>
      <c r="E4">
        <f>MAX(Hit!E4,Stand!E4,Double!E4)</f>
        <v>-4.9367420106916922E-2</v>
      </c>
      <c r="F4">
        <f>MAX(Hit!F4,Stand!F4,Double!F4)</f>
        <v>-1.2379926519926384E-2</v>
      </c>
      <c r="G4">
        <f>MAX(Hit!G4,Stand!G4,Double!G4)</f>
        <v>1.1130417280979797E-2</v>
      </c>
      <c r="H4">
        <f>MAX(Hit!H4,Stand!H4,Double!H4)</f>
        <v>-8.8279201058463722E-2</v>
      </c>
      <c r="I4">
        <f>MAX(Hit!I4,Stand!I4,Double!I4)</f>
        <v>-0.15933415266020512</v>
      </c>
      <c r="J4">
        <f>MAX(Hit!J4,Stand!J4,Double!J4)</f>
        <v>-0.24066617915336547</v>
      </c>
      <c r="K4">
        <f>MAX(Hit!K4,Stand!K4,Double!K4)</f>
        <v>-0.28919791448567511</v>
      </c>
      <c r="N4" s="31">
        <v>4</v>
      </c>
      <c r="O4" s="31" t="str">
        <f>IF(B4=HS!B4,HS!O4,"D")</f>
        <v>H</v>
      </c>
      <c r="P4" s="31" t="str">
        <f>IF(C4=HS!C4,HS!P4,"D")</f>
        <v>H</v>
      </c>
      <c r="Q4" s="31" t="str">
        <f>IF(D4=HS!D4,HS!Q4,"D")</f>
        <v>H</v>
      </c>
      <c r="R4" s="31" t="str">
        <f>IF(E4=HS!E4,HS!R4,"D")</f>
        <v>H</v>
      </c>
      <c r="S4" s="31" t="str">
        <f>IF(F4=HS!F4,HS!S4,"D")</f>
        <v>H</v>
      </c>
      <c r="T4" s="31" t="str">
        <f>IF(G4=HS!G4,HS!T4,"D")</f>
        <v>H</v>
      </c>
      <c r="U4" s="31" t="str">
        <f>IF(H4=HS!H4,HS!U4,"D")</f>
        <v>H</v>
      </c>
      <c r="V4" s="31" t="str">
        <f>IF(I4=HS!I4,HS!V4,"D")</f>
        <v>H</v>
      </c>
      <c r="W4" s="31" t="str">
        <f>IF(J4=HS!J4,HS!W4,"D")</f>
        <v>H</v>
      </c>
      <c r="X4" s="31" t="str">
        <f>IF(K4=HS!K4,HS!X4,"D")</f>
        <v>H</v>
      </c>
    </row>
    <row r="5" spans="1:24" x14ac:dyDescent="0.2">
      <c r="A5">
        <v>5</v>
      </c>
      <c r="B5">
        <f>MAX(Hit!B5,Stand!B5,Double!B5)</f>
        <v>-0.27857459755181968</v>
      </c>
      <c r="C5">
        <f>MAX(Hit!C5,Stand!C5,Double!C5)</f>
        <v>-0.12821556706374745</v>
      </c>
      <c r="D5">
        <f>MAX(Hit!D5,Stand!D5,Double!D5)</f>
        <v>-9.5310227261489883E-2</v>
      </c>
      <c r="E5">
        <f>MAX(Hit!E5,Stand!E5,Double!E5)</f>
        <v>-6.1479464199694238E-2</v>
      </c>
      <c r="F5">
        <f>MAX(Hit!F5,Stand!F5,Double!F5)</f>
        <v>-2.397897039185962E-2</v>
      </c>
      <c r="G5">
        <f>MAX(Hit!G5,Stand!G5,Double!G5)</f>
        <v>-1.1863378384401623E-3</v>
      </c>
      <c r="H5">
        <f>MAX(Hit!H5,Stand!H5,Double!H5)</f>
        <v>-0.11944744188414852</v>
      </c>
      <c r="I5">
        <f>MAX(Hit!I5,Stand!I5,Double!I5)</f>
        <v>-0.18809330390318524</v>
      </c>
      <c r="J5">
        <f>MAX(Hit!J5,Stand!J5,Double!J5)</f>
        <v>-0.26661505335795899</v>
      </c>
      <c r="K5">
        <f>MAX(Hit!K5,Stand!K5,Double!K5)</f>
        <v>-0.31341164336497107</v>
      </c>
      <c r="N5" s="31">
        <v>5</v>
      </c>
      <c r="O5" s="31" t="str">
        <f>IF(B5=HS!B5,HS!O5,"D")</f>
        <v>H</v>
      </c>
      <c r="P5" s="31" t="str">
        <f>IF(C5=HS!C5,HS!P5,"D")</f>
        <v>H</v>
      </c>
      <c r="Q5" s="31" t="str">
        <f>IF(D5=HS!D5,HS!Q5,"D")</f>
        <v>H</v>
      </c>
      <c r="R5" s="31" t="str">
        <f>IF(E5=HS!E5,HS!R5,"D")</f>
        <v>H</v>
      </c>
      <c r="S5" s="31" t="str">
        <f>IF(F5=HS!F5,HS!S5,"D")</f>
        <v>H</v>
      </c>
      <c r="T5" s="31" t="str">
        <f>IF(G5=HS!G5,HS!T5,"D")</f>
        <v>H</v>
      </c>
      <c r="U5" s="31" t="str">
        <f>IF(H5=HS!H5,HS!U5,"D")</f>
        <v>H</v>
      </c>
      <c r="V5" s="31" t="str">
        <f>IF(I5=HS!I5,HS!V5,"D")</f>
        <v>H</v>
      </c>
      <c r="W5" s="31" t="str">
        <f>IF(J5=HS!J5,HS!W5,"D")</f>
        <v>H</v>
      </c>
      <c r="X5" s="31" t="str">
        <f>IF(K5=HS!K5,HS!X5,"D")</f>
        <v>H</v>
      </c>
    </row>
    <row r="6" spans="1:24" x14ac:dyDescent="0.2">
      <c r="A6">
        <v>6</v>
      </c>
      <c r="B6">
        <f>MAX(Hit!B6,Stand!B6,Double!B6)</f>
        <v>-0.30414663097569933</v>
      </c>
      <c r="C6">
        <f>MAX(Hit!C6,Stand!C6,Double!C6)</f>
        <v>-0.14075911746001987</v>
      </c>
      <c r="D6">
        <f>MAX(Hit!D6,Stand!D6,Double!D6)</f>
        <v>-0.10729107800860836</v>
      </c>
      <c r="E6">
        <f>MAX(Hit!E6,Stand!E6,Double!E6)</f>
        <v>-7.2917141926387305E-2</v>
      </c>
      <c r="F6">
        <f>MAX(Hit!F6,Stand!F6,Double!F6)</f>
        <v>-3.4915973330102178E-2</v>
      </c>
      <c r="G6">
        <f>MAX(Hit!G6,Stand!G6,Double!G6)</f>
        <v>-1.3005835529874294E-2</v>
      </c>
      <c r="H6">
        <f>MAX(Hit!H6,Stand!H6,Double!H6)</f>
        <v>-0.15193270723669944</v>
      </c>
      <c r="I6">
        <f>MAX(Hit!I6,Stand!I6,Double!I6)</f>
        <v>-0.21724188132078476</v>
      </c>
      <c r="J6">
        <f>MAX(Hit!J6,Stand!J6,Double!J6)</f>
        <v>-0.29264070019772598</v>
      </c>
      <c r="K6">
        <f>MAX(Hit!K6,Stand!K6,Double!K6)</f>
        <v>-0.33774944037840804</v>
      </c>
      <c r="N6" s="31">
        <v>6</v>
      </c>
      <c r="O6" s="31" t="str">
        <f>IF(B6=HS!B6,HS!O6,"D")</f>
        <v>H</v>
      </c>
      <c r="P6" s="31" t="str">
        <f>IF(C6=HS!C6,HS!P6,"D")</f>
        <v>H</v>
      </c>
      <c r="Q6" s="31" t="str">
        <f>IF(D6=HS!D6,HS!Q6,"D")</f>
        <v>H</v>
      </c>
      <c r="R6" s="31" t="str">
        <f>IF(E6=HS!E6,HS!R6,"D")</f>
        <v>H</v>
      </c>
      <c r="S6" s="31" t="str">
        <f>IF(F6=HS!F6,HS!S6,"D")</f>
        <v>H</v>
      </c>
      <c r="T6" s="31" t="str">
        <f>IF(G6=HS!G6,HS!T6,"D")</f>
        <v>H</v>
      </c>
      <c r="U6" s="31" t="str">
        <f>IF(H6=HS!H6,HS!U6,"D")</f>
        <v>H</v>
      </c>
      <c r="V6" s="31" t="str">
        <f>IF(I6=HS!I6,HS!V6,"D")</f>
        <v>H</v>
      </c>
      <c r="W6" s="31" t="str">
        <f>IF(J6=HS!J6,HS!W6,"D")</f>
        <v>H</v>
      </c>
      <c r="X6" s="31" t="str">
        <f>IF(K6=HS!K6,HS!X6,"D")</f>
        <v>H</v>
      </c>
    </row>
    <row r="7" spans="1:24" x14ac:dyDescent="0.2">
      <c r="A7">
        <v>7</v>
      </c>
      <c r="B7">
        <f>MAX(Hit!B7,Stand!B7,Double!B7)</f>
        <v>-0.31007165033163697</v>
      </c>
      <c r="C7">
        <f>MAX(Hit!C7,Stand!C7,Double!C7)</f>
        <v>-0.10918342786661633</v>
      </c>
      <c r="D7">
        <f>MAX(Hit!D7,Stand!D7,Double!D7)</f>
        <v>-7.658298190446361E-2</v>
      </c>
      <c r="E7">
        <f>MAX(Hit!E7,Stand!E7,Double!E7)</f>
        <v>-4.3021794004341876E-2</v>
      </c>
      <c r="F7">
        <f>MAX(Hit!F7,Stand!F7,Double!F7)</f>
        <v>-7.2713609029408845E-3</v>
      </c>
      <c r="G7">
        <f>MAX(Hit!G7,Stand!G7,Double!G7)</f>
        <v>2.9185342353860864E-2</v>
      </c>
      <c r="H7">
        <f>MAX(Hit!H7,Stand!H7,Double!H7)</f>
        <v>-6.8807799580427764E-2</v>
      </c>
      <c r="I7">
        <f>MAX(Hit!I7,Stand!I7,Double!I7)</f>
        <v>-0.21060476872434969</v>
      </c>
      <c r="J7">
        <f>MAX(Hit!J7,Stand!J7,Double!J7)</f>
        <v>-0.28536544048687656</v>
      </c>
      <c r="K7">
        <f>MAX(Hit!K7,Stand!K7,Double!K7)</f>
        <v>-0.31905479139833842</v>
      </c>
      <c r="N7" s="31">
        <v>7</v>
      </c>
      <c r="O7" s="31" t="str">
        <f>IF(B7=HS!B7,HS!O7,"D")</f>
        <v>H</v>
      </c>
      <c r="P7" s="31" t="str">
        <f>IF(C7=HS!C7,HS!P7,"D")</f>
        <v>H</v>
      </c>
      <c r="Q7" s="31" t="str">
        <f>IF(D7=HS!D7,HS!Q7,"D")</f>
        <v>H</v>
      </c>
      <c r="R7" s="31" t="str">
        <f>IF(E7=HS!E7,HS!R7,"D")</f>
        <v>H</v>
      </c>
      <c r="S7" s="31" t="str">
        <f>IF(F7=HS!F7,HS!S7,"D")</f>
        <v>H</v>
      </c>
      <c r="T7" s="31" t="str">
        <f>IF(G7=HS!G7,HS!T7,"D")</f>
        <v>H</v>
      </c>
      <c r="U7" s="31" t="str">
        <f>IF(H7=HS!H7,HS!U7,"D")</f>
        <v>H</v>
      </c>
      <c r="V7" s="31" t="str">
        <f>IF(I7=HS!I7,HS!V7,"D")</f>
        <v>H</v>
      </c>
      <c r="W7" s="31" t="str">
        <f>IF(J7=HS!J7,HS!W7,"D")</f>
        <v>H</v>
      </c>
      <c r="X7" s="31" t="str">
        <f>IF(K7=HS!K7,HS!X7,"D")</f>
        <v>H</v>
      </c>
    </row>
    <row r="8" spans="1:24" x14ac:dyDescent="0.2">
      <c r="A8">
        <v>8</v>
      </c>
      <c r="B8">
        <f>MAX(Hit!B8,Stand!B8,Double!B8)</f>
        <v>-0.1970288105741636</v>
      </c>
      <c r="C8">
        <f>MAX(Hit!C8,Stand!C8,Double!C8)</f>
        <v>-2.1798188008805668E-2</v>
      </c>
      <c r="D8">
        <f>MAX(Hit!D8,Stand!D8,Double!D8)</f>
        <v>8.0052625306546825E-3</v>
      </c>
      <c r="E8">
        <f>MAX(Hit!E8,Stand!E8,Double!E8)</f>
        <v>3.8784473277208811E-2</v>
      </c>
      <c r="F8">
        <f>MAX(Hit!F8,Stand!F8,Double!F8)</f>
        <v>7.0804635983033826E-2</v>
      </c>
      <c r="G8">
        <f>MAX(Hit!G8,Stand!G8,Double!G8)</f>
        <v>0.11496015009622321</v>
      </c>
      <c r="H8">
        <f>MAX(Hit!H8,Stand!H8,Double!H8)</f>
        <v>8.2207439363742862E-2</v>
      </c>
      <c r="I8">
        <f>MAX(Hit!I8,Stand!I8,Double!I8)</f>
        <v>-5.9898275658656304E-2</v>
      </c>
      <c r="J8">
        <f>MAX(Hit!J8,Stand!J8,Double!J8)</f>
        <v>-0.21018633199821757</v>
      </c>
      <c r="K8">
        <f>MAX(Hit!K8,Stand!K8,Double!K8)</f>
        <v>-0.24937508055334259</v>
      </c>
      <c r="N8" s="31">
        <v>8</v>
      </c>
      <c r="O8" s="31" t="str">
        <f>IF(B8=HS!B8,HS!O8,"D")</f>
        <v>H</v>
      </c>
      <c r="P8" s="31" t="str">
        <f>IF(C8=HS!C8,HS!P8,"D")</f>
        <v>H</v>
      </c>
      <c r="Q8" s="31" t="str">
        <f>IF(D8=HS!D8,HS!Q8,"D")</f>
        <v>H</v>
      </c>
      <c r="R8" s="31" t="str">
        <f>IF(E8=HS!E8,HS!R8,"D")</f>
        <v>H</v>
      </c>
      <c r="S8" s="31" t="str">
        <f>IF(F8=HS!F8,HS!S8,"D")</f>
        <v>H</v>
      </c>
      <c r="T8" s="31" t="str">
        <f>IF(G8=HS!G8,HS!T8,"D")</f>
        <v>H</v>
      </c>
      <c r="U8" s="31" t="str">
        <f>IF(H8=HS!H8,HS!U8,"D")</f>
        <v>H</v>
      </c>
      <c r="V8" s="31" t="str">
        <f>IF(I8=HS!I8,HS!V8,"D")</f>
        <v>H</v>
      </c>
      <c r="W8" s="31" t="str">
        <f>IF(J8=HS!J8,HS!W8,"D")</f>
        <v>H</v>
      </c>
      <c r="X8" s="31" t="str">
        <f>IF(K8=HS!K8,HS!X8,"D")</f>
        <v>H</v>
      </c>
    </row>
    <row r="9" spans="1:24" x14ac:dyDescent="0.2">
      <c r="A9">
        <v>9</v>
      </c>
      <c r="B9">
        <f>MAX(Hit!B9,Stand!B9,Double!B9)</f>
        <v>-6.5680778778066204E-2</v>
      </c>
      <c r="C9">
        <f>MAX(Hit!C9,Stand!C9,Double!C9)</f>
        <v>7.4446037576340524E-2</v>
      </c>
      <c r="D9">
        <f>MAX(Hit!D9,Stand!D9,Double!D9)</f>
        <v>0.12081635332999649</v>
      </c>
      <c r="E9">
        <f>MAX(Hit!E9,Stand!E9,Double!E9)</f>
        <v>0.18194893405242166</v>
      </c>
      <c r="F9">
        <f>MAX(Hit!F9,Stand!F9,Double!F9)</f>
        <v>0.24305722487303633</v>
      </c>
      <c r="G9">
        <f>MAX(Hit!G9,Stand!G9,Double!G9)</f>
        <v>0.31705474570166692</v>
      </c>
      <c r="H9">
        <f>MAX(Hit!H9,Stand!H9,Double!H9)</f>
        <v>0.17186785993695267</v>
      </c>
      <c r="I9">
        <f>MAX(Hit!I9,Stand!I9,Double!I9)</f>
        <v>9.8376217435392516E-2</v>
      </c>
      <c r="J9">
        <f>MAX(Hit!J9,Stand!J9,Double!J9)</f>
        <v>-5.2178053462651669E-2</v>
      </c>
      <c r="K9">
        <f>MAX(Hit!K9,Stand!K9,Double!K9)</f>
        <v>-0.15295298487455075</v>
      </c>
      <c r="N9" s="31">
        <v>9</v>
      </c>
      <c r="O9" s="31" t="str">
        <f>IF(B9=HS!B9,HS!O9,"D")</f>
        <v>H</v>
      </c>
      <c r="P9" s="31" t="str">
        <f>IF(C9=HS!C9,HS!P9,"D")</f>
        <v>H</v>
      </c>
      <c r="Q9" s="31" t="str">
        <f>IF(D9=HS!D9,HS!Q9,"D")</f>
        <v>D</v>
      </c>
      <c r="R9" s="31" t="str">
        <f>IF(E9=HS!E9,HS!R9,"D")</f>
        <v>D</v>
      </c>
      <c r="S9" s="31" t="str">
        <f>IF(F9=HS!F9,HS!S9,"D")</f>
        <v>D</v>
      </c>
      <c r="T9" s="31" t="str">
        <f>IF(G9=HS!G9,HS!T9,"D")</f>
        <v>D</v>
      </c>
      <c r="U9" s="31" t="str">
        <f>IF(H9=HS!H9,HS!U9,"D")</f>
        <v>H</v>
      </c>
      <c r="V9" s="31" t="str">
        <f>IF(I9=HS!I9,HS!V9,"D")</f>
        <v>H</v>
      </c>
      <c r="W9" s="31" t="str">
        <f>IF(J9=HS!J9,HS!W9,"D")</f>
        <v>H</v>
      </c>
      <c r="X9" s="31" t="str">
        <f>IF(K9=HS!K9,HS!X9,"D")</f>
        <v>H</v>
      </c>
    </row>
    <row r="10" spans="1:24" x14ac:dyDescent="0.2">
      <c r="A10">
        <v>10</v>
      </c>
      <c r="B10">
        <f>MAX(Hit!B10,Stand!B10,Double!B10)</f>
        <v>8.1449707945275923E-2</v>
      </c>
      <c r="C10">
        <f>MAX(Hit!C10,Stand!C10,Double!C10)</f>
        <v>0.3589394124422991</v>
      </c>
      <c r="D10">
        <f>MAX(Hit!D10,Stand!D10,Double!D10)</f>
        <v>0.40932067017593915</v>
      </c>
      <c r="E10">
        <f>MAX(Hit!E10,Stand!E10,Double!E10)</f>
        <v>0.460940243794354</v>
      </c>
      <c r="F10">
        <f>MAX(Hit!F10,Stand!F10,Double!F10)</f>
        <v>0.51251710900326775</v>
      </c>
      <c r="G10">
        <f>MAX(Hit!G10,Stand!G10,Double!G10)</f>
        <v>0.57559016859776857</v>
      </c>
      <c r="H10">
        <f>MAX(Hit!H10,Stand!H10,Double!H10)</f>
        <v>0.39241245528243773</v>
      </c>
      <c r="I10">
        <f>MAX(Hit!I10,Stand!I10,Double!I10)</f>
        <v>0.28663571688628381</v>
      </c>
      <c r="J10">
        <f>MAX(Hit!J10,Stand!J10,Double!J10)</f>
        <v>0.1443283683807712</v>
      </c>
      <c r="K10">
        <f>MAX(Hit!K10,Stand!K10,Double!K10)</f>
        <v>2.5308523040868145E-2</v>
      </c>
      <c r="N10" s="31">
        <v>10</v>
      </c>
      <c r="O10" s="31" t="str">
        <f>IF(B10=HS!B10,HS!O10,"D")</f>
        <v>H</v>
      </c>
      <c r="P10" s="31" t="str">
        <f>IF(C10=HS!C10,HS!P10,"D")</f>
        <v>D</v>
      </c>
      <c r="Q10" s="31" t="str">
        <f>IF(D10=HS!D10,HS!Q10,"D")</f>
        <v>D</v>
      </c>
      <c r="R10" s="31" t="str">
        <f>IF(E10=HS!E10,HS!R10,"D")</f>
        <v>D</v>
      </c>
      <c r="S10" s="31" t="str">
        <f>IF(F10=HS!F10,HS!S10,"D")</f>
        <v>D</v>
      </c>
      <c r="T10" s="31" t="str">
        <f>IF(G10=HS!G10,HS!T10,"D")</f>
        <v>D</v>
      </c>
      <c r="U10" s="31" t="str">
        <f>IF(H10=HS!H10,HS!U10,"D")</f>
        <v>D</v>
      </c>
      <c r="V10" s="31" t="str">
        <f>IF(I10=HS!I10,HS!V10,"D")</f>
        <v>D</v>
      </c>
      <c r="W10" s="31" t="str">
        <f>IF(J10=HS!J10,HS!W10,"D")</f>
        <v>D</v>
      </c>
      <c r="X10" s="31" t="str">
        <f>IF(K10=HS!K10,HS!X10,"D")</f>
        <v>H</v>
      </c>
    </row>
    <row r="11" spans="1:24" x14ac:dyDescent="0.2">
      <c r="A11">
        <v>11</v>
      </c>
      <c r="B11">
        <f>MAX(Hit!B11,Stand!B11,Double!B11)</f>
        <v>0.14300128216153027</v>
      </c>
      <c r="C11">
        <f>MAX(Hit!C11,Stand!C11,Double!C11)</f>
        <v>0.47064092333946889</v>
      </c>
      <c r="D11">
        <f>MAX(Hit!D11,Stand!D11,Double!D11)</f>
        <v>0.51779525312221675</v>
      </c>
      <c r="E11">
        <f>MAX(Hit!E11,Stand!E11,Double!E11)</f>
        <v>0.56604055041797607</v>
      </c>
      <c r="F11">
        <f>MAX(Hit!F11,Stand!F11,Double!F11)</f>
        <v>0.61469901790902803</v>
      </c>
      <c r="G11">
        <f>MAX(Hit!G11,Stand!G11,Double!G11)</f>
        <v>0.66738009490756944</v>
      </c>
      <c r="H11">
        <f>MAX(Hit!H11,Stand!H11,Double!H11)</f>
        <v>0.46288894886429077</v>
      </c>
      <c r="I11">
        <f>MAX(Hit!I11,Stand!I11,Double!I11)</f>
        <v>0.35069259087031501</v>
      </c>
      <c r="J11">
        <f>MAX(Hit!J11,Stand!J11,Double!J11)</f>
        <v>0.22778342315245487</v>
      </c>
      <c r="K11">
        <f>MAX(Hit!K11,Stand!K11,Double!K11)</f>
        <v>0.1796887274111463</v>
      </c>
      <c r="N11" s="31">
        <v>11</v>
      </c>
      <c r="O11" s="31" t="str">
        <f>IF(B11=HS!B11,HS!O11,"D")</f>
        <v>H</v>
      </c>
      <c r="P11" s="31" t="str">
        <f>IF(C11=HS!C11,HS!P11,"D")</f>
        <v>D</v>
      </c>
      <c r="Q11" s="31" t="str">
        <f>IF(D11=HS!D11,HS!Q11,"D")</f>
        <v>D</v>
      </c>
      <c r="R11" s="31" t="str">
        <f>IF(E11=HS!E11,HS!R11,"D")</f>
        <v>D</v>
      </c>
      <c r="S11" s="31" t="str">
        <f>IF(F11=HS!F11,HS!S11,"D")</f>
        <v>D</v>
      </c>
      <c r="T11" s="31" t="str">
        <f>IF(G11=HS!G11,HS!T11,"D")</f>
        <v>D</v>
      </c>
      <c r="U11" s="31" t="str">
        <f>IF(H11=HS!H11,HS!U11,"D")</f>
        <v>D</v>
      </c>
      <c r="V11" s="31" t="str">
        <f>IF(I11=HS!I11,HS!V11,"D")</f>
        <v>D</v>
      </c>
      <c r="W11" s="31" t="str">
        <f>IF(J11=HS!J11,HS!W11,"D")</f>
        <v>D</v>
      </c>
      <c r="X11" s="31" t="str">
        <f>IF(K11=HS!K11,HS!X11,"D")</f>
        <v>D</v>
      </c>
    </row>
    <row r="12" spans="1:24" x14ac:dyDescent="0.2">
      <c r="A12">
        <v>12</v>
      </c>
      <c r="B12">
        <f>MAX(Hit!B12,Stand!B12,Double!B12)</f>
        <v>-0.35054034044008009</v>
      </c>
      <c r="C12">
        <f>MAX(Hit!C12,Stand!C12,Double!C12)</f>
        <v>-0.25338998596663809</v>
      </c>
      <c r="D12">
        <f>MAX(Hit!D12,Stand!D12,Double!D12)</f>
        <v>-0.2336908997980866</v>
      </c>
      <c r="E12">
        <f>MAX(Hit!E12,Stand!E12,Double!E12)</f>
        <v>-0.21106310899491437</v>
      </c>
      <c r="F12">
        <f>MAX(Hit!F12,Stand!F12,Double!F12)</f>
        <v>-0.16719266083547524</v>
      </c>
      <c r="G12">
        <f>MAX(Hit!G12,Stand!G12,Double!G12)</f>
        <v>-0.1536990158300045</v>
      </c>
      <c r="H12">
        <f>MAX(Hit!H12,Stand!H12,Double!H12)</f>
        <v>-0.21284771451731424</v>
      </c>
      <c r="I12">
        <f>MAX(Hit!I12,Stand!I12,Double!I12)</f>
        <v>-0.27157480502428616</v>
      </c>
      <c r="J12">
        <f>MAX(Hit!J12,Stand!J12,Double!J12)</f>
        <v>-0.3400132806089356</v>
      </c>
      <c r="K12">
        <f>MAX(Hit!K12,Stand!K12,Double!K12)</f>
        <v>-0.38104299284808768</v>
      </c>
      <c r="N12" s="31">
        <v>12</v>
      </c>
      <c r="O12" s="31" t="str">
        <f>IF(B12=HS!B12,HS!O12,"D")</f>
        <v>H</v>
      </c>
      <c r="P12" s="31" t="str">
        <f>IF(C12=HS!C12,HS!P12,"D")</f>
        <v>H</v>
      </c>
      <c r="Q12" s="31" t="str">
        <f>IF(D12=HS!D12,HS!Q12,"D")</f>
        <v>H</v>
      </c>
      <c r="R12" s="31" t="str">
        <f>IF(E12=HS!E12,HS!R12,"D")</f>
        <v>S</v>
      </c>
      <c r="S12" s="31" t="str">
        <f>IF(F12=HS!F12,HS!S12,"D")</f>
        <v>S</v>
      </c>
      <c r="T12" s="31" t="str">
        <f>IF(G12=HS!G12,HS!T12,"D")</f>
        <v>S</v>
      </c>
      <c r="U12" s="31" t="str">
        <f>IF(H12=HS!H12,HS!U12,"D")</f>
        <v>H</v>
      </c>
      <c r="V12" s="31" t="str">
        <f>IF(I12=HS!I12,HS!V12,"D")</f>
        <v>H</v>
      </c>
      <c r="W12" s="31" t="str">
        <f>IF(J12=HS!J12,HS!W12,"D")</f>
        <v>H</v>
      </c>
      <c r="X12" s="31" t="str">
        <f>IF(K12=HS!K12,HS!X12,"D")</f>
        <v>H</v>
      </c>
    </row>
    <row r="13" spans="1:24" x14ac:dyDescent="0.2">
      <c r="A13">
        <v>13</v>
      </c>
      <c r="B13">
        <f>MAX(Hit!B13,Stand!B13,Double!B13)</f>
        <v>-0.3969303161229315</v>
      </c>
      <c r="C13">
        <f>MAX(Hit!C13,Stand!C13,Double!C13)</f>
        <v>-0.29278372720927726</v>
      </c>
      <c r="D13">
        <f>MAX(Hit!D13,Stand!D13,Double!D13)</f>
        <v>-0.2522502292357135</v>
      </c>
      <c r="E13">
        <f>MAX(Hit!E13,Stand!E13,Double!E13)</f>
        <v>-0.21106310899491437</v>
      </c>
      <c r="F13">
        <f>MAX(Hit!F13,Stand!F13,Double!F13)</f>
        <v>-0.16719266083547524</v>
      </c>
      <c r="G13">
        <f>MAX(Hit!G13,Stand!G13,Double!G13)</f>
        <v>-0.1536990158300045</v>
      </c>
      <c r="H13">
        <f>MAX(Hit!H13,Stand!H13,Double!H13)</f>
        <v>-0.26907287776607752</v>
      </c>
      <c r="I13">
        <f>MAX(Hit!I13,Stand!I13,Double!I13)</f>
        <v>-0.32360517609397998</v>
      </c>
      <c r="J13">
        <f>MAX(Hit!J13,Stand!J13,Double!J13)</f>
        <v>-0.38715518913686875</v>
      </c>
      <c r="K13">
        <f>MAX(Hit!K13,Stand!K13,Double!K13)</f>
        <v>-0.42525420764465277</v>
      </c>
      <c r="N13" s="31">
        <v>13</v>
      </c>
      <c r="O13" s="31" t="str">
        <f>IF(B13=HS!B13,HS!O13,"D")</f>
        <v>H</v>
      </c>
      <c r="P13" s="31" t="str">
        <f>IF(C13=HS!C13,HS!P13,"D")</f>
        <v>S</v>
      </c>
      <c r="Q13" s="31" t="str">
        <f>IF(D13=HS!D13,HS!Q13,"D")</f>
        <v>S</v>
      </c>
      <c r="R13" s="31" t="str">
        <f>IF(E13=HS!E13,HS!R13,"D")</f>
        <v>S</v>
      </c>
      <c r="S13" s="31" t="str">
        <f>IF(F13=HS!F13,HS!S13,"D")</f>
        <v>S</v>
      </c>
      <c r="T13" s="31" t="str">
        <f>IF(G13=HS!G13,HS!T13,"D")</f>
        <v>S</v>
      </c>
      <c r="U13" s="31" t="str">
        <f>IF(H13=HS!H13,HS!U13,"D")</f>
        <v>H</v>
      </c>
      <c r="V13" s="31" t="str">
        <f>IF(I13=HS!I13,HS!V13,"D")</f>
        <v>H</v>
      </c>
      <c r="W13" s="31" t="str">
        <f>IF(J13=HS!J13,HS!W13,"D")</f>
        <v>H</v>
      </c>
      <c r="X13" s="31" t="str">
        <f>IF(K13=HS!K13,HS!X13,"D")</f>
        <v>H</v>
      </c>
    </row>
    <row r="14" spans="1:24" x14ac:dyDescent="0.2">
      <c r="A14">
        <v>14</v>
      </c>
      <c r="B14">
        <f>MAX(Hit!B14,Stand!B14,Double!B14)</f>
        <v>-0.44000672211415065</v>
      </c>
      <c r="C14">
        <f>MAX(Hit!C14,Stand!C14,Double!C14)</f>
        <v>-0.29278372720927726</v>
      </c>
      <c r="D14">
        <f>MAX(Hit!D14,Stand!D14,Double!D14)</f>
        <v>-0.2522502292357135</v>
      </c>
      <c r="E14">
        <f>MAX(Hit!E14,Stand!E14,Double!E14)</f>
        <v>-0.21106310899491437</v>
      </c>
      <c r="F14">
        <f>MAX(Hit!F14,Stand!F14,Double!F14)</f>
        <v>-0.16719266083547524</v>
      </c>
      <c r="G14">
        <f>MAX(Hit!G14,Stand!G14,Double!G14)</f>
        <v>-0.1536990158300045</v>
      </c>
      <c r="H14">
        <f>MAX(Hit!H14,Stand!H14,Double!H14)</f>
        <v>-0.3212819579256434</v>
      </c>
      <c r="I14">
        <f>MAX(Hit!I14,Stand!I14,Double!I14)</f>
        <v>-0.37191909208726714</v>
      </c>
      <c r="J14">
        <f>MAX(Hit!J14,Stand!J14,Double!J14)</f>
        <v>-0.43092981848423528</v>
      </c>
      <c r="K14">
        <f>MAX(Hit!K14,Stand!K14,Double!K14)</f>
        <v>-0.46630747852717758</v>
      </c>
      <c r="N14" s="31">
        <v>14</v>
      </c>
      <c r="O14" s="31" t="str">
        <f>IF(B14=HS!B14,HS!O14,"D")</f>
        <v>H</v>
      </c>
      <c r="P14" s="31" t="str">
        <f>IF(C14=HS!C14,HS!P14,"D")</f>
        <v>S</v>
      </c>
      <c r="Q14" s="31" t="str">
        <f>IF(D14=HS!D14,HS!Q14,"D")</f>
        <v>S</v>
      </c>
      <c r="R14" s="31" t="str">
        <f>IF(E14=HS!E14,HS!R14,"D")</f>
        <v>S</v>
      </c>
      <c r="S14" s="31" t="str">
        <f>IF(F14=HS!F14,HS!S14,"D")</f>
        <v>S</v>
      </c>
      <c r="T14" s="31" t="str">
        <f>IF(G14=HS!G14,HS!T14,"D")</f>
        <v>S</v>
      </c>
      <c r="U14" s="31" t="str">
        <f>IF(H14=HS!H14,HS!U14,"D")</f>
        <v>H</v>
      </c>
      <c r="V14" s="31" t="str">
        <f>IF(I14=HS!I14,HS!V14,"D")</f>
        <v>H</v>
      </c>
      <c r="W14" s="31" t="str">
        <f>IF(J14=HS!J14,HS!W14,"D")</f>
        <v>H</v>
      </c>
      <c r="X14" s="31" t="str">
        <f>IF(K14=HS!K14,HS!X14,"D")</f>
        <v>H</v>
      </c>
    </row>
    <row r="15" spans="1:24" x14ac:dyDescent="0.2">
      <c r="A15">
        <v>15</v>
      </c>
      <c r="B15">
        <f>MAX(Hit!B15,Stand!B15,Double!B15)</f>
        <v>-0.4800062419631399</v>
      </c>
      <c r="C15">
        <f>MAX(Hit!C15,Stand!C15,Double!C15)</f>
        <v>-0.29278372720927726</v>
      </c>
      <c r="D15">
        <f>MAX(Hit!D15,Stand!D15,Double!D15)</f>
        <v>-0.2522502292357135</v>
      </c>
      <c r="E15">
        <f>MAX(Hit!E15,Stand!E15,Double!E15)</f>
        <v>-0.21106310899491437</v>
      </c>
      <c r="F15">
        <f>MAX(Hit!F15,Stand!F15,Double!F15)</f>
        <v>-0.16719266083547524</v>
      </c>
      <c r="G15">
        <f>MAX(Hit!G15,Stand!G15,Double!G15)</f>
        <v>-0.1536990158300045</v>
      </c>
      <c r="H15">
        <f>MAX(Hit!H15,Stand!H15,Double!H15)</f>
        <v>-0.36976181807381175</v>
      </c>
      <c r="I15">
        <f>MAX(Hit!I15,Stand!I15,Double!I15)</f>
        <v>-0.41678201408103371</v>
      </c>
      <c r="J15">
        <f>MAX(Hit!J15,Stand!J15,Double!J15)</f>
        <v>-0.47157768859250415</v>
      </c>
      <c r="K15">
        <f>MAX(Hit!K15,Stand!K15,Double!K15)</f>
        <v>-0.5044283729180935</v>
      </c>
      <c r="N15" s="31">
        <v>15</v>
      </c>
      <c r="O15" s="31" t="str">
        <f>IF(B15=HS!B15,HS!O15,"D")</f>
        <v>H</v>
      </c>
      <c r="P15" s="31" t="str">
        <f>IF(C15=HS!C15,HS!P15,"D")</f>
        <v>S</v>
      </c>
      <c r="Q15" s="31" t="str">
        <f>IF(D15=HS!D15,HS!Q15,"D")</f>
        <v>S</v>
      </c>
      <c r="R15" s="31" t="str">
        <f>IF(E15=HS!E15,HS!R15,"D")</f>
        <v>S</v>
      </c>
      <c r="S15" s="31" t="str">
        <f>IF(F15=HS!F15,HS!S15,"D")</f>
        <v>S</v>
      </c>
      <c r="T15" s="31" t="str">
        <f>IF(G15=HS!G15,HS!T15,"D")</f>
        <v>S</v>
      </c>
      <c r="U15" s="31" t="str">
        <f>IF(H15=HS!H15,HS!U15,"D")</f>
        <v>H</v>
      </c>
      <c r="V15" s="31" t="str">
        <f>IF(I15=HS!I15,HS!V15,"D")</f>
        <v>H</v>
      </c>
      <c r="W15" s="31" t="str">
        <f>IF(J15=HS!J15,HS!W15,"D")</f>
        <v>H</v>
      </c>
      <c r="X15" s="31" t="str">
        <f>IF(K15=HS!K15,HS!X15,"D")</f>
        <v>H</v>
      </c>
    </row>
    <row r="16" spans="1:24" x14ac:dyDescent="0.2">
      <c r="A16">
        <v>16</v>
      </c>
      <c r="B16">
        <f>MAX(Hit!B16,Stand!B16,Double!B16)</f>
        <v>-0.51714865325148707</v>
      </c>
      <c r="C16">
        <f>MAX(Hit!C16,Stand!C16,Double!C16)</f>
        <v>-0.29278372720927726</v>
      </c>
      <c r="D16">
        <f>MAX(Hit!D16,Stand!D16,Double!D16)</f>
        <v>-0.2522502292357135</v>
      </c>
      <c r="E16">
        <f>MAX(Hit!E16,Stand!E16,Double!E16)</f>
        <v>-0.21106310899491437</v>
      </c>
      <c r="F16">
        <f>MAX(Hit!F16,Stand!F16,Double!F16)</f>
        <v>-0.16719266083547524</v>
      </c>
      <c r="G16">
        <f>MAX(Hit!G16,Stand!G16,Double!G16)</f>
        <v>-0.1536990158300045</v>
      </c>
      <c r="H16">
        <f>MAX(Hit!H16,Stand!H16,Double!H16)</f>
        <v>-0.41477883106853947</v>
      </c>
      <c r="I16">
        <f>MAX(Hit!I16,Stand!I16,Double!I16)</f>
        <v>-0.45844044164667419</v>
      </c>
      <c r="J16">
        <f>MAX(Hit!J16,Stand!J16,Double!J16)</f>
        <v>-0.50932213940732529</v>
      </c>
      <c r="K16">
        <f>MAX(Hit!K16,Stand!K16,Double!K16)</f>
        <v>-0.53982634628108683</v>
      </c>
      <c r="N16" s="31">
        <v>16</v>
      </c>
      <c r="O16" s="31" t="str">
        <f>IF(B16=HS!B16,HS!O16,"D")</f>
        <v>H</v>
      </c>
      <c r="P16" s="31" t="str">
        <f>IF(C16=HS!C16,HS!P16,"D")</f>
        <v>S</v>
      </c>
      <c r="Q16" s="31" t="str">
        <f>IF(D16=HS!D16,HS!Q16,"D")</f>
        <v>S</v>
      </c>
      <c r="R16" s="31" t="str">
        <f>IF(E16=HS!E16,HS!R16,"D")</f>
        <v>S</v>
      </c>
      <c r="S16" s="31" t="str">
        <f>IF(F16=HS!F16,HS!S16,"D")</f>
        <v>S</v>
      </c>
      <c r="T16" s="31" t="str">
        <f>IF(G16=HS!G16,HS!T16,"D")</f>
        <v>S</v>
      </c>
      <c r="U16" s="31" t="str">
        <f>IF(H16=HS!H16,HS!U16,"D")</f>
        <v>H</v>
      </c>
      <c r="V16" s="31" t="str">
        <f>IF(I16=HS!I16,HS!V16,"D")</f>
        <v>H</v>
      </c>
      <c r="W16" s="31" t="str">
        <f>IF(J16=HS!J16,HS!W16,"D")</f>
        <v>H</v>
      </c>
      <c r="X16" s="31" t="str">
        <f>IF(K16=HS!K16,HS!X16,"D")</f>
        <v>H</v>
      </c>
    </row>
    <row r="17" spans="1:24" x14ac:dyDescent="0.2">
      <c r="A17">
        <v>17</v>
      </c>
      <c r="B17">
        <f>MAX(Hit!B17,Stand!B17,Double!B17)</f>
        <v>-0.47803347499473703</v>
      </c>
      <c r="C17">
        <f>MAX(Hit!C17,Stand!C17,Double!C17)</f>
        <v>-0.15297458768154204</v>
      </c>
      <c r="D17">
        <f>MAX(Hit!D17,Stand!D17,Double!D17)</f>
        <v>-0.11721624142457365</v>
      </c>
      <c r="E17">
        <f>MAX(Hit!E17,Stand!E17,Double!E17)</f>
        <v>-8.0573373145316152E-2</v>
      </c>
      <c r="F17">
        <f>MAX(Hit!F17,Stand!F17,Double!F17)</f>
        <v>-4.4941375564924446E-2</v>
      </c>
      <c r="G17">
        <f>MAX(Hit!G17,Stand!G17,Double!G17)</f>
        <v>1.1739160673341853E-2</v>
      </c>
      <c r="H17">
        <f>MAX(Hit!H17,Stand!H17,Double!H17)</f>
        <v>-0.10680898948269468</v>
      </c>
      <c r="I17">
        <f>MAX(Hit!I17,Stand!I17,Double!I17)</f>
        <v>-0.38195097104844711</v>
      </c>
      <c r="J17">
        <f>MAX(Hit!J17,Stand!J17,Double!J17)</f>
        <v>-0.42315423964521737</v>
      </c>
      <c r="K17">
        <f>MAX(Hit!K17,Stand!K17,Double!K17)</f>
        <v>-0.41972063392881986</v>
      </c>
      <c r="N17" s="31">
        <v>17</v>
      </c>
      <c r="O17" s="31" t="str">
        <f>IF(B17=HS!B17,HS!O17,"D")</f>
        <v>S</v>
      </c>
      <c r="P17" s="31" t="str">
        <f>IF(C17=HS!C17,HS!P17,"D")</f>
        <v>S</v>
      </c>
      <c r="Q17" s="31" t="str">
        <f>IF(D17=HS!D17,HS!Q17,"D")</f>
        <v>S</v>
      </c>
      <c r="R17" s="31" t="str">
        <f>IF(E17=HS!E17,HS!R17,"D")</f>
        <v>S</v>
      </c>
      <c r="S17" s="31" t="str">
        <f>IF(F17=HS!F17,HS!S17,"D")</f>
        <v>S</v>
      </c>
      <c r="T17" s="31" t="str">
        <f>IF(G17=HS!G17,HS!T17,"D")</f>
        <v>S</v>
      </c>
      <c r="U17" s="31" t="str">
        <f>IF(H17=HS!H17,HS!U17,"D")</f>
        <v>S</v>
      </c>
      <c r="V17" s="31" t="str">
        <f>IF(I17=HS!I17,HS!V17,"D")</f>
        <v>S</v>
      </c>
      <c r="W17" s="31" t="str">
        <f>IF(J17=HS!J17,HS!W17,"D")</f>
        <v>S</v>
      </c>
      <c r="X17" s="31" t="str">
        <f>IF(K17=HS!K17,HS!X17,"D")</f>
        <v>S</v>
      </c>
    </row>
    <row r="18" spans="1:24" x14ac:dyDescent="0.2">
      <c r="A18">
        <v>18</v>
      </c>
      <c r="B18">
        <f>MAX(Hit!B18,Stand!B18,Double!B18)</f>
        <v>-0.10019887561319057</v>
      </c>
      <c r="C18">
        <f>MAX(Hit!C18,Stand!C18,Double!C18)</f>
        <v>0.12174190222088771</v>
      </c>
      <c r="D18">
        <f>MAX(Hit!D18,Stand!D18,Double!D18)</f>
        <v>0.14830007284131119</v>
      </c>
      <c r="E18">
        <f>MAX(Hit!E18,Stand!E18,Double!E18)</f>
        <v>0.17585443719748528</v>
      </c>
      <c r="F18">
        <f>MAX(Hit!F18,Stand!F18,Double!F18)</f>
        <v>0.19956119497617719</v>
      </c>
      <c r="G18">
        <f>MAX(Hit!G18,Stand!G18,Double!G18)</f>
        <v>0.28344391604689856</v>
      </c>
      <c r="H18">
        <f>MAX(Hit!H18,Stand!H18,Double!H18)</f>
        <v>0.3995541673365518</v>
      </c>
      <c r="I18">
        <f>MAX(Hit!I18,Stand!I18,Double!I18)</f>
        <v>0.10595134861912359</v>
      </c>
      <c r="J18">
        <f>MAX(Hit!J18,Stand!J18,Double!J18)</f>
        <v>-0.18316335667343331</v>
      </c>
      <c r="K18">
        <f>MAX(Hit!K18,Stand!K18,Double!K18)</f>
        <v>-0.17830123379648949</v>
      </c>
      <c r="N18" s="31">
        <v>18</v>
      </c>
      <c r="O18" s="31" t="str">
        <f>IF(B18=HS!B18,HS!O18,"D")</f>
        <v>S</v>
      </c>
      <c r="P18" s="31" t="str">
        <f>IF(C18=HS!C18,HS!P18,"D")</f>
        <v>S</v>
      </c>
      <c r="Q18" s="31" t="str">
        <f>IF(D18=HS!D18,HS!Q18,"D")</f>
        <v>S</v>
      </c>
      <c r="R18" s="31" t="str">
        <f>IF(E18=HS!E18,HS!R18,"D")</f>
        <v>S</v>
      </c>
      <c r="S18" s="31" t="str">
        <f>IF(F18=HS!F18,HS!S18,"D")</f>
        <v>S</v>
      </c>
      <c r="T18" s="31" t="str">
        <f>IF(G18=HS!G18,HS!T18,"D")</f>
        <v>S</v>
      </c>
      <c r="U18" s="31" t="str">
        <f>IF(H18=HS!H18,HS!U18,"D")</f>
        <v>S</v>
      </c>
      <c r="V18" s="31" t="str">
        <f>IF(I18=HS!I18,HS!V18,"D")</f>
        <v>S</v>
      </c>
      <c r="W18" s="31" t="str">
        <f>IF(J18=HS!J18,HS!W18,"D")</f>
        <v>S</v>
      </c>
      <c r="X18" s="31" t="str">
        <f>IF(K18=HS!K18,HS!X18,"D")</f>
        <v>S</v>
      </c>
    </row>
    <row r="19" spans="1:24" x14ac:dyDescent="0.2">
      <c r="A19">
        <v>19</v>
      </c>
      <c r="B19">
        <f>MAX(Hit!B19,Stand!B19,Double!B19)</f>
        <v>0.27763572376835594</v>
      </c>
      <c r="C19">
        <f>MAX(Hit!C19,Stand!C19,Double!C19)</f>
        <v>0.38630468602058993</v>
      </c>
      <c r="D19">
        <f>MAX(Hit!D19,Stand!D19,Double!D19)</f>
        <v>0.4043629365977599</v>
      </c>
      <c r="E19">
        <f>MAX(Hit!E19,Stand!E19,Double!E19)</f>
        <v>0.42317892482749653</v>
      </c>
      <c r="F19">
        <f>MAX(Hit!F19,Stand!F19,Double!F19)</f>
        <v>0.43951210416088371</v>
      </c>
      <c r="G19">
        <f>MAX(Hit!G19,Stand!G19,Double!G19)</f>
        <v>0.49597707378731914</v>
      </c>
      <c r="H19">
        <f>MAX(Hit!H19,Stand!H19,Double!H19)</f>
        <v>0.6159764957534315</v>
      </c>
      <c r="I19">
        <f>MAX(Hit!I19,Stand!I19,Double!I19)</f>
        <v>0.59385366828669439</v>
      </c>
      <c r="J19">
        <f>MAX(Hit!J19,Stand!J19,Double!J19)</f>
        <v>0.28759675706758148</v>
      </c>
      <c r="K19">
        <f>MAX(Hit!K19,Stand!K19,Double!K19)</f>
        <v>6.3118166335840831E-2</v>
      </c>
      <c r="N19" s="31">
        <v>19</v>
      </c>
      <c r="O19" s="31" t="str">
        <f>IF(B19=HS!B19,HS!O19,"D")</f>
        <v>S</v>
      </c>
      <c r="P19" s="31" t="str">
        <f>IF(C19=HS!C19,HS!P19,"D")</f>
        <v>S</v>
      </c>
      <c r="Q19" s="31" t="str">
        <f>IF(D19=HS!D19,HS!Q19,"D")</f>
        <v>S</v>
      </c>
      <c r="R19" s="31" t="str">
        <f>IF(E19=HS!E19,HS!R19,"D")</f>
        <v>S</v>
      </c>
      <c r="S19" s="31" t="str">
        <f>IF(F19=HS!F19,HS!S19,"D")</f>
        <v>S</v>
      </c>
      <c r="T19" s="31" t="str">
        <f>IF(G19=HS!G19,HS!T19,"D")</f>
        <v>S</v>
      </c>
      <c r="U19" s="31" t="str">
        <f>IF(H19=HS!H19,HS!U19,"D")</f>
        <v>S</v>
      </c>
      <c r="V19" s="31" t="str">
        <f>IF(I19=HS!I19,HS!V19,"D")</f>
        <v>S</v>
      </c>
      <c r="W19" s="31" t="str">
        <f>IF(J19=HS!J19,HS!W19,"D")</f>
        <v>S</v>
      </c>
      <c r="X19" s="31" t="str">
        <f>IF(K19=HS!K19,HS!X19,"D")</f>
        <v>S</v>
      </c>
    </row>
    <row r="20" spans="1:24" x14ac:dyDescent="0.2">
      <c r="A20">
        <v>20</v>
      </c>
      <c r="B20">
        <f>MAX(Hit!B20,Stand!B20,Double!B20)</f>
        <v>0.65547032314990239</v>
      </c>
      <c r="C20">
        <f>MAX(Hit!C20,Stand!C20,Double!C20)</f>
        <v>0.63998657521683877</v>
      </c>
      <c r="D20">
        <f>MAX(Hit!D20,Stand!D20,Double!D20)</f>
        <v>0.65027209425148136</v>
      </c>
      <c r="E20">
        <f>MAX(Hit!E20,Stand!E20,Double!E20)</f>
        <v>0.66104996194807186</v>
      </c>
      <c r="F20">
        <f>MAX(Hit!F20,Stand!F20,Double!F20)</f>
        <v>0.67035969063279999</v>
      </c>
      <c r="G20">
        <f>MAX(Hit!G20,Stand!G20,Double!G20)</f>
        <v>0.70395857017134467</v>
      </c>
      <c r="H20">
        <f>MAX(Hit!H20,Stand!H20,Double!H20)</f>
        <v>0.77322722653717491</v>
      </c>
      <c r="I20">
        <f>MAX(Hit!I20,Stand!I20,Double!I20)</f>
        <v>0.79181515955189841</v>
      </c>
      <c r="J20">
        <f>MAX(Hit!J20,Stand!J20,Double!J20)</f>
        <v>0.75835687080859626</v>
      </c>
      <c r="K20">
        <f>MAX(Hit!K20,Stand!K20,Double!K20)</f>
        <v>0.55453756646817121</v>
      </c>
      <c r="N20" s="31">
        <v>20</v>
      </c>
      <c r="O20" s="31" t="str">
        <f>IF(B20=HS!B20,HS!O20,"D")</f>
        <v>S</v>
      </c>
      <c r="P20" s="31" t="str">
        <f>IF(C20=HS!C20,HS!P20,"D")</f>
        <v>S</v>
      </c>
      <c r="Q20" s="31" t="str">
        <f>IF(D20=HS!D20,HS!Q20,"D")</f>
        <v>S</v>
      </c>
      <c r="R20" s="31" t="str">
        <f>IF(E20=HS!E20,HS!R20,"D")</f>
        <v>S</v>
      </c>
      <c r="S20" s="31" t="str">
        <f>IF(F20=HS!F20,HS!S20,"D")</f>
        <v>S</v>
      </c>
      <c r="T20" s="31" t="str">
        <f>IF(G20=HS!G20,HS!T20,"D")</f>
        <v>S</v>
      </c>
      <c r="U20" s="31" t="str">
        <f>IF(H20=HS!H20,HS!U20,"D")</f>
        <v>S</v>
      </c>
      <c r="V20" s="31" t="str">
        <f>IF(I20=HS!I20,HS!V20,"D")</f>
        <v>S</v>
      </c>
      <c r="W20" s="31" t="str">
        <f>IF(J20=HS!J20,HS!W20,"D")</f>
        <v>S</v>
      </c>
      <c r="X20" s="31" t="str">
        <f>IF(K20=HS!K20,HS!X20,"D")</f>
        <v>S</v>
      </c>
    </row>
    <row r="21" spans="1:24" x14ac:dyDescent="0.2">
      <c r="A21">
        <v>21</v>
      </c>
      <c r="B21">
        <f>MAX(Hit!B21,Stand!B21,Double!B21)</f>
        <v>0.92219381142033785</v>
      </c>
      <c r="C21">
        <f>MAX(Hit!C21,Stand!C21,Double!C21)</f>
        <v>0.88200651549403997</v>
      </c>
      <c r="D21">
        <f>MAX(Hit!D21,Stand!D21,Double!D21)</f>
        <v>0.88530035730174927</v>
      </c>
      <c r="E21">
        <f>MAX(Hit!E21,Stand!E21,Double!E21)</f>
        <v>0.88876729296591961</v>
      </c>
      <c r="F21">
        <f>MAX(Hit!F21,Stand!F21,Double!F21)</f>
        <v>0.89175382659528035</v>
      </c>
      <c r="G21">
        <f>MAX(Hit!G21,Stand!G21,Double!G21)</f>
        <v>0.90283674384257995</v>
      </c>
      <c r="H21">
        <f>MAX(Hit!H21,Stand!H21,Double!H21)</f>
        <v>0.92592629596452325</v>
      </c>
      <c r="I21">
        <f>MAX(Hit!I21,Stand!I21,Double!I21)</f>
        <v>0.93060505318396614</v>
      </c>
      <c r="J21">
        <f>MAX(Hit!J21,Stand!J21,Double!J21)</f>
        <v>0.93917615614724415</v>
      </c>
      <c r="K21">
        <f>MAX(Hit!K21,Stand!K21,Double!K21)</f>
        <v>0.96262363326716827</v>
      </c>
      <c r="N21" s="31">
        <v>21</v>
      </c>
      <c r="O21" s="31" t="str">
        <f>IF(B21=HS!B21,HS!O21,"D")</f>
        <v>S</v>
      </c>
      <c r="P21" s="31" t="str">
        <f>IF(C21=HS!C21,HS!P21,"D")</f>
        <v>S</v>
      </c>
      <c r="Q21" s="31" t="str">
        <f>IF(D21=HS!D21,HS!Q21,"D")</f>
        <v>S</v>
      </c>
      <c r="R21" s="31" t="str">
        <f>IF(E21=HS!E21,HS!R21,"D")</f>
        <v>S</v>
      </c>
      <c r="S21" s="31" t="str">
        <f>IF(F21=HS!F21,HS!S21,"D")</f>
        <v>S</v>
      </c>
      <c r="T21" s="31" t="str">
        <f>IF(G21=HS!G21,HS!T21,"D")</f>
        <v>S</v>
      </c>
      <c r="U21" s="31" t="str">
        <f>IF(H21=HS!H21,HS!U21,"D")</f>
        <v>S</v>
      </c>
      <c r="V21" s="31" t="str">
        <f>IF(I21=HS!I21,HS!V21,"D")</f>
        <v>S</v>
      </c>
      <c r="W21" s="31" t="str">
        <f>IF(J21=HS!J21,HS!W21,"D")</f>
        <v>S</v>
      </c>
      <c r="X21" s="31" t="str">
        <f>IF(K21=HS!K21,HS!X21,"D")</f>
        <v>S</v>
      </c>
    </row>
    <row r="22" spans="1:24" x14ac:dyDescent="0.2">
      <c r="A22">
        <v>22</v>
      </c>
      <c r="B22">
        <f>MAX(Hit!B22,Stand!B22,Double!B22)</f>
        <v>-1</v>
      </c>
      <c r="C22">
        <f>MAX(Hit!C22,Stand!C22,Double!C22)</f>
        <v>-1</v>
      </c>
      <c r="D22">
        <f>MAX(Hit!D22,Stand!D22,Double!D22)</f>
        <v>-1</v>
      </c>
      <c r="E22">
        <f>MAX(Hit!E22,Stand!E22,Double!E22)</f>
        <v>-1</v>
      </c>
      <c r="F22">
        <f>MAX(Hit!F22,Stand!F22,Double!F22)</f>
        <v>-1</v>
      </c>
      <c r="G22">
        <f>MAX(Hit!G22,Stand!G22,Double!G22)</f>
        <v>-1</v>
      </c>
      <c r="H22">
        <f>MAX(Hit!H22,Stand!H22,Double!H22)</f>
        <v>-1</v>
      </c>
      <c r="I22">
        <f>MAX(Hit!I22,Stand!I22,Double!I22)</f>
        <v>-1</v>
      </c>
      <c r="J22">
        <f>MAX(Hit!J22,Stand!J22,Double!J22)</f>
        <v>-1</v>
      </c>
      <c r="K22">
        <f>MAX(Hit!K22,Stand!K22,Double!K22)</f>
        <v>-1</v>
      </c>
      <c r="N22" s="31">
        <v>22</v>
      </c>
      <c r="O22" s="31" t="str">
        <f>IF(B22=HS!B22,HS!O22,"D")</f>
        <v>S</v>
      </c>
      <c r="P22" s="31" t="str">
        <f>IF(C22=HS!C22,HS!P22,"D")</f>
        <v>S</v>
      </c>
      <c r="Q22" s="31" t="str">
        <f>IF(D22=HS!D22,HS!Q22,"D")</f>
        <v>S</v>
      </c>
      <c r="R22" s="31" t="str">
        <f>IF(E22=HS!E22,HS!R22,"D")</f>
        <v>S</v>
      </c>
      <c r="S22" s="31" t="str">
        <f>IF(F22=HS!F22,HS!S22,"D")</f>
        <v>S</v>
      </c>
      <c r="T22" s="31" t="str">
        <f>IF(G22=HS!G22,HS!T22,"D")</f>
        <v>S</v>
      </c>
      <c r="U22" s="31" t="str">
        <f>IF(H22=HS!H22,HS!U22,"D")</f>
        <v>S</v>
      </c>
      <c r="V22" s="31" t="str">
        <f>IF(I22=HS!I22,HS!V22,"D")</f>
        <v>S</v>
      </c>
      <c r="W22" s="31" t="str">
        <f>IF(J22=HS!J22,HS!W22,"D")</f>
        <v>S</v>
      </c>
      <c r="X22" s="31" t="str">
        <f>IF(K22=HS!K22,HS!X22,"D")</f>
        <v>S</v>
      </c>
    </row>
    <row r="23" spans="1:24" x14ac:dyDescent="0.2">
      <c r="A23">
        <v>23</v>
      </c>
      <c r="B23">
        <f>MAX(Hit!B23,Stand!B23,Double!B23)</f>
        <v>-1</v>
      </c>
      <c r="C23">
        <f>MAX(Hit!C23,Stand!C23,Double!C23)</f>
        <v>-1</v>
      </c>
      <c r="D23">
        <f>MAX(Hit!D23,Stand!D23,Double!D23)</f>
        <v>-1</v>
      </c>
      <c r="E23">
        <f>MAX(Hit!E23,Stand!E23,Double!E23)</f>
        <v>-1</v>
      </c>
      <c r="F23">
        <f>MAX(Hit!F23,Stand!F23,Double!F23)</f>
        <v>-1</v>
      </c>
      <c r="G23">
        <f>MAX(Hit!G23,Stand!G23,Double!G23)</f>
        <v>-1</v>
      </c>
      <c r="H23">
        <f>MAX(Hit!H23,Stand!H23,Double!H23)</f>
        <v>-1</v>
      </c>
      <c r="I23">
        <f>MAX(Hit!I23,Stand!I23,Double!I23)</f>
        <v>-1</v>
      </c>
      <c r="J23">
        <f>MAX(Hit!J23,Stand!J23,Double!J23)</f>
        <v>-1</v>
      </c>
      <c r="K23">
        <f>MAX(Hit!K23,Stand!K23,Double!K23)</f>
        <v>-1</v>
      </c>
      <c r="N23" s="31">
        <v>23</v>
      </c>
      <c r="O23" s="31" t="str">
        <f>IF(B23=HS!B23,HS!O23,"D")</f>
        <v>S</v>
      </c>
      <c r="P23" s="31" t="str">
        <f>IF(C23=HS!C23,HS!P23,"D")</f>
        <v>S</v>
      </c>
      <c r="Q23" s="31" t="str">
        <f>IF(D23=HS!D23,HS!Q23,"D")</f>
        <v>S</v>
      </c>
      <c r="R23" s="31" t="str">
        <f>IF(E23=HS!E23,HS!R23,"D")</f>
        <v>S</v>
      </c>
      <c r="S23" s="31" t="str">
        <f>IF(F23=HS!F23,HS!S23,"D")</f>
        <v>S</v>
      </c>
      <c r="T23" s="31" t="str">
        <f>IF(G23=HS!G23,HS!T23,"D")</f>
        <v>S</v>
      </c>
      <c r="U23" s="31" t="str">
        <f>IF(H23=HS!H23,HS!U23,"D")</f>
        <v>S</v>
      </c>
      <c r="V23" s="31" t="str">
        <f>IF(I23=HS!I23,HS!V23,"D")</f>
        <v>S</v>
      </c>
      <c r="W23" s="31" t="str">
        <f>IF(J23=HS!J23,HS!W23,"D")</f>
        <v>S</v>
      </c>
      <c r="X23" s="31" t="str">
        <f>IF(K23=HS!K23,HS!X23,"D")</f>
        <v>S</v>
      </c>
    </row>
    <row r="24" spans="1:24" x14ac:dyDescent="0.2">
      <c r="A24">
        <v>24</v>
      </c>
      <c r="B24">
        <f>MAX(Hit!B24,Stand!B24,Double!B24)</f>
        <v>-1</v>
      </c>
      <c r="C24">
        <f>MAX(Hit!C24,Stand!C24,Double!C24)</f>
        <v>-1</v>
      </c>
      <c r="D24">
        <f>MAX(Hit!D24,Stand!D24,Double!D24)</f>
        <v>-1</v>
      </c>
      <c r="E24">
        <f>MAX(Hit!E24,Stand!E24,Double!E24)</f>
        <v>-1</v>
      </c>
      <c r="F24">
        <f>MAX(Hit!F24,Stand!F24,Double!F24)</f>
        <v>-1</v>
      </c>
      <c r="G24">
        <f>MAX(Hit!G24,Stand!G24,Double!G24)</f>
        <v>-1</v>
      </c>
      <c r="H24">
        <f>MAX(Hit!H24,Stand!H24,Double!H24)</f>
        <v>-1</v>
      </c>
      <c r="I24">
        <f>MAX(Hit!I24,Stand!I24,Double!I24)</f>
        <v>-1</v>
      </c>
      <c r="J24">
        <f>MAX(Hit!J24,Stand!J24,Double!J24)</f>
        <v>-1</v>
      </c>
      <c r="K24">
        <f>MAX(Hit!K24,Stand!K24,Double!K24)</f>
        <v>-1</v>
      </c>
      <c r="N24" s="31">
        <v>24</v>
      </c>
      <c r="O24" s="31" t="str">
        <f>IF(B24=HS!B24,HS!O24,"D")</f>
        <v>S</v>
      </c>
      <c r="P24" s="31" t="str">
        <f>IF(C24=HS!C24,HS!P24,"D")</f>
        <v>S</v>
      </c>
      <c r="Q24" s="31" t="str">
        <f>IF(D24=HS!D24,HS!Q24,"D")</f>
        <v>S</v>
      </c>
      <c r="R24" s="31" t="str">
        <f>IF(E24=HS!E24,HS!R24,"D")</f>
        <v>S</v>
      </c>
      <c r="S24" s="31" t="str">
        <f>IF(F24=HS!F24,HS!S24,"D")</f>
        <v>S</v>
      </c>
      <c r="T24" s="31" t="str">
        <f>IF(G24=HS!G24,HS!T24,"D")</f>
        <v>S</v>
      </c>
      <c r="U24" s="31" t="str">
        <f>IF(H24=HS!H24,HS!U24,"D")</f>
        <v>S</v>
      </c>
      <c r="V24" s="31" t="str">
        <f>IF(I24=HS!I24,HS!V24,"D")</f>
        <v>S</v>
      </c>
      <c r="W24" s="31" t="str">
        <f>IF(J24=HS!J24,HS!W24,"D")</f>
        <v>S</v>
      </c>
      <c r="X24" s="31" t="str">
        <f>IF(K24=HS!K24,HS!X24,"D")</f>
        <v>S</v>
      </c>
    </row>
    <row r="25" spans="1:24" x14ac:dyDescent="0.2">
      <c r="A25">
        <v>25</v>
      </c>
      <c r="B25">
        <f>MAX(Hit!B25,Stand!B25,Double!B25)</f>
        <v>-1</v>
      </c>
      <c r="C25">
        <f>MAX(Hit!C25,Stand!C25,Double!C25)</f>
        <v>-1</v>
      </c>
      <c r="D25">
        <f>MAX(Hit!D25,Stand!D25,Double!D25)</f>
        <v>-1</v>
      </c>
      <c r="E25">
        <f>MAX(Hit!E25,Stand!E25,Double!E25)</f>
        <v>-1</v>
      </c>
      <c r="F25">
        <f>MAX(Hit!F25,Stand!F25,Double!F25)</f>
        <v>-1</v>
      </c>
      <c r="G25">
        <f>MAX(Hit!G25,Stand!G25,Double!G25)</f>
        <v>-1</v>
      </c>
      <c r="H25">
        <f>MAX(Hit!H25,Stand!H25,Double!H25)</f>
        <v>-1</v>
      </c>
      <c r="I25">
        <f>MAX(Hit!I25,Stand!I25,Double!I25)</f>
        <v>-1</v>
      </c>
      <c r="J25">
        <f>MAX(Hit!J25,Stand!J25,Double!J25)</f>
        <v>-1</v>
      </c>
      <c r="K25">
        <f>MAX(Hit!K25,Stand!K25,Double!K25)</f>
        <v>-1</v>
      </c>
      <c r="N25" s="31">
        <v>25</v>
      </c>
      <c r="O25" s="31" t="str">
        <f>IF(B25=HS!B25,HS!O25,"D")</f>
        <v>S</v>
      </c>
      <c r="P25" s="31" t="str">
        <f>IF(C25=HS!C25,HS!P25,"D")</f>
        <v>S</v>
      </c>
      <c r="Q25" s="31" t="str">
        <f>IF(D25=HS!D25,HS!Q25,"D")</f>
        <v>S</v>
      </c>
      <c r="R25" s="31" t="str">
        <f>IF(E25=HS!E25,HS!R25,"D")</f>
        <v>S</v>
      </c>
      <c r="S25" s="31" t="str">
        <f>IF(F25=HS!F25,HS!S25,"D")</f>
        <v>S</v>
      </c>
      <c r="T25" s="31" t="str">
        <f>IF(G25=HS!G25,HS!T25,"D")</f>
        <v>S</v>
      </c>
      <c r="U25" s="31" t="str">
        <f>IF(H25=HS!H25,HS!U25,"D")</f>
        <v>S</v>
      </c>
      <c r="V25" s="31" t="str">
        <f>IF(I25=HS!I25,HS!V25,"D")</f>
        <v>S</v>
      </c>
      <c r="W25" s="31" t="str">
        <f>IF(J25=HS!J25,HS!W25,"D")</f>
        <v>S</v>
      </c>
      <c r="X25" s="31" t="str">
        <f>IF(K25=HS!K25,HS!X25,"D")</f>
        <v>S</v>
      </c>
    </row>
    <row r="26" spans="1:24" x14ac:dyDescent="0.2">
      <c r="A26">
        <v>26</v>
      </c>
      <c r="B26">
        <f>MAX(Hit!B26,Stand!B26,Double!B26)</f>
        <v>-1</v>
      </c>
      <c r="C26">
        <f>MAX(Hit!C26,Stand!C26,Double!C26)</f>
        <v>-1</v>
      </c>
      <c r="D26">
        <f>MAX(Hit!D26,Stand!D26,Double!D26)</f>
        <v>-1</v>
      </c>
      <c r="E26">
        <f>MAX(Hit!E26,Stand!E26,Double!E26)</f>
        <v>-1</v>
      </c>
      <c r="F26">
        <f>MAX(Hit!F26,Stand!F26,Double!F26)</f>
        <v>-1</v>
      </c>
      <c r="G26">
        <f>MAX(Hit!G26,Stand!G26,Double!G26)</f>
        <v>-1</v>
      </c>
      <c r="H26">
        <f>MAX(Hit!H26,Stand!H26,Double!H26)</f>
        <v>-1</v>
      </c>
      <c r="I26">
        <f>MAX(Hit!I26,Stand!I26,Double!I26)</f>
        <v>-1</v>
      </c>
      <c r="J26">
        <f>MAX(Hit!J26,Stand!J26,Double!J26)</f>
        <v>-1</v>
      </c>
      <c r="K26">
        <f>MAX(Hit!K26,Stand!K26,Double!K26)</f>
        <v>-1</v>
      </c>
      <c r="N26" s="31">
        <v>26</v>
      </c>
      <c r="O26" s="31" t="str">
        <f>IF(B26=HS!B26,HS!O26,"D")</f>
        <v>S</v>
      </c>
      <c r="P26" s="31" t="str">
        <f>IF(C26=HS!C26,HS!P26,"D")</f>
        <v>S</v>
      </c>
      <c r="Q26" s="31" t="str">
        <f>IF(D26=HS!D26,HS!Q26,"D")</f>
        <v>S</v>
      </c>
      <c r="R26" s="31" t="str">
        <f>IF(E26=HS!E26,HS!R26,"D")</f>
        <v>S</v>
      </c>
      <c r="S26" s="31" t="str">
        <f>IF(F26=HS!F26,HS!S26,"D")</f>
        <v>S</v>
      </c>
      <c r="T26" s="31" t="str">
        <f>IF(G26=HS!G26,HS!T26,"D")</f>
        <v>S</v>
      </c>
      <c r="U26" s="31" t="str">
        <f>IF(H26=HS!H26,HS!U26,"D")</f>
        <v>S</v>
      </c>
      <c r="V26" s="31" t="str">
        <f>IF(I26=HS!I26,HS!V26,"D")</f>
        <v>S</v>
      </c>
      <c r="W26" s="31" t="str">
        <f>IF(J26=HS!J26,HS!W26,"D")</f>
        <v>S</v>
      </c>
      <c r="X26" s="31" t="str">
        <f>IF(K26=HS!K26,HS!X26,"D")</f>
        <v>S</v>
      </c>
    </row>
    <row r="27" spans="1:24" x14ac:dyDescent="0.2">
      <c r="A27">
        <v>27</v>
      </c>
      <c r="B27">
        <f>MAX(Hit!B27,Stand!B27,Double!B27)</f>
        <v>-1</v>
      </c>
      <c r="C27">
        <f>MAX(Hit!C27,Stand!C27,Double!C27)</f>
        <v>-1</v>
      </c>
      <c r="D27">
        <f>MAX(Hit!D27,Stand!D27,Double!D27)</f>
        <v>-1</v>
      </c>
      <c r="E27">
        <f>MAX(Hit!E27,Stand!E27,Double!E27)</f>
        <v>-1</v>
      </c>
      <c r="F27">
        <f>MAX(Hit!F27,Stand!F27,Double!F27)</f>
        <v>-1</v>
      </c>
      <c r="G27">
        <f>MAX(Hit!G27,Stand!G27,Double!G27)</f>
        <v>-1</v>
      </c>
      <c r="H27">
        <f>MAX(Hit!H27,Stand!H27,Double!H27)</f>
        <v>-1</v>
      </c>
      <c r="I27">
        <f>MAX(Hit!I27,Stand!I27,Double!I27)</f>
        <v>-1</v>
      </c>
      <c r="J27">
        <f>MAX(Hit!J27,Stand!J27,Double!J27)</f>
        <v>-1</v>
      </c>
      <c r="K27">
        <f>MAX(Hit!K27,Stand!K27,Double!K27)</f>
        <v>-1</v>
      </c>
      <c r="N27" s="31">
        <v>27</v>
      </c>
      <c r="O27" s="31" t="str">
        <f>IF(B27=HS!B27,HS!O27,"D")</f>
        <v>S</v>
      </c>
      <c r="P27" s="31" t="str">
        <f>IF(C27=HS!C27,HS!P27,"D")</f>
        <v>S</v>
      </c>
      <c r="Q27" s="31" t="str">
        <f>IF(D27=HS!D27,HS!Q27,"D")</f>
        <v>S</v>
      </c>
      <c r="R27" s="31" t="str">
        <f>IF(E27=HS!E27,HS!R27,"D")</f>
        <v>S</v>
      </c>
      <c r="S27" s="31" t="str">
        <f>IF(F27=HS!F27,HS!S27,"D")</f>
        <v>S</v>
      </c>
      <c r="T27" s="31" t="str">
        <f>IF(G27=HS!G27,HS!T27,"D")</f>
        <v>S</v>
      </c>
      <c r="U27" s="31" t="str">
        <f>IF(H27=HS!H27,HS!U27,"D")</f>
        <v>S</v>
      </c>
      <c r="V27" s="31" t="str">
        <f>IF(I27=HS!I27,HS!V27,"D")</f>
        <v>S</v>
      </c>
      <c r="W27" s="31" t="str">
        <f>IF(J27=HS!J27,HS!W27,"D")</f>
        <v>S</v>
      </c>
      <c r="X27" s="31" t="str">
        <f>IF(K27=HS!K27,HS!X27,"D")</f>
        <v>S</v>
      </c>
    </row>
    <row r="28" spans="1:24" x14ac:dyDescent="0.2">
      <c r="A28">
        <v>28</v>
      </c>
      <c r="B28">
        <f>MAX(Hit!B28,Stand!B28,Double!B28)</f>
        <v>-1</v>
      </c>
      <c r="C28">
        <f>MAX(Hit!C28,Stand!C28,Double!C28)</f>
        <v>-1</v>
      </c>
      <c r="D28">
        <f>MAX(Hit!D28,Stand!D28,Double!D28)</f>
        <v>-1</v>
      </c>
      <c r="E28">
        <f>MAX(Hit!E28,Stand!E28,Double!E28)</f>
        <v>-1</v>
      </c>
      <c r="F28">
        <f>MAX(Hit!F28,Stand!F28,Double!F28)</f>
        <v>-1</v>
      </c>
      <c r="G28">
        <f>MAX(Hit!G28,Stand!G28,Double!G28)</f>
        <v>-1</v>
      </c>
      <c r="H28">
        <f>MAX(Hit!H28,Stand!H28,Double!H28)</f>
        <v>-1</v>
      </c>
      <c r="I28">
        <f>MAX(Hit!I28,Stand!I28,Double!I28)</f>
        <v>-1</v>
      </c>
      <c r="J28">
        <f>MAX(Hit!J28,Stand!J28,Double!J28)</f>
        <v>-1</v>
      </c>
      <c r="K28">
        <f>MAX(Hit!K28,Stand!K28,Double!K28)</f>
        <v>-1</v>
      </c>
      <c r="N28" s="31">
        <v>28</v>
      </c>
      <c r="O28" s="31" t="str">
        <f>IF(B28=HS!B28,HS!O28,"D")</f>
        <v>S</v>
      </c>
      <c r="P28" s="31" t="str">
        <f>IF(C28=HS!C28,HS!P28,"D")</f>
        <v>S</v>
      </c>
      <c r="Q28" s="31" t="str">
        <f>IF(D28=HS!D28,HS!Q28,"D")</f>
        <v>S</v>
      </c>
      <c r="R28" s="31" t="str">
        <f>IF(E28=HS!E28,HS!R28,"D")</f>
        <v>S</v>
      </c>
      <c r="S28" s="31" t="str">
        <f>IF(F28=HS!F28,HS!S28,"D")</f>
        <v>S</v>
      </c>
      <c r="T28" s="31" t="str">
        <f>IF(G28=HS!G28,HS!T28,"D")</f>
        <v>S</v>
      </c>
      <c r="U28" s="31" t="str">
        <f>IF(H28=HS!H28,HS!U28,"D")</f>
        <v>S</v>
      </c>
      <c r="V28" s="31" t="str">
        <f>IF(I28=HS!I28,HS!V28,"D")</f>
        <v>S</v>
      </c>
      <c r="W28" s="31" t="str">
        <f>IF(J28=HS!J28,HS!W28,"D")</f>
        <v>S</v>
      </c>
      <c r="X28" s="31" t="str">
        <f>IF(K28=HS!K28,HS!X28,"D")</f>
        <v>S</v>
      </c>
    </row>
    <row r="29" spans="1:24" x14ac:dyDescent="0.2">
      <c r="A29">
        <v>29</v>
      </c>
      <c r="B29">
        <f>MAX(Hit!B29,Stand!B29,Double!B29)</f>
        <v>-1</v>
      </c>
      <c r="C29">
        <f>MAX(Hit!C29,Stand!C29,Double!C29)</f>
        <v>-1</v>
      </c>
      <c r="D29">
        <f>MAX(Hit!D29,Stand!D29,Double!D29)</f>
        <v>-1</v>
      </c>
      <c r="E29">
        <f>MAX(Hit!E29,Stand!E29,Double!E29)</f>
        <v>-1</v>
      </c>
      <c r="F29">
        <f>MAX(Hit!F29,Stand!F29,Double!F29)</f>
        <v>-1</v>
      </c>
      <c r="G29">
        <f>MAX(Hit!G29,Stand!G29,Double!G29)</f>
        <v>-1</v>
      </c>
      <c r="H29">
        <f>MAX(Hit!H29,Stand!H29,Double!H29)</f>
        <v>-1</v>
      </c>
      <c r="I29">
        <f>MAX(Hit!I29,Stand!I29,Double!I29)</f>
        <v>-1</v>
      </c>
      <c r="J29">
        <f>MAX(Hit!J29,Stand!J29,Double!J29)</f>
        <v>-1</v>
      </c>
      <c r="K29">
        <f>MAX(Hit!K29,Stand!K29,Double!K29)</f>
        <v>-1</v>
      </c>
      <c r="N29" s="31">
        <v>29</v>
      </c>
      <c r="O29" s="31" t="str">
        <f>IF(B29=HS!B29,HS!O29,"D")</f>
        <v>S</v>
      </c>
      <c r="P29" s="31" t="str">
        <f>IF(C29=HS!C29,HS!P29,"D")</f>
        <v>S</v>
      </c>
      <c r="Q29" s="31" t="str">
        <f>IF(D29=HS!D29,HS!Q29,"D")</f>
        <v>S</v>
      </c>
      <c r="R29" s="31" t="str">
        <f>IF(E29=HS!E29,HS!R29,"D")</f>
        <v>S</v>
      </c>
      <c r="S29" s="31" t="str">
        <f>IF(F29=HS!F29,HS!S29,"D")</f>
        <v>S</v>
      </c>
      <c r="T29" s="31" t="str">
        <f>IF(G29=HS!G29,HS!T29,"D")</f>
        <v>S</v>
      </c>
      <c r="U29" s="31" t="str">
        <f>IF(H29=HS!H29,HS!U29,"D")</f>
        <v>S</v>
      </c>
      <c r="V29" s="31" t="str">
        <f>IF(I29=HS!I29,HS!V29,"D")</f>
        <v>S</v>
      </c>
      <c r="W29" s="31" t="str">
        <f>IF(J29=HS!J29,HS!W29,"D")</f>
        <v>S</v>
      </c>
      <c r="X29" s="31" t="str">
        <f>IF(K29=HS!K29,HS!X29,"D")</f>
        <v>S</v>
      </c>
    </row>
    <row r="30" spans="1:24" x14ac:dyDescent="0.2">
      <c r="A30">
        <v>30</v>
      </c>
      <c r="B30">
        <f>MAX(Hit!B30,Stand!B30,Double!B30)</f>
        <v>-1</v>
      </c>
      <c r="C30">
        <f>MAX(Hit!C30,Stand!C30,Double!C30)</f>
        <v>-1</v>
      </c>
      <c r="D30">
        <f>MAX(Hit!D30,Stand!D30,Double!D30)</f>
        <v>-1</v>
      </c>
      <c r="E30">
        <f>MAX(Hit!E30,Stand!E30,Double!E30)</f>
        <v>-1</v>
      </c>
      <c r="F30">
        <f>MAX(Hit!F30,Stand!F30,Double!F30)</f>
        <v>-1</v>
      </c>
      <c r="G30">
        <f>MAX(Hit!G30,Stand!G30,Double!G30)</f>
        <v>-1</v>
      </c>
      <c r="H30">
        <f>MAX(Hit!H30,Stand!H30,Double!H30)</f>
        <v>-1</v>
      </c>
      <c r="I30">
        <f>MAX(Hit!I30,Stand!I30,Double!I30)</f>
        <v>-1</v>
      </c>
      <c r="J30">
        <f>MAX(Hit!J30,Stand!J30,Double!J30)</f>
        <v>-1</v>
      </c>
      <c r="K30">
        <f>MAX(Hit!K30,Stand!K30,Double!K30)</f>
        <v>-1</v>
      </c>
      <c r="N30" s="31">
        <v>30</v>
      </c>
      <c r="O30" s="31" t="str">
        <f>IF(B30=HS!B30,HS!O30,"D")</f>
        <v>S</v>
      </c>
      <c r="P30" s="31" t="str">
        <f>IF(C30=HS!C30,HS!P30,"D")</f>
        <v>S</v>
      </c>
      <c r="Q30" s="31" t="str">
        <f>IF(D30=HS!D30,HS!Q30,"D")</f>
        <v>S</v>
      </c>
      <c r="R30" s="31" t="str">
        <f>IF(E30=HS!E30,HS!R30,"D")</f>
        <v>S</v>
      </c>
      <c r="S30" s="31" t="str">
        <f>IF(F30=HS!F30,HS!S30,"D")</f>
        <v>S</v>
      </c>
      <c r="T30" s="31" t="str">
        <f>IF(G30=HS!G30,HS!T30,"D")</f>
        <v>S</v>
      </c>
      <c r="U30" s="31" t="str">
        <f>IF(H30=HS!H30,HS!U30,"D")</f>
        <v>S</v>
      </c>
      <c r="V30" s="31" t="str">
        <f>IF(I30=HS!I30,HS!V30,"D")</f>
        <v>S</v>
      </c>
      <c r="W30" s="31" t="str">
        <f>IF(J30=HS!J30,HS!W30,"D")</f>
        <v>S</v>
      </c>
      <c r="X30" s="31" t="str">
        <f>IF(K30=HS!K30,HS!X30,"D")</f>
        <v>S</v>
      </c>
    </row>
    <row r="31" spans="1:24" x14ac:dyDescent="0.2">
      <c r="A31">
        <v>31</v>
      </c>
      <c r="B31">
        <f>MAX(Hit!B31,Stand!B31,Double!B31)</f>
        <v>-1</v>
      </c>
      <c r="C31">
        <f>MAX(Hit!C31,Stand!C31,Double!C31)</f>
        <v>-1</v>
      </c>
      <c r="D31">
        <f>MAX(Hit!D31,Stand!D31,Double!D31)</f>
        <v>-1</v>
      </c>
      <c r="E31">
        <f>MAX(Hit!E31,Stand!E31,Double!E31)</f>
        <v>-1</v>
      </c>
      <c r="F31">
        <f>MAX(Hit!F31,Stand!F31,Double!F31)</f>
        <v>-1</v>
      </c>
      <c r="G31">
        <f>MAX(Hit!G31,Stand!G31,Double!G31)</f>
        <v>-1</v>
      </c>
      <c r="H31">
        <f>MAX(Hit!H31,Stand!H31,Double!H31)</f>
        <v>-1</v>
      </c>
      <c r="I31">
        <f>MAX(Hit!I31,Stand!I31,Double!I31)</f>
        <v>-1</v>
      </c>
      <c r="J31">
        <f>MAX(Hit!J31,Stand!J31,Double!J31)</f>
        <v>-1</v>
      </c>
      <c r="K31">
        <f>MAX(Hit!K31,Stand!K31,Double!K31)</f>
        <v>-1</v>
      </c>
      <c r="N31" s="31">
        <v>31</v>
      </c>
      <c r="O31" s="31" t="str">
        <f>IF(B31=HS!B31,HS!O31,"D")</f>
        <v>S</v>
      </c>
      <c r="P31" s="31" t="str">
        <f>IF(C31=HS!C31,HS!P31,"D")</f>
        <v>S</v>
      </c>
      <c r="Q31" s="31" t="str">
        <f>IF(D31=HS!D31,HS!Q31,"D")</f>
        <v>S</v>
      </c>
      <c r="R31" s="31" t="str">
        <f>IF(E31=HS!E31,HS!R31,"D")</f>
        <v>S</v>
      </c>
      <c r="S31" s="31" t="str">
        <f>IF(F31=HS!F31,HS!S31,"D")</f>
        <v>S</v>
      </c>
      <c r="T31" s="31" t="str">
        <f>IF(G31=HS!G31,HS!T31,"D")</f>
        <v>S</v>
      </c>
      <c r="U31" s="31" t="str">
        <f>IF(H31=HS!H31,HS!U31,"D")</f>
        <v>S</v>
      </c>
      <c r="V31" s="31" t="str">
        <f>IF(I31=HS!I31,HS!V31,"D")</f>
        <v>S</v>
      </c>
      <c r="W31" s="31" t="str">
        <f>IF(J31=HS!J31,HS!W31,"D")</f>
        <v>S</v>
      </c>
      <c r="X31" s="31" t="str">
        <f>IF(K31=HS!K31,HS!X31,"D")</f>
        <v>S</v>
      </c>
    </row>
    <row r="33" spans="1:24" x14ac:dyDescent="0.2">
      <c r="A33" t="s">
        <v>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N33" s="31" t="s">
        <v>4</v>
      </c>
      <c r="O33" s="31">
        <v>1</v>
      </c>
      <c r="P33" s="31">
        <v>2</v>
      </c>
      <c r="Q33" s="31">
        <v>3</v>
      </c>
      <c r="R33" s="31">
        <v>4</v>
      </c>
      <c r="S33" s="31">
        <v>5</v>
      </c>
      <c r="T33" s="31">
        <v>6</v>
      </c>
      <c r="U33" s="31">
        <v>7</v>
      </c>
      <c r="V33" s="31">
        <v>8</v>
      </c>
      <c r="W33" s="31">
        <v>9</v>
      </c>
      <c r="X33" s="31">
        <v>10</v>
      </c>
    </row>
    <row r="34" spans="1:24" x14ac:dyDescent="0.2">
      <c r="A34">
        <v>11</v>
      </c>
      <c r="B34">
        <f>MAX(Hit!B34,Stand!B34,Double!B34)</f>
        <v>0.29861942370404337</v>
      </c>
      <c r="C34">
        <f>MAX(Hit!C34,Stand!C34,Double!C34)</f>
        <v>0.47064092333946894</v>
      </c>
      <c r="D34">
        <f>MAX(Hit!D34,Stand!D34,Double!D34)</f>
        <v>0.51779525312221664</v>
      </c>
      <c r="E34">
        <f>MAX(Hit!E34,Stand!E34,Double!E34)</f>
        <v>0.56604055041797596</v>
      </c>
      <c r="F34">
        <f>MAX(Hit!F34,Stand!F34,Double!F34)</f>
        <v>0.61469901790902803</v>
      </c>
      <c r="G34">
        <f>MAX(Hit!G34,Stand!G34,Double!G34)</f>
        <v>0.66738009490756944</v>
      </c>
      <c r="H34">
        <f>MAX(Hit!H34,Stand!H34,Double!H34)</f>
        <v>0.46288894886429088</v>
      </c>
      <c r="I34">
        <f>MAX(Hit!I34,Stand!I34,Double!I34)</f>
        <v>0.40074805174057648</v>
      </c>
      <c r="J34">
        <f>MAX(Hit!J34,Stand!J34,Double!J34)</f>
        <v>0.32142328174266549</v>
      </c>
      <c r="K34">
        <f>MAX(Hit!K34,Stand!K34,Double!K34)</f>
        <v>0.26400071601402691</v>
      </c>
      <c r="N34" s="31">
        <v>11</v>
      </c>
      <c r="O34" s="31" t="str">
        <f>IF(B34=HS!B34,HS!O34,"D")</f>
        <v>H</v>
      </c>
      <c r="P34" s="31" t="str">
        <f>IF(C34=HS!C34,HS!P34,"D")</f>
        <v>D</v>
      </c>
      <c r="Q34" s="31" t="str">
        <f>IF(D34=HS!D34,HS!Q34,"D")</f>
        <v>D</v>
      </c>
      <c r="R34" s="31" t="str">
        <f>IF(E34=HS!E34,HS!R34,"D")</f>
        <v>D</v>
      </c>
      <c r="S34" s="31" t="str">
        <f>IF(F34=HS!F34,HS!S34,"D")</f>
        <v>D</v>
      </c>
      <c r="T34" s="31" t="str">
        <f>IF(G34=HS!G34,HS!T34,"D")</f>
        <v>D</v>
      </c>
      <c r="U34" s="31" t="str">
        <f>IF(H34=HS!H34,HS!U34,"D")</f>
        <v>D</v>
      </c>
      <c r="V34" s="31" t="str">
        <f>IF(I34=HS!I34,HS!V34,"D")</f>
        <v>H</v>
      </c>
      <c r="W34" s="31" t="str">
        <f>IF(J34=HS!J34,HS!W34,"D")</f>
        <v>H</v>
      </c>
      <c r="X34" s="31" t="str">
        <f>IF(K34=HS!K34,HS!X34,"D")</f>
        <v>H</v>
      </c>
    </row>
    <row r="35" spans="1:24" x14ac:dyDescent="0.2">
      <c r="A35">
        <v>12</v>
      </c>
      <c r="B35">
        <f>MAX(Hit!B35,Stand!B35,Double!B35)</f>
        <v>-2.0477877704912145E-2</v>
      </c>
      <c r="C35">
        <f>MAX(Hit!C35,Stand!C35,Double!C35)</f>
        <v>8.1836216051656044E-2</v>
      </c>
      <c r="D35">
        <f>MAX(Hit!D35,Stand!D35,Double!D35)</f>
        <v>0.10350704654207775</v>
      </c>
      <c r="E35">
        <f>MAX(Hit!E35,Stand!E35,Double!E35)</f>
        <v>0.12659562809256977</v>
      </c>
      <c r="F35">
        <f>MAX(Hit!F35,Stand!F35,Double!F35)</f>
        <v>0.15648238458465519</v>
      </c>
      <c r="G35">
        <f>MAX(Hit!G35,Stand!G35,Double!G35)</f>
        <v>0.18595361333225549</v>
      </c>
      <c r="H35">
        <f>MAX(Hit!H35,Stand!H35,Double!H35)</f>
        <v>0.16547293077063496</v>
      </c>
      <c r="I35">
        <f>MAX(Hit!I35,Stand!I35,Double!I35)</f>
        <v>9.5115020927032265E-2</v>
      </c>
      <c r="J35">
        <f>MAX(Hit!J35,Stand!J35,Double!J35)</f>
        <v>6.5790841226914386E-5</v>
      </c>
      <c r="K35">
        <f>MAX(Hit!K35,Stand!K35,Double!K35)</f>
        <v>-7.0002397357964694E-2</v>
      </c>
      <c r="N35" s="31">
        <v>12</v>
      </c>
      <c r="O35" s="31" t="str">
        <f>IF(B35=HS!B35,HS!O35,"D")</f>
        <v>H</v>
      </c>
      <c r="P35" s="31" t="str">
        <f>IF(C35=HS!C35,HS!P35,"D")</f>
        <v>H</v>
      </c>
      <c r="Q35" s="31" t="str">
        <f>IF(D35=HS!D35,HS!Q35,"D")</f>
        <v>H</v>
      </c>
      <c r="R35" s="31" t="str">
        <f>IF(E35=HS!E35,HS!R35,"D")</f>
        <v>H</v>
      </c>
      <c r="S35" s="31" t="str">
        <f>IF(F35=HS!F35,HS!S35,"D")</f>
        <v>H</v>
      </c>
      <c r="T35" s="31" t="str">
        <f>IF(G35=HS!G35,HS!T35,"D")</f>
        <v>H</v>
      </c>
      <c r="U35" s="31" t="str">
        <f>IF(H35=HS!H35,HS!U35,"D")</f>
        <v>H</v>
      </c>
      <c r="V35" s="31" t="str">
        <f>IF(I35=HS!I35,HS!V35,"D")</f>
        <v>H</v>
      </c>
      <c r="W35" s="31" t="str">
        <f>IF(J35=HS!J35,HS!W35,"D")</f>
        <v>H</v>
      </c>
      <c r="X35" s="31" t="str">
        <f>IF(K35=HS!K35,HS!X35,"D")</f>
        <v>H</v>
      </c>
    </row>
    <row r="36" spans="1:24" x14ac:dyDescent="0.2">
      <c r="A36">
        <v>13</v>
      </c>
      <c r="B36">
        <f>MAX(Hit!B36,Stand!B36,Double!B36)</f>
        <v>-5.7308046666810254E-2</v>
      </c>
      <c r="C36">
        <f>MAX(Hit!C36,Stand!C36,Double!C36)</f>
        <v>4.6636132695309578E-2</v>
      </c>
      <c r="D36">
        <f>MAX(Hit!D36,Stand!D36,Double!D36)</f>
        <v>7.4118813392744051E-2</v>
      </c>
      <c r="E36">
        <f>MAX(Hit!E36,Stand!E36,Double!E36)</f>
        <v>0.10247714687203523</v>
      </c>
      <c r="F36">
        <f>MAX(Hit!F36,Stand!F36,Double!F36)</f>
        <v>0.13336273848321728</v>
      </c>
      <c r="G36">
        <f>MAX(Hit!G36,Stand!G36,Double!G36)</f>
        <v>0.17974820582791512</v>
      </c>
      <c r="H36">
        <f>MAX(Hit!H36,Stand!H36,Double!H36)</f>
        <v>0.12238569517899196</v>
      </c>
      <c r="I36">
        <f>MAX(Hit!I36,Stand!I36,Double!I36)</f>
        <v>5.4057070196311299E-2</v>
      </c>
      <c r="J36">
        <f>MAX(Hit!J36,Stand!J36,Double!J36)</f>
        <v>-3.7694688127479885E-2</v>
      </c>
      <c r="K36">
        <f>MAX(Hit!K36,Stand!K36,Double!K36)</f>
        <v>-0.10485135840627779</v>
      </c>
      <c r="N36" s="31">
        <v>13</v>
      </c>
      <c r="O36" s="31" t="str">
        <f>IF(B36=HS!B36,HS!O36,"D")</f>
        <v>H</v>
      </c>
      <c r="P36" s="31" t="str">
        <f>IF(C36=HS!C36,HS!P36,"D")</f>
        <v>H</v>
      </c>
      <c r="Q36" s="31" t="str">
        <f>IF(D36=HS!D36,HS!Q36,"D")</f>
        <v>H</v>
      </c>
      <c r="R36" s="31" t="str">
        <f>IF(E36=HS!E36,HS!R36,"D")</f>
        <v>H</v>
      </c>
      <c r="S36" s="31" t="str">
        <f>IF(F36=HS!F36,HS!S36,"D")</f>
        <v>H</v>
      </c>
      <c r="T36" s="31" t="str">
        <f>IF(G36=HS!G36,HS!T36,"D")</f>
        <v>D</v>
      </c>
      <c r="U36" s="31" t="str">
        <f>IF(H36=HS!H36,HS!U36,"D")</f>
        <v>H</v>
      </c>
      <c r="V36" s="31" t="str">
        <f>IF(I36=HS!I36,HS!V36,"D")</f>
        <v>H</v>
      </c>
      <c r="W36" s="31" t="str">
        <f>IF(J36=HS!J36,HS!W36,"D")</f>
        <v>H</v>
      </c>
      <c r="X36" s="31" t="str">
        <f>IF(K36=HS!K36,HS!X36,"D")</f>
        <v>H</v>
      </c>
    </row>
    <row r="37" spans="1:24" x14ac:dyDescent="0.2">
      <c r="A37">
        <v>14</v>
      </c>
      <c r="B37">
        <f>MAX(Hit!B37,Stand!B37,Double!B37)</f>
        <v>-9.3874324768310105E-2</v>
      </c>
      <c r="C37">
        <f>MAX(Hit!C37,Stand!C37,Double!C37)</f>
        <v>2.2391856987839083E-2</v>
      </c>
      <c r="D37">
        <f>MAX(Hit!D37,Stand!D37,Double!D37)</f>
        <v>5.0806738919282814E-2</v>
      </c>
      <c r="E37">
        <f>MAX(Hit!E37,Stand!E37,Double!E37)</f>
        <v>8.0081414310110233E-2</v>
      </c>
      <c r="F37">
        <f>MAX(Hit!F37,Stand!F37,Double!F37)</f>
        <v>0.12595448524867925</v>
      </c>
      <c r="G37">
        <f>MAX(Hit!G37,Stand!G37,Double!G37)</f>
        <v>0.17974820582791512</v>
      </c>
      <c r="H37">
        <f>MAX(Hit!H37,Stand!H37,Double!H37)</f>
        <v>7.9507488494468148E-2</v>
      </c>
      <c r="I37">
        <f>MAX(Hit!I37,Stand!I37,Double!I37)</f>
        <v>1.3277219463208444E-2</v>
      </c>
      <c r="J37">
        <f>MAX(Hit!J37,Stand!J37,Double!J37)</f>
        <v>-7.516318944168382E-2</v>
      </c>
      <c r="K37">
        <f>MAX(Hit!K37,Stand!K37,Double!K37)</f>
        <v>-0.13946678217545452</v>
      </c>
      <c r="N37" s="31">
        <v>14</v>
      </c>
      <c r="O37" s="31" t="str">
        <f>IF(B37=HS!B37,HS!O37,"D")</f>
        <v>H</v>
      </c>
      <c r="P37" s="31" t="str">
        <f>IF(C37=HS!C37,HS!P37,"D")</f>
        <v>H</v>
      </c>
      <c r="Q37" s="31" t="str">
        <f>IF(D37=HS!D37,HS!Q37,"D")</f>
        <v>H</v>
      </c>
      <c r="R37" s="31" t="str">
        <f>IF(E37=HS!E37,HS!R37,"D")</f>
        <v>H</v>
      </c>
      <c r="S37" s="31" t="str">
        <f>IF(F37=HS!F37,HS!S37,"D")</f>
        <v>D</v>
      </c>
      <c r="T37" s="31" t="str">
        <f>IF(G37=HS!G37,HS!T37,"D")</f>
        <v>D</v>
      </c>
      <c r="U37" s="31" t="str">
        <f>IF(H37=HS!H37,HS!U37,"D")</f>
        <v>H</v>
      </c>
      <c r="V37" s="31" t="str">
        <f>IF(I37=HS!I37,HS!V37,"D")</f>
        <v>H</v>
      </c>
      <c r="W37" s="31" t="str">
        <f>IF(J37=HS!J37,HS!W37,"D")</f>
        <v>H</v>
      </c>
      <c r="X37" s="31" t="str">
        <f>IF(K37=HS!K37,HS!X37,"D")</f>
        <v>H</v>
      </c>
    </row>
    <row r="38" spans="1:24" x14ac:dyDescent="0.2">
      <c r="A38">
        <v>15</v>
      </c>
      <c r="B38">
        <f>MAX(Hit!B38,Stand!B38,Double!B38)</f>
        <v>-0.13002650167843849</v>
      </c>
      <c r="C38">
        <f>MAX(Hit!C38,Stand!C38,Double!C38)</f>
        <v>-1.2068474052636583E-4</v>
      </c>
      <c r="D38">
        <f>MAX(Hit!D38,Stand!D38,Double!D38)</f>
        <v>2.9159812622497363E-2</v>
      </c>
      <c r="E38">
        <f>MAX(Hit!E38,Stand!E38,Double!E38)</f>
        <v>5.9285376931179926E-2</v>
      </c>
      <c r="F38">
        <f>MAX(Hit!F38,Stand!F38,Double!F38)</f>
        <v>0.12595448524867925</v>
      </c>
      <c r="G38">
        <f>MAX(Hit!G38,Stand!G38,Double!G38)</f>
        <v>0.17974820582791512</v>
      </c>
      <c r="H38">
        <f>MAX(Hit!H38,Stand!H38,Double!H38)</f>
        <v>3.7028282279269235E-2</v>
      </c>
      <c r="I38">
        <f>MAX(Hit!I38,Stand!I38,Double!I38)</f>
        <v>-2.7054780502901672E-2</v>
      </c>
      <c r="J38">
        <f>MAX(Hit!J38,Stand!J38,Double!J38)</f>
        <v>-0.11218876868994289</v>
      </c>
      <c r="K38">
        <f>MAX(Hit!K38,Stand!K38,Double!K38)</f>
        <v>-0.17370423031226784</v>
      </c>
      <c r="N38" s="31">
        <v>15</v>
      </c>
      <c r="O38" s="31" t="str">
        <f>IF(B38=HS!B38,HS!O38,"D")</f>
        <v>H</v>
      </c>
      <c r="P38" s="31" t="str">
        <f>IF(C38=HS!C38,HS!P38,"D")</f>
        <v>H</v>
      </c>
      <c r="Q38" s="31" t="str">
        <f>IF(D38=HS!D38,HS!Q38,"D")</f>
        <v>H</v>
      </c>
      <c r="R38" s="31" t="str">
        <f>IF(E38=HS!E38,HS!R38,"D")</f>
        <v>H</v>
      </c>
      <c r="S38" s="31" t="str">
        <f>IF(F38=HS!F38,HS!S38,"D")</f>
        <v>D</v>
      </c>
      <c r="T38" s="31" t="str">
        <f>IF(G38=HS!G38,HS!T38,"D")</f>
        <v>D</v>
      </c>
      <c r="U38" s="31" t="str">
        <f>IF(H38=HS!H38,HS!U38,"D")</f>
        <v>H</v>
      </c>
      <c r="V38" s="31" t="str">
        <f>IF(I38=HS!I38,HS!V38,"D")</f>
        <v>H</v>
      </c>
      <c r="W38" s="31" t="str">
        <f>IF(J38=HS!J38,HS!W38,"D")</f>
        <v>H</v>
      </c>
      <c r="X38" s="31" t="str">
        <f>IF(K38=HS!K38,HS!X38,"D")</f>
        <v>H</v>
      </c>
    </row>
    <row r="39" spans="1:24" x14ac:dyDescent="0.2">
      <c r="A39">
        <v>16</v>
      </c>
      <c r="B39">
        <f>MAX(Hit!B39,Stand!B39,Double!B39)</f>
        <v>-0.16563717206687348</v>
      </c>
      <c r="C39">
        <f>MAX(Hit!C39,Stand!C39,Double!C39)</f>
        <v>-2.1025187774008566E-2</v>
      </c>
      <c r="D39">
        <f>MAX(Hit!D39,Stand!D39,Double!D39)</f>
        <v>9.0590953469108244E-3</v>
      </c>
      <c r="E39">
        <f>MAX(Hit!E39,Stand!E39,Double!E39)</f>
        <v>5.8426518743744951E-2</v>
      </c>
      <c r="F39">
        <f>MAX(Hit!F39,Stand!F39,Double!F39)</f>
        <v>0.12595448524867925</v>
      </c>
      <c r="G39">
        <f>MAX(Hit!G39,Stand!G39,Double!G39)</f>
        <v>0.17974820582791512</v>
      </c>
      <c r="H39">
        <f>MAX(Hit!H39,Stand!H39,Double!H39)</f>
        <v>-4.8901571730158942E-3</v>
      </c>
      <c r="I39">
        <f>MAX(Hit!I39,Stand!I39,Double!I39)</f>
        <v>-6.6794847920094103E-2</v>
      </c>
      <c r="J39">
        <f>MAX(Hit!J39,Stand!J39,Double!J39)</f>
        <v>-0.14864353463007471</v>
      </c>
      <c r="K39">
        <f>MAX(Hit!K39,Stand!K39,Double!K39)</f>
        <v>-0.20744109003068206</v>
      </c>
      <c r="N39" s="31">
        <v>16</v>
      </c>
      <c r="O39" s="31" t="str">
        <f>IF(B39=HS!B39,HS!O39,"D")</f>
        <v>H</v>
      </c>
      <c r="P39" s="31" t="str">
        <f>IF(C39=HS!C39,HS!P39,"D")</f>
        <v>H</v>
      </c>
      <c r="Q39" s="31" t="str">
        <f>IF(D39=HS!D39,HS!Q39,"D")</f>
        <v>H</v>
      </c>
      <c r="R39" s="31" t="str">
        <f>IF(E39=HS!E39,HS!R39,"D")</f>
        <v>D</v>
      </c>
      <c r="S39" s="31" t="str">
        <f>IF(F39=HS!F39,HS!S39,"D")</f>
        <v>D</v>
      </c>
      <c r="T39" s="31" t="str">
        <f>IF(G39=HS!G39,HS!T39,"D")</f>
        <v>D</v>
      </c>
      <c r="U39" s="31" t="str">
        <f>IF(H39=HS!H39,HS!U39,"D")</f>
        <v>H</v>
      </c>
      <c r="V39" s="31" t="str">
        <f>IF(I39=HS!I39,HS!V39,"D")</f>
        <v>H</v>
      </c>
      <c r="W39" s="31" t="str">
        <f>IF(J39=HS!J39,HS!W39,"D")</f>
        <v>H</v>
      </c>
      <c r="X39" s="31" t="str">
        <f>IF(K39=HS!K39,HS!X39,"D")</f>
        <v>H</v>
      </c>
    </row>
    <row r="40" spans="1:24" x14ac:dyDescent="0.2">
      <c r="A40">
        <v>17</v>
      </c>
      <c r="B40">
        <f>MAX(Hit!B40,Stand!B40,Double!B40)</f>
        <v>-0.17956936979241733</v>
      </c>
      <c r="C40">
        <f>MAX(Hit!C40,Stand!C40,Double!C40)</f>
        <v>-4.9104358288912882E-4</v>
      </c>
      <c r="D40">
        <f>MAX(Hit!D40,Stand!D40,Double!D40)</f>
        <v>5.5095284479298338E-2</v>
      </c>
      <c r="E40">
        <f>MAX(Hit!E40,Stand!E40,Double!E40)</f>
        <v>0.11865255067432869</v>
      </c>
      <c r="F40">
        <f>MAX(Hit!F40,Stand!F40,Double!F40)</f>
        <v>0.18237815537354879</v>
      </c>
      <c r="G40">
        <f>MAX(Hit!G40,Stand!G40,Double!G40)</f>
        <v>0.2561042872909981</v>
      </c>
      <c r="H40">
        <f>MAX(Hit!H40,Stand!H40,Double!H40)</f>
        <v>5.3823463716116654E-2</v>
      </c>
      <c r="I40">
        <f>MAX(Hit!I40,Stand!I40,Double!I40)</f>
        <v>-7.2915398729642075E-2</v>
      </c>
      <c r="J40">
        <f>MAX(Hit!J40,Stand!J40,Double!J40)</f>
        <v>-0.1497868921821332</v>
      </c>
      <c r="K40">
        <f>MAX(Hit!K40,Stand!K40,Double!K40)</f>
        <v>-0.19686697623363469</v>
      </c>
      <c r="N40" s="31">
        <v>17</v>
      </c>
      <c r="O40" s="31" t="str">
        <f>IF(B40=HS!B40,HS!O40,"D")</f>
        <v>H</v>
      </c>
      <c r="P40" s="31" t="str">
        <f>IF(C40=HS!C40,HS!P40,"D")</f>
        <v>H</v>
      </c>
      <c r="Q40" s="31" t="str">
        <f>IF(D40=HS!D40,HS!Q40,"D")</f>
        <v>D</v>
      </c>
      <c r="R40" s="31" t="str">
        <f>IF(E40=HS!E40,HS!R40,"D")</f>
        <v>D</v>
      </c>
      <c r="S40" s="31" t="str">
        <f>IF(F40=HS!F40,HS!S40,"D")</f>
        <v>D</v>
      </c>
      <c r="T40" s="31" t="str">
        <f>IF(G40=HS!G40,HS!T40,"D")</f>
        <v>D</v>
      </c>
      <c r="U40" s="31" t="str">
        <f>IF(H40=HS!H40,HS!U40,"D")</f>
        <v>H</v>
      </c>
      <c r="V40" s="31" t="str">
        <f>IF(I40=HS!I40,HS!V40,"D")</f>
        <v>H</v>
      </c>
      <c r="W40" s="31" t="str">
        <f>IF(J40=HS!J40,HS!W40,"D")</f>
        <v>H</v>
      </c>
      <c r="X40" s="31" t="str">
        <f>IF(K40=HS!K40,HS!X40,"D")</f>
        <v>H</v>
      </c>
    </row>
    <row r="41" spans="1:24" x14ac:dyDescent="0.2">
      <c r="A41">
        <v>18</v>
      </c>
      <c r="B41">
        <f>MAX(Hit!B41,Stand!B41,Double!B41)</f>
        <v>-9.2935491769284034E-2</v>
      </c>
      <c r="C41">
        <f>MAX(Hit!C41,Stand!C41,Double!C41)</f>
        <v>0.12174190222088771</v>
      </c>
      <c r="D41">
        <f>MAX(Hit!D41,Stand!D41,Double!D41)</f>
        <v>0.17764127567893753</v>
      </c>
      <c r="E41">
        <f>MAX(Hit!E41,Stand!E41,Double!E41)</f>
        <v>0.23700384775562167</v>
      </c>
      <c r="F41">
        <f>MAX(Hit!F41,Stand!F41,Double!F41)</f>
        <v>0.29522549562328804</v>
      </c>
      <c r="G41">
        <f>MAX(Hit!G41,Stand!G41,Double!G41)</f>
        <v>0.38150648207879345</v>
      </c>
      <c r="H41">
        <f>MAX(Hit!H41,Stand!H41,Double!H41)</f>
        <v>0.3995541673365518</v>
      </c>
      <c r="I41">
        <f>MAX(Hit!I41,Stand!I41,Double!I41)</f>
        <v>0.10595134861912359</v>
      </c>
      <c r="J41">
        <f>MAX(Hit!J41,Stand!J41,Double!J41)</f>
        <v>-0.10074430758041522</v>
      </c>
      <c r="K41">
        <f>MAX(Hit!K41,Stand!K41,Double!K41)</f>
        <v>-0.14380812317405353</v>
      </c>
      <c r="N41" s="31">
        <v>18</v>
      </c>
      <c r="O41" s="31" t="str">
        <f>IF(B41=HS!B41,HS!O41,"D")</f>
        <v>H</v>
      </c>
      <c r="P41" s="31" t="str">
        <f>IF(C41=HS!C41,HS!P41,"D")</f>
        <v>S</v>
      </c>
      <c r="Q41" s="31" t="str">
        <f>IF(D41=HS!D41,HS!Q41,"D")</f>
        <v>D</v>
      </c>
      <c r="R41" s="31" t="str">
        <f>IF(E41=HS!E41,HS!R41,"D")</f>
        <v>D</v>
      </c>
      <c r="S41" s="31" t="str">
        <f>IF(F41=HS!F41,HS!S41,"D")</f>
        <v>D</v>
      </c>
      <c r="T41" s="31" t="str">
        <f>IF(G41=HS!G41,HS!T41,"D")</f>
        <v>D</v>
      </c>
      <c r="U41" s="31" t="str">
        <f>IF(H41=HS!H41,HS!U41,"D")</f>
        <v>S</v>
      </c>
      <c r="V41" s="31" t="str">
        <f>IF(I41=HS!I41,HS!V41,"D")</f>
        <v>S</v>
      </c>
      <c r="W41" s="31" t="str">
        <f>IF(J41=HS!J41,HS!W41,"D")</f>
        <v>H</v>
      </c>
      <c r="X41" s="31" t="str">
        <f>IF(K41=HS!K41,HS!X41,"D")</f>
        <v>H</v>
      </c>
    </row>
    <row r="42" spans="1:24" x14ac:dyDescent="0.2">
      <c r="A42">
        <v>19</v>
      </c>
      <c r="B42">
        <f>MAX(Hit!B42,Stand!B42,Double!B42)</f>
        <v>0.27763572376835594</v>
      </c>
      <c r="C42">
        <f>MAX(Hit!C42,Stand!C42,Double!C42)</f>
        <v>0.38630468602058993</v>
      </c>
      <c r="D42">
        <f>MAX(Hit!D42,Stand!D42,Double!D42)</f>
        <v>0.4043629365977599</v>
      </c>
      <c r="E42">
        <f>MAX(Hit!E42,Stand!E42,Double!E42)</f>
        <v>0.42317892482749653</v>
      </c>
      <c r="F42">
        <f>MAX(Hit!F42,Stand!F42,Double!F42)</f>
        <v>0.43951210416088371</v>
      </c>
      <c r="G42">
        <f>MAX(Hit!G42,Stand!G42,Double!G42)</f>
        <v>0.49597707378731914</v>
      </c>
      <c r="H42">
        <f>MAX(Hit!H42,Stand!H42,Double!H42)</f>
        <v>0.6159764957534315</v>
      </c>
      <c r="I42">
        <f>MAX(Hit!I42,Stand!I42,Double!I42)</f>
        <v>0.59385366828669439</v>
      </c>
      <c r="J42">
        <f>MAX(Hit!J42,Stand!J42,Double!J42)</f>
        <v>0.28759675706758148</v>
      </c>
      <c r="K42">
        <f>MAX(Hit!K42,Stand!K42,Double!K42)</f>
        <v>6.3118166335840831E-2</v>
      </c>
      <c r="N42" s="31">
        <v>19</v>
      </c>
      <c r="O42" s="31" t="str">
        <f>IF(B42=HS!B42,HS!O42,"D")</f>
        <v>S</v>
      </c>
      <c r="P42" s="31" t="str">
        <f>IF(C42=HS!C42,HS!P42,"D")</f>
        <v>S</v>
      </c>
      <c r="Q42" s="31" t="str">
        <f>IF(D42=HS!D42,HS!Q42,"D")</f>
        <v>S</v>
      </c>
      <c r="R42" s="31" t="str">
        <f>IF(E42=HS!E42,HS!R42,"D")</f>
        <v>S</v>
      </c>
      <c r="S42" s="31" t="str">
        <f>IF(F42=HS!F42,HS!S42,"D")</f>
        <v>S</v>
      </c>
      <c r="T42" s="31" t="str">
        <f>IF(G42=HS!G42,HS!T42,"D")</f>
        <v>S</v>
      </c>
      <c r="U42" s="31" t="str">
        <f>IF(H42=HS!H42,HS!U42,"D")</f>
        <v>S</v>
      </c>
      <c r="V42" s="31" t="str">
        <f>IF(I42=HS!I42,HS!V42,"D")</f>
        <v>S</v>
      </c>
      <c r="W42" s="31" t="str">
        <f>IF(J42=HS!J42,HS!W42,"D")</f>
        <v>S</v>
      </c>
      <c r="X42" s="31" t="str">
        <f>IF(K42=HS!K42,HS!X42,"D")</f>
        <v>S</v>
      </c>
    </row>
    <row r="43" spans="1:24" x14ac:dyDescent="0.2">
      <c r="A43">
        <v>20</v>
      </c>
      <c r="B43">
        <f>MAX(Hit!B43,Stand!B43,Double!B43)</f>
        <v>0.65547032314990239</v>
      </c>
      <c r="C43">
        <f>MAX(Hit!C43,Stand!C43,Double!C43)</f>
        <v>0.63998657521683877</v>
      </c>
      <c r="D43">
        <f>MAX(Hit!D43,Stand!D43,Double!D43)</f>
        <v>0.65027209425148136</v>
      </c>
      <c r="E43">
        <f>MAX(Hit!E43,Stand!E43,Double!E43)</f>
        <v>0.66104996194807186</v>
      </c>
      <c r="F43">
        <f>MAX(Hit!F43,Stand!F43,Double!F43)</f>
        <v>0.67035969063279999</v>
      </c>
      <c r="G43">
        <f>MAX(Hit!G43,Stand!G43,Double!G43)</f>
        <v>0.70395857017134467</v>
      </c>
      <c r="H43">
        <f>MAX(Hit!H43,Stand!H43,Double!H43)</f>
        <v>0.77322722653717491</v>
      </c>
      <c r="I43">
        <f>MAX(Hit!I43,Stand!I43,Double!I43)</f>
        <v>0.79181515955189841</v>
      </c>
      <c r="J43">
        <f>MAX(Hit!J43,Stand!J43,Double!J43)</f>
        <v>0.75835687080859626</v>
      </c>
      <c r="K43">
        <f>MAX(Hit!K43,Stand!K43,Double!K43)</f>
        <v>0.55453756646817121</v>
      </c>
      <c r="N43" s="31">
        <v>20</v>
      </c>
      <c r="O43" s="31" t="str">
        <f>IF(B43=HS!B43,HS!O43,"D")</f>
        <v>S</v>
      </c>
      <c r="P43" s="31" t="str">
        <f>IF(C43=HS!C43,HS!P43,"D")</f>
        <v>S</v>
      </c>
      <c r="Q43" s="31" t="str">
        <f>IF(D43=HS!D43,HS!Q43,"D")</f>
        <v>S</v>
      </c>
      <c r="R43" s="31" t="str">
        <f>IF(E43=HS!E43,HS!R43,"D")</f>
        <v>S</v>
      </c>
      <c r="S43" s="31" t="str">
        <f>IF(F43=HS!F43,HS!S43,"D")</f>
        <v>S</v>
      </c>
      <c r="T43" s="31" t="str">
        <f>IF(G43=HS!G43,HS!T43,"D")</f>
        <v>S</v>
      </c>
      <c r="U43" s="31" t="str">
        <f>IF(H43=HS!H43,HS!U43,"D")</f>
        <v>S</v>
      </c>
      <c r="V43" s="31" t="str">
        <f>IF(I43=HS!I43,HS!V43,"D")</f>
        <v>S</v>
      </c>
      <c r="W43" s="31" t="str">
        <f>IF(J43=HS!J43,HS!W43,"D")</f>
        <v>S</v>
      </c>
      <c r="X43" s="31" t="str">
        <f>IF(K43=HS!K43,HS!X43,"D")</f>
        <v>S</v>
      </c>
    </row>
    <row r="44" spans="1:24" x14ac:dyDescent="0.2">
      <c r="A44">
        <v>21</v>
      </c>
      <c r="B44">
        <f>MAX(Hit!B44,Stand!B44,Double!B44)</f>
        <v>0.92219381142033785</v>
      </c>
      <c r="C44">
        <f>MAX(Hit!C44,Stand!C44,Double!C44)</f>
        <v>0.88200651549403997</v>
      </c>
      <c r="D44">
        <f>MAX(Hit!D44,Stand!D44,Double!D44)</f>
        <v>0.88530035730174927</v>
      </c>
      <c r="E44">
        <f>MAX(Hit!E44,Stand!E44,Double!E44)</f>
        <v>0.88876729296591961</v>
      </c>
      <c r="F44">
        <f>MAX(Hit!F44,Stand!F44,Double!F44)</f>
        <v>0.89175382659528035</v>
      </c>
      <c r="G44">
        <f>MAX(Hit!G44,Stand!G44,Double!G44)</f>
        <v>0.90283674384257995</v>
      </c>
      <c r="H44">
        <f>MAX(Hit!H44,Stand!H44,Double!H44)</f>
        <v>0.92592629596452325</v>
      </c>
      <c r="I44">
        <f>MAX(Hit!I44,Stand!I44,Double!I44)</f>
        <v>0.93060505318396614</v>
      </c>
      <c r="J44">
        <f>MAX(Hit!J44,Stand!J44,Double!J44)</f>
        <v>0.93917615614724415</v>
      </c>
      <c r="K44">
        <f>MAX(Hit!K44,Stand!K44,Double!K44)</f>
        <v>0.96262363326716827</v>
      </c>
      <c r="N44" s="31">
        <v>21</v>
      </c>
      <c r="O44" s="31" t="str">
        <f>IF(B44=HS!B44,HS!O44,"D")</f>
        <v>S</v>
      </c>
      <c r="P44" s="31" t="str">
        <f>IF(C44=HS!C44,HS!P44,"D")</f>
        <v>S</v>
      </c>
      <c r="Q44" s="31" t="str">
        <f>IF(D44=HS!D44,HS!Q44,"D")</f>
        <v>S</v>
      </c>
      <c r="R44" s="31" t="str">
        <f>IF(E44=HS!E44,HS!R44,"D")</f>
        <v>S</v>
      </c>
      <c r="S44" s="31" t="str">
        <f>IF(F44=HS!F44,HS!S44,"D")</f>
        <v>S</v>
      </c>
      <c r="T44" s="31" t="str">
        <f>IF(G44=HS!G44,HS!T44,"D")</f>
        <v>S</v>
      </c>
      <c r="U44" s="31" t="str">
        <f>IF(H44=HS!H44,HS!U44,"D")</f>
        <v>S</v>
      </c>
      <c r="V44" s="31" t="str">
        <f>IF(I44=HS!I44,HS!V44,"D")</f>
        <v>S</v>
      </c>
      <c r="W44" s="31" t="str">
        <f>IF(J44=HS!J44,HS!W44,"D")</f>
        <v>S</v>
      </c>
      <c r="X44" s="31" t="str">
        <f>IF(K44=HS!K44,HS!X44,"D")</f>
        <v>S</v>
      </c>
    </row>
    <row r="45" spans="1:24" x14ac:dyDescent="0.2">
      <c r="A45">
        <v>22</v>
      </c>
      <c r="B45">
        <f>MAX(Hit!B45,Stand!B45,Double!B45)</f>
        <v>-0.35054034044008009</v>
      </c>
      <c r="C45">
        <f>MAX(Hit!C45,Stand!C45,Double!C45)</f>
        <v>-0.25338998596663809</v>
      </c>
      <c r="D45">
        <f>MAX(Hit!D45,Stand!D45,Double!D45)</f>
        <v>-0.2336908997980866</v>
      </c>
      <c r="E45">
        <f>MAX(Hit!E45,Stand!E45,Double!E45)</f>
        <v>-0.21106310899491437</v>
      </c>
      <c r="F45">
        <f>MAX(Hit!F45,Stand!F45,Double!F45)</f>
        <v>-0.16719266083547524</v>
      </c>
      <c r="G45">
        <f>MAX(Hit!G45,Stand!G45,Double!G45)</f>
        <v>-0.1536990158300045</v>
      </c>
      <c r="H45">
        <f>MAX(Hit!H45,Stand!H45,Double!H45)</f>
        <v>-0.21284771451731424</v>
      </c>
      <c r="I45">
        <f>MAX(Hit!I45,Stand!I45,Double!I45)</f>
        <v>-0.27157480502428616</v>
      </c>
      <c r="J45">
        <f>MAX(Hit!J45,Stand!J45,Double!J45)</f>
        <v>-0.3400132806089356</v>
      </c>
      <c r="K45">
        <f>MAX(Hit!K45,Stand!K45,Double!K45)</f>
        <v>-0.38104299284808768</v>
      </c>
      <c r="N45" s="31">
        <v>22</v>
      </c>
      <c r="O45" s="31" t="str">
        <f>IF(B45=HS!B45,HS!O45,"D")</f>
        <v>H</v>
      </c>
      <c r="P45" s="31" t="str">
        <f>IF(C45=HS!C45,HS!P45,"D")</f>
        <v>H</v>
      </c>
      <c r="Q45" s="31" t="str">
        <f>IF(D45=HS!D45,HS!Q45,"D")</f>
        <v>H</v>
      </c>
      <c r="R45" s="31" t="str">
        <f>IF(E45=HS!E45,HS!R45,"D")</f>
        <v>S</v>
      </c>
      <c r="S45" s="31" t="str">
        <f>IF(F45=HS!F45,HS!S45,"D")</f>
        <v>S</v>
      </c>
      <c r="T45" s="31" t="str">
        <f>IF(G45=HS!G45,HS!T45,"D")</f>
        <v>S</v>
      </c>
      <c r="U45" s="31" t="str">
        <f>IF(H45=HS!H45,HS!U45,"D")</f>
        <v>H</v>
      </c>
      <c r="V45" s="31" t="str">
        <f>IF(I45=HS!I45,HS!V45,"D")</f>
        <v>H</v>
      </c>
      <c r="W45" s="31" t="str">
        <f>IF(J45=HS!J45,HS!W45,"D")</f>
        <v>H</v>
      </c>
      <c r="X45" s="31" t="str">
        <f>IF(K45=HS!K45,HS!X45,"D")</f>
        <v>H</v>
      </c>
    </row>
    <row r="46" spans="1:24" x14ac:dyDescent="0.2">
      <c r="A46">
        <v>23</v>
      </c>
      <c r="B46">
        <f>MAX(Hit!B46,Stand!B46,Double!B46)</f>
        <v>-0.3969303161229315</v>
      </c>
      <c r="C46">
        <f>MAX(Hit!C46,Stand!C46,Double!C46)</f>
        <v>-0.29278372720927726</v>
      </c>
      <c r="D46">
        <f>MAX(Hit!D46,Stand!D46,Double!D46)</f>
        <v>-0.2522502292357135</v>
      </c>
      <c r="E46">
        <f>MAX(Hit!E46,Stand!E46,Double!E46)</f>
        <v>-0.21106310899491437</v>
      </c>
      <c r="F46">
        <f>MAX(Hit!F46,Stand!F46,Double!F46)</f>
        <v>-0.16719266083547524</v>
      </c>
      <c r="G46">
        <f>MAX(Hit!G46,Stand!G46,Double!G46)</f>
        <v>-0.1536990158300045</v>
      </c>
      <c r="H46">
        <f>MAX(Hit!H46,Stand!H46,Double!H46)</f>
        <v>-0.26907287776607752</v>
      </c>
      <c r="I46">
        <f>MAX(Hit!I46,Stand!I46,Double!I46)</f>
        <v>-0.32360517609397998</v>
      </c>
      <c r="J46">
        <f>MAX(Hit!J46,Stand!J46,Double!J46)</f>
        <v>-0.38715518913686875</v>
      </c>
      <c r="K46">
        <f>MAX(Hit!K46,Stand!K46,Double!K46)</f>
        <v>-0.42525420764465277</v>
      </c>
      <c r="N46" s="31">
        <v>23</v>
      </c>
      <c r="O46" s="31" t="str">
        <f>IF(B46=HS!B46,HS!O46,"D")</f>
        <v>H</v>
      </c>
      <c r="P46" s="31" t="str">
        <f>IF(C46=HS!C46,HS!P46,"D")</f>
        <v>S</v>
      </c>
      <c r="Q46" s="31" t="str">
        <f>IF(D46=HS!D46,HS!Q46,"D")</f>
        <v>S</v>
      </c>
      <c r="R46" s="31" t="str">
        <f>IF(E46=HS!E46,HS!R46,"D")</f>
        <v>S</v>
      </c>
      <c r="S46" s="31" t="str">
        <f>IF(F46=HS!F46,HS!S46,"D")</f>
        <v>S</v>
      </c>
      <c r="T46" s="31" t="str">
        <f>IF(G46=HS!G46,HS!T46,"D")</f>
        <v>S</v>
      </c>
      <c r="U46" s="31" t="str">
        <f>IF(H46=HS!H46,HS!U46,"D")</f>
        <v>H</v>
      </c>
      <c r="V46" s="31" t="str">
        <f>IF(I46=HS!I46,HS!V46,"D")</f>
        <v>H</v>
      </c>
      <c r="W46" s="31" t="str">
        <f>IF(J46=HS!J46,HS!W46,"D")</f>
        <v>H</v>
      </c>
      <c r="X46" s="31" t="str">
        <f>IF(K46=HS!K46,HS!X46,"D")</f>
        <v>H</v>
      </c>
    </row>
    <row r="47" spans="1:24" x14ac:dyDescent="0.2">
      <c r="A47">
        <v>24</v>
      </c>
      <c r="B47">
        <f>MAX(Hit!B47,Stand!B47,Double!B47)</f>
        <v>-0.44000672211415065</v>
      </c>
      <c r="C47">
        <f>MAX(Hit!C47,Stand!C47,Double!C47)</f>
        <v>-0.29278372720927726</v>
      </c>
      <c r="D47">
        <f>MAX(Hit!D47,Stand!D47,Double!D47)</f>
        <v>-0.2522502292357135</v>
      </c>
      <c r="E47">
        <f>MAX(Hit!E47,Stand!E47,Double!E47)</f>
        <v>-0.21106310899491437</v>
      </c>
      <c r="F47">
        <f>MAX(Hit!F47,Stand!F47,Double!F47)</f>
        <v>-0.16719266083547524</v>
      </c>
      <c r="G47">
        <f>MAX(Hit!G47,Stand!G47,Double!G47)</f>
        <v>-0.1536990158300045</v>
      </c>
      <c r="H47">
        <f>MAX(Hit!H47,Stand!H47,Double!H47)</f>
        <v>-0.3212819579256434</v>
      </c>
      <c r="I47">
        <f>MAX(Hit!I47,Stand!I47,Double!I47)</f>
        <v>-0.37191909208726714</v>
      </c>
      <c r="J47">
        <f>MAX(Hit!J47,Stand!J47,Double!J47)</f>
        <v>-0.43092981848423528</v>
      </c>
      <c r="K47">
        <f>MAX(Hit!K47,Stand!K47,Double!K47)</f>
        <v>-0.46630747852717758</v>
      </c>
      <c r="N47" s="31">
        <v>24</v>
      </c>
      <c r="O47" s="31" t="str">
        <f>IF(B47=HS!B47,HS!O47,"D")</f>
        <v>H</v>
      </c>
      <c r="P47" s="31" t="str">
        <f>IF(C47=HS!C47,HS!P47,"D")</f>
        <v>S</v>
      </c>
      <c r="Q47" s="31" t="str">
        <f>IF(D47=HS!D47,HS!Q47,"D")</f>
        <v>S</v>
      </c>
      <c r="R47" s="31" t="str">
        <f>IF(E47=HS!E47,HS!R47,"D")</f>
        <v>S</v>
      </c>
      <c r="S47" s="31" t="str">
        <f>IF(F47=HS!F47,HS!S47,"D")</f>
        <v>S</v>
      </c>
      <c r="T47" s="31" t="str">
        <f>IF(G47=HS!G47,HS!T47,"D")</f>
        <v>S</v>
      </c>
      <c r="U47" s="31" t="str">
        <f>IF(H47=HS!H47,HS!U47,"D")</f>
        <v>H</v>
      </c>
      <c r="V47" s="31" t="str">
        <f>IF(I47=HS!I47,HS!V47,"D")</f>
        <v>H</v>
      </c>
      <c r="W47" s="31" t="str">
        <f>IF(J47=HS!J47,HS!W47,"D")</f>
        <v>H</v>
      </c>
      <c r="X47" s="31" t="str">
        <f>IF(K47=HS!K47,HS!X47,"D")</f>
        <v>H</v>
      </c>
    </row>
    <row r="48" spans="1:24" x14ac:dyDescent="0.2">
      <c r="A48">
        <v>25</v>
      </c>
      <c r="B48">
        <f>MAX(Hit!B48,Stand!B48,Double!B48)</f>
        <v>-0.4800062419631399</v>
      </c>
      <c r="C48">
        <f>MAX(Hit!C48,Stand!C48,Double!C48)</f>
        <v>-0.29278372720927726</v>
      </c>
      <c r="D48">
        <f>MAX(Hit!D48,Stand!D48,Double!D48)</f>
        <v>-0.2522502292357135</v>
      </c>
      <c r="E48">
        <f>MAX(Hit!E48,Stand!E48,Double!E48)</f>
        <v>-0.21106310899491437</v>
      </c>
      <c r="F48">
        <f>MAX(Hit!F48,Stand!F48,Double!F48)</f>
        <v>-0.16719266083547524</v>
      </c>
      <c r="G48">
        <f>MAX(Hit!G48,Stand!G48,Double!G48)</f>
        <v>-0.1536990158300045</v>
      </c>
      <c r="H48">
        <f>MAX(Hit!H48,Stand!H48,Double!H48)</f>
        <v>-0.36976181807381175</v>
      </c>
      <c r="I48">
        <f>MAX(Hit!I48,Stand!I48,Double!I48)</f>
        <v>-0.41678201408103371</v>
      </c>
      <c r="J48">
        <f>MAX(Hit!J48,Stand!J48,Double!J48)</f>
        <v>-0.47157768859250415</v>
      </c>
      <c r="K48">
        <f>MAX(Hit!K48,Stand!K48,Double!K48)</f>
        <v>-0.5044283729180935</v>
      </c>
      <c r="N48" s="31">
        <v>25</v>
      </c>
      <c r="O48" s="31" t="str">
        <f>IF(B48=HS!B48,HS!O48,"D")</f>
        <v>H</v>
      </c>
      <c r="P48" s="31" t="str">
        <f>IF(C48=HS!C48,HS!P48,"D")</f>
        <v>S</v>
      </c>
      <c r="Q48" s="31" t="str">
        <f>IF(D48=HS!D48,HS!Q48,"D")</f>
        <v>S</v>
      </c>
      <c r="R48" s="31" t="str">
        <f>IF(E48=HS!E48,HS!R48,"D")</f>
        <v>S</v>
      </c>
      <c r="S48" s="31" t="str">
        <f>IF(F48=HS!F48,HS!S48,"D")</f>
        <v>S</v>
      </c>
      <c r="T48" s="31" t="str">
        <f>IF(G48=HS!G48,HS!T48,"D")</f>
        <v>S</v>
      </c>
      <c r="U48" s="31" t="str">
        <f>IF(H48=HS!H48,HS!U48,"D")</f>
        <v>H</v>
      </c>
      <c r="V48" s="31" t="str">
        <f>IF(I48=HS!I48,HS!V48,"D")</f>
        <v>H</v>
      </c>
      <c r="W48" s="31" t="str">
        <f>IF(J48=HS!J48,HS!W48,"D")</f>
        <v>H</v>
      </c>
      <c r="X48" s="31" t="str">
        <f>IF(K48=HS!K48,HS!X48,"D")</f>
        <v>H</v>
      </c>
    </row>
    <row r="49" spans="1:24" x14ac:dyDescent="0.2">
      <c r="A49">
        <v>26</v>
      </c>
      <c r="B49">
        <f>MAX(Hit!B49,Stand!B49,Double!B49)</f>
        <v>-0.51714865325148707</v>
      </c>
      <c r="C49">
        <f>MAX(Hit!C49,Stand!C49,Double!C49)</f>
        <v>-0.29278372720927726</v>
      </c>
      <c r="D49">
        <f>MAX(Hit!D49,Stand!D49,Double!D49)</f>
        <v>-0.2522502292357135</v>
      </c>
      <c r="E49">
        <f>MAX(Hit!E49,Stand!E49,Double!E49)</f>
        <v>-0.21106310899491437</v>
      </c>
      <c r="F49">
        <f>MAX(Hit!F49,Stand!F49,Double!F49)</f>
        <v>-0.16719266083547524</v>
      </c>
      <c r="G49">
        <f>MAX(Hit!G49,Stand!G49,Double!G49)</f>
        <v>-0.1536990158300045</v>
      </c>
      <c r="H49">
        <f>MAX(Hit!H49,Stand!H49,Double!H49)</f>
        <v>-0.41477883106853947</v>
      </c>
      <c r="I49">
        <f>MAX(Hit!I49,Stand!I49,Double!I49)</f>
        <v>-0.45844044164667419</v>
      </c>
      <c r="J49">
        <f>MAX(Hit!J49,Stand!J49,Double!J49)</f>
        <v>-0.50932213940732529</v>
      </c>
      <c r="K49">
        <f>MAX(Hit!K49,Stand!K49,Double!K49)</f>
        <v>-0.53982634628108683</v>
      </c>
      <c r="N49" s="31">
        <v>26</v>
      </c>
      <c r="O49" s="31" t="str">
        <f>IF(B49=HS!B49,HS!O49,"D")</f>
        <v>H</v>
      </c>
      <c r="P49" s="31" t="str">
        <f>IF(C49=HS!C49,HS!P49,"D")</f>
        <v>S</v>
      </c>
      <c r="Q49" s="31" t="str">
        <f>IF(D49=HS!D49,HS!Q49,"D")</f>
        <v>S</v>
      </c>
      <c r="R49" s="31" t="str">
        <f>IF(E49=HS!E49,HS!R49,"D")</f>
        <v>S</v>
      </c>
      <c r="S49" s="31" t="str">
        <f>IF(F49=HS!F49,HS!S49,"D")</f>
        <v>S</v>
      </c>
      <c r="T49" s="31" t="str">
        <f>IF(G49=HS!G49,HS!T49,"D")</f>
        <v>S</v>
      </c>
      <c r="U49" s="31" t="str">
        <f>IF(H49=HS!H49,HS!U49,"D")</f>
        <v>H</v>
      </c>
      <c r="V49" s="31" t="str">
        <f>IF(I49=HS!I49,HS!V49,"D")</f>
        <v>H</v>
      </c>
      <c r="W49" s="31" t="str">
        <f>IF(J49=HS!J49,HS!W49,"D")</f>
        <v>H</v>
      </c>
      <c r="X49" s="31" t="str">
        <f>IF(K49=HS!K49,HS!X49,"D")</f>
        <v>H</v>
      </c>
    </row>
    <row r="50" spans="1:24" x14ac:dyDescent="0.2">
      <c r="A50">
        <v>27</v>
      </c>
      <c r="B50">
        <f>MAX(Hit!B50,Stand!B50,Double!B50)</f>
        <v>-0.47803347499473703</v>
      </c>
      <c r="C50">
        <f>MAX(Hit!C50,Stand!C50,Double!C50)</f>
        <v>-0.15297458768154204</v>
      </c>
      <c r="D50">
        <f>MAX(Hit!D50,Stand!D50,Double!D50)</f>
        <v>-0.11721624142457365</v>
      </c>
      <c r="E50">
        <f>MAX(Hit!E50,Stand!E50,Double!E50)</f>
        <v>-8.0573373145316152E-2</v>
      </c>
      <c r="F50">
        <f>MAX(Hit!F50,Stand!F50,Double!F50)</f>
        <v>-4.4941375564924446E-2</v>
      </c>
      <c r="G50">
        <f>MAX(Hit!G50,Stand!G50,Double!G50)</f>
        <v>1.1739160673341853E-2</v>
      </c>
      <c r="H50">
        <f>MAX(Hit!H50,Stand!H50,Double!H50)</f>
        <v>-0.10680898948269468</v>
      </c>
      <c r="I50">
        <f>MAX(Hit!I50,Stand!I50,Double!I50)</f>
        <v>-0.38195097104844711</v>
      </c>
      <c r="J50">
        <f>MAX(Hit!J50,Stand!J50,Double!J50)</f>
        <v>-0.42315423964521737</v>
      </c>
      <c r="K50">
        <f>MAX(Hit!K50,Stand!K50,Double!K50)</f>
        <v>-0.41972063392881986</v>
      </c>
      <c r="N50" s="31">
        <v>27</v>
      </c>
      <c r="O50" s="31" t="str">
        <f>IF(B50=HS!B50,HS!O50,"D")</f>
        <v>S</v>
      </c>
      <c r="P50" s="31" t="str">
        <f>IF(C50=HS!C50,HS!P50,"D")</f>
        <v>S</v>
      </c>
      <c r="Q50" s="31" t="str">
        <f>IF(D50=HS!D50,HS!Q50,"D")</f>
        <v>S</v>
      </c>
      <c r="R50" s="31" t="str">
        <f>IF(E50=HS!E50,HS!R50,"D")</f>
        <v>S</v>
      </c>
      <c r="S50" s="31" t="str">
        <f>IF(F50=HS!F50,HS!S50,"D")</f>
        <v>S</v>
      </c>
      <c r="T50" s="31" t="str">
        <f>IF(G50=HS!G50,HS!T50,"D")</f>
        <v>S</v>
      </c>
      <c r="U50" s="31" t="str">
        <f>IF(H50=HS!H50,HS!U50,"D")</f>
        <v>S</v>
      </c>
      <c r="V50" s="31" t="str">
        <f>IF(I50=HS!I50,HS!V50,"D")</f>
        <v>S</v>
      </c>
      <c r="W50" s="31" t="str">
        <f>IF(J50=HS!J50,HS!W50,"D")</f>
        <v>S</v>
      </c>
      <c r="X50" s="31" t="str">
        <f>IF(K50=HS!K50,HS!X50,"D")</f>
        <v>S</v>
      </c>
    </row>
    <row r="51" spans="1:24" x14ac:dyDescent="0.2">
      <c r="A51">
        <v>28</v>
      </c>
      <c r="B51">
        <f>MAX(Hit!B51,Stand!B51,Double!B51)</f>
        <v>-0.10019887561319057</v>
      </c>
      <c r="C51">
        <f>MAX(Hit!C51,Stand!C51,Double!C51)</f>
        <v>0.12174190222088771</v>
      </c>
      <c r="D51">
        <f>MAX(Hit!D51,Stand!D51,Double!D51)</f>
        <v>0.14830007284131119</v>
      </c>
      <c r="E51">
        <f>MAX(Hit!E51,Stand!E51,Double!E51)</f>
        <v>0.17585443719748528</v>
      </c>
      <c r="F51">
        <f>MAX(Hit!F51,Stand!F51,Double!F51)</f>
        <v>0.19956119497617719</v>
      </c>
      <c r="G51">
        <f>MAX(Hit!G51,Stand!G51,Double!G51)</f>
        <v>0.28344391604689856</v>
      </c>
      <c r="H51">
        <f>MAX(Hit!H51,Stand!H51,Double!H51)</f>
        <v>0.3995541673365518</v>
      </c>
      <c r="I51">
        <f>MAX(Hit!I51,Stand!I51,Double!I51)</f>
        <v>0.10595134861912359</v>
      </c>
      <c r="J51">
        <f>MAX(Hit!J51,Stand!J51,Double!J51)</f>
        <v>-0.18316335667343331</v>
      </c>
      <c r="K51">
        <f>MAX(Hit!K51,Stand!K51,Double!K51)</f>
        <v>-0.17830123379648949</v>
      </c>
      <c r="N51" s="31">
        <v>28</v>
      </c>
      <c r="O51" s="31" t="str">
        <f>IF(B51=HS!B51,HS!O51,"D")</f>
        <v>S</v>
      </c>
      <c r="P51" s="31" t="str">
        <f>IF(C51=HS!C51,HS!P51,"D")</f>
        <v>S</v>
      </c>
      <c r="Q51" s="31" t="str">
        <f>IF(D51=HS!D51,HS!Q51,"D")</f>
        <v>S</v>
      </c>
      <c r="R51" s="31" t="str">
        <f>IF(E51=HS!E51,HS!R51,"D")</f>
        <v>S</v>
      </c>
      <c r="S51" s="31" t="str">
        <f>IF(F51=HS!F51,HS!S51,"D")</f>
        <v>S</v>
      </c>
      <c r="T51" s="31" t="str">
        <f>IF(G51=HS!G51,HS!T51,"D")</f>
        <v>S</v>
      </c>
      <c r="U51" s="31" t="str">
        <f>IF(H51=HS!H51,HS!U51,"D")</f>
        <v>S</v>
      </c>
      <c r="V51" s="31" t="str">
        <f>IF(I51=HS!I51,HS!V51,"D")</f>
        <v>S</v>
      </c>
      <c r="W51" s="31" t="str">
        <f>IF(J51=HS!J51,HS!W51,"D")</f>
        <v>S</v>
      </c>
      <c r="X51" s="31" t="str">
        <f>IF(K51=HS!K51,HS!X51,"D")</f>
        <v>S</v>
      </c>
    </row>
    <row r="52" spans="1:24" x14ac:dyDescent="0.2">
      <c r="A52">
        <v>29</v>
      </c>
      <c r="B52">
        <f>MAX(Hit!B52,Stand!B52,Double!B52)</f>
        <v>0.27763572376835594</v>
      </c>
      <c r="C52">
        <f>MAX(Hit!C52,Stand!C52,Double!C52)</f>
        <v>0.38630468602058993</v>
      </c>
      <c r="D52">
        <f>MAX(Hit!D52,Stand!D52,Double!D52)</f>
        <v>0.4043629365977599</v>
      </c>
      <c r="E52">
        <f>MAX(Hit!E52,Stand!E52,Double!E52)</f>
        <v>0.42317892482749653</v>
      </c>
      <c r="F52">
        <f>MAX(Hit!F52,Stand!F52,Double!F52)</f>
        <v>0.43951210416088371</v>
      </c>
      <c r="G52">
        <f>MAX(Hit!G52,Stand!G52,Double!G52)</f>
        <v>0.49597707378731914</v>
      </c>
      <c r="H52">
        <f>MAX(Hit!H52,Stand!H52,Double!H52)</f>
        <v>0.6159764957534315</v>
      </c>
      <c r="I52">
        <f>MAX(Hit!I52,Stand!I52,Double!I52)</f>
        <v>0.59385366828669439</v>
      </c>
      <c r="J52">
        <f>MAX(Hit!J52,Stand!J52,Double!J52)</f>
        <v>0.28759675706758148</v>
      </c>
      <c r="K52">
        <f>MAX(Hit!K52,Stand!K52,Double!K52)</f>
        <v>6.3118166335840831E-2</v>
      </c>
      <c r="N52" s="31">
        <v>29</v>
      </c>
      <c r="O52" s="31" t="str">
        <f>IF(B52=HS!B52,HS!O52,"D")</f>
        <v>S</v>
      </c>
      <c r="P52" s="31" t="str">
        <f>IF(C52=HS!C52,HS!P52,"D")</f>
        <v>S</v>
      </c>
      <c r="Q52" s="31" t="str">
        <f>IF(D52=HS!D52,HS!Q52,"D")</f>
        <v>S</v>
      </c>
      <c r="R52" s="31" t="str">
        <f>IF(E52=HS!E52,HS!R52,"D")</f>
        <v>S</v>
      </c>
      <c r="S52" s="31" t="str">
        <f>IF(F52=HS!F52,HS!S52,"D")</f>
        <v>S</v>
      </c>
      <c r="T52" s="31" t="str">
        <f>IF(G52=HS!G52,HS!T52,"D")</f>
        <v>S</v>
      </c>
      <c r="U52" s="31" t="str">
        <f>IF(H52=HS!H52,HS!U52,"D")</f>
        <v>S</v>
      </c>
      <c r="V52" s="31" t="str">
        <f>IF(I52=HS!I52,HS!V52,"D")</f>
        <v>S</v>
      </c>
      <c r="W52" s="31" t="str">
        <f>IF(J52=HS!J52,HS!W52,"D")</f>
        <v>S</v>
      </c>
      <c r="X52" s="31" t="str">
        <f>IF(K52=HS!K52,HS!X52,"D")</f>
        <v>S</v>
      </c>
    </row>
    <row r="53" spans="1:24" x14ac:dyDescent="0.2">
      <c r="A53">
        <v>30</v>
      </c>
      <c r="B53">
        <f>MAX(Hit!B53,Stand!B53,Double!B53)</f>
        <v>0.65547032314990239</v>
      </c>
      <c r="C53">
        <f>MAX(Hit!C53,Stand!C53,Double!C53)</f>
        <v>0.63998657521683877</v>
      </c>
      <c r="D53">
        <f>MAX(Hit!D53,Stand!D53,Double!D53)</f>
        <v>0.65027209425148136</v>
      </c>
      <c r="E53">
        <f>MAX(Hit!E53,Stand!E53,Double!E53)</f>
        <v>0.66104996194807186</v>
      </c>
      <c r="F53">
        <f>MAX(Hit!F53,Stand!F53,Double!F53)</f>
        <v>0.67035969063279999</v>
      </c>
      <c r="G53">
        <f>MAX(Hit!G53,Stand!G53,Double!G53)</f>
        <v>0.70395857017134467</v>
      </c>
      <c r="H53">
        <f>MAX(Hit!H53,Stand!H53,Double!H53)</f>
        <v>0.77322722653717491</v>
      </c>
      <c r="I53">
        <f>MAX(Hit!I53,Stand!I53,Double!I53)</f>
        <v>0.79181515955189841</v>
      </c>
      <c r="J53">
        <f>MAX(Hit!J53,Stand!J53,Double!J53)</f>
        <v>0.75835687080859626</v>
      </c>
      <c r="K53">
        <f>MAX(Hit!K53,Stand!K53,Double!K53)</f>
        <v>0.55453756646817121</v>
      </c>
      <c r="N53" s="31">
        <v>30</v>
      </c>
      <c r="O53" s="31" t="str">
        <f>IF(B53=HS!B53,HS!O53,"D")</f>
        <v>S</v>
      </c>
      <c r="P53" s="31" t="str">
        <f>IF(C53=HS!C53,HS!P53,"D")</f>
        <v>S</v>
      </c>
      <c r="Q53" s="31" t="str">
        <f>IF(D53=HS!D53,HS!Q53,"D")</f>
        <v>S</v>
      </c>
      <c r="R53" s="31" t="str">
        <f>IF(E53=HS!E53,HS!R53,"D")</f>
        <v>S</v>
      </c>
      <c r="S53" s="31" t="str">
        <f>IF(F53=HS!F53,HS!S53,"D")</f>
        <v>S</v>
      </c>
      <c r="T53" s="31" t="str">
        <f>IF(G53=HS!G53,HS!T53,"D")</f>
        <v>S</v>
      </c>
      <c r="U53" s="31" t="str">
        <f>IF(H53=HS!H53,HS!U53,"D")</f>
        <v>S</v>
      </c>
      <c r="V53" s="31" t="str">
        <f>IF(I53=HS!I53,HS!V53,"D")</f>
        <v>S</v>
      </c>
      <c r="W53" s="31" t="str">
        <f>IF(J53=HS!J53,HS!W53,"D")</f>
        <v>S</v>
      </c>
      <c r="X53" s="31" t="str">
        <f>IF(K53=HS!K53,HS!X53,"D")</f>
        <v>S</v>
      </c>
    </row>
    <row r="54" spans="1:24" x14ac:dyDescent="0.2">
      <c r="A54">
        <v>31</v>
      </c>
      <c r="B54">
        <f>MAX(Hit!B54,Stand!B54,Double!B54)</f>
        <v>0.92219381142033785</v>
      </c>
      <c r="C54">
        <f>MAX(Hit!C54,Stand!C54,Double!C54)</f>
        <v>0.88200651549403997</v>
      </c>
      <c r="D54">
        <f>MAX(Hit!D54,Stand!D54,Double!D54)</f>
        <v>0.88530035730174927</v>
      </c>
      <c r="E54">
        <f>MAX(Hit!E54,Stand!E54,Double!E54)</f>
        <v>0.88876729296591961</v>
      </c>
      <c r="F54">
        <f>MAX(Hit!F54,Stand!F54,Double!F54)</f>
        <v>0.89175382659528035</v>
      </c>
      <c r="G54">
        <f>MAX(Hit!G54,Stand!G54,Double!G54)</f>
        <v>0.90283674384257995</v>
      </c>
      <c r="H54">
        <f>MAX(Hit!H54,Stand!H54,Double!H54)</f>
        <v>0.92592629596452325</v>
      </c>
      <c r="I54">
        <f>MAX(Hit!I54,Stand!I54,Double!I54)</f>
        <v>0.93060505318396614</v>
      </c>
      <c r="J54">
        <f>MAX(Hit!J54,Stand!J54,Double!J54)</f>
        <v>0.93917615614724415</v>
      </c>
      <c r="K54">
        <f>MAX(Hit!K54,Stand!K54,Double!K54)</f>
        <v>0.96262363326716827</v>
      </c>
      <c r="N54" s="31">
        <v>31</v>
      </c>
      <c r="O54" s="31" t="str">
        <f>IF(B54=HS!B54,HS!O54,"D")</f>
        <v>S</v>
      </c>
      <c r="P54" s="31" t="str">
        <f>IF(C54=HS!C54,HS!P54,"D")</f>
        <v>S</v>
      </c>
      <c r="Q54" s="31" t="str">
        <f>IF(D54=HS!D54,HS!Q54,"D")</f>
        <v>S</v>
      </c>
      <c r="R54" s="31" t="str">
        <f>IF(E54=HS!E54,HS!R54,"D")</f>
        <v>S</v>
      </c>
      <c r="S54" s="31" t="str">
        <f>IF(F54=HS!F54,HS!S54,"D")</f>
        <v>S</v>
      </c>
      <c r="T54" s="31" t="str">
        <f>IF(G54=HS!G54,HS!T54,"D")</f>
        <v>S</v>
      </c>
      <c r="U54" s="31" t="str">
        <f>IF(H54=HS!H54,HS!U54,"D")</f>
        <v>S</v>
      </c>
      <c r="V54" s="31" t="str">
        <f>IF(I54=HS!I54,HS!V54,"D")</f>
        <v>S</v>
      </c>
      <c r="W54" s="31" t="str">
        <f>IF(J54=HS!J54,HS!W54,"D")</f>
        <v>S</v>
      </c>
      <c r="X54" s="31" t="str">
        <f>IF(K54=HS!K54,HS!X54,"D")</f>
        <v>S</v>
      </c>
    </row>
  </sheetData>
  <sheetProtection sheet="1" objects="1" scenarios="1"/>
  <phoneticPr fontId="14" type="noConversion"/>
  <conditionalFormatting sqref="O2:X31">
    <cfRule type="containsText" dxfId="86" priority="16" operator="containsText" text="S">
      <formula>NOT(ISERROR(SEARCH("S",O2)))</formula>
    </cfRule>
    <cfRule type="containsText" dxfId="85" priority="17" operator="containsText" text="H">
      <formula>NOT(ISERROR(SEARCH("H",O2)))</formula>
    </cfRule>
  </conditionalFormatting>
  <conditionalFormatting sqref="O2:X31">
    <cfRule type="containsText" dxfId="84" priority="13" operator="containsText" text="D">
      <formula>NOT(ISERROR(SEARCH("D",O2)))</formula>
    </cfRule>
  </conditionalFormatting>
  <conditionalFormatting sqref="O34:X54">
    <cfRule type="containsText" dxfId="83" priority="2" operator="containsText" text="S">
      <formula>NOT(ISERROR(SEARCH("S",O34)))</formula>
    </cfRule>
    <cfRule type="containsText" dxfId="82" priority="3" operator="containsText" text="H">
      <formula>NOT(ISERROR(SEARCH("H",O34)))</formula>
    </cfRule>
  </conditionalFormatting>
  <conditionalFormatting sqref="O34:X54">
    <cfRule type="containsText" dxfId="81" priority="1" operator="containsText" text="D">
      <formula>NOT(ISERROR(SEARCH("D",O34)))</formula>
    </cfRule>
  </conditionalFormatting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K9" sqref="K9"/>
    </sheetView>
  </sheetViews>
  <sheetFormatPr baseColWidth="10" defaultColWidth="8.83203125" defaultRowHeight="16" x14ac:dyDescent="0.2"/>
  <sheetData>
    <row r="1" spans="1:11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2</v>
      </c>
      <c r="B2">
        <v>-0.5</v>
      </c>
      <c r="C2">
        <v>-0.5</v>
      </c>
      <c r="D2">
        <v>-0.5</v>
      </c>
      <c r="E2">
        <v>-0.5</v>
      </c>
      <c r="F2">
        <v>-0.5</v>
      </c>
      <c r="G2">
        <v>-0.5</v>
      </c>
      <c r="H2">
        <v>-0.5</v>
      </c>
      <c r="I2">
        <v>-0.5</v>
      </c>
      <c r="J2">
        <v>-0.5</v>
      </c>
      <c r="K2">
        <v>-0.5</v>
      </c>
    </row>
    <row r="3" spans="1:11" x14ac:dyDescent="0.2">
      <c r="A3">
        <v>3</v>
      </c>
      <c r="B3">
        <v>-0.5</v>
      </c>
      <c r="C3">
        <v>-0.5</v>
      </c>
      <c r="D3">
        <v>-0.5</v>
      </c>
      <c r="E3">
        <v>-0.5</v>
      </c>
      <c r="F3">
        <v>-0.5</v>
      </c>
      <c r="G3">
        <v>-0.5</v>
      </c>
      <c r="H3">
        <v>-0.5</v>
      </c>
      <c r="I3">
        <v>-0.5</v>
      </c>
      <c r="J3">
        <v>-0.5</v>
      </c>
      <c r="K3">
        <v>-0.5</v>
      </c>
    </row>
    <row r="4" spans="1:11" x14ac:dyDescent="0.2">
      <c r="A4">
        <v>4</v>
      </c>
      <c r="B4">
        <v>-0.5</v>
      </c>
      <c r="C4">
        <v>-0.5</v>
      </c>
      <c r="D4">
        <v>-0.5</v>
      </c>
      <c r="E4">
        <v>-0.5</v>
      </c>
      <c r="F4">
        <v>-0.5</v>
      </c>
      <c r="G4">
        <v>-0.5</v>
      </c>
      <c r="H4">
        <v>-0.5</v>
      </c>
      <c r="I4">
        <v>-0.5</v>
      </c>
      <c r="J4">
        <v>-0.5</v>
      </c>
      <c r="K4">
        <v>-0.5</v>
      </c>
    </row>
    <row r="5" spans="1:11" x14ac:dyDescent="0.2">
      <c r="A5">
        <v>5</v>
      </c>
      <c r="B5">
        <v>-0.5</v>
      </c>
      <c r="C5">
        <v>-0.5</v>
      </c>
      <c r="D5">
        <v>-0.5</v>
      </c>
      <c r="E5">
        <v>-0.5</v>
      </c>
      <c r="F5">
        <v>-0.5</v>
      </c>
      <c r="G5">
        <v>-0.5</v>
      </c>
      <c r="H5">
        <v>-0.5</v>
      </c>
      <c r="I5">
        <v>-0.5</v>
      </c>
      <c r="J5">
        <v>-0.5</v>
      </c>
      <c r="K5">
        <v>-0.5</v>
      </c>
    </row>
    <row r="6" spans="1:11" x14ac:dyDescent="0.2">
      <c r="A6">
        <v>6</v>
      </c>
      <c r="B6">
        <v>-0.5</v>
      </c>
      <c r="C6">
        <v>-0.5</v>
      </c>
      <c r="D6">
        <v>-0.5</v>
      </c>
      <c r="E6">
        <v>-0.5</v>
      </c>
      <c r="F6">
        <v>-0.5</v>
      </c>
      <c r="G6">
        <v>-0.5</v>
      </c>
      <c r="H6">
        <v>-0.5</v>
      </c>
      <c r="I6">
        <v>-0.5</v>
      </c>
      <c r="J6">
        <v>-0.5</v>
      </c>
      <c r="K6">
        <v>-0.5</v>
      </c>
    </row>
    <row r="7" spans="1:11" x14ac:dyDescent="0.2">
      <c r="A7">
        <v>7</v>
      </c>
      <c r="B7">
        <v>-0.5</v>
      </c>
      <c r="C7">
        <v>-0.5</v>
      </c>
      <c r="D7">
        <v>-0.5</v>
      </c>
      <c r="E7">
        <v>-0.5</v>
      </c>
      <c r="F7">
        <v>-0.5</v>
      </c>
      <c r="G7">
        <v>-0.5</v>
      </c>
      <c r="H7">
        <v>-0.5</v>
      </c>
      <c r="I7">
        <v>-0.5</v>
      </c>
      <c r="J7">
        <v>-0.5</v>
      </c>
      <c r="K7">
        <v>-0.5</v>
      </c>
    </row>
    <row r="8" spans="1:11" x14ac:dyDescent="0.2">
      <c r="A8">
        <v>8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-0.5</v>
      </c>
      <c r="I8">
        <v>-0.5</v>
      </c>
      <c r="J8">
        <v>-0.5</v>
      </c>
      <c r="K8">
        <v>-0.5</v>
      </c>
    </row>
    <row r="9" spans="1:11" x14ac:dyDescent="0.2">
      <c r="A9">
        <v>9</v>
      </c>
      <c r="B9">
        <v>-0.5</v>
      </c>
      <c r="C9">
        <v>-0.5</v>
      </c>
      <c r="D9">
        <v>-0.5</v>
      </c>
      <c r="E9">
        <v>-0.5</v>
      </c>
      <c r="F9">
        <v>-0.5</v>
      </c>
      <c r="G9">
        <v>-0.5</v>
      </c>
      <c r="H9">
        <v>-0.5</v>
      </c>
      <c r="I9">
        <v>-0.5</v>
      </c>
      <c r="J9">
        <v>-0.5</v>
      </c>
      <c r="K9">
        <v>-0.5</v>
      </c>
    </row>
    <row r="10" spans="1:11" x14ac:dyDescent="0.2">
      <c r="A10">
        <v>10</v>
      </c>
      <c r="B10">
        <v>-0.5</v>
      </c>
      <c r="C10">
        <v>-0.5</v>
      </c>
      <c r="D10">
        <v>-0.5</v>
      </c>
      <c r="E10">
        <v>-0.5</v>
      </c>
      <c r="F10">
        <v>-0.5</v>
      </c>
      <c r="G10">
        <v>-0.5</v>
      </c>
      <c r="H10">
        <v>-0.5</v>
      </c>
      <c r="I10">
        <v>-0.5</v>
      </c>
      <c r="J10">
        <v>-0.5</v>
      </c>
      <c r="K10">
        <v>-0.5</v>
      </c>
    </row>
    <row r="11" spans="1:11" x14ac:dyDescent="0.2">
      <c r="A11">
        <v>11</v>
      </c>
      <c r="B11">
        <v>-0.5</v>
      </c>
      <c r="C11">
        <v>-0.5</v>
      </c>
      <c r="D11">
        <v>-0.5</v>
      </c>
      <c r="E11">
        <v>-0.5</v>
      </c>
      <c r="F11">
        <v>-0.5</v>
      </c>
      <c r="G11">
        <v>-0.5</v>
      </c>
      <c r="H11">
        <v>-0.5</v>
      </c>
      <c r="I11">
        <v>-0.5</v>
      </c>
      <c r="J11">
        <v>-0.5</v>
      </c>
      <c r="K11">
        <v>-0.5</v>
      </c>
    </row>
    <row r="12" spans="1:11" x14ac:dyDescent="0.2">
      <c r="A12">
        <v>12</v>
      </c>
      <c r="B12">
        <v>-0.5</v>
      </c>
      <c r="C12">
        <v>-0.5</v>
      </c>
      <c r="D12">
        <v>-0.5</v>
      </c>
      <c r="E12">
        <v>-0.5</v>
      </c>
      <c r="F12">
        <v>-0.5</v>
      </c>
      <c r="G12">
        <v>-0.5</v>
      </c>
      <c r="H12">
        <v>-0.5</v>
      </c>
      <c r="I12">
        <v>-0.5</v>
      </c>
      <c r="J12">
        <v>-0.5</v>
      </c>
      <c r="K12">
        <v>-0.5</v>
      </c>
    </row>
    <row r="13" spans="1:11" x14ac:dyDescent="0.2">
      <c r="A13">
        <v>13</v>
      </c>
      <c r="B13">
        <v>-0.5</v>
      </c>
      <c r="C13">
        <v>-0.5</v>
      </c>
      <c r="D13">
        <v>-0.5</v>
      </c>
      <c r="E13">
        <v>-0.5</v>
      </c>
      <c r="F13">
        <v>-0.5</v>
      </c>
      <c r="G13">
        <v>-0.5</v>
      </c>
      <c r="H13">
        <v>-0.5</v>
      </c>
      <c r="I13">
        <v>-0.5</v>
      </c>
      <c r="J13">
        <v>-0.5</v>
      </c>
      <c r="K13">
        <v>-0.5</v>
      </c>
    </row>
    <row r="14" spans="1:11" x14ac:dyDescent="0.2">
      <c r="A14">
        <v>14</v>
      </c>
      <c r="B14">
        <v>-0.5</v>
      </c>
      <c r="C14">
        <v>-0.5</v>
      </c>
      <c r="D14">
        <v>-0.5</v>
      </c>
      <c r="E14">
        <v>-0.5</v>
      </c>
      <c r="F14">
        <v>-0.5</v>
      </c>
      <c r="G14">
        <v>-0.5</v>
      </c>
      <c r="H14">
        <v>-0.5</v>
      </c>
      <c r="I14">
        <v>-0.5</v>
      </c>
      <c r="J14">
        <v>-0.5</v>
      </c>
      <c r="K14">
        <v>-0.5</v>
      </c>
    </row>
    <row r="15" spans="1:11" x14ac:dyDescent="0.2">
      <c r="A15">
        <v>15</v>
      </c>
      <c r="B15">
        <v>-0.5</v>
      </c>
      <c r="C15">
        <v>-0.5</v>
      </c>
      <c r="D15">
        <v>-0.5</v>
      </c>
      <c r="E15">
        <v>-0.5</v>
      </c>
      <c r="F15">
        <v>-0.5</v>
      </c>
      <c r="G15">
        <v>-0.5</v>
      </c>
      <c r="H15">
        <v>-0.5</v>
      </c>
      <c r="I15">
        <v>-0.5</v>
      </c>
      <c r="J15">
        <v>-0.5</v>
      </c>
      <c r="K15">
        <v>-0.5</v>
      </c>
    </row>
    <row r="16" spans="1:11" x14ac:dyDescent="0.2">
      <c r="A16">
        <v>16</v>
      </c>
      <c r="B16">
        <v>-0.5</v>
      </c>
      <c r="C16">
        <v>-0.5</v>
      </c>
      <c r="D16">
        <v>-0.5</v>
      </c>
      <c r="E16">
        <v>-0.5</v>
      </c>
      <c r="F16">
        <v>-0.5</v>
      </c>
      <c r="G16">
        <v>-0.5</v>
      </c>
      <c r="H16">
        <v>-0.5</v>
      </c>
      <c r="I16">
        <v>-0.5</v>
      </c>
      <c r="J16">
        <v>-0.5</v>
      </c>
      <c r="K16">
        <v>-0.5</v>
      </c>
    </row>
    <row r="17" spans="1:11" x14ac:dyDescent="0.2">
      <c r="A17">
        <v>17</v>
      </c>
      <c r="B17">
        <v>-0.5</v>
      </c>
      <c r="C17">
        <v>-0.5</v>
      </c>
      <c r="D17">
        <v>-0.5</v>
      </c>
      <c r="E17">
        <v>-0.5</v>
      </c>
      <c r="F17">
        <v>-0.5</v>
      </c>
      <c r="G17">
        <v>-0.5</v>
      </c>
      <c r="H17">
        <v>-0.5</v>
      </c>
      <c r="I17">
        <v>-0.5</v>
      </c>
      <c r="J17">
        <v>-0.5</v>
      </c>
      <c r="K17">
        <v>-0.5</v>
      </c>
    </row>
    <row r="18" spans="1:11" x14ac:dyDescent="0.2">
      <c r="A18">
        <v>18</v>
      </c>
      <c r="B18">
        <v>-0.5</v>
      </c>
      <c r="C18">
        <v>-0.5</v>
      </c>
      <c r="D18">
        <v>-0.5</v>
      </c>
      <c r="E18">
        <v>-0.5</v>
      </c>
      <c r="F18">
        <v>-0.5</v>
      </c>
      <c r="G18">
        <v>-0.5</v>
      </c>
      <c r="H18">
        <v>-0.5</v>
      </c>
      <c r="I18">
        <v>-0.5</v>
      </c>
      <c r="J18">
        <v>-0.5</v>
      </c>
      <c r="K18">
        <v>-0.5</v>
      </c>
    </row>
    <row r="19" spans="1:11" x14ac:dyDescent="0.2">
      <c r="A19">
        <v>19</v>
      </c>
      <c r="B19">
        <v>-0.5</v>
      </c>
      <c r="C19">
        <v>-0.5</v>
      </c>
      <c r="D19">
        <v>-0.5</v>
      </c>
      <c r="E19">
        <v>-0.5</v>
      </c>
      <c r="F19">
        <v>-0.5</v>
      </c>
      <c r="G19">
        <v>-0.5</v>
      </c>
      <c r="H19">
        <v>-0.5</v>
      </c>
      <c r="I19">
        <v>-0.5</v>
      </c>
      <c r="J19">
        <v>-0.5</v>
      </c>
      <c r="K19">
        <v>-0.5</v>
      </c>
    </row>
    <row r="20" spans="1:11" x14ac:dyDescent="0.2">
      <c r="A20">
        <v>20</v>
      </c>
      <c r="B20">
        <v>-0.5</v>
      </c>
      <c r="C20">
        <v>-0.5</v>
      </c>
      <c r="D20">
        <v>-0.5</v>
      </c>
      <c r="E20">
        <v>-0.5</v>
      </c>
      <c r="F20">
        <v>-0.5</v>
      </c>
      <c r="G20">
        <v>-0.5</v>
      </c>
      <c r="H20">
        <v>-0.5</v>
      </c>
      <c r="I20">
        <v>-0.5</v>
      </c>
      <c r="J20">
        <v>-0.5</v>
      </c>
      <c r="K20">
        <v>-0.5</v>
      </c>
    </row>
    <row r="21" spans="1:11" x14ac:dyDescent="0.2">
      <c r="A21">
        <v>21</v>
      </c>
      <c r="B21">
        <v>-0.5</v>
      </c>
      <c r="C21">
        <v>-0.5</v>
      </c>
      <c r="D21">
        <v>-0.5</v>
      </c>
      <c r="E21">
        <v>-0.5</v>
      </c>
      <c r="F21">
        <v>-0.5</v>
      </c>
      <c r="G21">
        <v>-0.5</v>
      </c>
      <c r="H21">
        <v>-0.5</v>
      </c>
      <c r="I21">
        <v>-0.5</v>
      </c>
      <c r="J21">
        <v>-0.5</v>
      </c>
      <c r="K21">
        <v>-0.5</v>
      </c>
    </row>
    <row r="22" spans="1:11" x14ac:dyDescent="0.2">
      <c r="A22">
        <v>22</v>
      </c>
      <c r="B22">
        <v>-0.5</v>
      </c>
      <c r="C22">
        <v>-0.5</v>
      </c>
      <c r="D22">
        <v>-0.5</v>
      </c>
      <c r="E22">
        <v>-0.5</v>
      </c>
      <c r="F22">
        <v>-0.5</v>
      </c>
      <c r="G22">
        <v>-0.5</v>
      </c>
      <c r="H22">
        <v>-0.5</v>
      </c>
      <c r="I22">
        <v>-0.5</v>
      </c>
      <c r="J22">
        <v>-0.5</v>
      </c>
      <c r="K22">
        <v>-0.5</v>
      </c>
    </row>
    <row r="23" spans="1:11" x14ac:dyDescent="0.2">
      <c r="A23">
        <v>23</v>
      </c>
      <c r="B23">
        <v>-0.5</v>
      </c>
      <c r="C23">
        <v>-0.5</v>
      </c>
      <c r="D23">
        <v>-0.5</v>
      </c>
      <c r="E23">
        <v>-0.5</v>
      </c>
      <c r="F23">
        <v>-0.5</v>
      </c>
      <c r="G23">
        <v>-0.5</v>
      </c>
      <c r="H23">
        <v>-0.5</v>
      </c>
      <c r="I23">
        <v>-0.5</v>
      </c>
      <c r="J23">
        <v>-0.5</v>
      </c>
      <c r="K23">
        <v>-0.5</v>
      </c>
    </row>
    <row r="24" spans="1:11" x14ac:dyDescent="0.2">
      <c r="A24">
        <v>24</v>
      </c>
      <c r="B24">
        <v>-0.5</v>
      </c>
      <c r="C24">
        <v>-0.5</v>
      </c>
      <c r="D24">
        <v>-0.5</v>
      </c>
      <c r="E24">
        <v>-0.5</v>
      </c>
      <c r="F24">
        <v>-0.5</v>
      </c>
      <c r="G24">
        <v>-0.5</v>
      </c>
      <c r="H24">
        <v>-0.5</v>
      </c>
      <c r="I24">
        <v>-0.5</v>
      </c>
      <c r="J24">
        <v>-0.5</v>
      </c>
      <c r="K24">
        <v>-0.5</v>
      </c>
    </row>
    <row r="25" spans="1:11" x14ac:dyDescent="0.2">
      <c r="A25">
        <v>25</v>
      </c>
      <c r="B25">
        <v>-0.5</v>
      </c>
      <c r="C25">
        <v>-0.5</v>
      </c>
      <c r="D25">
        <v>-0.5</v>
      </c>
      <c r="E25">
        <v>-0.5</v>
      </c>
      <c r="F25">
        <v>-0.5</v>
      </c>
      <c r="G25">
        <v>-0.5</v>
      </c>
      <c r="H25">
        <v>-0.5</v>
      </c>
      <c r="I25">
        <v>-0.5</v>
      </c>
      <c r="J25">
        <v>-0.5</v>
      </c>
      <c r="K25">
        <v>-0.5</v>
      </c>
    </row>
    <row r="26" spans="1:11" x14ac:dyDescent="0.2">
      <c r="A26">
        <v>26</v>
      </c>
      <c r="B26">
        <v>-0.5</v>
      </c>
      <c r="C26">
        <v>-0.5</v>
      </c>
      <c r="D26">
        <v>-0.5</v>
      </c>
      <c r="E26">
        <v>-0.5</v>
      </c>
      <c r="F26">
        <v>-0.5</v>
      </c>
      <c r="G26">
        <v>-0.5</v>
      </c>
      <c r="H26">
        <v>-0.5</v>
      </c>
      <c r="I26">
        <v>-0.5</v>
      </c>
      <c r="J26">
        <v>-0.5</v>
      </c>
      <c r="K26">
        <v>-0.5</v>
      </c>
    </row>
    <row r="27" spans="1:11" x14ac:dyDescent="0.2">
      <c r="A27">
        <v>27</v>
      </c>
      <c r="B27">
        <v>-0.5</v>
      </c>
      <c r="C27">
        <v>-0.5</v>
      </c>
      <c r="D27">
        <v>-0.5</v>
      </c>
      <c r="E27">
        <v>-0.5</v>
      </c>
      <c r="F27">
        <v>-0.5</v>
      </c>
      <c r="G27">
        <v>-0.5</v>
      </c>
      <c r="H27">
        <v>-0.5</v>
      </c>
      <c r="I27">
        <v>-0.5</v>
      </c>
      <c r="J27">
        <v>-0.5</v>
      </c>
      <c r="K27">
        <v>-0.5</v>
      </c>
    </row>
    <row r="28" spans="1:11" x14ac:dyDescent="0.2">
      <c r="A28">
        <v>28</v>
      </c>
      <c r="B28">
        <v>-0.5</v>
      </c>
      <c r="C28">
        <v>-0.5</v>
      </c>
      <c r="D28">
        <v>-0.5</v>
      </c>
      <c r="E28">
        <v>-0.5</v>
      </c>
      <c r="F28">
        <v>-0.5</v>
      </c>
      <c r="G28">
        <v>-0.5</v>
      </c>
      <c r="H28">
        <v>-0.5</v>
      </c>
      <c r="I28">
        <v>-0.5</v>
      </c>
      <c r="J28">
        <v>-0.5</v>
      </c>
      <c r="K28">
        <v>-0.5</v>
      </c>
    </row>
    <row r="29" spans="1:11" x14ac:dyDescent="0.2">
      <c r="A29">
        <v>29</v>
      </c>
      <c r="B29">
        <v>-0.5</v>
      </c>
      <c r="C29">
        <v>-0.5</v>
      </c>
      <c r="D29">
        <v>-0.5</v>
      </c>
      <c r="E29">
        <v>-0.5</v>
      </c>
      <c r="F29">
        <v>-0.5</v>
      </c>
      <c r="G29">
        <v>-0.5</v>
      </c>
      <c r="H29">
        <v>-0.5</v>
      </c>
      <c r="I29">
        <v>-0.5</v>
      </c>
      <c r="J29">
        <v>-0.5</v>
      </c>
      <c r="K29">
        <v>-0.5</v>
      </c>
    </row>
    <row r="30" spans="1:11" x14ac:dyDescent="0.2">
      <c r="A30">
        <v>30</v>
      </c>
      <c r="B30">
        <v>-0.5</v>
      </c>
      <c r="C30">
        <v>-0.5</v>
      </c>
      <c r="D30">
        <v>-0.5</v>
      </c>
      <c r="E30">
        <v>-0.5</v>
      </c>
      <c r="F30">
        <v>-0.5</v>
      </c>
      <c r="G30">
        <v>-0.5</v>
      </c>
      <c r="H30">
        <v>-0.5</v>
      </c>
      <c r="I30">
        <v>-0.5</v>
      </c>
      <c r="J30">
        <v>-0.5</v>
      </c>
      <c r="K30">
        <v>-0.5</v>
      </c>
    </row>
    <row r="31" spans="1:11" x14ac:dyDescent="0.2">
      <c r="A31">
        <v>31</v>
      </c>
      <c r="B31">
        <v>-0.5</v>
      </c>
      <c r="C31">
        <v>-0.5</v>
      </c>
      <c r="D31">
        <v>-0.5</v>
      </c>
      <c r="E31">
        <v>-0.5</v>
      </c>
      <c r="F31">
        <v>-0.5</v>
      </c>
      <c r="G31">
        <v>-0.5</v>
      </c>
      <c r="H31">
        <v>-0.5</v>
      </c>
      <c r="I31">
        <v>-0.5</v>
      </c>
      <c r="J31">
        <v>-0.5</v>
      </c>
      <c r="K31">
        <v>-0.5</v>
      </c>
    </row>
    <row r="33" spans="1:11" x14ac:dyDescent="0.2">
      <c r="A33" t="s">
        <v>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1:11" x14ac:dyDescent="0.2">
      <c r="A34">
        <v>11</v>
      </c>
      <c r="B34">
        <v>-0.5</v>
      </c>
      <c r="C34">
        <v>-0.5</v>
      </c>
      <c r="D34">
        <v>-0.5</v>
      </c>
      <c r="E34">
        <v>-0.5</v>
      </c>
      <c r="F34">
        <v>-0.5</v>
      </c>
      <c r="G34">
        <v>-0.5</v>
      </c>
      <c r="H34">
        <v>-0.5</v>
      </c>
      <c r="I34">
        <v>-0.5</v>
      </c>
      <c r="J34">
        <v>-0.5</v>
      </c>
      <c r="K34">
        <v>-0.5</v>
      </c>
    </row>
    <row r="35" spans="1:11" x14ac:dyDescent="0.2">
      <c r="A35">
        <v>12</v>
      </c>
      <c r="B35">
        <v>-0.5</v>
      </c>
      <c r="C35">
        <v>-0.5</v>
      </c>
      <c r="D35">
        <v>-0.5</v>
      </c>
      <c r="E35">
        <v>-0.5</v>
      </c>
      <c r="F35">
        <v>-0.5</v>
      </c>
      <c r="G35">
        <v>-0.5</v>
      </c>
      <c r="H35">
        <v>-0.5</v>
      </c>
      <c r="I35">
        <v>-0.5</v>
      </c>
      <c r="J35">
        <v>-0.5</v>
      </c>
      <c r="K35">
        <v>-0.5</v>
      </c>
    </row>
    <row r="36" spans="1:11" x14ac:dyDescent="0.2">
      <c r="A36">
        <v>13</v>
      </c>
      <c r="B36">
        <v>-0.5</v>
      </c>
      <c r="C36">
        <v>-0.5</v>
      </c>
      <c r="D36">
        <v>-0.5</v>
      </c>
      <c r="E36">
        <v>-0.5</v>
      </c>
      <c r="F36">
        <v>-0.5</v>
      </c>
      <c r="G36">
        <v>-0.5</v>
      </c>
      <c r="H36">
        <v>-0.5</v>
      </c>
      <c r="I36">
        <v>-0.5</v>
      </c>
      <c r="J36">
        <v>-0.5</v>
      </c>
      <c r="K36">
        <v>-0.5</v>
      </c>
    </row>
    <row r="37" spans="1:11" x14ac:dyDescent="0.2">
      <c r="A37">
        <v>14</v>
      </c>
      <c r="B37">
        <v>-0.5</v>
      </c>
      <c r="C37">
        <v>-0.5</v>
      </c>
      <c r="D37">
        <v>-0.5</v>
      </c>
      <c r="E37">
        <v>-0.5</v>
      </c>
      <c r="F37">
        <v>-0.5</v>
      </c>
      <c r="G37">
        <v>-0.5</v>
      </c>
      <c r="H37">
        <v>-0.5</v>
      </c>
      <c r="I37">
        <v>-0.5</v>
      </c>
      <c r="J37">
        <v>-0.5</v>
      </c>
      <c r="K37">
        <v>-0.5</v>
      </c>
    </row>
    <row r="38" spans="1:11" x14ac:dyDescent="0.2">
      <c r="A38">
        <v>15</v>
      </c>
      <c r="B38">
        <v>-0.5</v>
      </c>
      <c r="C38">
        <v>-0.5</v>
      </c>
      <c r="D38">
        <v>-0.5</v>
      </c>
      <c r="E38">
        <v>-0.5</v>
      </c>
      <c r="F38">
        <v>-0.5</v>
      </c>
      <c r="G38">
        <v>-0.5</v>
      </c>
      <c r="H38">
        <v>-0.5</v>
      </c>
      <c r="I38">
        <v>-0.5</v>
      </c>
      <c r="J38">
        <v>-0.5</v>
      </c>
      <c r="K38">
        <v>-0.5</v>
      </c>
    </row>
    <row r="39" spans="1:11" x14ac:dyDescent="0.2">
      <c r="A39">
        <v>16</v>
      </c>
      <c r="B39">
        <v>-0.5</v>
      </c>
      <c r="C39">
        <v>-0.5</v>
      </c>
      <c r="D39">
        <v>-0.5</v>
      </c>
      <c r="E39">
        <v>-0.5</v>
      </c>
      <c r="F39">
        <v>-0.5</v>
      </c>
      <c r="G39">
        <v>-0.5</v>
      </c>
      <c r="H39">
        <v>-0.5</v>
      </c>
      <c r="I39">
        <v>-0.5</v>
      </c>
      <c r="J39">
        <v>-0.5</v>
      </c>
      <c r="K39">
        <v>-0.5</v>
      </c>
    </row>
    <row r="40" spans="1:11" x14ac:dyDescent="0.2">
      <c r="A40">
        <v>17</v>
      </c>
      <c r="B40">
        <v>-0.5</v>
      </c>
      <c r="C40">
        <v>-0.5</v>
      </c>
      <c r="D40">
        <v>-0.5</v>
      </c>
      <c r="E40">
        <v>-0.5</v>
      </c>
      <c r="F40">
        <v>-0.5</v>
      </c>
      <c r="G40">
        <v>-0.5</v>
      </c>
      <c r="H40">
        <v>-0.5</v>
      </c>
      <c r="I40">
        <v>-0.5</v>
      </c>
      <c r="J40">
        <v>-0.5</v>
      </c>
      <c r="K40">
        <v>-0.5</v>
      </c>
    </row>
    <row r="41" spans="1:11" x14ac:dyDescent="0.2">
      <c r="A41">
        <v>18</v>
      </c>
      <c r="B41">
        <v>-0.5</v>
      </c>
      <c r="C41">
        <v>-0.5</v>
      </c>
      <c r="D41">
        <v>-0.5</v>
      </c>
      <c r="E41">
        <v>-0.5</v>
      </c>
      <c r="F41">
        <v>-0.5</v>
      </c>
      <c r="G41">
        <v>-0.5</v>
      </c>
      <c r="H41">
        <v>-0.5</v>
      </c>
      <c r="I41">
        <v>-0.5</v>
      </c>
      <c r="J41">
        <v>-0.5</v>
      </c>
      <c r="K41">
        <v>-0.5</v>
      </c>
    </row>
    <row r="42" spans="1:11" x14ac:dyDescent="0.2">
      <c r="A42">
        <v>19</v>
      </c>
      <c r="B42">
        <v>-0.5</v>
      </c>
      <c r="C42">
        <v>-0.5</v>
      </c>
      <c r="D42">
        <v>-0.5</v>
      </c>
      <c r="E42">
        <v>-0.5</v>
      </c>
      <c r="F42">
        <v>-0.5</v>
      </c>
      <c r="G42">
        <v>-0.5</v>
      </c>
      <c r="H42">
        <v>-0.5</v>
      </c>
      <c r="I42">
        <v>-0.5</v>
      </c>
      <c r="J42">
        <v>-0.5</v>
      </c>
      <c r="K42">
        <v>-0.5</v>
      </c>
    </row>
    <row r="43" spans="1:11" x14ac:dyDescent="0.2">
      <c r="A43">
        <v>20</v>
      </c>
      <c r="B43">
        <v>-0.5</v>
      </c>
      <c r="C43">
        <v>-0.5</v>
      </c>
      <c r="D43">
        <v>-0.5</v>
      </c>
      <c r="E43">
        <v>-0.5</v>
      </c>
      <c r="F43">
        <v>-0.5</v>
      </c>
      <c r="G43">
        <v>-0.5</v>
      </c>
      <c r="H43">
        <v>-0.5</v>
      </c>
      <c r="I43">
        <v>-0.5</v>
      </c>
      <c r="J43">
        <v>-0.5</v>
      </c>
      <c r="K43">
        <v>-0.5</v>
      </c>
    </row>
    <row r="44" spans="1:11" x14ac:dyDescent="0.2">
      <c r="A44">
        <v>21</v>
      </c>
      <c r="B44">
        <v>-0.5</v>
      </c>
      <c r="C44">
        <v>-0.5</v>
      </c>
      <c r="D44">
        <v>-0.5</v>
      </c>
      <c r="E44">
        <v>-0.5</v>
      </c>
      <c r="F44">
        <v>-0.5</v>
      </c>
      <c r="G44">
        <v>-0.5</v>
      </c>
      <c r="H44">
        <v>-0.5</v>
      </c>
      <c r="I44">
        <v>-0.5</v>
      </c>
      <c r="J44">
        <v>-0.5</v>
      </c>
      <c r="K44">
        <v>-0.5</v>
      </c>
    </row>
    <row r="45" spans="1:11" x14ac:dyDescent="0.2">
      <c r="A45">
        <v>22</v>
      </c>
      <c r="B45">
        <v>-0.5</v>
      </c>
      <c r="C45">
        <v>-0.5</v>
      </c>
      <c r="D45">
        <v>-0.5</v>
      </c>
      <c r="E45">
        <v>-0.5</v>
      </c>
      <c r="F45">
        <v>-0.5</v>
      </c>
      <c r="G45">
        <v>-0.5</v>
      </c>
      <c r="H45">
        <v>-0.5</v>
      </c>
      <c r="I45">
        <v>-0.5</v>
      </c>
      <c r="J45">
        <v>-0.5</v>
      </c>
      <c r="K45">
        <v>-0.5</v>
      </c>
    </row>
    <row r="46" spans="1:11" x14ac:dyDescent="0.2">
      <c r="A46">
        <v>23</v>
      </c>
      <c r="B46">
        <v>-0.5</v>
      </c>
      <c r="C46">
        <v>-0.5</v>
      </c>
      <c r="D46">
        <v>-0.5</v>
      </c>
      <c r="E46">
        <v>-0.5</v>
      </c>
      <c r="F46">
        <v>-0.5</v>
      </c>
      <c r="G46">
        <v>-0.5</v>
      </c>
      <c r="H46">
        <v>-0.5</v>
      </c>
      <c r="I46">
        <v>-0.5</v>
      </c>
      <c r="J46">
        <v>-0.5</v>
      </c>
      <c r="K46">
        <v>-0.5</v>
      </c>
    </row>
    <row r="47" spans="1:11" x14ac:dyDescent="0.2">
      <c r="A47">
        <v>24</v>
      </c>
      <c r="B47">
        <v>-0.5</v>
      </c>
      <c r="C47">
        <v>-0.5</v>
      </c>
      <c r="D47">
        <v>-0.5</v>
      </c>
      <c r="E47">
        <v>-0.5</v>
      </c>
      <c r="F47">
        <v>-0.5</v>
      </c>
      <c r="G47">
        <v>-0.5</v>
      </c>
      <c r="H47">
        <v>-0.5</v>
      </c>
      <c r="I47">
        <v>-0.5</v>
      </c>
      <c r="J47">
        <v>-0.5</v>
      </c>
      <c r="K47">
        <v>-0.5</v>
      </c>
    </row>
    <row r="48" spans="1:11" x14ac:dyDescent="0.2">
      <c r="A48">
        <v>25</v>
      </c>
      <c r="B48">
        <v>-0.5</v>
      </c>
      <c r="C48">
        <v>-0.5</v>
      </c>
      <c r="D48">
        <v>-0.5</v>
      </c>
      <c r="E48">
        <v>-0.5</v>
      </c>
      <c r="F48">
        <v>-0.5</v>
      </c>
      <c r="G48">
        <v>-0.5</v>
      </c>
      <c r="H48">
        <v>-0.5</v>
      </c>
      <c r="I48">
        <v>-0.5</v>
      </c>
      <c r="J48">
        <v>-0.5</v>
      </c>
      <c r="K48">
        <v>-0.5</v>
      </c>
    </row>
    <row r="49" spans="1:11" x14ac:dyDescent="0.2">
      <c r="A49">
        <v>26</v>
      </c>
      <c r="B49">
        <v>-0.5</v>
      </c>
      <c r="C49">
        <v>-0.5</v>
      </c>
      <c r="D49">
        <v>-0.5</v>
      </c>
      <c r="E49">
        <v>-0.5</v>
      </c>
      <c r="F49">
        <v>-0.5</v>
      </c>
      <c r="G49">
        <v>-0.5</v>
      </c>
      <c r="H49">
        <v>-0.5</v>
      </c>
      <c r="I49">
        <v>-0.5</v>
      </c>
      <c r="J49">
        <v>-0.5</v>
      </c>
      <c r="K49">
        <v>-0.5</v>
      </c>
    </row>
    <row r="50" spans="1:11" x14ac:dyDescent="0.2">
      <c r="A50">
        <v>27</v>
      </c>
      <c r="B50">
        <v>-0.5</v>
      </c>
      <c r="C50">
        <v>-0.5</v>
      </c>
      <c r="D50">
        <v>-0.5</v>
      </c>
      <c r="E50">
        <v>-0.5</v>
      </c>
      <c r="F50">
        <v>-0.5</v>
      </c>
      <c r="G50">
        <v>-0.5</v>
      </c>
      <c r="H50">
        <v>-0.5</v>
      </c>
      <c r="I50">
        <v>-0.5</v>
      </c>
      <c r="J50">
        <v>-0.5</v>
      </c>
      <c r="K50">
        <v>-0.5</v>
      </c>
    </row>
    <row r="51" spans="1:11" x14ac:dyDescent="0.2">
      <c r="A51">
        <v>28</v>
      </c>
      <c r="B51">
        <v>-0.5</v>
      </c>
      <c r="C51">
        <v>-0.5</v>
      </c>
      <c r="D51">
        <v>-0.5</v>
      </c>
      <c r="E51">
        <v>-0.5</v>
      </c>
      <c r="F51">
        <v>-0.5</v>
      </c>
      <c r="G51">
        <v>-0.5</v>
      </c>
      <c r="H51">
        <v>-0.5</v>
      </c>
      <c r="I51">
        <v>-0.5</v>
      </c>
      <c r="J51">
        <v>-0.5</v>
      </c>
      <c r="K51">
        <v>-0.5</v>
      </c>
    </row>
    <row r="52" spans="1:11" x14ac:dyDescent="0.2">
      <c r="A52">
        <v>29</v>
      </c>
      <c r="B52">
        <v>-0.5</v>
      </c>
      <c r="C52">
        <v>-0.5</v>
      </c>
      <c r="D52">
        <v>-0.5</v>
      </c>
      <c r="E52">
        <v>-0.5</v>
      </c>
      <c r="F52">
        <v>-0.5</v>
      </c>
      <c r="G52">
        <v>-0.5</v>
      </c>
      <c r="H52">
        <v>-0.5</v>
      </c>
      <c r="I52">
        <v>-0.5</v>
      </c>
      <c r="J52">
        <v>-0.5</v>
      </c>
      <c r="K52">
        <v>-0.5</v>
      </c>
    </row>
    <row r="53" spans="1:11" x14ac:dyDescent="0.2">
      <c r="A53">
        <v>30</v>
      </c>
      <c r="B53">
        <v>-0.5</v>
      </c>
      <c r="C53">
        <v>-0.5</v>
      </c>
      <c r="D53">
        <v>-0.5</v>
      </c>
      <c r="E53">
        <v>-0.5</v>
      </c>
      <c r="F53">
        <v>-0.5</v>
      </c>
      <c r="G53">
        <v>-0.5</v>
      </c>
      <c r="H53">
        <v>-0.5</v>
      </c>
      <c r="I53">
        <v>-0.5</v>
      </c>
      <c r="J53">
        <v>-0.5</v>
      </c>
      <c r="K53">
        <v>-0.5</v>
      </c>
    </row>
    <row r="54" spans="1:11" x14ac:dyDescent="0.2">
      <c r="A54">
        <v>31</v>
      </c>
      <c r="B54">
        <v>-0.5</v>
      </c>
      <c r="C54">
        <v>-0.5</v>
      </c>
      <c r="D54">
        <v>-0.5</v>
      </c>
      <c r="E54">
        <v>-0.5</v>
      </c>
      <c r="F54">
        <v>-0.5</v>
      </c>
      <c r="G54">
        <v>-0.5</v>
      </c>
      <c r="H54">
        <v>-0.5</v>
      </c>
      <c r="I54">
        <v>-0.5</v>
      </c>
      <c r="J54">
        <v>-0.5</v>
      </c>
      <c r="K54">
        <v>-0.5</v>
      </c>
    </row>
  </sheetData>
  <sheetProtection sheet="1" objects="1" scenarios="1"/>
  <phoneticPr fontId="14" type="noConversion"/>
  <pageMargins left="0.7" right="0.7" top="0.75" bottom="0.75" header="0.3" footer="0.3"/>
  <pageSetup paperSize="9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opLeftCell="A16" workbookViewId="0">
      <selection activeCell="K9" sqref="K9"/>
    </sheetView>
  </sheetViews>
  <sheetFormatPr baseColWidth="10" defaultColWidth="8.83203125" defaultRowHeight="16" x14ac:dyDescent="0.2"/>
  <cols>
    <col min="12" max="12" width="4.83203125" customWidth="1"/>
    <col min="13" max="13" width="4.6640625" customWidth="1"/>
    <col min="14" max="24" width="4" style="31" customWidth="1"/>
  </cols>
  <sheetData>
    <row r="1" spans="1:24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N1" s="31" t="s">
        <v>7</v>
      </c>
      <c r="O1" s="31">
        <v>1</v>
      </c>
      <c r="P1" s="31">
        <v>2</v>
      </c>
      <c r="Q1" s="31">
        <v>3</v>
      </c>
      <c r="R1" s="31">
        <v>4</v>
      </c>
      <c r="S1" s="31">
        <v>5</v>
      </c>
      <c r="T1" s="31">
        <v>6</v>
      </c>
      <c r="U1" s="31">
        <v>7</v>
      </c>
      <c r="V1" s="31">
        <v>8</v>
      </c>
      <c r="W1" s="31">
        <v>9</v>
      </c>
      <c r="X1" s="31">
        <v>10</v>
      </c>
    </row>
    <row r="2" spans="1:24" x14ac:dyDescent="0.2">
      <c r="A2">
        <v>2</v>
      </c>
      <c r="B2">
        <f>IF(AND(Rules!$B$8=Rules!$E$8,Rules!$B$7=Rules!$E$7),MAX(Hit!B2,Stand!B2,Double!B2,Surrender!B2),MAX(Hit!B2,Stand!B2,Double!B2))</f>
        <v>-0.20335368314889377</v>
      </c>
      <c r="C2">
        <f>IF(Rules!$B$7=Rules!$E$7,MAX(Hit!C2,Stand!C2,Double!C2,Surrender!C2),MAX(Hit!C2,Stand!C2,Double!C2))</f>
        <v>-7.5884358318949102E-2</v>
      </c>
      <c r="D2">
        <f>IF(Rules!$B$7=Rules!$E$7,MAX(Hit!D2,Stand!D2,Double!D2,Surrender!D2),MAX(Hit!D2,Stand!D2,Double!D2))</f>
        <v>-4.9750706146412048E-2</v>
      </c>
      <c r="E2">
        <f>IF(Rules!$B$7=Rules!$E$7,MAX(Hit!E2,Stand!E2,Double!E2,Surrender!E2),MAX(Hit!E2,Stand!E2,Double!E2))</f>
        <v>-2.2100412135834389E-2</v>
      </c>
      <c r="F2">
        <f>IF(Rules!$B$7=Rules!$E$7,MAX(Hit!F2,Stand!F2,Double!F2,Surrender!F2),MAX(Hit!F2,Stand!F2,Double!F2))</f>
        <v>1.3730032284783571E-2</v>
      </c>
      <c r="G2">
        <f>IF(Rules!$B$7=Rules!$E$7,MAX(Hit!G2,Stand!G2,Double!G2,Surrender!G2),MAX(Hit!G2,Stand!G2,Double!G2))</f>
        <v>3.8883411946301231E-2</v>
      </c>
      <c r="H2">
        <f>IF(Rules!$B$7=Rules!$E$7,MAX(Hit!H2,Stand!H2,Double!H2,Surrender!H2),MAX(Hit!H2,Stand!H2,Double!H2))</f>
        <v>-2.7257021375862247E-2</v>
      </c>
      <c r="I2">
        <f>IF(Rules!$B$7=Rules!$E$7,MAX(Hit!I2,Stand!I2,Double!I2,Surrender!I2),MAX(Hit!I2,Stand!I2,Double!I2))</f>
        <v>-0.10316172777512726</v>
      </c>
      <c r="J2">
        <f>IF(Rules!$B$7=Rules!$E$7,MAX(Hit!J2,Stand!J2,Double!J2,Surrender!J2),MAX(Hit!J2,Stand!J2,Double!J2))</f>
        <v>-0.19004714305350842</v>
      </c>
      <c r="K2">
        <f>IF(Rules!$B$7=Rules!$E$7,MAX(Hit!K2,Stand!K2,Double!K2,Surrender!K2),MAX(Hit!K2,Stand!K2,Double!K2))</f>
        <v>-0.24199803315764098</v>
      </c>
      <c r="N2" s="31">
        <v>2</v>
      </c>
      <c r="O2" s="31" t="str">
        <f>IF(B2=Surrender!B2,"R",HSD!O2)</f>
        <v>H</v>
      </c>
      <c r="P2" s="31" t="str">
        <f>IF(C2=Surrender!C2,"R",HSD!P2)</f>
        <v>H</v>
      </c>
      <c r="Q2" s="31" t="str">
        <f>IF(D2=Surrender!D2,"R",HSD!Q2)</f>
        <v>H</v>
      </c>
      <c r="R2" s="31" t="str">
        <f>IF(E2=Surrender!E2,"R",HSD!R2)</f>
        <v>H</v>
      </c>
      <c r="S2" s="31" t="str">
        <f>IF(F2=Surrender!F2,"R",HSD!S2)</f>
        <v>H</v>
      </c>
      <c r="T2" s="31" t="str">
        <f>IF(G2=Surrender!G2,"R",HSD!T2)</f>
        <v>H</v>
      </c>
      <c r="U2" s="31" t="str">
        <f>IF(H2=Surrender!H2,"R",HSD!U2)</f>
        <v>H</v>
      </c>
      <c r="V2" s="31" t="str">
        <f>IF(I2=Surrender!I2,"R",HSD!V2)</f>
        <v>H</v>
      </c>
      <c r="W2" s="31" t="str">
        <f>IF(J2=Surrender!J2,"R",HSD!W2)</f>
        <v>H</v>
      </c>
      <c r="X2" s="31" t="str">
        <f>IF(K2=Surrender!K2,"R",HSD!X2)</f>
        <v>H</v>
      </c>
    </row>
    <row r="3" spans="1:24" x14ac:dyDescent="0.2">
      <c r="A3">
        <v>3</v>
      </c>
      <c r="B3">
        <f>IF(AND(Rules!$B$8=Rules!$E$8,Rules!$B$7=Rules!$E$7),MAX(Hit!B3,Stand!B3,Double!B3,Surrender!B3),MAX(Hit!B3,Stand!B3,Double!B3))</f>
        <v>-0.22793749290805351</v>
      </c>
      <c r="C3">
        <f>IF(Rules!$B$7=Rules!$E$7,MAX(Hit!C3,Stand!C3,Double!C3,Surrender!C3),MAX(Hit!C3,Stand!C3,Double!C3))</f>
        <v>-0.10052250439785246</v>
      </c>
      <c r="D3">
        <f>IF(Rules!$B$7=Rules!$E$7,MAX(Hit!D3,Stand!D3,Double!D3,Surrender!D3),MAX(Hit!D3,Stand!D3,Double!D3))</f>
        <v>-6.8875858278897514E-2</v>
      </c>
      <c r="E3">
        <f>IF(Rules!$B$7=Rules!$E$7,MAX(Hit!E3,Stand!E3,Double!E3,Surrender!E3),MAX(Hit!E3,Stand!E3,Double!E3))</f>
        <v>-3.6261290708905339E-2</v>
      </c>
      <c r="F3">
        <f>IF(Rules!$B$7=Rules!$E$7,MAX(Hit!F3,Stand!F3,Double!F3,Surrender!F3),MAX(Hit!F3,Stand!F3,Double!F3))</f>
        <v>1.6995712139687808E-4</v>
      </c>
      <c r="G3">
        <f>IF(Rules!$B$7=Rules!$E$7,MAX(Hit!G3,Stand!G3,Double!G3,Surrender!G3),MAX(Hit!G3,Stand!G3,Double!G3))</f>
        <v>2.447130320655936E-2</v>
      </c>
      <c r="H3">
        <f>IF(Rules!$B$7=Rules!$E$7,MAX(Hit!H3,Stand!H3,Double!H3,Surrender!H3),MAX(Hit!H3,Stand!H3,Double!H3))</f>
        <v>-5.7437588540356667E-2</v>
      </c>
      <c r="I3">
        <f>IF(Rules!$B$7=Rules!$E$7,MAX(Hit!I3,Stand!I3,Double!I3,Surrender!I3),MAX(Hit!I3,Stand!I3,Double!I3))</f>
        <v>-0.13094188065020101</v>
      </c>
      <c r="J3">
        <f>IF(Rules!$B$7=Rules!$E$7,MAX(Hit!J3,Stand!J3,Double!J3,Surrender!J3),MAX(Hit!J3,Stand!J3,Double!J3))</f>
        <v>-0.21507662281362433</v>
      </c>
      <c r="K3">
        <f>IF(Rules!$B$7=Rules!$E$7,MAX(Hit!K3,Stand!K3,Double!K3,Surrender!K3),MAX(Hit!K3,Stand!K3,Double!K3))</f>
        <v>-0.26532921479747562</v>
      </c>
      <c r="N3" s="31">
        <v>3</v>
      </c>
      <c r="O3" s="31" t="str">
        <f>IF(B3=Surrender!B3,"R",HSD!O3)</f>
        <v>H</v>
      </c>
      <c r="P3" s="31" t="str">
        <f>IF(C3=Surrender!C3,"R",HSD!P3)</f>
        <v>H</v>
      </c>
      <c r="Q3" s="31" t="str">
        <f>IF(D3=Surrender!D3,"R",HSD!Q3)</f>
        <v>H</v>
      </c>
      <c r="R3" s="31" t="str">
        <f>IF(E3=Surrender!E3,"R",HSD!R3)</f>
        <v>H</v>
      </c>
      <c r="S3" s="31" t="str">
        <f>IF(F3=Surrender!F3,"R",HSD!S3)</f>
        <v>H</v>
      </c>
      <c r="T3" s="31" t="str">
        <f>IF(G3=Surrender!G3,"R",HSD!T3)</f>
        <v>H</v>
      </c>
      <c r="U3" s="31" t="str">
        <f>IF(H3=Surrender!H3,"R",HSD!U3)</f>
        <v>H</v>
      </c>
      <c r="V3" s="31" t="str">
        <f>IF(I3=Surrender!I3,"R",HSD!V3)</f>
        <v>H</v>
      </c>
      <c r="W3" s="31" t="str">
        <f>IF(J3=Surrender!J3,"R",HSD!W3)</f>
        <v>H</v>
      </c>
      <c r="X3" s="31" t="str">
        <f>IF(K3=Surrender!K3,"R",HSD!X3)</f>
        <v>H</v>
      </c>
    </row>
    <row r="4" spans="1:24" x14ac:dyDescent="0.2">
      <c r="A4">
        <v>4</v>
      </c>
      <c r="B4">
        <f>IF(AND(Rules!$B$8=Rules!$E$8,Rules!$B$7=Rules!$E$7),MAX(Hit!B4,Stand!B4,Double!B4,Surrender!B4),MAX(Hit!B4,Stand!B4,Double!B4))</f>
        <v>-0.25307699440390863</v>
      </c>
      <c r="C4">
        <f>IF(Rules!$B$7=Rules!$E$7,MAX(Hit!C4,Stand!C4,Double!C4,Surrender!C4),MAX(Hit!C4,Stand!C4,Double!C4))</f>
        <v>-0.11491332761892134</v>
      </c>
      <c r="D4">
        <f>IF(Rules!$B$7=Rules!$E$7,MAX(Hit!D4,Stand!D4,Double!D4,Surrender!D4),MAX(Hit!D4,Stand!D4,Double!D4))</f>
        <v>-8.2613314299744361E-2</v>
      </c>
      <c r="E4">
        <f>IF(Rules!$B$7=Rules!$E$7,MAX(Hit!E4,Stand!E4,Double!E4,Surrender!E4),MAX(Hit!E4,Stand!E4,Double!E4))</f>
        <v>-4.9367420106916922E-2</v>
      </c>
      <c r="F4">
        <f>IF(Rules!$B$7=Rules!$E$7,MAX(Hit!F4,Stand!F4,Double!F4,Surrender!F4),MAX(Hit!F4,Stand!F4,Double!F4))</f>
        <v>-1.2379926519926384E-2</v>
      </c>
      <c r="G4">
        <f>IF(Rules!$B$7=Rules!$E$7,MAX(Hit!G4,Stand!G4,Double!G4,Surrender!G4),MAX(Hit!G4,Stand!G4,Double!G4))</f>
        <v>1.1130417280979797E-2</v>
      </c>
      <c r="H4">
        <f>IF(Rules!$B$7=Rules!$E$7,MAX(Hit!H4,Stand!H4,Double!H4,Surrender!H4),MAX(Hit!H4,Stand!H4,Double!H4))</f>
        <v>-8.8279201058463722E-2</v>
      </c>
      <c r="I4">
        <f>IF(Rules!$B$7=Rules!$E$7,MAX(Hit!I4,Stand!I4,Double!I4,Surrender!I4),MAX(Hit!I4,Stand!I4,Double!I4))</f>
        <v>-0.15933415266020512</v>
      </c>
      <c r="J4">
        <f>IF(Rules!$B$7=Rules!$E$7,MAX(Hit!J4,Stand!J4,Double!J4,Surrender!J4),MAX(Hit!J4,Stand!J4,Double!J4))</f>
        <v>-0.24066617915336547</v>
      </c>
      <c r="K4">
        <f>IF(Rules!$B$7=Rules!$E$7,MAX(Hit!K4,Stand!K4,Double!K4,Surrender!K4),MAX(Hit!K4,Stand!K4,Double!K4))</f>
        <v>-0.28919791448567511</v>
      </c>
      <c r="N4" s="31">
        <v>4</v>
      </c>
      <c r="O4" s="31" t="str">
        <f>IF(B4=Surrender!B4,"R",HSD!O4)</f>
        <v>H</v>
      </c>
      <c r="P4" s="31" t="str">
        <f>IF(C4=Surrender!C4,"R",HSD!P4)</f>
        <v>H</v>
      </c>
      <c r="Q4" s="31" t="str">
        <f>IF(D4=Surrender!D4,"R",HSD!Q4)</f>
        <v>H</v>
      </c>
      <c r="R4" s="31" t="str">
        <f>IF(E4=Surrender!E4,"R",HSD!R4)</f>
        <v>H</v>
      </c>
      <c r="S4" s="31" t="str">
        <f>IF(F4=Surrender!F4,"R",HSD!S4)</f>
        <v>H</v>
      </c>
      <c r="T4" s="31" t="str">
        <f>IF(G4=Surrender!G4,"R",HSD!T4)</f>
        <v>H</v>
      </c>
      <c r="U4" s="31" t="str">
        <f>IF(H4=Surrender!H4,"R",HSD!U4)</f>
        <v>H</v>
      </c>
      <c r="V4" s="31" t="str">
        <f>IF(I4=Surrender!I4,"R",HSD!V4)</f>
        <v>H</v>
      </c>
      <c r="W4" s="31" t="str">
        <f>IF(J4=Surrender!J4,"R",HSD!W4)</f>
        <v>H</v>
      </c>
      <c r="X4" s="31" t="str">
        <f>IF(K4=Surrender!K4,"R",HSD!X4)</f>
        <v>H</v>
      </c>
    </row>
    <row r="5" spans="1:24" x14ac:dyDescent="0.2">
      <c r="A5">
        <v>5</v>
      </c>
      <c r="B5">
        <f>IF(AND(Rules!$B$8=Rules!$E$8,Rules!$B$7=Rules!$E$7),MAX(Hit!B5,Stand!B5,Double!B5,Surrender!B5),MAX(Hit!B5,Stand!B5,Double!B5))</f>
        <v>-0.27857459755181968</v>
      </c>
      <c r="C5">
        <f>IF(Rules!$B$7=Rules!$E$7,MAX(Hit!C5,Stand!C5,Double!C5,Surrender!C5),MAX(Hit!C5,Stand!C5,Double!C5))</f>
        <v>-0.12821556706374745</v>
      </c>
      <c r="D5">
        <f>IF(Rules!$B$7=Rules!$E$7,MAX(Hit!D5,Stand!D5,Double!D5,Surrender!D5),MAX(Hit!D5,Stand!D5,Double!D5))</f>
        <v>-9.5310227261489883E-2</v>
      </c>
      <c r="E5">
        <f>IF(Rules!$B$7=Rules!$E$7,MAX(Hit!E5,Stand!E5,Double!E5,Surrender!E5),MAX(Hit!E5,Stand!E5,Double!E5))</f>
        <v>-6.1479464199694238E-2</v>
      </c>
      <c r="F5">
        <f>IF(Rules!$B$7=Rules!$E$7,MAX(Hit!F5,Stand!F5,Double!F5,Surrender!F5),MAX(Hit!F5,Stand!F5,Double!F5))</f>
        <v>-2.397897039185962E-2</v>
      </c>
      <c r="G5">
        <f>IF(Rules!$B$7=Rules!$E$7,MAX(Hit!G5,Stand!G5,Double!G5,Surrender!G5),MAX(Hit!G5,Stand!G5,Double!G5))</f>
        <v>-1.1863378384401623E-3</v>
      </c>
      <c r="H5">
        <f>IF(Rules!$B$7=Rules!$E$7,MAX(Hit!H5,Stand!H5,Double!H5,Surrender!H5),MAX(Hit!H5,Stand!H5,Double!H5))</f>
        <v>-0.11944744188414852</v>
      </c>
      <c r="I5">
        <f>IF(Rules!$B$7=Rules!$E$7,MAX(Hit!I5,Stand!I5,Double!I5,Surrender!I5),MAX(Hit!I5,Stand!I5,Double!I5))</f>
        <v>-0.18809330390318524</v>
      </c>
      <c r="J5">
        <f>IF(Rules!$B$7=Rules!$E$7,MAX(Hit!J5,Stand!J5,Double!J5,Surrender!J5),MAX(Hit!J5,Stand!J5,Double!J5))</f>
        <v>-0.26661505335795899</v>
      </c>
      <c r="K5">
        <f>IF(Rules!$B$7=Rules!$E$7,MAX(Hit!K5,Stand!K5,Double!K5,Surrender!K5),MAX(Hit!K5,Stand!K5,Double!K5))</f>
        <v>-0.31341164336497107</v>
      </c>
      <c r="N5" s="31">
        <v>5</v>
      </c>
      <c r="O5" s="31" t="str">
        <f>IF(B5=Surrender!B5,"R",HSD!O5)</f>
        <v>H</v>
      </c>
      <c r="P5" s="31" t="str">
        <f>IF(C5=Surrender!C5,"R",HSD!P5)</f>
        <v>H</v>
      </c>
      <c r="Q5" s="31" t="str">
        <f>IF(D5=Surrender!D5,"R",HSD!Q5)</f>
        <v>H</v>
      </c>
      <c r="R5" s="31" t="str">
        <f>IF(E5=Surrender!E5,"R",HSD!R5)</f>
        <v>H</v>
      </c>
      <c r="S5" s="31" t="str">
        <f>IF(F5=Surrender!F5,"R",HSD!S5)</f>
        <v>H</v>
      </c>
      <c r="T5" s="31" t="str">
        <f>IF(G5=Surrender!G5,"R",HSD!T5)</f>
        <v>H</v>
      </c>
      <c r="U5" s="31" t="str">
        <f>IF(H5=Surrender!H5,"R",HSD!U5)</f>
        <v>H</v>
      </c>
      <c r="V5" s="31" t="str">
        <f>IF(I5=Surrender!I5,"R",HSD!V5)</f>
        <v>H</v>
      </c>
      <c r="W5" s="31" t="str">
        <f>IF(J5=Surrender!J5,"R",HSD!W5)</f>
        <v>H</v>
      </c>
      <c r="X5" s="31" t="str">
        <f>IF(K5=Surrender!K5,"R",HSD!X5)</f>
        <v>H</v>
      </c>
    </row>
    <row r="6" spans="1:24" x14ac:dyDescent="0.2">
      <c r="A6">
        <v>6</v>
      </c>
      <c r="B6">
        <f>IF(AND(Rules!$B$8=Rules!$E$8,Rules!$B$7=Rules!$E$7),MAX(Hit!B6,Stand!B6,Double!B6,Surrender!B6),MAX(Hit!B6,Stand!B6,Double!B6))</f>
        <v>-0.30414663097569933</v>
      </c>
      <c r="C6">
        <f>IF(Rules!$B$7=Rules!$E$7,MAX(Hit!C6,Stand!C6,Double!C6,Surrender!C6),MAX(Hit!C6,Stand!C6,Double!C6))</f>
        <v>-0.14075911746001987</v>
      </c>
      <c r="D6">
        <f>IF(Rules!$B$7=Rules!$E$7,MAX(Hit!D6,Stand!D6,Double!D6,Surrender!D6),MAX(Hit!D6,Stand!D6,Double!D6))</f>
        <v>-0.10729107800860836</v>
      </c>
      <c r="E6">
        <f>IF(Rules!$B$7=Rules!$E$7,MAX(Hit!E6,Stand!E6,Double!E6,Surrender!E6),MAX(Hit!E6,Stand!E6,Double!E6))</f>
        <v>-7.2917141926387305E-2</v>
      </c>
      <c r="F6">
        <f>IF(Rules!$B$7=Rules!$E$7,MAX(Hit!F6,Stand!F6,Double!F6,Surrender!F6),MAX(Hit!F6,Stand!F6,Double!F6))</f>
        <v>-3.4915973330102178E-2</v>
      </c>
      <c r="G6">
        <f>IF(Rules!$B$7=Rules!$E$7,MAX(Hit!G6,Stand!G6,Double!G6,Surrender!G6),MAX(Hit!G6,Stand!G6,Double!G6))</f>
        <v>-1.3005835529874294E-2</v>
      </c>
      <c r="H6">
        <f>IF(Rules!$B$7=Rules!$E$7,MAX(Hit!H6,Stand!H6,Double!H6,Surrender!H6),MAX(Hit!H6,Stand!H6,Double!H6))</f>
        <v>-0.15193270723669944</v>
      </c>
      <c r="I6">
        <f>IF(Rules!$B$7=Rules!$E$7,MAX(Hit!I6,Stand!I6,Double!I6,Surrender!I6),MAX(Hit!I6,Stand!I6,Double!I6))</f>
        <v>-0.21724188132078476</v>
      </c>
      <c r="J6">
        <f>IF(Rules!$B$7=Rules!$E$7,MAX(Hit!J6,Stand!J6,Double!J6,Surrender!J6),MAX(Hit!J6,Stand!J6,Double!J6))</f>
        <v>-0.29264070019772598</v>
      </c>
      <c r="K6">
        <f>IF(Rules!$B$7=Rules!$E$7,MAX(Hit!K6,Stand!K6,Double!K6,Surrender!K6),MAX(Hit!K6,Stand!K6,Double!K6))</f>
        <v>-0.33774944037840804</v>
      </c>
      <c r="N6" s="31">
        <v>6</v>
      </c>
      <c r="O6" s="31" t="str">
        <f>IF(B6=Surrender!B6,"R",HSD!O6)</f>
        <v>H</v>
      </c>
      <c r="P6" s="31" t="str">
        <f>IF(C6=Surrender!C6,"R",HSD!P6)</f>
        <v>H</v>
      </c>
      <c r="Q6" s="31" t="str">
        <f>IF(D6=Surrender!D6,"R",HSD!Q6)</f>
        <v>H</v>
      </c>
      <c r="R6" s="31" t="str">
        <f>IF(E6=Surrender!E6,"R",HSD!R6)</f>
        <v>H</v>
      </c>
      <c r="S6" s="31" t="str">
        <f>IF(F6=Surrender!F6,"R",HSD!S6)</f>
        <v>H</v>
      </c>
      <c r="T6" s="31" t="str">
        <f>IF(G6=Surrender!G6,"R",HSD!T6)</f>
        <v>H</v>
      </c>
      <c r="U6" s="31" t="str">
        <f>IF(H6=Surrender!H6,"R",HSD!U6)</f>
        <v>H</v>
      </c>
      <c r="V6" s="31" t="str">
        <f>IF(I6=Surrender!I6,"R",HSD!V6)</f>
        <v>H</v>
      </c>
      <c r="W6" s="31" t="str">
        <f>IF(J6=Surrender!J6,"R",HSD!W6)</f>
        <v>H</v>
      </c>
      <c r="X6" s="31" t="str">
        <f>IF(K6=Surrender!K6,"R",HSD!X6)</f>
        <v>H</v>
      </c>
    </row>
    <row r="7" spans="1:24" x14ac:dyDescent="0.2">
      <c r="A7">
        <v>7</v>
      </c>
      <c r="B7">
        <f>IF(AND(Rules!$B$8=Rules!$E$8,Rules!$B$7=Rules!$E$7),MAX(Hit!B7,Stand!B7,Double!B7,Surrender!B7),MAX(Hit!B7,Stand!B7,Double!B7))</f>
        <v>-0.31007165033163697</v>
      </c>
      <c r="C7">
        <f>IF(Rules!$B$7=Rules!$E$7,MAX(Hit!C7,Stand!C7,Double!C7,Surrender!C7),MAX(Hit!C7,Stand!C7,Double!C7))</f>
        <v>-0.10918342786661633</v>
      </c>
      <c r="D7">
        <f>IF(Rules!$B$7=Rules!$E$7,MAX(Hit!D7,Stand!D7,Double!D7,Surrender!D7),MAX(Hit!D7,Stand!D7,Double!D7))</f>
        <v>-7.658298190446361E-2</v>
      </c>
      <c r="E7">
        <f>IF(Rules!$B$7=Rules!$E$7,MAX(Hit!E7,Stand!E7,Double!E7,Surrender!E7),MAX(Hit!E7,Stand!E7,Double!E7))</f>
        <v>-4.3021794004341876E-2</v>
      </c>
      <c r="F7">
        <f>IF(Rules!$B$7=Rules!$E$7,MAX(Hit!F7,Stand!F7,Double!F7,Surrender!F7),MAX(Hit!F7,Stand!F7,Double!F7))</f>
        <v>-7.2713609029408845E-3</v>
      </c>
      <c r="G7">
        <f>IF(Rules!$B$7=Rules!$E$7,MAX(Hit!G7,Stand!G7,Double!G7,Surrender!G7),MAX(Hit!G7,Stand!G7,Double!G7))</f>
        <v>2.9185342353860864E-2</v>
      </c>
      <c r="H7">
        <f>IF(Rules!$B$7=Rules!$E$7,MAX(Hit!H7,Stand!H7,Double!H7,Surrender!H7),MAX(Hit!H7,Stand!H7,Double!H7))</f>
        <v>-6.8807799580427764E-2</v>
      </c>
      <c r="I7">
        <f>IF(Rules!$B$7=Rules!$E$7,MAX(Hit!I7,Stand!I7,Double!I7,Surrender!I7),MAX(Hit!I7,Stand!I7,Double!I7))</f>
        <v>-0.21060476872434969</v>
      </c>
      <c r="J7">
        <f>IF(Rules!$B$7=Rules!$E$7,MAX(Hit!J7,Stand!J7,Double!J7,Surrender!J7),MAX(Hit!J7,Stand!J7,Double!J7))</f>
        <v>-0.28536544048687656</v>
      </c>
      <c r="K7">
        <f>IF(Rules!$B$7=Rules!$E$7,MAX(Hit!K7,Stand!K7,Double!K7,Surrender!K7),MAX(Hit!K7,Stand!K7,Double!K7))</f>
        <v>-0.31905479139833842</v>
      </c>
      <c r="N7" s="31">
        <v>7</v>
      </c>
      <c r="O7" s="31" t="str">
        <f>IF(B7=Surrender!B7,"R",HSD!O7)</f>
        <v>H</v>
      </c>
      <c r="P7" s="31" t="str">
        <f>IF(C7=Surrender!C7,"R",HSD!P7)</f>
        <v>H</v>
      </c>
      <c r="Q7" s="31" t="str">
        <f>IF(D7=Surrender!D7,"R",HSD!Q7)</f>
        <v>H</v>
      </c>
      <c r="R7" s="31" t="str">
        <f>IF(E7=Surrender!E7,"R",HSD!R7)</f>
        <v>H</v>
      </c>
      <c r="S7" s="31" t="str">
        <f>IF(F7=Surrender!F7,"R",HSD!S7)</f>
        <v>H</v>
      </c>
      <c r="T7" s="31" t="str">
        <f>IF(G7=Surrender!G7,"R",HSD!T7)</f>
        <v>H</v>
      </c>
      <c r="U7" s="31" t="str">
        <f>IF(H7=Surrender!H7,"R",HSD!U7)</f>
        <v>H</v>
      </c>
      <c r="V7" s="31" t="str">
        <f>IF(I7=Surrender!I7,"R",HSD!V7)</f>
        <v>H</v>
      </c>
      <c r="W7" s="31" t="str">
        <f>IF(J7=Surrender!J7,"R",HSD!W7)</f>
        <v>H</v>
      </c>
      <c r="X7" s="31" t="str">
        <f>IF(K7=Surrender!K7,"R",HSD!X7)</f>
        <v>H</v>
      </c>
    </row>
    <row r="8" spans="1:24" x14ac:dyDescent="0.2">
      <c r="A8">
        <v>8</v>
      </c>
      <c r="B8">
        <f>IF(AND(Rules!$B$8=Rules!$E$8,Rules!$B$7=Rules!$E$7),MAX(Hit!B8,Stand!B8,Double!B8,Surrender!B8),MAX(Hit!B8,Stand!B8,Double!B8))</f>
        <v>-0.1970288105741636</v>
      </c>
      <c r="C8">
        <f>IF(Rules!$B$7=Rules!$E$7,MAX(Hit!C8,Stand!C8,Double!C8,Surrender!C8),MAX(Hit!C8,Stand!C8,Double!C8))</f>
        <v>-2.1798188008805668E-2</v>
      </c>
      <c r="D8">
        <f>IF(Rules!$B$7=Rules!$E$7,MAX(Hit!D8,Stand!D8,Double!D8,Surrender!D8),MAX(Hit!D8,Stand!D8,Double!D8))</f>
        <v>8.0052625306546825E-3</v>
      </c>
      <c r="E8">
        <f>IF(Rules!$B$7=Rules!$E$7,MAX(Hit!E8,Stand!E8,Double!E8,Surrender!E8),MAX(Hit!E8,Stand!E8,Double!E8))</f>
        <v>3.8784473277208811E-2</v>
      </c>
      <c r="F8">
        <f>IF(Rules!$B$7=Rules!$E$7,MAX(Hit!F8,Stand!F8,Double!F8,Surrender!F8),MAX(Hit!F8,Stand!F8,Double!F8))</f>
        <v>7.0804635983033826E-2</v>
      </c>
      <c r="G8">
        <f>IF(Rules!$B$7=Rules!$E$7,MAX(Hit!G8,Stand!G8,Double!G8,Surrender!G8),MAX(Hit!G8,Stand!G8,Double!G8))</f>
        <v>0.11496015009622321</v>
      </c>
      <c r="H8">
        <f>IF(Rules!$B$7=Rules!$E$7,MAX(Hit!H8,Stand!H8,Double!H8,Surrender!H8),MAX(Hit!H8,Stand!H8,Double!H8))</f>
        <v>8.2207439363742862E-2</v>
      </c>
      <c r="I8">
        <f>IF(Rules!$B$7=Rules!$E$7,MAX(Hit!I8,Stand!I8,Double!I8,Surrender!I8),MAX(Hit!I8,Stand!I8,Double!I8))</f>
        <v>-5.9898275658656304E-2</v>
      </c>
      <c r="J8">
        <f>IF(Rules!$B$7=Rules!$E$7,MAX(Hit!J8,Stand!J8,Double!J8,Surrender!J8),MAX(Hit!J8,Stand!J8,Double!J8))</f>
        <v>-0.21018633199821757</v>
      </c>
      <c r="K8">
        <f>IF(Rules!$B$7=Rules!$E$7,MAX(Hit!K8,Stand!K8,Double!K8,Surrender!K8),MAX(Hit!K8,Stand!K8,Double!K8))</f>
        <v>-0.24937508055334259</v>
      </c>
      <c r="N8" s="31">
        <v>8</v>
      </c>
      <c r="O8" s="31" t="str">
        <f>IF(B8=Surrender!B8,"R",HSD!O8)</f>
        <v>H</v>
      </c>
      <c r="P8" s="31" t="str">
        <f>IF(C8=Surrender!C8,"R",HSD!P8)</f>
        <v>H</v>
      </c>
      <c r="Q8" s="31" t="str">
        <f>IF(D8=Surrender!D8,"R",HSD!Q8)</f>
        <v>H</v>
      </c>
      <c r="R8" s="31" t="str">
        <f>IF(E8=Surrender!E8,"R",HSD!R8)</f>
        <v>H</v>
      </c>
      <c r="S8" s="31" t="str">
        <f>IF(F8=Surrender!F8,"R",HSD!S8)</f>
        <v>H</v>
      </c>
      <c r="T8" s="31" t="str">
        <f>IF(G8=Surrender!G8,"R",HSD!T8)</f>
        <v>H</v>
      </c>
      <c r="U8" s="31" t="str">
        <f>IF(H8=Surrender!H8,"R",HSD!U8)</f>
        <v>H</v>
      </c>
      <c r="V8" s="31" t="str">
        <f>IF(I8=Surrender!I8,"R",HSD!V8)</f>
        <v>H</v>
      </c>
      <c r="W8" s="31" t="str">
        <f>IF(J8=Surrender!J8,"R",HSD!W8)</f>
        <v>H</v>
      </c>
      <c r="X8" s="31" t="str">
        <f>IF(K8=Surrender!K8,"R",HSD!X8)</f>
        <v>H</v>
      </c>
    </row>
    <row r="9" spans="1:24" x14ac:dyDescent="0.2">
      <c r="A9">
        <v>9</v>
      </c>
      <c r="B9">
        <f>IF(AND(Rules!$B$8=Rules!$E$8,Rules!$B$7=Rules!$E$7),MAX(Hit!B9,Stand!B9,Double!B9,Surrender!B9),MAX(Hit!B9,Stand!B9,Double!B9))</f>
        <v>-6.5680778778066204E-2</v>
      </c>
      <c r="C9">
        <f>IF(Rules!$B$7=Rules!$E$7,MAX(Hit!C9,Stand!C9,Double!C9,Surrender!C9),MAX(Hit!C9,Stand!C9,Double!C9))</f>
        <v>7.4446037576340524E-2</v>
      </c>
      <c r="D9">
        <f>IF(Rules!$B$7=Rules!$E$7,MAX(Hit!D9,Stand!D9,Double!D9,Surrender!D9),MAX(Hit!D9,Stand!D9,Double!D9))</f>
        <v>0.12081635332999649</v>
      </c>
      <c r="E9">
        <f>IF(Rules!$B$7=Rules!$E$7,MAX(Hit!E9,Stand!E9,Double!E9,Surrender!E9),MAX(Hit!E9,Stand!E9,Double!E9))</f>
        <v>0.18194893405242166</v>
      </c>
      <c r="F9">
        <f>IF(Rules!$B$7=Rules!$E$7,MAX(Hit!F9,Stand!F9,Double!F9,Surrender!F9),MAX(Hit!F9,Stand!F9,Double!F9))</f>
        <v>0.24305722487303633</v>
      </c>
      <c r="G9">
        <f>IF(Rules!$B$7=Rules!$E$7,MAX(Hit!G9,Stand!G9,Double!G9,Surrender!G9),MAX(Hit!G9,Stand!G9,Double!G9))</f>
        <v>0.31705474570166692</v>
      </c>
      <c r="H9">
        <f>IF(Rules!$B$7=Rules!$E$7,MAX(Hit!H9,Stand!H9,Double!H9,Surrender!H9),MAX(Hit!H9,Stand!H9,Double!H9))</f>
        <v>0.17186785993695267</v>
      </c>
      <c r="I9">
        <f>IF(Rules!$B$7=Rules!$E$7,MAX(Hit!I9,Stand!I9,Double!I9,Surrender!I9),MAX(Hit!I9,Stand!I9,Double!I9))</f>
        <v>9.8376217435392516E-2</v>
      </c>
      <c r="J9">
        <f>IF(Rules!$B$7=Rules!$E$7,MAX(Hit!J9,Stand!J9,Double!J9,Surrender!J9),MAX(Hit!J9,Stand!J9,Double!J9))</f>
        <v>-5.2178053462651669E-2</v>
      </c>
      <c r="K9">
        <f>IF(Rules!$B$7=Rules!$E$7,MAX(Hit!K9,Stand!K9,Double!K9,Surrender!K9),MAX(Hit!K9,Stand!K9,Double!K9))</f>
        <v>-0.15295298487455075</v>
      </c>
      <c r="N9" s="31">
        <v>9</v>
      </c>
      <c r="O9" s="31" t="str">
        <f>IF(B9=Surrender!B9,"R",HSD!O9)</f>
        <v>H</v>
      </c>
      <c r="P9" s="31" t="str">
        <f>IF(C9=Surrender!C9,"R",HSD!P9)</f>
        <v>H</v>
      </c>
      <c r="Q9" s="31" t="str">
        <f>IF(D9=Surrender!D9,"R",HSD!Q9)</f>
        <v>D</v>
      </c>
      <c r="R9" s="31" t="str">
        <f>IF(E9=Surrender!E9,"R",HSD!R9)</f>
        <v>D</v>
      </c>
      <c r="S9" s="31" t="str">
        <f>IF(F9=Surrender!F9,"R",HSD!S9)</f>
        <v>D</v>
      </c>
      <c r="T9" s="31" t="str">
        <f>IF(G9=Surrender!G9,"R",HSD!T9)</f>
        <v>D</v>
      </c>
      <c r="U9" s="31" t="str">
        <f>IF(H9=Surrender!H9,"R",HSD!U9)</f>
        <v>H</v>
      </c>
      <c r="V9" s="31" t="str">
        <f>IF(I9=Surrender!I9,"R",HSD!V9)</f>
        <v>H</v>
      </c>
      <c r="W9" s="31" t="str">
        <f>IF(J9=Surrender!J9,"R",HSD!W9)</f>
        <v>H</v>
      </c>
      <c r="X9" s="31" t="str">
        <f>IF(K9=Surrender!K9,"R",HSD!X9)</f>
        <v>H</v>
      </c>
    </row>
    <row r="10" spans="1:24" x14ac:dyDescent="0.2">
      <c r="A10">
        <v>10</v>
      </c>
      <c r="B10">
        <f>IF(AND(Rules!$B$8=Rules!$E$8,Rules!$B$7=Rules!$E$7),MAX(Hit!B10,Stand!B10,Double!B10,Surrender!B10),MAX(Hit!B10,Stand!B10,Double!B10))</f>
        <v>8.1449707945275923E-2</v>
      </c>
      <c r="C10">
        <f>IF(Rules!$B$7=Rules!$E$7,MAX(Hit!C10,Stand!C10,Double!C10,Surrender!C10),MAX(Hit!C10,Stand!C10,Double!C10))</f>
        <v>0.3589394124422991</v>
      </c>
      <c r="D10">
        <f>IF(Rules!$B$7=Rules!$E$7,MAX(Hit!D10,Stand!D10,Double!D10,Surrender!D10),MAX(Hit!D10,Stand!D10,Double!D10))</f>
        <v>0.40932067017593915</v>
      </c>
      <c r="E10">
        <f>IF(Rules!$B$7=Rules!$E$7,MAX(Hit!E10,Stand!E10,Double!E10,Surrender!E10),MAX(Hit!E10,Stand!E10,Double!E10))</f>
        <v>0.460940243794354</v>
      </c>
      <c r="F10">
        <f>IF(Rules!$B$7=Rules!$E$7,MAX(Hit!F10,Stand!F10,Double!F10,Surrender!F10),MAX(Hit!F10,Stand!F10,Double!F10))</f>
        <v>0.51251710900326775</v>
      </c>
      <c r="G10">
        <f>IF(Rules!$B$7=Rules!$E$7,MAX(Hit!G10,Stand!G10,Double!G10,Surrender!G10),MAX(Hit!G10,Stand!G10,Double!G10))</f>
        <v>0.57559016859776857</v>
      </c>
      <c r="H10">
        <f>IF(Rules!$B$7=Rules!$E$7,MAX(Hit!H10,Stand!H10,Double!H10,Surrender!H10),MAX(Hit!H10,Stand!H10,Double!H10))</f>
        <v>0.39241245528243773</v>
      </c>
      <c r="I10">
        <f>IF(Rules!$B$7=Rules!$E$7,MAX(Hit!I10,Stand!I10,Double!I10,Surrender!I10),MAX(Hit!I10,Stand!I10,Double!I10))</f>
        <v>0.28663571688628381</v>
      </c>
      <c r="J10">
        <f>IF(Rules!$B$7=Rules!$E$7,MAX(Hit!J10,Stand!J10,Double!J10,Surrender!J10),MAX(Hit!J10,Stand!J10,Double!J10))</f>
        <v>0.1443283683807712</v>
      </c>
      <c r="K10">
        <f>IF(Rules!$B$7=Rules!$E$7,MAX(Hit!K10,Stand!K10,Double!K10,Surrender!K10),MAX(Hit!K10,Stand!K10,Double!K10))</f>
        <v>2.5308523040868145E-2</v>
      </c>
      <c r="N10" s="31">
        <v>10</v>
      </c>
      <c r="O10" s="31" t="str">
        <f>IF(B10=Surrender!B10,"R",HSD!O10)</f>
        <v>H</v>
      </c>
      <c r="P10" s="31" t="str">
        <f>IF(C10=Surrender!C10,"R",HSD!P10)</f>
        <v>D</v>
      </c>
      <c r="Q10" s="31" t="str">
        <f>IF(D10=Surrender!D10,"R",HSD!Q10)</f>
        <v>D</v>
      </c>
      <c r="R10" s="31" t="str">
        <f>IF(E10=Surrender!E10,"R",HSD!R10)</f>
        <v>D</v>
      </c>
      <c r="S10" s="31" t="str">
        <f>IF(F10=Surrender!F10,"R",HSD!S10)</f>
        <v>D</v>
      </c>
      <c r="T10" s="31" t="str">
        <f>IF(G10=Surrender!G10,"R",HSD!T10)</f>
        <v>D</v>
      </c>
      <c r="U10" s="31" t="str">
        <f>IF(H10=Surrender!H10,"R",HSD!U10)</f>
        <v>D</v>
      </c>
      <c r="V10" s="31" t="str">
        <f>IF(I10=Surrender!I10,"R",HSD!V10)</f>
        <v>D</v>
      </c>
      <c r="W10" s="31" t="str">
        <f>IF(J10=Surrender!J10,"R",HSD!W10)</f>
        <v>D</v>
      </c>
      <c r="X10" s="31" t="str">
        <f>IF(K10=Surrender!K10,"R",HSD!X10)</f>
        <v>H</v>
      </c>
    </row>
    <row r="11" spans="1:24" x14ac:dyDescent="0.2">
      <c r="A11">
        <v>11</v>
      </c>
      <c r="B11">
        <f>IF(AND(Rules!$B$8=Rules!$E$8,Rules!$B$7=Rules!$E$7),MAX(Hit!B11,Stand!B11,Double!B11,Surrender!B11),MAX(Hit!B11,Stand!B11,Double!B11))</f>
        <v>0.14300128216153027</v>
      </c>
      <c r="C11">
        <f>IF(Rules!$B$7=Rules!$E$7,MAX(Hit!C11,Stand!C11,Double!C11,Surrender!C11),MAX(Hit!C11,Stand!C11,Double!C11))</f>
        <v>0.47064092333946889</v>
      </c>
      <c r="D11">
        <f>IF(Rules!$B$7=Rules!$E$7,MAX(Hit!D11,Stand!D11,Double!D11,Surrender!D11),MAX(Hit!D11,Stand!D11,Double!D11))</f>
        <v>0.51779525312221675</v>
      </c>
      <c r="E11">
        <f>IF(Rules!$B$7=Rules!$E$7,MAX(Hit!E11,Stand!E11,Double!E11,Surrender!E11),MAX(Hit!E11,Stand!E11,Double!E11))</f>
        <v>0.56604055041797607</v>
      </c>
      <c r="F11">
        <f>IF(Rules!$B$7=Rules!$E$7,MAX(Hit!F11,Stand!F11,Double!F11,Surrender!F11),MAX(Hit!F11,Stand!F11,Double!F11))</f>
        <v>0.61469901790902803</v>
      </c>
      <c r="G11">
        <f>IF(Rules!$B$7=Rules!$E$7,MAX(Hit!G11,Stand!G11,Double!G11,Surrender!G11),MAX(Hit!G11,Stand!G11,Double!G11))</f>
        <v>0.66738009490756944</v>
      </c>
      <c r="H11">
        <f>IF(Rules!$B$7=Rules!$E$7,MAX(Hit!H11,Stand!H11,Double!H11,Surrender!H11),MAX(Hit!H11,Stand!H11,Double!H11))</f>
        <v>0.46288894886429077</v>
      </c>
      <c r="I11">
        <f>IF(Rules!$B$7=Rules!$E$7,MAX(Hit!I11,Stand!I11,Double!I11,Surrender!I11),MAX(Hit!I11,Stand!I11,Double!I11))</f>
        <v>0.35069259087031501</v>
      </c>
      <c r="J11">
        <f>IF(Rules!$B$7=Rules!$E$7,MAX(Hit!J11,Stand!J11,Double!J11,Surrender!J11),MAX(Hit!J11,Stand!J11,Double!J11))</f>
        <v>0.22778342315245487</v>
      </c>
      <c r="K11">
        <f>IF(Rules!$B$7=Rules!$E$7,MAX(Hit!K11,Stand!K11,Double!K11,Surrender!K11),MAX(Hit!K11,Stand!K11,Double!K11))</f>
        <v>0.1796887274111463</v>
      </c>
      <c r="N11" s="31">
        <v>11</v>
      </c>
      <c r="O11" s="31" t="str">
        <f>IF(B11=Surrender!B11,"R",HSD!O11)</f>
        <v>H</v>
      </c>
      <c r="P11" s="31" t="str">
        <f>IF(C11=Surrender!C11,"R",HSD!P11)</f>
        <v>D</v>
      </c>
      <c r="Q11" s="31" t="str">
        <f>IF(D11=Surrender!D11,"R",HSD!Q11)</f>
        <v>D</v>
      </c>
      <c r="R11" s="31" t="str">
        <f>IF(E11=Surrender!E11,"R",HSD!R11)</f>
        <v>D</v>
      </c>
      <c r="S11" s="31" t="str">
        <f>IF(F11=Surrender!F11,"R",HSD!S11)</f>
        <v>D</v>
      </c>
      <c r="T11" s="31" t="str">
        <f>IF(G11=Surrender!G11,"R",HSD!T11)</f>
        <v>D</v>
      </c>
      <c r="U11" s="31" t="str">
        <f>IF(H11=Surrender!H11,"R",HSD!U11)</f>
        <v>D</v>
      </c>
      <c r="V11" s="31" t="str">
        <f>IF(I11=Surrender!I11,"R",HSD!V11)</f>
        <v>D</v>
      </c>
      <c r="W11" s="31" t="str">
        <f>IF(J11=Surrender!J11,"R",HSD!W11)</f>
        <v>D</v>
      </c>
      <c r="X11" s="31" t="str">
        <f>IF(K11=Surrender!K11,"R",HSD!X11)</f>
        <v>D</v>
      </c>
    </row>
    <row r="12" spans="1:24" x14ac:dyDescent="0.2">
      <c r="A12">
        <v>12</v>
      </c>
      <c r="B12">
        <f>IF(AND(Rules!$B$8=Rules!$E$8,Rules!$B$7=Rules!$E$7),MAX(Hit!B12,Stand!B12,Double!B12,Surrender!B12),MAX(Hit!B12,Stand!B12,Double!B12))</f>
        <v>-0.35054034044008009</v>
      </c>
      <c r="C12">
        <f>IF(Rules!$B$7=Rules!$E$7,MAX(Hit!C12,Stand!C12,Double!C12,Surrender!C12),MAX(Hit!C12,Stand!C12,Double!C12))</f>
        <v>-0.25338998596663809</v>
      </c>
      <c r="D12">
        <f>IF(Rules!$B$7=Rules!$E$7,MAX(Hit!D12,Stand!D12,Double!D12,Surrender!D12),MAX(Hit!D12,Stand!D12,Double!D12))</f>
        <v>-0.2336908997980866</v>
      </c>
      <c r="E12">
        <f>IF(Rules!$B$7=Rules!$E$7,MAX(Hit!E12,Stand!E12,Double!E12,Surrender!E12),MAX(Hit!E12,Stand!E12,Double!E12))</f>
        <v>-0.21106310899491437</v>
      </c>
      <c r="F12">
        <f>IF(Rules!$B$7=Rules!$E$7,MAX(Hit!F12,Stand!F12,Double!F12,Surrender!F12),MAX(Hit!F12,Stand!F12,Double!F12))</f>
        <v>-0.16719266083547524</v>
      </c>
      <c r="G12">
        <f>IF(Rules!$B$7=Rules!$E$7,MAX(Hit!G12,Stand!G12,Double!G12,Surrender!G12),MAX(Hit!G12,Stand!G12,Double!G12))</f>
        <v>-0.1536990158300045</v>
      </c>
      <c r="H12">
        <f>IF(Rules!$B$7=Rules!$E$7,MAX(Hit!H12,Stand!H12,Double!H12,Surrender!H12),MAX(Hit!H12,Stand!H12,Double!H12))</f>
        <v>-0.21284771451731424</v>
      </c>
      <c r="I12">
        <f>IF(Rules!$B$7=Rules!$E$7,MAX(Hit!I12,Stand!I12,Double!I12,Surrender!I12),MAX(Hit!I12,Stand!I12,Double!I12))</f>
        <v>-0.27157480502428616</v>
      </c>
      <c r="J12">
        <f>IF(Rules!$B$7=Rules!$E$7,MAX(Hit!J12,Stand!J12,Double!J12,Surrender!J12),MAX(Hit!J12,Stand!J12,Double!J12))</f>
        <v>-0.3400132806089356</v>
      </c>
      <c r="K12">
        <f>IF(Rules!$B$7=Rules!$E$7,MAX(Hit!K12,Stand!K12,Double!K12,Surrender!K12),MAX(Hit!K12,Stand!K12,Double!K12))</f>
        <v>-0.38104299284808768</v>
      </c>
      <c r="N12" s="31">
        <v>12</v>
      </c>
      <c r="O12" s="31" t="str">
        <f>IF(B12=Surrender!B12,"R",HSD!O12)</f>
        <v>H</v>
      </c>
      <c r="P12" s="31" t="str">
        <f>IF(C12=Surrender!C12,"R",HSD!P12)</f>
        <v>H</v>
      </c>
      <c r="Q12" s="31" t="str">
        <f>IF(D12=Surrender!D12,"R",HSD!Q12)</f>
        <v>H</v>
      </c>
      <c r="R12" s="31" t="str">
        <f>IF(E12=Surrender!E12,"R",HSD!R12)</f>
        <v>S</v>
      </c>
      <c r="S12" s="31" t="str">
        <f>IF(F12=Surrender!F12,"R",HSD!S12)</f>
        <v>S</v>
      </c>
      <c r="T12" s="31" t="str">
        <f>IF(G12=Surrender!G12,"R",HSD!T12)</f>
        <v>S</v>
      </c>
      <c r="U12" s="31" t="str">
        <f>IF(H12=Surrender!H12,"R",HSD!U12)</f>
        <v>H</v>
      </c>
      <c r="V12" s="31" t="str">
        <f>IF(I12=Surrender!I12,"R",HSD!V12)</f>
        <v>H</v>
      </c>
      <c r="W12" s="31" t="str">
        <f>IF(J12=Surrender!J12,"R",HSD!W12)</f>
        <v>H</v>
      </c>
      <c r="X12" s="31" t="str">
        <f>IF(K12=Surrender!K12,"R",HSD!X12)</f>
        <v>H</v>
      </c>
    </row>
    <row r="13" spans="1:24" x14ac:dyDescent="0.2">
      <c r="A13">
        <v>13</v>
      </c>
      <c r="B13">
        <f>IF(AND(Rules!$B$8=Rules!$E$8,Rules!$B$7=Rules!$E$7),MAX(Hit!B13,Stand!B13,Double!B13,Surrender!B13),MAX(Hit!B13,Stand!B13,Double!B13))</f>
        <v>-0.3969303161229315</v>
      </c>
      <c r="C13">
        <f>IF(Rules!$B$7=Rules!$E$7,MAX(Hit!C13,Stand!C13,Double!C13,Surrender!C13),MAX(Hit!C13,Stand!C13,Double!C13))</f>
        <v>-0.29278372720927726</v>
      </c>
      <c r="D13">
        <f>IF(Rules!$B$7=Rules!$E$7,MAX(Hit!D13,Stand!D13,Double!D13,Surrender!D13),MAX(Hit!D13,Stand!D13,Double!D13))</f>
        <v>-0.2522502292357135</v>
      </c>
      <c r="E13">
        <f>IF(Rules!$B$7=Rules!$E$7,MAX(Hit!E13,Stand!E13,Double!E13,Surrender!E13),MAX(Hit!E13,Stand!E13,Double!E13))</f>
        <v>-0.21106310899491437</v>
      </c>
      <c r="F13">
        <f>IF(Rules!$B$7=Rules!$E$7,MAX(Hit!F13,Stand!F13,Double!F13,Surrender!F13),MAX(Hit!F13,Stand!F13,Double!F13))</f>
        <v>-0.16719266083547524</v>
      </c>
      <c r="G13">
        <f>IF(Rules!$B$7=Rules!$E$7,MAX(Hit!G13,Stand!G13,Double!G13,Surrender!G13),MAX(Hit!G13,Stand!G13,Double!G13))</f>
        <v>-0.1536990158300045</v>
      </c>
      <c r="H13">
        <f>IF(Rules!$B$7=Rules!$E$7,MAX(Hit!H13,Stand!H13,Double!H13,Surrender!H13),MAX(Hit!H13,Stand!H13,Double!H13))</f>
        <v>-0.26907287776607752</v>
      </c>
      <c r="I13">
        <f>IF(Rules!$B$7=Rules!$E$7,MAX(Hit!I13,Stand!I13,Double!I13,Surrender!I13),MAX(Hit!I13,Stand!I13,Double!I13))</f>
        <v>-0.32360517609397998</v>
      </c>
      <c r="J13">
        <f>IF(Rules!$B$7=Rules!$E$7,MAX(Hit!J13,Stand!J13,Double!J13,Surrender!J13),MAX(Hit!J13,Stand!J13,Double!J13))</f>
        <v>-0.38715518913686875</v>
      </c>
      <c r="K13">
        <f>IF(Rules!$B$7=Rules!$E$7,MAX(Hit!K13,Stand!K13,Double!K13,Surrender!K13),MAX(Hit!K13,Stand!K13,Double!K13))</f>
        <v>-0.42525420764465277</v>
      </c>
      <c r="N13" s="31">
        <v>13</v>
      </c>
      <c r="O13" s="31" t="str">
        <f>IF(B13=Surrender!B13,"R",HSD!O13)</f>
        <v>H</v>
      </c>
      <c r="P13" s="31" t="str">
        <f>IF(C13=Surrender!C13,"R",HSD!P13)</f>
        <v>S</v>
      </c>
      <c r="Q13" s="31" t="str">
        <f>IF(D13=Surrender!D13,"R",HSD!Q13)</f>
        <v>S</v>
      </c>
      <c r="R13" s="31" t="str">
        <f>IF(E13=Surrender!E13,"R",HSD!R13)</f>
        <v>S</v>
      </c>
      <c r="S13" s="31" t="str">
        <f>IF(F13=Surrender!F13,"R",HSD!S13)</f>
        <v>S</v>
      </c>
      <c r="T13" s="31" t="str">
        <f>IF(G13=Surrender!G13,"R",HSD!T13)</f>
        <v>S</v>
      </c>
      <c r="U13" s="31" t="str">
        <f>IF(H13=Surrender!H13,"R",HSD!U13)</f>
        <v>H</v>
      </c>
      <c r="V13" s="31" t="str">
        <f>IF(I13=Surrender!I13,"R",HSD!V13)</f>
        <v>H</v>
      </c>
      <c r="W13" s="31" t="str">
        <f>IF(J13=Surrender!J13,"R",HSD!W13)</f>
        <v>H</v>
      </c>
      <c r="X13" s="31" t="str">
        <f>IF(K13=Surrender!K13,"R",HSD!X13)</f>
        <v>H</v>
      </c>
    </row>
    <row r="14" spans="1:24" x14ac:dyDescent="0.2">
      <c r="A14">
        <v>14</v>
      </c>
      <c r="B14">
        <f>IF(AND(Rules!$B$8=Rules!$E$8,Rules!$B$7=Rules!$E$7),MAX(Hit!B14,Stand!B14,Double!B14,Surrender!B14),MAX(Hit!B14,Stand!B14,Double!B14))</f>
        <v>-0.44000672211415065</v>
      </c>
      <c r="C14">
        <f>IF(Rules!$B$7=Rules!$E$7,MAX(Hit!C14,Stand!C14,Double!C14,Surrender!C14),MAX(Hit!C14,Stand!C14,Double!C14))</f>
        <v>-0.29278372720927726</v>
      </c>
      <c r="D14">
        <f>IF(Rules!$B$7=Rules!$E$7,MAX(Hit!D14,Stand!D14,Double!D14,Surrender!D14),MAX(Hit!D14,Stand!D14,Double!D14))</f>
        <v>-0.2522502292357135</v>
      </c>
      <c r="E14">
        <f>IF(Rules!$B$7=Rules!$E$7,MAX(Hit!E14,Stand!E14,Double!E14,Surrender!E14),MAX(Hit!E14,Stand!E14,Double!E14))</f>
        <v>-0.21106310899491437</v>
      </c>
      <c r="F14">
        <f>IF(Rules!$B$7=Rules!$E$7,MAX(Hit!F14,Stand!F14,Double!F14,Surrender!F14),MAX(Hit!F14,Stand!F14,Double!F14))</f>
        <v>-0.16719266083547524</v>
      </c>
      <c r="G14">
        <f>IF(Rules!$B$7=Rules!$E$7,MAX(Hit!G14,Stand!G14,Double!G14,Surrender!G14),MAX(Hit!G14,Stand!G14,Double!G14))</f>
        <v>-0.1536990158300045</v>
      </c>
      <c r="H14">
        <f>IF(Rules!$B$7=Rules!$E$7,MAX(Hit!H14,Stand!H14,Double!H14,Surrender!H14),MAX(Hit!H14,Stand!H14,Double!H14))</f>
        <v>-0.3212819579256434</v>
      </c>
      <c r="I14">
        <f>IF(Rules!$B$7=Rules!$E$7,MAX(Hit!I14,Stand!I14,Double!I14,Surrender!I14),MAX(Hit!I14,Stand!I14,Double!I14))</f>
        <v>-0.37191909208726714</v>
      </c>
      <c r="J14">
        <f>IF(Rules!$B$7=Rules!$E$7,MAX(Hit!J14,Stand!J14,Double!J14,Surrender!J14),MAX(Hit!J14,Stand!J14,Double!J14))</f>
        <v>-0.43092981848423528</v>
      </c>
      <c r="K14">
        <f>IF(Rules!$B$7=Rules!$E$7,MAX(Hit!K14,Stand!K14,Double!K14,Surrender!K14),MAX(Hit!K14,Stand!K14,Double!K14))</f>
        <v>-0.46630747852717758</v>
      </c>
      <c r="N14" s="31">
        <v>14</v>
      </c>
      <c r="O14" s="31" t="str">
        <f>IF(B14=Surrender!B14,"R",HSD!O14)</f>
        <v>H</v>
      </c>
      <c r="P14" s="31" t="str">
        <f>IF(C14=Surrender!C14,"R",HSD!P14)</f>
        <v>S</v>
      </c>
      <c r="Q14" s="31" t="str">
        <f>IF(D14=Surrender!D14,"R",HSD!Q14)</f>
        <v>S</v>
      </c>
      <c r="R14" s="31" t="str">
        <f>IF(E14=Surrender!E14,"R",HSD!R14)</f>
        <v>S</v>
      </c>
      <c r="S14" s="31" t="str">
        <f>IF(F14=Surrender!F14,"R",HSD!S14)</f>
        <v>S</v>
      </c>
      <c r="T14" s="31" t="str">
        <f>IF(G14=Surrender!G14,"R",HSD!T14)</f>
        <v>S</v>
      </c>
      <c r="U14" s="31" t="str">
        <f>IF(H14=Surrender!H14,"R",HSD!U14)</f>
        <v>H</v>
      </c>
      <c r="V14" s="31" t="str">
        <f>IF(I14=Surrender!I14,"R",HSD!V14)</f>
        <v>H</v>
      </c>
      <c r="W14" s="31" t="str">
        <f>IF(J14=Surrender!J14,"R",HSD!W14)</f>
        <v>H</v>
      </c>
      <c r="X14" s="31" t="str">
        <f>IF(K14=Surrender!K14,"R",HSD!X14)</f>
        <v>H</v>
      </c>
    </row>
    <row r="15" spans="1:24" x14ac:dyDescent="0.2">
      <c r="A15">
        <v>15</v>
      </c>
      <c r="B15">
        <f>IF(AND(Rules!$B$8=Rules!$E$8,Rules!$B$7=Rules!$E$7),MAX(Hit!B15,Stand!B15,Double!B15,Surrender!B15),MAX(Hit!B15,Stand!B15,Double!B15))</f>
        <v>-0.4800062419631399</v>
      </c>
      <c r="C15">
        <f>IF(Rules!$B$7=Rules!$E$7,MAX(Hit!C15,Stand!C15,Double!C15,Surrender!C15),MAX(Hit!C15,Stand!C15,Double!C15))</f>
        <v>-0.29278372720927726</v>
      </c>
      <c r="D15">
        <f>IF(Rules!$B$7=Rules!$E$7,MAX(Hit!D15,Stand!D15,Double!D15,Surrender!D15),MAX(Hit!D15,Stand!D15,Double!D15))</f>
        <v>-0.2522502292357135</v>
      </c>
      <c r="E15">
        <f>IF(Rules!$B$7=Rules!$E$7,MAX(Hit!E15,Stand!E15,Double!E15,Surrender!E15),MAX(Hit!E15,Stand!E15,Double!E15))</f>
        <v>-0.21106310899491437</v>
      </c>
      <c r="F15">
        <f>IF(Rules!$B$7=Rules!$E$7,MAX(Hit!F15,Stand!F15,Double!F15,Surrender!F15),MAX(Hit!F15,Stand!F15,Double!F15))</f>
        <v>-0.16719266083547524</v>
      </c>
      <c r="G15">
        <f>IF(Rules!$B$7=Rules!$E$7,MAX(Hit!G15,Stand!G15,Double!G15,Surrender!G15),MAX(Hit!G15,Stand!G15,Double!G15))</f>
        <v>-0.1536990158300045</v>
      </c>
      <c r="H15">
        <f>IF(Rules!$B$7=Rules!$E$7,MAX(Hit!H15,Stand!H15,Double!H15,Surrender!H15),MAX(Hit!H15,Stand!H15,Double!H15))</f>
        <v>-0.36976181807381175</v>
      </c>
      <c r="I15">
        <f>IF(Rules!$B$7=Rules!$E$7,MAX(Hit!I15,Stand!I15,Double!I15,Surrender!I15),MAX(Hit!I15,Stand!I15,Double!I15))</f>
        <v>-0.41678201408103371</v>
      </c>
      <c r="J15">
        <f>IF(Rules!$B$7=Rules!$E$7,MAX(Hit!J15,Stand!J15,Double!J15,Surrender!J15),MAX(Hit!J15,Stand!J15,Double!J15))</f>
        <v>-0.47157768859250415</v>
      </c>
      <c r="K15">
        <f>IF(Rules!$B$7=Rules!$E$7,MAX(Hit!K15,Stand!K15,Double!K15,Surrender!K15),MAX(Hit!K15,Stand!K15,Double!K15))</f>
        <v>-0.5</v>
      </c>
      <c r="N15" s="31">
        <v>15</v>
      </c>
      <c r="O15" s="31" t="str">
        <f>IF(B15=Surrender!B15,"R",HSD!O15)</f>
        <v>H</v>
      </c>
      <c r="P15" s="31" t="str">
        <f>IF(C15=Surrender!C15,"R",HSD!P15)</f>
        <v>S</v>
      </c>
      <c r="Q15" s="31" t="str">
        <f>IF(D15=Surrender!D15,"R",HSD!Q15)</f>
        <v>S</v>
      </c>
      <c r="R15" s="31" t="str">
        <f>IF(E15=Surrender!E15,"R",HSD!R15)</f>
        <v>S</v>
      </c>
      <c r="S15" s="31" t="str">
        <f>IF(F15=Surrender!F15,"R",HSD!S15)</f>
        <v>S</v>
      </c>
      <c r="T15" s="31" t="str">
        <f>IF(G15=Surrender!G15,"R",HSD!T15)</f>
        <v>S</v>
      </c>
      <c r="U15" s="31" t="str">
        <f>IF(H15=Surrender!H15,"R",HSD!U15)</f>
        <v>H</v>
      </c>
      <c r="V15" s="31" t="str">
        <f>IF(I15=Surrender!I15,"R",HSD!V15)</f>
        <v>H</v>
      </c>
      <c r="W15" s="31" t="str">
        <f>IF(J15=Surrender!J15,"R",HSD!W15)</f>
        <v>H</v>
      </c>
      <c r="X15" s="31" t="str">
        <f>IF(K15=Surrender!K15,"R",HSD!X15)</f>
        <v>R</v>
      </c>
    </row>
    <row r="16" spans="1:24" x14ac:dyDescent="0.2">
      <c r="A16">
        <v>16</v>
      </c>
      <c r="B16">
        <f>IF(AND(Rules!$B$8=Rules!$E$8,Rules!$B$7=Rules!$E$7),MAX(Hit!B16,Stand!B16,Double!B16,Surrender!B16),MAX(Hit!B16,Stand!B16,Double!B16))</f>
        <v>-0.51714865325148707</v>
      </c>
      <c r="C16">
        <f>IF(Rules!$B$7=Rules!$E$7,MAX(Hit!C16,Stand!C16,Double!C16,Surrender!C16),MAX(Hit!C16,Stand!C16,Double!C16))</f>
        <v>-0.29278372720927726</v>
      </c>
      <c r="D16">
        <f>IF(Rules!$B$7=Rules!$E$7,MAX(Hit!D16,Stand!D16,Double!D16,Surrender!D16),MAX(Hit!D16,Stand!D16,Double!D16))</f>
        <v>-0.2522502292357135</v>
      </c>
      <c r="E16">
        <f>IF(Rules!$B$7=Rules!$E$7,MAX(Hit!E16,Stand!E16,Double!E16,Surrender!E16),MAX(Hit!E16,Stand!E16,Double!E16))</f>
        <v>-0.21106310899491437</v>
      </c>
      <c r="F16">
        <f>IF(Rules!$B$7=Rules!$E$7,MAX(Hit!F16,Stand!F16,Double!F16,Surrender!F16),MAX(Hit!F16,Stand!F16,Double!F16))</f>
        <v>-0.16719266083547524</v>
      </c>
      <c r="G16">
        <f>IF(Rules!$B$7=Rules!$E$7,MAX(Hit!G16,Stand!G16,Double!G16,Surrender!G16),MAX(Hit!G16,Stand!G16,Double!G16))</f>
        <v>-0.1536990158300045</v>
      </c>
      <c r="H16">
        <f>IF(Rules!$B$7=Rules!$E$7,MAX(Hit!H16,Stand!H16,Double!H16,Surrender!H16),MAX(Hit!H16,Stand!H16,Double!H16))</f>
        <v>-0.41477883106853947</v>
      </c>
      <c r="I16">
        <f>IF(Rules!$B$7=Rules!$E$7,MAX(Hit!I16,Stand!I16,Double!I16,Surrender!I16),MAX(Hit!I16,Stand!I16,Double!I16))</f>
        <v>-0.45844044164667419</v>
      </c>
      <c r="J16">
        <f>IF(Rules!$B$7=Rules!$E$7,MAX(Hit!J16,Stand!J16,Double!J16,Surrender!J16),MAX(Hit!J16,Stand!J16,Double!J16))</f>
        <v>-0.5</v>
      </c>
      <c r="K16">
        <f>IF(Rules!$B$7=Rules!$E$7,MAX(Hit!K16,Stand!K16,Double!K16,Surrender!K16),MAX(Hit!K16,Stand!K16,Double!K16))</f>
        <v>-0.5</v>
      </c>
      <c r="N16" s="31">
        <v>16</v>
      </c>
      <c r="O16" s="31" t="str">
        <f>IF(B16=Surrender!B16,"R",HSD!O16)</f>
        <v>H</v>
      </c>
      <c r="P16" s="31" t="str">
        <f>IF(C16=Surrender!C16,"R",HSD!P16)</f>
        <v>S</v>
      </c>
      <c r="Q16" s="31" t="str">
        <f>IF(D16=Surrender!D16,"R",HSD!Q16)</f>
        <v>S</v>
      </c>
      <c r="R16" s="31" t="str">
        <f>IF(E16=Surrender!E16,"R",HSD!R16)</f>
        <v>S</v>
      </c>
      <c r="S16" s="31" t="str">
        <f>IF(F16=Surrender!F16,"R",HSD!S16)</f>
        <v>S</v>
      </c>
      <c r="T16" s="31" t="str">
        <f>IF(G16=Surrender!G16,"R",HSD!T16)</f>
        <v>S</v>
      </c>
      <c r="U16" s="31" t="str">
        <f>IF(H16=Surrender!H16,"R",HSD!U16)</f>
        <v>H</v>
      </c>
      <c r="V16" s="31" t="str">
        <f>IF(I16=Surrender!I16,"R",HSD!V16)</f>
        <v>H</v>
      </c>
      <c r="W16" s="31" t="str">
        <f>IF(J16=Surrender!J16,"R",HSD!W16)</f>
        <v>R</v>
      </c>
      <c r="X16" s="31" t="str">
        <f>IF(K16=Surrender!K16,"R",HSD!X16)</f>
        <v>R</v>
      </c>
    </row>
    <row r="17" spans="1:24" x14ac:dyDescent="0.2">
      <c r="A17">
        <v>17</v>
      </c>
      <c r="B17">
        <f>IF(AND(Rules!$B$8=Rules!$E$8,Rules!$B$7=Rules!$E$7),MAX(Hit!B17,Stand!B17,Double!B17,Surrender!B17),MAX(Hit!B17,Stand!B17,Double!B17))</f>
        <v>-0.47803347499473703</v>
      </c>
      <c r="C17">
        <f>IF(Rules!$B$7=Rules!$E$7,MAX(Hit!C17,Stand!C17,Double!C17,Surrender!C17),MAX(Hit!C17,Stand!C17,Double!C17))</f>
        <v>-0.15297458768154204</v>
      </c>
      <c r="D17">
        <f>IF(Rules!$B$7=Rules!$E$7,MAX(Hit!D17,Stand!D17,Double!D17,Surrender!D17),MAX(Hit!D17,Stand!D17,Double!D17))</f>
        <v>-0.11721624142457365</v>
      </c>
      <c r="E17">
        <f>IF(Rules!$B$7=Rules!$E$7,MAX(Hit!E17,Stand!E17,Double!E17,Surrender!E17),MAX(Hit!E17,Stand!E17,Double!E17))</f>
        <v>-8.0573373145316152E-2</v>
      </c>
      <c r="F17">
        <f>IF(Rules!$B$7=Rules!$E$7,MAX(Hit!F17,Stand!F17,Double!F17,Surrender!F17),MAX(Hit!F17,Stand!F17,Double!F17))</f>
        <v>-4.4941375564924446E-2</v>
      </c>
      <c r="G17">
        <f>IF(Rules!$B$7=Rules!$E$7,MAX(Hit!G17,Stand!G17,Double!G17,Surrender!G17),MAX(Hit!G17,Stand!G17,Double!G17))</f>
        <v>1.1739160673341853E-2</v>
      </c>
      <c r="H17">
        <f>IF(Rules!$B$7=Rules!$E$7,MAX(Hit!H17,Stand!H17,Double!H17,Surrender!H17),MAX(Hit!H17,Stand!H17,Double!H17))</f>
        <v>-0.10680898948269468</v>
      </c>
      <c r="I17">
        <f>IF(Rules!$B$7=Rules!$E$7,MAX(Hit!I17,Stand!I17,Double!I17,Surrender!I17),MAX(Hit!I17,Stand!I17,Double!I17))</f>
        <v>-0.38195097104844711</v>
      </c>
      <c r="J17">
        <f>IF(Rules!$B$7=Rules!$E$7,MAX(Hit!J17,Stand!J17,Double!J17,Surrender!J17),MAX(Hit!J17,Stand!J17,Double!J17))</f>
        <v>-0.42315423964521737</v>
      </c>
      <c r="K17">
        <f>IF(Rules!$B$7=Rules!$E$7,MAX(Hit!K17,Stand!K17,Double!K17,Surrender!K17),MAX(Hit!K17,Stand!K17,Double!K17))</f>
        <v>-0.41972063392881986</v>
      </c>
      <c r="N17" s="31">
        <v>17</v>
      </c>
      <c r="O17" s="31" t="str">
        <f>IF(B17=Surrender!B17,"R",HSD!O17)</f>
        <v>S</v>
      </c>
      <c r="P17" s="31" t="str">
        <f>IF(C17=Surrender!C17,"R",HSD!P17)</f>
        <v>S</v>
      </c>
      <c r="Q17" s="31" t="str">
        <f>IF(D17=Surrender!D17,"R",HSD!Q17)</f>
        <v>S</v>
      </c>
      <c r="R17" s="31" t="str">
        <f>IF(E17=Surrender!E17,"R",HSD!R17)</f>
        <v>S</v>
      </c>
      <c r="S17" s="31" t="str">
        <f>IF(F17=Surrender!F17,"R",HSD!S17)</f>
        <v>S</v>
      </c>
      <c r="T17" s="31" t="str">
        <f>IF(G17=Surrender!G17,"R",HSD!T17)</f>
        <v>S</v>
      </c>
      <c r="U17" s="31" t="str">
        <f>IF(H17=Surrender!H17,"R",HSD!U17)</f>
        <v>S</v>
      </c>
      <c r="V17" s="31" t="str">
        <f>IF(I17=Surrender!I17,"R",HSD!V17)</f>
        <v>S</v>
      </c>
      <c r="W17" s="31" t="str">
        <f>IF(J17=Surrender!J17,"R",HSD!W17)</f>
        <v>S</v>
      </c>
      <c r="X17" s="31" t="str">
        <f>IF(K17=Surrender!K17,"R",HSD!X17)</f>
        <v>S</v>
      </c>
    </row>
    <row r="18" spans="1:24" x14ac:dyDescent="0.2">
      <c r="A18">
        <v>18</v>
      </c>
      <c r="B18">
        <f>IF(AND(Rules!$B$8=Rules!$E$8,Rules!$B$7=Rules!$E$7),MAX(Hit!B18,Stand!B18,Double!B18,Surrender!B18),MAX(Hit!B18,Stand!B18,Double!B18))</f>
        <v>-0.10019887561319057</v>
      </c>
      <c r="C18">
        <f>IF(Rules!$B$7=Rules!$E$7,MAX(Hit!C18,Stand!C18,Double!C18,Surrender!C18),MAX(Hit!C18,Stand!C18,Double!C18))</f>
        <v>0.12174190222088771</v>
      </c>
      <c r="D18">
        <f>IF(Rules!$B$7=Rules!$E$7,MAX(Hit!D18,Stand!D18,Double!D18,Surrender!D18),MAX(Hit!D18,Stand!D18,Double!D18))</f>
        <v>0.14830007284131119</v>
      </c>
      <c r="E18">
        <f>IF(Rules!$B$7=Rules!$E$7,MAX(Hit!E18,Stand!E18,Double!E18,Surrender!E18),MAX(Hit!E18,Stand!E18,Double!E18))</f>
        <v>0.17585443719748528</v>
      </c>
      <c r="F18">
        <f>IF(Rules!$B$7=Rules!$E$7,MAX(Hit!F18,Stand!F18,Double!F18,Surrender!F18),MAX(Hit!F18,Stand!F18,Double!F18))</f>
        <v>0.19956119497617719</v>
      </c>
      <c r="G18">
        <f>IF(Rules!$B$7=Rules!$E$7,MAX(Hit!G18,Stand!G18,Double!G18,Surrender!G18),MAX(Hit!G18,Stand!G18,Double!G18))</f>
        <v>0.28344391604689856</v>
      </c>
      <c r="H18">
        <f>IF(Rules!$B$7=Rules!$E$7,MAX(Hit!H18,Stand!H18,Double!H18,Surrender!H18),MAX(Hit!H18,Stand!H18,Double!H18))</f>
        <v>0.3995541673365518</v>
      </c>
      <c r="I18">
        <f>IF(Rules!$B$7=Rules!$E$7,MAX(Hit!I18,Stand!I18,Double!I18,Surrender!I18),MAX(Hit!I18,Stand!I18,Double!I18))</f>
        <v>0.10595134861912359</v>
      </c>
      <c r="J18">
        <f>IF(Rules!$B$7=Rules!$E$7,MAX(Hit!J18,Stand!J18,Double!J18,Surrender!J18),MAX(Hit!J18,Stand!J18,Double!J18))</f>
        <v>-0.18316335667343331</v>
      </c>
      <c r="K18">
        <f>IF(Rules!$B$7=Rules!$E$7,MAX(Hit!K18,Stand!K18,Double!K18,Surrender!K18),MAX(Hit!K18,Stand!K18,Double!K18))</f>
        <v>-0.17830123379648949</v>
      </c>
      <c r="N18" s="31">
        <v>18</v>
      </c>
      <c r="O18" s="31" t="str">
        <f>IF(B18=Surrender!B18,"R",HSD!O18)</f>
        <v>S</v>
      </c>
      <c r="P18" s="31" t="str">
        <f>IF(C18=Surrender!C18,"R",HSD!P18)</f>
        <v>S</v>
      </c>
      <c r="Q18" s="31" t="str">
        <f>IF(D18=Surrender!D18,"R",HSD!Q18)</f>
        <v>S</v>
      </c>
      <c r="R18" s="31" t="str">
        <f>IF(E18=Surrender!E18,"R",HSD!R18)</f>
        <v>S</v>
      </c>
      <c r="S18" s="31" t="str">
        <f>IF(F18=Surrender!F18,"R",HSD!S18)</f>
        <v>S</v>
      </c>
      <c r="T18" s="31" t="str">
        <f>IF(G18=Surrender!G18,"R",HSD!T18)</f>
        <v>S</v>
      </c>
      <c r="U18" s="31" t="str">
        <f>IF(H18=Surrender!H18,"R",HSD!U18)</f>
        <v>S</v>
      </c>
      <c r="V18" s="31" t="str">
        <f>IF(I18=Surrender!I18,"R",HSD!V18)</f>
        <v>S</v>
      </c>
      <c r="W18" s="31" t="str">
        <f>IF(J18=Surrender!J18,"R",HSD!W18)</f>
        <v>S</v>
      </c>
      <c r="X18" s="31" t="str">
        <f>IF(K18=Surrender!K18,"R",HSD!X18)</f>
        <v>S</v>
      </c>
    </row>
    <row r="19" spans="1:24" x14ac:dyDescent="0.2">
      <c r="A19">
        <v>19</v>
      </c>
      <c r="B19">
        <f>IF(AND(Rules!$B$8=Rules!$E$8,Rules!$B$7=Rules!$E$7),MAX(Hit!B19,Stand!B19,Double!B19,Surrender!B19),MAX(Hit!B19,Stand!B19,Double!B19))</f>
        <v>0.27763572376835594</v>
      </c>
      <c r="C19">
        <f>IF(Rules!$B$7=Rules!$E$7,MAX(Hit!C19,Stand!C19,Double!C19,Surrender!C19),MAX(Hit!C19,Stand!C19,Double!C19))</f>
        <v>0.38630468602058993</v>
      </c>
      <c r="D19">
        <f>IF(Rules!$B$7=Rules!$E$7,MAX(Hit!D19,Stand!D19,Double!D19,Surrender!D19),MAX(Hit!D19,Stand!D19,Double!D19))</f>
        <v>0.4043629365977599</v>
      </c>
      <c r="E19">
        <f>IF(Rules!$B$7=Rules!$E$7,MAX(Hit!E19,Stand!E19,Double!E19,Surrender!E19),MAX(Hit!E19,Stand!E19,Double!E19))</f>
        <v>0.42317892482749653</v>
      </c>
      <c r="F19">
        <f>IF(Rules!$B$7=Rules!$E$7,MAX(Hit!F19,Stand!F19,Double!F19,Surrender!F19),MAX(Hit!F19,Stand!F19,Double!F19))</f>
        <v>0.43951210416088371</v>
      </c>
      <c r="G19">
        <f>IF(Rules!$B$7=Rules!$E$7,MAX(Hit!G19,Stand!G19,Double!G19,Surrender!G19),MAX(Hit!G19,Stand!G19,Double!G19))</f>
        <v>0.49597707378731914</v>
      </c>
      <c r="H19">
        <f>IF(Rules!$B$7=Rules!$E$7,MAX(Hit!H19,Stand!H19,Double!H19,Surrender!H19),MAX(Hit!H19,Stand!H19,Double!H19))</f>
        <v>0.6159764957534315</v>
      </c>
      <c r="I19">
        <f>IF(Rules!$B$7=Rules!$E$7,MAX(Hit!I19,Stand!I19,Double!I19,Surrender!I19),MAX(Hit!I19,Stand!I19,Double!I19))</f>
        <v>0.59385366828669439</v>
      </c>
      <c r="J19">
        <f>IF(Rules!$B$7=Rules!$E$7,MAX(Hit!J19,Stand!J19,Double!J19,Surrender!J19),MAX(Hit!J19,Stand!J19,Double!J19))</f>
        <v>0.28759675706758148</v>
      </c>
      <c r="K19">
        <f>IF(Rules!$B$7=Rules!$E$7,MAX(Hit!K19,Stand!K19,Double!K19,Surrender!K19),MAX(Hit!K19,Stand!K19,Double!K19))</f>
        <v>6.3118166335840831E-2</v>
      </c>
      <c r="N19" s="31">
        <v>19</v>
      </c>
      <c r="O19" s="31" t="str">
        <f>IF(B19=Surrender!B19,"R",HSD!O19)</f>
        <v>S</v>
      </c>
      <c r="P19" s="31" t="str">
        <f>IF(C19=Surrender!C19,"R",HSD!P19)</f>
        <v>S</v>
      </c>
      <c r="Q19" s="31" t="str">
        <f>IF(D19=Surrender!D19,"R",HSD!Q19)</f>
        <v>S</v>
      </c>
      <c r="R19" s="31" t="str">
        <f>IF(E19=Surrender!E19,"R",HSD!R19)</f>
        <v>S</v>
      </c>
      <c r="S19" s="31" t="str">
        <f>IF(F19=Surrender!F19,"R",HSD!S19)</f>
        <v>S</v>
      </c>
      <c r="T19" s="31" t="str">
        <f>IF(G19=Surrender!G19,"R",HSD!T19)</f>
        <v>S</v>
      </c>
      <c r="U19" s="31" t="str">
        <f>IF(H19=Surrender!H19,"R",HSD!U19)</f>
        <v>S</v>
      </c>
      <c r="V19" s="31" t="str">
        <f>IF(I19=Surrender!I19,"R",HSD!V19)</f>
        <v>S</v>
      </c>
      <c r="W19" s="31" t="str">
        <f>IF(J19=Surrender!J19,"R",HSD!W19)</f>
        <v>S</v>
      </c>
      <c r="X19" s="31" t="str">
        <f>IF(K19=Surrender!K19,"R",HSD!X19)</f>
        <v>S</v>
      </c>
    </row>
    <row r="20" spans="1:24" x14ac:dyDescent="0.2">
      <c r="A20">
        <v>20</v>
      </c>
      <c r="B20">
        <f>IF(AND(Rules!$B$8=Rules!$E$8,Rules!$B$7=Rules!$E$7),MAX(Hit!B20,Stand!B20,Double!B20,Surrender!B20),MAX(Hit!B20,Stand!B20,Double!B20))</f>
        <v>0.65547032314990239</v>
      </c>
      <c r="C20">
        <f>IF(Rules!$B$7=Rules!$E$7,MAX(Hit!C20,Stand!C20,Double!C20,Surrender!C20),MAX(Hit!C20,Stand!C20,Double!C20))</f>
        <v>0.63998657521683877</v>
      </c>
      <c r="D20">
        <f>IF(Rules!$B$7=Rules!$E$7,MAX(Hit!D20,Stand!D20,Double!D20,Surrender!D20),MAX(Hit!D20,Stand!D20,Double!D20))</f>
        <v>0.65027209425148136</v>
      </c>
      <c r="E20">
        <f>IF(Rules!$B$7=Rules!$E$7,MAX(Hit!E20,Stand!E20,Double!E20,Surrender!E20),MAX(Hit!E20,Stand!E20,Double!E20))</f>
        <v>0.66104996194807186</v>
      </c>
      <c r="F20">
        <f>IF(Rules!$B$7=Rules!$E$7,MAX(Hit!F20,Stand!F20,Double!F20,Surrender!F20),MAX(Hit!F20,Stand!F20,Double!F20))</f>
        <v>0.67035969063279999</v>
      </c>
      <c r="G20">
        <f>IF(Rules!$B$7=Rules!$E$7,MAX(Hit!G20,Stand!G20,Double!G20,Surrender!G20),MAX(Hit!G20,Stand!G20,Double!G20))</f>
        <v>0.70395857017134467</v>
      </c>
      <c r="H20">
        <f>IF(Rules!$B$7=Rules!$E$7,MAX(Hit!H20,Stand!H20,Double!H20,Surrender!H20),MAX(Hit!H20,Stand!H20,Double!H20))</f>
        <v>0.77322722653717491</v>
      </c>
      <c r="I20">
        <f>IF(Rules!$B$7=Rules!$E$7,MAX(Hit!I20,Stand!I20,Double!I20,Surrender!I20),MAX(Hit!I20,Stand!I20,Double!I20))</f>
        <v>0.79181515955189841</v>
      </c>
      <c r="J20">
        <f>IF(Rules!$B$7=Rules!$E$7,MAX(Hit!J20,Stand!J20,Double!J20,Surrender!J20),MAX(Hit!J20,Stand!J20,Double!J20))</f>
        <v>0.75835687080859626</v>
      </c>
      <c r="K20">
        <f>IF(Rules!$B$7=Rules!$E$7,MAX(Hit!K20,Stand!K20,Double!K20,Surrender!K20),MAX(Hit!K20,Stand!K20,Double!K20))</f>
        <v>0.55453756646817121</v>
      </c>
      <c r="N20" s="31">
        <v>20</v>
      </c>
      <c r="O20" s="31" t="str">
        <f>IF(B20=Surrender!B20,"R",HSD!O20)</f>
        <v>S</v>
      </c>
      <c r="P20" s="31" t="str">
        <f>IF(C20=Surrender!C20,"R",HSD!P20)</f>
        <v>S</v>
      </c>
      <c r="Q20" s="31" t="str">
        <f>IF(D20=Surrender!D20,"R",HSD!Q20)</f>
        <v>S</v>
      </c>
      <c r="R20" s="31" t="str">
        <f>IF(E20=Surrender!E20,"R",HSD!R20)</f>
        <v>S</v>
      </c>
      <c r="S20" s="31" t="str">
        <f>IF(F20=Surrender!F20,"R",HSD!S20)</f>
        <v>S</v>
      </c>
      <c r="T20" s="31" t="str">
        <f>IF(G20=Surrender!G20,"R",HSD!T20)</f>
        <v>S</v>
      </c>
      <c r="U20" s="31" t="str">
        <f>IF(H20=Surrender!H20,"R",HSD!U20)</f>
        <v>S</v>
      </c>
      <c r="V20" s="31" t="str">
        <f>IF(I20=Surrender!I20,"R",HSD!V20)</f>
        <v>S</v>
      </c>
      <c r="W20" s="31" t="str">
        <f>IF(J20=Surrender!J20,"R",HSD!W20)</f>
        <v>S</v>
      </c>
      <c r="X20" s="31" t="str">
        <f>IF(K20=Surrender!K20,"R",HSD!X20)</f>
        <v>S</v>
      </c>
    </row>
    <row r="21" spans="1:24" x14ac:dyDescent="0.2">
      <c r="A21">
        <v>21</v>
      </c>
      <c r="B21">
        <f>IF(AND(Rules!$B$8=Rules!$E$8,Rules!$B$7=Rules!$E$7),MAX(Hit!B21,Stand!B21,Double!B21,Surrender!B21),MAX(Hit!B21,Stand!B21,Double!B21))</f>
        <v>0.92219381142033785</v>
      </c>
      <c r="C21">
        <f>IF(Rules!$B$7=Rules!$E$7,MAX(Hit!C21,Stand!C21,Double!C21,Surrender!C21),MAX(Hit!C21,Stand!C21,Double!C21))</f>
        <v>0.88200651549403997</v>
      </c>
      <c r="D21">
        <f>IF(Rules!$B$7=Rules!$E$7,MAX(Hit!D21,Stand!D21,Double!D21,Surrender!D21),MAX(Hit!D21,Stand!D21,Double!D21))</f>
        <v>0.88530035730174927</v>
      </c>
      <c r="E21">
        <f>IF(Rules!$B$7=Rules!$E$7,MAX(Hit!E21,Stand!E21,Double!E21,Surrender!E21),MAX(Hit!E21,Stand!E21,Double!E21))</f>
        <v>0.88876729296591961</v>
      </c>
      <c r="F21">
        <f>IF(Rules!$B$7=Rules!$E$7,MAX(Hit!F21,Stand!F21,Double!F21,Surrender!F21),MAX(Hit!F21,Stand!F21,Double!F21))</f>
        <v>0.89175382659528035</v>
      </c>
      <c r="G21">
        <f>IF(Rules!$B$7=Rules!$E$7,MAX(Hit!G21,Stand!G21,Double!G21,Surrender!G21),MAX(Hit!G21,Stand!G21,Double!G21))</f>
        <v>0.90283674384257995</v>
      </c>
      <c r="H21">
        <f>IF(Rules!$B$7=Rules!$E$7,MAX(Hit!H21,Stand!H21,Double!H21,Surrender!H21),MAX(Hit!H21,Stand!H21,Double!H21))</f>
        <v>0.92592629596452325</v>
      </c>
      <c r="I21">
        <f>IF(Rules!$B$7=Rules!$E$7,MAX(Hit!I21,Stand!I21,Double!I21,Surrender!I21),MAX(Hit!I21,Stand!I21,Double!I21))</f>
        <v>0.93060505318396614</v>
      </c>
      <c r="J21">
        <f>IF(Rules!$B$7=Rules!$E$7,MAX(Hit!J21,Stand!J21,Double!J21,Surrender!J21),MAX(Hit!J21,Stand!J21,Double!J21))</f>
        <v>0.93917615614724415</v>
      </c>
      <c r="K21">
        <f>IF(Rules!$B$7=Rules!$E$7,MAX(Hit!K21,Stand!K21,Double!K21,Surrender!K21),MAX(Hit!K21,Stand!K21,Double!K21))</f>
        <v>0.96262363326716827</v>
      </c>
      <c r="N21" s="31">
        <v>21</v>
      </c>
      <c r="O21" s="31" t="str">
        <f>IF(B21=Surrender!B21,"R",HSD!O21)</f>
        <v>S</v>
      </c>
      <c r="P21" s="31" t="str">
        <f>IF(C21=Surrender!C21,"R",HSD!P21)</f>
        <v>S</v>
      </c>
      <c r="Q21" s="31" t="str">
        <f>IF(D21=Surrender!D21,"R",HSD!Q21)</f>
        <v>S</v>
      </c>
      <c r="R21" s="31" t="str">
        <f>IF(E21=Surrender!E21,"R",HSD!R21)</f>
        <v>S</v>
      </c>
      <c r="S21" s="31" t="str">
        <f>IF(F21=Surrender!F21,"R",HSD!S21)</f>
        <v>S</v>
      </c>
      <c r="T21" s="31" t="str">
        <f>IF(G21=Surrender!G21,"R",HSD!T21)</f>
        <v>S</v>
      </c>
      <c r="U21" s="31" t="str">
        <f>IF(H21=Surrender!H21,"R",HSD!U21)</f>
        <v>S</v>
      </c>
      <c r="V21" s="31" t="str">
        <f>IF(I21=Surrender!I21,"R",HSD!V21)</f>
        <v>S</v>
      </c>
      <c r="W21" s="31" t="str">
        <f>IF(J21=Surrender!J21,"R",HSD!W21)</f>
        <v>S</v>
      </c>
      <c r="X21" s="31" t="str">
        <f>IF(K21=Surrender!K21,"R",HSD!X21)</f>
        <v>S</v>
      </c>
    </row>
    <row r="22" spans="1:24" x14ac:dyDescent="0.2">
      <c r="A22">
        <v>22</v>
      </c>
      <c r="B22">
        <f>IF(AND(Rules!$B$8=Rules!$E$8,Rules!$B$7=Rules!$E$7),MAX(Hit!B22,Stand!B22,Double!B22,Surrender!B22),MAX(Hit!B22,Stand!B22,Double!B22))</f>
        <v>-1</v>
      </c>
      <c r="C22">
        <f>IF(Rules!$B$7=Rules!$E$7,MAX(Hit!C22,Stand!C22,Double!C22,Surrender!C22),MAX(Hit!C22,Stand!C22,Double!C22))</f>
        <v>-0.5</v>
      </c>
      <c r="D22">
        <f>IF(Rules!$B$7=Rules!$E$7,MAX(Hit!D22,Stand!D22,Double!D22,Surrender!D22),MAX(Hit!D22,Stand!D22,Double!D22))</f>
        <v>-0.5</v>
      </c>
      <c r="E22">
        <f>IF(Rules!$B$7=Rules!$E$7,MAX(Hit!E22,Stand!E22,Double!E22,Surrender!E22),MAX(Hit!E22,Stand!E22,Double!E22))</f>
        <v>-0.5</v>
      </c>
      <c r="F22">
        <f>IF(Rules!$B$7=Rules!$E$7,MAX(Hit!F22,Stand!F22,Double!F22,Surrender!F22),MAX(Hit!F22,Stand!F22,Double!F22))</f>
        <v>-0.5</v>
      </c>
      <c r="G22">
        <f>IF(Rules!$B$7=Rules!$E$7,MAX(Hit!G22,Stand!G22,Double!G22,Surrender!G22),MAX(Hit!G22,Stand!G22,Double!G22))</f>
        <v>-0.5</v>
      </c>
      <c r="H22">
        <f>IF(Rules!$B$7=Rules!$E$7,MAX(Hit!H22,Stand!H22,Double!H22,Surrender!H22),MAX(Hit!H22,Stand!H22,Double!H22))</f>
        <v>-0.5</v>
      </c>
      <c r="I22">
        <f>IF(Rules!$B$7=Rules!$E$7,MAX(Hit!I22,Stand!I22,Double!I22,Surrender!I22),MAX(Hit!I22,Stand!I22,Double!I22))</f>
        <v>-0.5</v>
      </c>
      <c r="J22">
        <f>IF(Rules!$B$7=Rules!$E$7,MAX(Hit!J22,Stand!J22,Double!J22,Surrender!J22),MAX(Hit!J22,Stand!J22,Double!J22))</f>
        <v>-0.5</v>
      </c>
      <c r="K22">
        <f>IF(Rules!$B$7=Rules!$E$7,MAX(Hit!K22,Stand!K22,Double!K22,Surrender!K22),MAX(Hit!K22,Stand!K22,Double!K22))</f>
        <v>-0.5</v>
      </c>
      <c r="N22" s="31">
        <v>22</v>
      </c>
      <c r="O22" s="31" t="str">
        <f>IF(B22=Surrender!B22,"R",HSD!O22)</f>
        <v>S</v>
      </c>
      <c r="P22" s="31" t="str">
        <f>IF(C22=Surrender!C22,"R",HSD!P22)</f>
        <v>R</v>
      </c>
      <c r="Q22" s="31" t="str">
        <f>IF(D22=Surrender!D22,"R",HSD!Q22)</f>
        <v>R</v>
      </c>
      <c r="R22" s="31" t="str">
        <f>IF(E22=Surrender!E22,"R",HSD!R22)</f>
        <v>R</v>
      </c>
      <c r="S22" s="31" t="str">
        <f>IF(F22=Surrender!F22,"R",HSD!S22)</f>
        <v>R</v>
      </c>
      <c r="T22" s="31" t="str">
        <f>IF(G22=Surrender!G22,"R",HSD!T22)</f>
        <v>R</v>
      </c>
      <c r="U22" s="31" t="str">
        <f>IF(H22=Surrender!H22,"R",HSD!U22)</f>
        <v>R</v>
      </c>
      <c r="V22" s="31" t="str">
        <f>IF(I22=Surrender!I22,"R",HSD!V22)</f>
        <v>R</v>
      </c>
      <c r="W22" s="31" t="str">
        <f>IF(J22=Surrender!J22,"R",HSD!W22)</f>
        <v>R</v>
      </c>
      <c r="X22" s="31" t="str">
        <f>IF(K22=Surrender!K22,"R",HSD!X22)</f>
        <v>R</v>
      </c>
    </row>
    <row r="23" spans="1:24" x14ac:dyDescent="0.2">
      <c r="A23">
        <v>23</v>
      </c>
      <c r="B23">
        <f>IF(AND(Rules!$B$8=Rules!$E$8,Rules!$B$7=Rules!$E$7),MAX(Hit!B23,Stand!B23,Double!B23,Surrender!B23),MAX(Hit!B23,Stand!B23,Double!B23))</f>
        <v>-1</v>
      </c>
      <c r="C23">
        <f>IF(Rules!$B$7=Rules!$E$7,MAX(Hit!C23,Stand!C23,Double!C23,Surrender!C23),MAX(Hit!C23,Stand!C23,Double!C23))</f>
        <v>-0.5</v>
      </c>
      <c r="D23">
        <f>IF(Rules!$B$7=Rules!$E$7,MAX(Hit!D23,Stand!D23,Double!D23,Surrender!D23),MAX(Hit!D23,Stand!D23,Double!D23))</f>
        <v>-0.5</v>
      </c>
      <c r="E23">
        <f>IF(Rules!$B$7=Rules!$E$7,MAX(Hit!E23,Stand!E23,Double!E23,Surrender!E23),MAX(Hit!E23,Stand!E23,Double!E23))</f>
        <v>-0.5</v>
      </c>
      <c r="F23">
        <f>IF(Rules!$B$7=Rules!$E$7,MAX(Hit!F23,Stand!F23,Double!F23,Surrender!F23),MAX(Hit!F23,Stand!F23,Double!F23))</f>
        <v>-0.5</v>
      </c>
      <c r="G23">
        <f>IF(Rules!$B$7=Rules!$E$7,MAX(Hit!G23,Stand!G23,Double!G23,Surrender!G23),MAX(Hit!G23,Stand!G23,Double!G23))</f>
        <v>-0.5</v>
      </c>
      <c r="H23">
        <f>IF(Rules!$B$7=Rules!$E$7,MAX(Hit!H23,Stand!H23,Double!H23,Surrender!H23),MAX(Hit!H23,Stand!H23,Double!H23))</f>
        <v>-0.5</v>
      </c>
      <c r="I23">
        <f>IF(Rules!$B$7=Rules!$E$7,MAX(Hit!I23,Stand!I23,Double!I23,Surrender!I23),MAX(Hit!I23,Stand!I23,Double!I23))</f>
        <v>-0.5</v>
      </c>
      <c r="J23">
        <f>IF(Rules!$B$7=Rules!$E$7,MAX(Hit!J23,Stand!J23,Double!J23,Surrender!J23),MAX(Hit!J23,Stand!J23,Double!J23))</f>
        <v>-0.5</v>
      </c>
      <c r="K23">
        <f>IF(Rules!$B$7=Rules!$E$7,MAX(Hit!K23,Stand!K23,Double!K23,Surrender!K23),MAX(Hit!K23,Stand!K23,Double!K23))</f>
        <v>-0.5</v>
      </c>
      <c r="N23" s="31">
        <v>23</v>
      </c>
      <c r="O23" s="31" t="str">
        <f>IF(B23=Surrender!B23,"R",HSD!O23)</f>
        <v>S</v>
      </c>
      <c r="P23" s="31" t="str">
        <f>IF(C23=Surrender!C23,"R",HSD!P23)</f>
        <v>R</v>
      </c>
      <c r="Q23" s="31" t="str">
        <f>IF(D23=Surrender!D23,"R",HSD!Q23)</f>
        <v>R</v>
      </c>
      <c r="R23" s="31" t="str">
        <f>IF(E23=Surrender!E23,"R",HSD!R23)</f>
        <v>R</v>
      </c>
      <c r="S23" s="31" t="str">
        <f>IF(F23=Surrender!F23,"R",HSD!S23)</f>
        <v>R</v>
      </c>
      <c r="T23" s="31" t="str">
        <f>IF(G23=Surrender!G23,"R",HSD!T23)</f>
        <v>R</v>
      </c>
      <c r="U23" s="31" t="str">
        <f>IF(H23=Surrender!H23,"R",HSD!U23)</f>
        <v>R</v>
      </c>
      <c r="V23" s="31" t="str">
        <f>IF(I23=Surrender!I23,"R",HSD!V23)</f>
        <v>R</v>
      </c>
      <c r="W23" s="31" t="str">
        <f>IF(J23=Surrender!J23,"R",HSD!W23)</f>
        <v>R</v>
      </c>
      <c r="X23" s="31" t="str">
        <f>IF(K23=Surrender!K23,"R",HSD!X23)</f>
        <v>R</v>
      </c>
    </row>
    <row r="24" spans="1:24" x14ac:dyDescent="0.2">
      <c r="A24">
        <v>24</v>
      </c>
      <c r="B24">
        <f>IF(AND(Rules!$B$8=Rules!$E$8,Rules!$B$7=Rules!$E$7),MAX(Hit!B24,Stand!B24,Double!B24,Surrender!B24),MAX(Hit!B24,Stand!B24,Double!B24))</f>
        <v>-1</v>
      </c>
      <c r="C24">
        <f>IF(Rules!$B$7=Rules!$E$7,MAX(Hit!C24,Stand!C24,Double!C24,Surrender!C24),MAX(Hit!C24,Stand!C24,Double!C24))</f>
        <v>-0.5</v>
      </c>
      <c r="D24">
        <f>IF(Rules!$B$7=Rules!$E$7,MAX(Hit!D24,Stand!D24,Double!D24,Surrender!D24),MAX(Hit!D24,Stand!D24,Double!D24))</f>
        <v>-0.5</v>
      </c>
      <c r="E24">
        <f>IF(Rules!$B$7=Rules!$E$7,MAX(Hit!E24,Stand!E24,Double!E24,Surrender!E24),MAX(Hit!E24,Stand!E24,Double!E24))</f>
        <v>-0.5</v>
      </c>
      <c r="F24">
        <f>IF(Rules!$B$7=Rules!$E$7,MAX(Hit!F24,Stand!F24,Double!F24,Surrender!F24),MAX(Hit!F24,Stand!F24,Double!F24))</f>
        <v>-0.5</v>
      </c>
      <c r="G24">
        <f>IF(Rules!$B$7=Rules!$E$7,MAX(Hit!G24,Stand!G24,Double!G24,Surrender!G24),MAX(Hit!G24,Stand!G24,Double!G24))</f>
        <v>-0.5</v>
      </c>
      <c r="H24">
        <f>IF(Rules!$B$7=Rules!$E$7,MAX(Hit!H24,Stand!H24,Double!H24,Surrender!H24),MAX(Hit!H24,Stand!H24,Double!H24))</f>
        <v>-0.5</v>
      </c>
      <c r="I24">
        <f>IF(Rules!$B$7=Rules!$E$7,MAX(Hit!I24,Stand!I24,Double!I24,Surrender!I24),MAX(Hit!I24,Stand!I24,Double!I24))</f>
        <v>-0.5</v>
      </c>
      <c r="J24">
        <f>IF(Rules!$B$7=Rules!$E$7,MAX(Hit!J24,Stand!J24,Double!J24,Surrender!J24),MAX(Hit!J24,Stand!J24,Double!J24))</f>
        <v>-0.5</v>
      </c>
      <c r="K24">
        <f>IF(Rules!$B$7=Rules!$E$7,MAX(Hit!K24,Stand!K24,Double!K24,Surrender!K24),MAX(Hit!K24,Stand!K24,Double!K24))</f>
        <v>-0.5</v>
      </c>
      <c r="N24" s="31">
        <v>24</v>
      </c>
      <c r="O24" s="31" t="str">
        <f>IF(B24=Surrender!B24,"R",HSD!O24)</f>
        <v>S</v>
      </c>
      <c r="P24" s="31" t="str">
        <f>IF(C24=Surrender!C24,"R",HSD!P24)</f>
        <v>R</v>
      </c>
      <c r="Q24" s="31" t="str">
        <f>IF(D24=Surrender!D24,"R",HSD!Q24)</f>
        <v>R</v>
      </c>
      <c r="R24" s="31" t="str">
        <f>IF(E24=Surrender!E24,"R",HSD!R24)</f>
        <v>R</v>
      </c>
      <c r="S24" s="31" t="str">
        <f>IF(F24=Surrender!F24,"R",HSD!S24)</f>
        <v>R</v>
      </c>
      <c r="T24" s="31" t="str">
        <f>IF(G24=Surrender!G24,"R",HSD!T24)</f>
        <v>R</v>
      </c>
      <c r="U24" s="31" t="str">
        <f>IF(H24=Surrender!H24,"R",HSD!U24)</f>
        <v>R</v>
      </c>
      <c r="V24" s="31" t="str">
        <f>IF(I24=Surrender!I24,"R",HSD!V24)</f>
        <v>R</v>
      </c>
      <c r="W24" s="31" t="str">
        <f>IF(J24=Surrender!J24,"R",HSD!W24)</f>
        <v>R</v>
      </c>
      <c r="X24" s="31" t="str">
        <f>IF(K24=Surrender!K24,"R",HSD!X24)</f>
        <v>R</v>
      </c>
    </row>
    <row r="25" spans="1:24" x14ac:dyDescent="0.2">
      <c r="A25">
        <v>25</v>
      </c>
      <c r="B25">
        <f>IF(AND(Rules!$B$8=Rules!$E$8,Rules!$B$7=Rules!$E$7),MAX(Hit!B25,Stand!B25,Double!B25,Surrender!B25),MAX(Hit!B25,Stand!B25,Double!B25))</f>
        <v>-1</v>
      </c>
      <c r="C25">
        <f>IF(Rules!$B$7=Rules!$E$7,MAX(Hit!C25,Stand!C25,Double!C25,Surrender!C25),MAX(Hit!C25,Stand!C25,Double!C25))</f>
        <v>-0.5</v>
      </c>
      <c r="D25">
        <f>IF(Rules!$B$7=Rules!$E$7,MAX(Hit!D25,Stand!D25,Double!D25,Surrender!D25),MAX(Hit!D25,Stand!D25,Double!D25))</f>
        <v>-0.5</v>
      </c>
      <c r="E25">
        <f>IF(Rules!$B$7=Rules!$E$7,MAX(Hit!E25,Stand!E25,Double!E25,Surrender!E25),MAX(Hit!E25,Stand!E25,Double!E25))</f>
        <v>-0.5</v>
      </c>
      <c r="F25">
        <f>IF(Rules!$B$7=Rules!$E$7,MAX(Hit!F25,Stand!F25,Double!F25,Surrender!F25),MAX(Hit!F25,Stand!F25,Double!F25))</f>
        <v>-0.5</v>
      </c>
      <c r="G25">
        <f>IF(Rules!$B$7=Rules!$E$7,MAX(Hit!G25,Stand!G25,Double!G25,Surrender!G25),MAX(Hit!G25,Stand!G25,Double!G25))</f>
        <v>-0.5</v>
      </c>
      <c r="H25">
        <f>IF(Rules!$B$7=Rules!$E$7,MAX(Hit!H25,Stand!H25,Double!H25,Surrender!H25),MAX(Hit!H25,Stand!H25,Double!H25))</f>
        <v>-0.5</v>
      </c>
      <c r="I25">
        <f>IF(Rules!$B$7=Rules!$E$7,MAX(Hit!I25,Stand!I25,Double!I25,Surrender!I25),MAX(Hit!I25,Stand!I25,Double!I25))</f>
        <v>-0.5</v>
      </c>
      <c r="J25">
        <f>IF(Rules!$B$7=Rules!$E$7,MAX(Hit!J25,Stand!J25,Double!J25,Surrender!J25),MAX(Hit!J25,Stand!J25,Double!J25))</f>
        <v>-0.5</v>
      </c>
      <c r="K25">
        <f>IF(Rules!$B$7=Rules!$E$7,MAX(Hit!K25,Stand!K25,Double!K25,Surrender!K25),MAX(Hit!K25,Stand!K25,Double!K25))</f>
        <v>-0.5</v>
      </c>
      <c r="N25" s="31">
        <v>25</v>
      </c>
      <c r="O25" s="31" t="str">
        <f>IF(B25=Surrender!B25,"R",HSD!O25)</f>
        <v>S</v>
      </c>
      <c r="P25" s="31" t="str">
        <f>IF(C25=Surrender!C25,"R",HSD!P25)</f>
        <v>R</v>
      </c>
      <c r="Q25" s="31" t="str">
        <f>IF(D25=Surrender!D25,"R",HSD!Q25)</f>
        <v>R</v>
      </c>
      <c r="R25" s="31" t="str">
        <f>IF(E25=Surrender!E25,"R",HSD!R25)</f>
        <v>R</v>
      </c>
      <c r="S25" s="31" t="str">
        <f>IF(F25=Surrender!F25,"R",HSD!S25)</f>
        <v>R</v>
      </c>
      <c r="T25" s="31" t="str">
        <f>IF(G25=Surrender!G25,"R",HSD!T25)</f>
        <v>R</v>
      </c>
      <c r="U25" s="31" t="str">
        <f>IF(H25=Surrender!H25,"R",HSD!U25)</f>
        <v>R</v>
      </c>
      <c r="V25" s="31" t="str">
        <f>IF(I25=Surrender!I25,"R",HSD!V25)</f>
        <v>R</v>
      </c>
      <c r="W25" s="31" t="str">
        <f>IF(J25=Surrender!J25,"R",HSD!W25)</f>
        <v>R</v>
      </c>
      <c r="X25" s="31" t="str">
        <f>IF(K25=Surrender!K25,"R",HSD!X25)</f>
        <v>R</v>
      </c>
    </row>
    <row r="26" spans="1:24" x14ac:dyDescent="0.2">
      <c r="A26">
        <v>26</v>
      </c>
      <c r="B26">
        <f>IF(AND(Rules!$B$8=Rules!$E$8,Rules!$B$7=Rules!$E$7),MAX(Hit!B26,Stand!B26,Double!B26,Surrender!B26),MAX(Hit!B26,Stand!B26,Double!B26))</f>
        <v>-1</v>
      </c>
      <c r="C26">
        <f>IF(Rules!$B$7=Rules!$E$7,MAX(Hit!C26,Stand!C26,Double!C26,Surrender!C26),MAX(Hit!C26,Stand!C26,Double!C26))</f>
        <v>-0.5</v>
      </c>
      <c r="D26">
        <f>IF(Rules!$B$7=Rules!$E$7,MAX(Hit!D26,Stand!D26,Double!D26,Surrender!D26),MAX(Hit!D26,Stand!D26,Double!D26))</f>
        <v>-0.5</v>
      </c>
      <c r="E26">
        <f>IF(Rules!$B$7=Rules!$E$7,MAX(Hit!E26,Stand!E26,Double!E26,Surrender!E26),MAX(Hit!E26,Stand!E26,Double!E26))</f>
        <v>-0.5</v>
      </c>
      <c r="F26">
        <f>IF(Rules!$B$7=Rules!$E$7,MAX(Hit!F26,Stand!F26,Double!F26,Surrender!F26),MAX(Hit!F26,Stand!F26,Double!F26))</f>
        <v>-0.5</v>
      </c>
      <c r="G26">
        <f>IF(Rules!$B$7=Rules!$E$7,MAX(Hit!G26,Stand!G26,Double!G26,Surrender!G26),MAX(Hit!G26,Stand!G26,Double!G26))</f>
        <v>-0.5</v>
      </c>
      <c r="H26">
        <f>IF(Rules!$B$7=Rules!$E$7,MAX(Hit!H26,Stand!H26,Double!H26,Surrender!H26),MAX(Hit!H26,Stand!H26,Double!H26))</f>
        <v>-0.5</v>
      </c>
      <c r="I26">
        <f>IF(Rules!$B$7=Rules!$E$7,MAX(Hit!I26,Stand!I26,Double!I26,Surrender!I26),MAX(Hit!I26,Stand!I26,Double!I26))</f>
        <v>-0.5</v>
      </c>
      <c r="J26">
        <f>IF(Rules!$B$7=Rules!$E$7,MAX(Hit!J26,Stand!J26,Double!J26,Surrender!J26),MAX(Hit!J26,Stand!J26,Double!J26))</f>
        <v>-0.5</v>
      </c>
      <c r="K26">
        <f>IF(Rules!$B$7=Rules!$E$7,MAX(Hit!K26,Stand!K26,Double!K26,Surrender!K26),MAX(Hit!K26,Stand!K26,Double!K26))</f>
        <v>-0.5</v>
      </c>
      <c r="N26" s="31">
        <v>26</v>
      </c>
      <c r="O26" s="31" t="str">
        <f>IF(B26=Surrender!B26,"R",HSD!O26)</f>
        <v>S</v>
      </c>
      <c r="P26" s="31" t="str">
        <f>IF(C26=Surrender!C26,"R",HSD!P26)</f>
        <v>R</v>
      </c>
      <c r="Q26" s="31" t="str">
        <f>IF(D26=Surrender!D26,"R",HSD!Q26)</f>
        <v>R</v>
      </c>
      <c r="R26" s="31" t="str">
        <f>IF(E26=Surrender!E26,"R",HSD!R26)</f>
        <v>R</v>
      </c>
      <c r="S26" s="31" t="str">
        <f>IF(F26=Surrender!F26,"R",HSD!S26)</f>
        <v>R</v>
      </c>
      <c r="T26" s="31" t="str">
        <f>IF(G26=Surrender!G26,"R",HSD!T26)</f>
        <v>R</v>
      </c>
      <c r="U26" s="31" t="str">
        <f>IF(H26=Surrender!H26,"R",HSD!U26)</f>
        <v>R</v>
      </c>
      <c r="V26" s="31" t="str">
        <f>IF(I26=Surrender!I26,"R",HSD!V26)</f>
        <v>R</v>
      </c>
      <c r="W26" s="31" t="str">
        <f>IF(J26=Surrender!J26,"R",HSD!W26)</f>
        <v>R</v>
      </c>
      <c r="X26" s="31" t="str">
        <f>IF(K26=Surrender!K26,"R",HSD!X26)</f>
        <v>R</v>
      </c>
    </row>
    <row r="27" spans="1:24" x14ac:dyDescent="0.2">
      <c r="A27">
        <v>27</v>
      </c>
      <c r="B27">
        <f>IF(AND(Rules!$B$8=Rules!$E$8,Rules!$B$7=Rules!$E$7),MAX(Hit!B27,Stand!B27,Double!B27,Surrender!B27),MAX(Hit!B27,Stand!B27,Double!B27))</f>
        <v>-1</v>
      </c>
      <c r="C27">
        <f>IF(Rules!$B$7=Rules!$E$7,MAX(Hit!C27,Stand!C27,Double!C27,Surrender!C27),MAX(Hit!C27,Stand!C27,Double!C27))</f>
        <v>-0.5</v>
      </c>
      <c r="D27">
        <f>IF(Rules!$B$7=Rules!$E$7,MAX(Hit!D27,Stand!D27,Double!D27,Surrender!D27),MAX(Hit!D27,Stand!D27,Double!D27))</f>
        <v>-0.5</v>
      </c>
      <c r="E27">
        <f>IF(Rules!$B$7=Rules!$E$7,MAX(Hit!E27,Stand!E27,Double!E27,Surrender!E27),MAX(Hit!E27,Stand!E27,Double!E27))</f>
        <v>-0.5</v>
      </c>
      <c r="F27">
        <f>IF(Rules!$B$7=Rules!$E$7,MAX(Hit!F27,Stand!F27,Double!F27,Surrender!F27),MAX(Hit!F27,Stand!F27,Double!F27))</f>
        <v>-0.5</v>
      </c>
      <c r="G27">
        <f>IF(Rules!$B$7=Rules!$E$7,MAX(Hit!G27,Stand!G27,Double!G27,Surrender!G27),MAX(Hit!G27,Stand!G27,Double!G27))</f>
        <v>-0.5</v>
      </c>
      <c r="H27">
        <f>IF(Rules!$B$7=Rules!$E$7,MAX(Hit!H27,Stand!H27,Double!H27,Surrender!H27),MAX(Hit!H27,Stand!H27,Double!H27))</f>
        <v>-0.5</v>
      </c>
      <c r="I27">
        <f>IF(Rules!$B$7=Rules!$E$7,MAX(Hit!I27,Stand!I27,Double!I27,Surrender!I27),MAX(Hit!I27,Stand!I27,Double!I27))</f>
        <v>-0.5</v>
      </c>
      <c r="J27">
        <f>IF(Rules!$B$7=Rules!$E$7,MAX(Hit!J27,Stand!J27,Double!J27,Surrender!J27),MAX(Hit!J27,Stand!J27,Double!J27))</f>
        <v>-0.5</v>
      </c>
      <c r="K27">
        <f>IF(Rules!$B$7=Rules!$E$7,MAX(Hit!K27,Stand!K27,Double!K27,Surrender!K27),MAX(Hit!K27,Stand!K27,Double!K27))</f>
        <v>-0.5</v>
      </c>
      <c r="N27" s="31">
        <v>27</v>
      </c>
      <c r="O27" s="31" t="str">
        <f>IF(B27=Surrender!B27,"R",HSD!O27)</f>
        <v>S</v>
      </c>
      <c r="P27" s="31" t="str">
        <f>IF(C27=Surrender!C27,"R",HSD!P27)</f>
        <v>R</v>
      </c>
      <c r="Q27" s="31" t="str">
        <f>IF(D27=Surrender!D27,"R",HSD!Q27)</f>
        <v>R</v>
      </c>
      <c r="R27" s="31" t="str">
        <f>IF(E27=Surrender!E27,"R",HSD!R27)</f>
        <v>R</v>
      </c>
      <c r="S27" s="31" t="str">
        <f>IF(F27=Surrender!F27,"R",HSD!S27)</f>
        <v>R</v>
      </c>
      <c r="T27" s="31" t="str">
        <f>IF(G27=Surrender!G27,"R",HSD!T27)</f>
        <v>R</v>
      </c>
      <c r="U27" s="31" t="str">
        <f>IF(H27=Surrender!H27,"R",HSD!U27)</f>
        <v>R</v>
      </c>
      <c r="V27" s="31" t="str">
        <f>IF(I27=Surrender!I27,"R",HSD!V27)</f>
        <v>R</v>
      </c>
      <c r="W27" s="31" t="str">
        <f>IF(J27=Surrender!J27,"R",HSD!W27)</f>
        <v>R</v>
      </c>
      <c r="X27" s="31" t="str">
        <f>IF(K27=Surrender!K27,"R",HSD!X27)</f>
        <v>R</v>
      </c>
    </row>
    <row r="28" spans="1:24" x14ac:dyDescent="0.2">
      <c r="A28">
        <v>28</v>
      </c>
      <c r="B28">
        <f>IF(AND(Rules!$B$8=Rules!$E$8,Rules!$B$7=Rules!$E$7),MAX(Hit!B28,Stand!B28,Double!B28,Surrender!B28),MAX(Hit!B28,Stand!B28,Double!B28))</f>
        <v>-1</v>
      </c>
      <c r="C28">
        <f>IF(Rules!$B$7=Rules!$E$7,MAX(Hit!C28,Stand!C28,Double!C28,Surrender!C28),MAX(Hit!C28,Stand!C28,Double!C28))</f>
        <v>-0.5</v>
      </c>
      <c r="D28">
        <f>IF(Rules!$B$7=Rules!$E$7,MAX(Hit!D28,Stand!D28,Double!D28,Surrender!D28),MAX(Hit!D28,Stand!D28,Double!D28))</f>
        <v>-0.5</v>
      </c>
      <c r="E28">
        <f>IF(Rules!$B$7=Rules!$E$7,MAX(Hit!E28,Stand!E28,Double!E28,Surrender!E28),MAX(Hit!E28,Stand!E28,Double!E28))</f>
        <v>-0.5</v>
      </c>
      <c r="F28">
        <f>IF(Rules!$B$7=Rules!$E$7,MAX(Hit!F28,Stand!F28,Double!F28,Surrender!F28),MAX(Hit!F28,Stand!F28,Double!F28))</f>
        <v>-0.5</v>
      </c>
      <c r="G28">
        <f>IF(Rules!$B$7=Rules!$E$7,MAX(Hit!G28,Stand!G28,Double!G28,Surrender!G28),MAX(Hit!G28,Stand!G28,Double!G28))</f>
        <v>-0.5</v>
      </c>
      <c r="H28">
        <f>IF(Rules!$B$7=Rules!$E$7,MAX(Hit!H28,Stand!H28,Double!H28,Surrender!H28),MAX(Hit!H28,Stand!H28,Double!H28))</f>
        <v>-0.5</v>
      </c>
      <c r="I28">
        <f>IF(Rules!$B$7=Rules!$E$7,MAX(Hit!I28,Stand!I28,Double!I28,Surrender!I28),MAX(Hit!I28,Stand!I28,Double!I28))</f>
        <v>-0.5</v>
      </c>
      <c r="J28">
        <f>IF(Rules!$B$7=Rules!$E$7,MAX(Hit!J28,Stand!J28,Double!J28,Surrender!J28),MAX(Hit!J28,Stand!J28,Double!J28))</f>
        <v>-0.5</v>
      </c>
      <c r="K28">
        <f>IF(Rules!$B$7=Rules!$E$7,MAX(Hit!K28,Stand!K28,Double!K28,Surrender!K28),MAX(Hit!K28,Stand!K28,Double!K28))</f>
        <v>-0.5</v>
      </c>
      <c r="N28" s="31">
        <v>28</v>
      </c>
      <c r="O28" s="31" t="str">
        <f>IF(B28=Surrender!B28,"R",HSD!O28)</f>
        <v>S</v>
      </c>
      <c r="P28" s="31" t="str">
        <f>IF(C28=Surrender!C28,"R",HSD!P28)</f>
        <v>R</v>
      </c>
      <c r="Q28" s="31" t="str">
        <f>IF(D28=Surrender!D28,"R",HSD!Q28)</f>
        <v>R</v>
      </c>
      <c r="R28" s="31" t="str">
        <f>IF(E28=Surrender!E28,"R",HSD!R28)</f>
        <v>R</v>
      </c>
      <c r="S28" s="31" t="str">
        <f>IF(F28=Surrender!F28,"R",HSD!S28)</f>
        <v>R</v>
      </c>
      <c r="T28" s="31" t="str">
        <f>IF(G28=Surrender!G28,"R",HSD!T28)</f>
        <v>R</v>
      </c>
      <c r="U28" s="31" t="str">
        <f>IF(H28=Surrender!H28,"R",HSD!U28)</f>
        <v>R</v>
      </c>
      <c r="V28" s="31" t="str">
        <f>IF(I28=Surrender!I28,"R",HSD!V28)</f>
        <v>R</v>
      </c>
      <c r="W28" s="31" t="str">
        <f>IF(J28=Surrender!J28,"R",HSD!W28)</f>
        <v>R</v>
      </c>
      <c r="X28" s="31" t="str">
        <f>IF(K28=Surrender!K28,"R",HSD!X28)</f>
        <v>R</v>
      </c>
    </row>
    <row r="29" spans="1:24" x14ac:dyDescent="0.2">
      <c r="A29">
        <v>29</v>
      </c>
      <c r="B29">
        <f>IF(AND(Rules!$B$8=Rules!$E$8,Rules!$B$7=Rules!$E$7),MAX(Hit!B29,Stand!B29,Double!B29,Surrender!B29),MAX(Hit!B29,Stand!B29,Double!B29))</f>
        <v>-1</v>
      </c>
      <c r="C29">
        <f>IF(Rules!$B$7=Rules!$E$7,MAX(Hit!C29,Stand!C29,Double!C29,Surrender!C29),MAX(Hit!C29,Stand!C29,Double!C29))</f>
        <v>-0.5</v>
      </c>
      <c r="D29">
        <f>IF(Rules!$B$7=Rules!$E$7,MAX(Hit!D29,Stand!D29,Double!D29,Surrender!D29),MAX(Hit!D29,Stand!D29,Double!D29))</f>
        <v>-0.5</v>
      </c>
      <c r="E29">
        <f>IF(Rules!$B$7=Rules!$E$7,MAX(Hit!E29,Stand!E29,Double!E29,Surrender!E29),MAX(Hit!E29,Stand!E29,Double!E29))</f>
        <v>-0.5</v>
      </c>
      <c r="F29">
        <f>IF(Rules!$B$7=Rules!$E$7,MAX(Hit!F29,Stand!F29,Double!F29,Surrender!F29),MAX(Hit!F29,Stand!F29,Double!F29))</f>
        <v>-0.5</v>
      </c>
      <c r="G29">
        <f>IF(Rules!$B$7=Rules!$E$7,MAX(Hit!G29,Stand!G29,Double!G29,Surrender!G29),MAX(Hit!G29,Stand!G29,Double!G29))</f>
        <v>-0.5</v>
      </c>
      <c r="H29">
        <f>IF(Rules!$B$7=Rules!$E$7,MAX(Hit!H29,Stand!H29,Double!H29,Surrender!H29),MAX(Hit!H29,Stand!H29,Double!H29))</f>
        <v>-0.5</v>
      </c>
      <c r="I29">
        <f>IF(Rules!$B$7=Rules!$E$7,MAX(Hit!I29,Stand!I29,Double!I29,Surrender!I29),MAX(Hit!I29,Stand!I29,Double!I29))</f>
        <v>-0.5</v>
      </c>
      <c r="J29">
        <f>IF(Rules!$B$7=Rules!$E$7,MAX(Hit!J29,Stand!J29,Double!J29,Surrender!J29),MAX(Hit!J29,Stand!J29,Double!J29))</f>
        <v>-0.5</v>
      </c>
      <c r="K29">
        <f>IF(Rules!$B$7=Rules!$E$7,MAX(Hit!K29,Stand!K29,Double!K29,Surrender!K29),MAX(Hit!K29,Stand!K29,Double!K29))</f>
        <v>-0.5</v>
      </c>
      <c r="N29" s="31">
        <v>29</v>
      </c>
      <c r="O29" s="31" t="str">
        <f>IF(B29=Surrender!B29,"R",HSD!O29)</f>
        <v>S</v>
      </c>
      <c r="P29" s="31" t="str">
        <f>IF(C29=Surrender!C29,"R",HSD!P29)</f>
        <v>R</v>
      </c>
      <c r="Q29" s="31" t="str">
        <f>IF(D29=Surrender!D29,"R",HSD!Q29)</f>
        <v>R</v>
      </c>
      <c r="R29" s="31" t="str">
        <f>IF(E29=Surrender!E29,"R",HSD!R29)</f>
        <v>R</v>
      </c>
      <c r="S29" s="31" t="str">
        <f>IF(F29=Surrender!F29,"R",HSD!S29)</f>
        <v>R</v>
      </c>
      <c r="T29" s="31" t="str">
        <f>IF(G29=Surrender!G29,"R",HSD!T29)</f>
        <v>R</v>
      </c>
      <c r="U29" s="31" t="str">
        <f>IF(H29=Surrender!H29,"R",HSD!U29)</f>
        <v>R</v>
      </c>
      <c r="V29" s="31" t="str">
        <f>IF(I29=Surrender!I29,"R",HSD!V29)</f>
        <v>R</v>
      </c>
      <c r="W29" s="31" t="str">
        <f>IF(J29=Surrender!J29,"R",HSD!W29)</f>
        <v>R</v>
      </c>
      <c r="X29" s="31" t="str">
        <f>IF(K29=Surrender!K29,"R",HSD!X29)</f>
        <v>R</v>
      </c>
    </row>
    <row r="30" spans="1:24" x14ac:dyDescent="0.2">
      <c r="A30">
        <v>30</v>
      </c>
      <c r="B30">
        <f>IF(AND(Rules!$B$8=Rules!$E$8,Rules!$B$7=Rules!$E$7),MAX(Hit!B30,Stand!B30,Double!B30,Surrender!B30),MAX(Hit!B30,Stand!B30,Double!B30))</f>
        <v>-1</v>
      </c>
      <c r="C30">
        <f>IF(Rules!$B$7=Rules!$E$7,MAX(Hit!C30,Stand!C30,Double!C30,Surrender!C30),MAX(Hit!C30,Stand!C30,Double!C30))</f>
        <v>-0.5</v>
      </c>
      <c r="D30">
        <f>IF(Rules!$B$7=Rules!$E$7,MAX(Hit!D30,Stand!D30,Double!D30,Surrender!D30),MAX(Hit!D30,Stand!D30,Double!D30))</f>
        <v>-0.5</v>
      </c>
      <c r="E30">
        <f>IF(Rules!$B$7=Rules!$E$7,MAX(Hit!E30,Stand!E30,Double!E30,Surrender!E30),MAX(Hit!E30,Stand!E30,Double!E30))</f>
        <v>-0.5</v>
      </c>
      <c r="F30">
        <f>IF(Rules!$B$7=Rules!$E$7,MAX(Hit!F30,Stand!F30,Double!F30,Surrender!F30),MAX(Hit!F30,Stand!F30,Double!F30))</f>
        <v>-0.5</v>
      </c>
      <c r="G30">
        <f>IF(Rules!$B$7=Rules!$E$7,MAX(Hit!G30,Stand!G30,Double!G30,Surrender!G30),MAX(Hit!G30,Stand!G30,Double!G30))</f>
        <v>-0.5</v>
      </c>
      <c r="H30">
        <f>IF(Rules!$B$7=Rules!$E$7,MAX(Hit!H30,Stand!H30,Double!H30,Surrender!H30),MAX(Hit!H30,Stand!H30,Double!H30))</f>
        <v>-0.5</v>
      </c>
      <c r="I30">
        <f>IF(Rules!$B$7=Rules!$E$7,MAX(Hit!I30,Stand!I30,Double!I30,Surrender!I30),MAX(Hit!I30,Stand!I30,Double!I30))</f>
        <v>-0.5</v>
      </c>
      <c r="J30">
        <f>IF(Rules!$B$7=Rules!$E$7,MAX(Hit!J30,Stand!J30,Double!J30,Surrender!J30),MAX(Hit!J30,Stand!J30,Double!J30))</f>
        <v>-0.5</v>
      </c>
      <c r="K30">
        <f>IF(Rules!$B$7=Rules!$E$7,MAX(Hit!K30,Stand!K30,Double!K30,Surrender!K30),MAX(Hit!K30,Stand!K30,Double!K30))</f>
        <v>-0.5</v>
      </c>
      <c r="N30" s="31">
        <v>30</v>
      </c>
      <c r="O30" s="31" t="str">
        <f>IF(B30=Surrender!B30,"R",HSD!O30)</f>
        <v>S</v>
      </c>
      <c r="P30" s="31" t="str">
        <f>IF(C30=Surrender!C30,"R",HSD!P30)</f>
        <v>R</v>
      </c>
      <c r="Q30" s="31" t="str">
        <f>IF(D30=Surrender!D30,"R",HSD!Q30)</f>
        <v>R</v>
      </c>
      <c r="R30" s="31" t="str">
        <f>IF(E30=Surrender!E30,"R",HSD!R30)</f>
        <v>R</v>
      </c>
      <c r="S30" s="31" t="str">
        <f>IF(F30=Surrender!F30,"R",HSD!S30)</f>
        <v>R</v>
      </c>
      <c r="T30" s="31" t="str">
        <f>IF(G30=Surrender!G30,"R",HSD!T30)</f>
        <v>R</v>
      </c>
      <c r="U30" s="31" t="str">
        <f>IF(H30=Surrender!H30,"R",HSD!U30)</f>
        <v>R</v>
      </c>
      <c r="V30" s="31" t="str">
        <f>IF(I30=Surrender!I30,"R",HSD!V30)</f>
        <v>R</v>
      </c>
      <c r="W30" s="31" t="str">
        <f>IF(J30=Surrender!J30,"R",HSD!W30)</f>
        <v>R</v>
      </c>
      <c r="X30" s="31" t="str">
        <f>IF(K30=Surrender!K30,"R",HSD!X30)</f>
        <v>R</v>
      </c>
    </row>
    <row r="31" spans="1:24" x14ac:dyDescent="0.2">
      <c r="A31">
        <v>31</v>
      </c>
      <c r="B31">
        <f>IF(AND(Rules!$B$8=Rules!$E$8,Rules!$B$7=Rules!$E$7),MAX(Hit!B31,Stand!B31,Double!B31,Surrender!B31),MAX(Hit!B31,Stand!B31,Double!B31))</f>
        <v>-1</v>
      </c>
      <c r="C31">
        <f>IF(Rules!$B$7=Rules!$E$7,MAX(Hit!C31,Stand!C31,Double!C31,Surrender!C31),MAX(Hit!C31,Stand!C31,Double!C31))</f>
        <v>-0.5</v>
      </c>
      <c r="D31">
        <f>IF(Rules!$B$7=Rules!$E$7,MAX(Hit!D31,Stand!D31,Double!D31,Surrender!D31),MAX(Hit!D31,Stand!D31,Double!D31))</f>
        <v>-0.5</v>
      </c>
      <c r="E31">
        <f>IF(Rules!$B$7=Rules!$E$7,MAX(Hit!E31,Stand!E31,Double!E31,Surrender!E31),MAX(Hit!E31,Stand!E31,Double!E31))</f>
        <v>-0.5</v>
      </c>
      <c r="F31">
        <f>IF(Rules!$B$7=Rules!$E$7,MAX(Hit!F31,Stand!F31,Double!F31,Surrender!F31),MAX(Hit!F31,Stand!F31,Double!F31))</f>
        <v>-0.5</v>
      </c>
      <c r="G31">
        <f>IF(Rules!$B$7=Rules!$E$7,MAX(Hit!G31,Stand!G31,Double!G31,Surrender!G31),MAX(Hit!G31,Stand!G31,Double!G31))</f>
        <v>-0.5</v>
      </c>
      <c r="H31">
        <f>IF(Rules!$B$7=Rules!$E$7,MAX(Hit!H31,Stand!H31,Double!H31,Surrender!H31),MAX(Hit!H31,Stand!H31,Double!H31))</f>
        <v>-0.5</v>
      </c>
      <c r="I31">
        <f>IF(Rules!$B$7=Rules!$E$7,MAX(Hit!I31,Stand!I31,Double!I31,Surrender!I31),MAX(Hit!I31,Stand!I31,Double!I31))</f>
        <v>-0.5</v>
      </c>
      <c r="J31">
        <f>IF(Rules!$B$7=Rules!$E$7,MAX(Hit!J31,Stand!J31,Double!J31,Surrender!J31),MAX(Hit!J31,Stand!J31,Double!J31))</f>
        <v>-0.5</v>
      </c>
      <c r="K31">
        <f>IF(Rules!$B$7=Rules!$E$7,MAX(Hit!K31,Stand!K31,Double!K31,Surrender!K31),MAX(Hit!K31,Stand!K31,Double!K31))</f>
        <v>-0.5</v>
      </c>
      <c r="N31" s="31">
        <v>31</v>
      </c>
      <c r="O31" s="31" t="str">
        <f>IF(B31=Surrender!B31,"R",HSD!O31)</f>
        <v>S</v>
      </c>
      <c r="P31" s="31" t="str">
        <f>IF(C31=Surrender!C31,"R",HSD!P31)</f>
        <v>R</v>
      </c>
      <c r="Q31" s="31" t="str">
        <f>IF(D31=Surrender!D31,"R",HSD!Q31)</f>
        <v>R</v>
      </c>
      <c r="R31" s="31" t="str">
        <f>IF(E31=Surrender!E31,"R",HSD!R31)</f>
        <v>R</v>
      </c>
      <c r="S31" s="31" t="str">
        <f>IF(F31=Surrender!F31,"R",HSD!S31)</f>
        <v>R</v>
      </c>
      <c r="T31" s="31" t="str">
        <f>IF(G31=Surrender!G31,"R",HSD!T31)</f>
        <v>R</v>
      </c>
      <c r="U31" s="31" t="str">
        <f>IF(H31=Surrender!H31,"R",HSD!U31)</f>
        <v>R</v>
      </c>
      <c r="V31" s="31" t="str">
        <f>IF(I31=Surrender!I31,"R",HSD!V31)</f>
        <v>R</v>
      </c>
      <c r="W31" s="31" t="str">
        <f>IF(J31=Surrender!J31,"R",HSD!W31)</f>
        <v>R</v>
      </c>
      <c r="X31" s="31" t="str">
        <f>IF(K31=Surrender!K31,"R",HSD!X31)</f>
        <v>R</v>
      </c>
    </row>
    <row r="33" spans="1:24" x14ac:dyDescent="0.2">
      <c r="A33" t="s">
        <v>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N33" s="31" t="s">
        <v>4</v>
      </c>
      <c r="O33" s="31">
        <v>1</v>
      </c>
      <c r="P33" s="31">
        <v>2</v>
      </c>
      <c r="Q33" s="31">
        <v>3</v>
      </c>
      <c r="R33" s="31">
        <v>4</v>
      </c>
      <c r="S33" s="31">
        <v>5</v>
      </c>
      <c r="T33" s="31">
        <v>6</v>
      </c>
      <c r="U33" s="31">
        <v>7</v>
      </c>
      <c r="V33" s="31">
        <v>8</v>
      </c>
      <c r="W33" s="31">
        <v>9</v>
      </c>
      <c r="X33" s="31">
        <v>10</v>
      </c>
    </row>
    <row r="34" spans="1:24" x14ac:dyDescent="0.2">
      <c r="A34">
        <v>11</v>
      </c>
      <c r="B34">
        <f>IF(AND(Rules!$B$8=Rules!$E$8,Rules!$B$7=Rules!$E$7),MAX(Hit!B34,Stand!B34,Double!B34,Surrender!B34),MAX(Hit!B34,Stand!B34,Double!B34))</f>
        <v>0.29861942370404337</v>
      </c>
      <c r="C34">
        <f>IF(Rules!$B$7=Rules!$E$7,MAX(Hit!C34,Stand!C34,Double!C34,Surrender!C34),MAX(Hit!C34,Stand!C34,Double!C34))</f>
        <v>0.47064092333946894</v>
      </c>
      <c r="D34">
        <f>IF(Rules!$B$7=Rules!$E$7,MAX(Hit!D34,Stand!D34,Double!D34,Surrender!D34),MAX(Hit!D34,Stand!D34,Double!D34))</f>
        <v>0.51779525312221664</v>
      </c>
      <c r="E34">
        <f>IF(Rules!$B$7=Rules!$E$7,MAX(Hit!E34,Stand!E34,Double!E34,Surrender!E34),MAX(Hit!E34,Stand!E34,Double!E34))</f>
        <v>0.56604055041797596</v>
      </c>
      <c r="F34">
        <f>IF(Rules!$B$7=Rules!$E$7,MAX(Hit!F34,Stand!F34,Double!F34,Surrender!F34),MAX(Hit!F34,Stand!F34,Double!F34))</f>
        <v>0.61469901790902803</v>
      </c>
      <c r="G34">
        <f>IF(Rules!$B$7=Rules!$E$7,MAX(Hit!G34,Stand!G34,Double!G34,Surrender!G34),MAX(Hit!G34,Stand!G34,Double!G34))</f>
        <v>0.66738009490756944</v>
      </c>
      <c r="H34">
        <f>IF(Rules!$B$7=Rules!$E$7,MAX(Hit!H34,Stand!H34,Double!H34,Surrender!H34),MAX(Hit!H34,Stand!H34,Double!H34))</f>
        <v>0.46288894886429088</v>
      </c>
      <c r="I34">
        <f>IF(Rules!$B$7=Rules!$E$7,MAX(Hit!I34,Stand!I34,Double!I34,Surrender!I34),MAX(Hit!I34,Stand!I34,Double!I34))</f>
        <v>0.40074805174057648</v>
      </c>
      <c r="J34">
        <f>IF(Rules!$B$7=Rules!$E$7,MAX(Hit!J34,Stand!J34,Double!J34,Surrender!J34),MAX(Hit!J34,Stand!J34,Double!J34))</f>
        <v>0.32142328174266549</v>
      </c>
      <c r="K34">
        <f>IF(Rules!$B$7=Rules!$E$7,MAX(Hit!K34,Stand!K34,Double!K34,Surrender!K34),MAX(Hit!K34,Stand!K34,Double!K34))</f>
        <v>0.26400071601402691</v>
      </c>
      <c r="N34" s="31">
        <v>11</v>
      </c>
      <c r="O34" s="31" t="str">
        <f>IF(B34=Surrender!B34,"R",HSD!O34)</f>
        <v>H</v>
      </c>
      <c r="P34" s="31" t="str">
        <f>IF(C34=Surrender!C34,"R",HSD!P34)</f>
        <v>D</v>
      </c>
      <c r="Q34" s="31" t="str">
        <f>IF(D34=Surrender!D34,"R",HSD!Q34)</f>
        <v>D</v>
      </c>
      <c r="R34" s="31" t="str">
        <f>IF(E34=Surrender!E34,"R",HSD!R34)</f>
        <v>D</v>
      </c>
      <c r="S34" s="31" t="str">
        <f>IF(F34=Surrender!F34,"R",HSD!S34)</f>
        <v>D</v>
      </c>
      <c r="T34" s="31" t="str">
        <f>IF(G34=Surrender!G34,"R",HSD!T34)</f>
        <v>D</v>
      </c>
      <c r="U34" s="31" t="str">
        <f>IF(H34=Surrender!H34,"R",HSD!U34)</f>
        <v>D</v>
      </c>
      <c r="V34" s="31" t="str">
        <f>IF(I34=Surrender!I34,"R",HSD!V34)</f>
        <v>H</v>
      </c>
      <c r="W34" s="31" t="str">
        <f>IF(J34=Surrender!J34,"R",HSD!W34)</f>
        <v>H</v>
      </c>
      <c r="X34" s="31" t="str">
        <f>IF(K34=Surrender!K34,"R",HSD!X34)</f>
        <v>H</v>
      </c>
    </row>
    <row r="35" spans="1:24" x14ac:dyDescent="0.2">
      <c r="A35">
        <v>12</v>
      </c>
      <c r="B35">
        <f>IF(AND(Rules!$B$8=Rules!$E$8,Rules!$B$7=Rules!$E$7),MAX(Hit!B35,Stand!B35,Double!B35,Surrender!B35),MAX(Hit!B35,Stand!B35,Double!B35))</f>
        <v>-2.0477877704912145E-2</v>
      </c>
      <c r="C35">
        <f>IF(Rules!$B$7=Rules!$E$7,MAX(Hit!C35,Stand!C35,Double!C35,Surrender!C35),MAX(Hit!C35,Stand!C35,Double!C35))</f>
        <v>8.1836216051656044E-2</v>
      </c>
      <c r="D35">
        <f>IF(Rules!$B$7=Rules!$E$7,MAX(Hit!D35,Stand!D35,Double!D35,Surrender!D35),MAX(Hit!D35,Stand!D35,Double!D35))</f>
        <v>0.10350704654207775</v>
      </c>
      <c r="E35">
        <f>IF(Rules!$B$7=Rules!$E$7,MAX(Hit!E35,Stand!E35,Double!E35,Surrender!E35),MAX(Hit!E35,Stand!E35,Double!E35))</f>
        <v>0.12659562809256977</v>
      </c>
      <c r="F35">
        <f>IF(Rules!$B$7=Rules!$E$7,MAX(Hit!F35,Stand!F35,Double!F35,Surrender!F35),MAX(Hit!F35,Stand!F35,Double!F35))</f>
        <v>0.15648238458465519</v>
      </c>
      <c r="G35">
        <f>IF(Rules!$B$7=Rules!$E$7,MAX(Hit!G35,Stand!G35,Double!G35,Surrender!G35),MAX(Hit!G35,Stand!G35,Double!G35))</f>
        <v>0.18595361333225549</v>
      </c>
      <c r="H35">
        <f>IF(Rules!$B$7=Rules!$E$7,MAX(Hit!H35,Stand!H35,Double!H35,Surrender!H35),MAX(Hit!H35,Stand!H35,Double!H35))</f>
        <v>0.16547293077063496</v>
      </c>
      <c r="I35">
        <f>IF(Rules!$B$7=Rules!$E$7,MAX(Hit!I35,Stand!I35,Double!I35,Surrender!I35),MAX(Hit!I35,Stand!I35,Double!I35))</f>
        <v>9.5115020927032265E-2</v>
      </c>
      <c r="J35">
        <f>IF(Rules!$B$7=Rules!$E$7,MAX(Hit!J35,Stand!J35,Double!J35,Surrender!J35),MAX(Hit!J35,Stand!J35,Double!J35))</f>
        <v>6.5790841226914386E-5</v>
      </c>
      <c r="K35">
        <f>IF(Rules!$B$7=Rules!$E$7,MAX(Hit!K35,Stand!K35,Double!K35,Surrender!K35),MAX(Hit!K35,Stand!K35,Double!K35))</f>
        <v>-7.0002397357964694E-2</v>
      </c>
      <c r="N35" s="31">
        <v>12</v>
      </c>
      <c r="O35" s="31" t="str">
        <f>IF(B35=Surrender!B35,"R",HSD!O35)</f>
        <v>H</v>
      </c>
      <c r="P35" s="31" t="str">
        <f>IF(C35=Surrender!C35,"R",HSD!P35)</f>
        <v>H</v>
      </c>
      <c r="Q35" s="31" t="str">
        <f>IF(D35=Surrender!D35,"R",HSD!Q35)</f>
        <v>H</v>
      </c>
      <c r="R35" s="31" t="str">
        <f>IF(E35=Surrender!E35,"R",HSD!R35)</f>
        <v>H</v>
      </c>
      <c r="S35" s="31" t="str">
        <f>IF(F35=Surrender!F35,"R",HSD!S35)</f>
        <v>H</v>
      </c>
      <c r="T35" s="31" t="str">
        <f>IF(G35=Surrender!G35,"R",HSD!T35)</f>
        <v>H</v>
      </c>
      <c r="U35" s="31" t="str">
        <f>IF(H35=Surrender!H35,"R",HSD!U35)</f>
        <v>H</v>
      </c>
      <c r="V35" s="31" t="str">
        <f>IF(I35=Surrender!I35,"R",HSD!V35)</f>
        <v>H</v>
      </c>
      <c r="W35" s="31" t="str">
        <f>IF(J35=Surrender!J35,"R",HSD!W35)</f>
        <v>H</v>
      </c>
      <c r="X35" s="31" t="str">
        <f>IF(K35=Surrender!K35,"R",HSD!X35)</f>
        <v>H</v>
      </c>
    </row>
    <row r="36" spans="1:24" x14ac:dyDescent="0.2">
      <c r="A36">
        <v>13</v>
      </c>
      <c r="B36">
        <f>IF(AND(Rules!$B$8=Rules!$E$8,Rules!$B$7=Rules!$E$7),MAX(Hit!B36,Stand!B36,Double!B36,Surrender!B36),MAX(Hit!B36,Stand!B36,Double!B36))</f>
        <v>-5.7308046666810254E-2</v>
      </c>
      <c r="C36">
        <f>IF(Rules!$B$7=Rules!$E$7,MAX(Hit!C36,Stand!C36,Double!C36,Surrender!C36),MAX(Hit!C36,Stand!C36,Double!C36))</f>
        <v>4.6636132695309578E-2</v>
      </c>
      <c r="D36">
        <f>IF(Rules!$B$7=Rules!$E$7,MAX(Hit!D36,Stand!D36,Double!D36,Surrender!D36),MAX(Hit!D36,Stand!D36,Double!D36))</f>
        <v>7.4118813392744051E-2</v>
      </c>
      <c r="E36">
        <f>IF(Rules!$B$7=Rules!$E$7,MAX(Hit!E36,Stand!E36,Double!E36,Surrender!E36),MAX(Hit!E36,Stand!E36,Double!E36))</f>
        <v>0.10247714687203523</v>
      </c>
      <c r="F36">
        <f>IF(Rules!$B$7=Rules!$E$7,MAX(Hit!F36,Stand!F36,Double!F36,Surrender!F36),MAX(Hit!F36,Stand!F36,Double!F36))</f>
        <v>0.13336273848321728</v>
      </c>
      <c r="G36">
        <f>IF(Rules!$B$7=Rules!$E$7,MAX(Hit!G36,Stand!G36,Double!G36,Surrender!G36),MAX(Hit!G36,Stand!G36,Double!G36))</f>
        <v>0.17974820582791512</v>
      </c>
      <c r="H36">
        <f>IF(Rules!$B$7=Rules!$E$7,MAX(Hit!H36,Stand!H36,Double!H36,Surrender!H36),MAX(Hit!H36,Stand!H36,Double!H36))</f>
        <v>0.12238569517899196</v>
      </c>
      <c r="I36">
        <f>IF(Rules!$B$7=Rules!$E$7,MAX(Hit!I36,Stand!I36,Double!I36,Surrender!I36),MAX(Hit!I36,Stand!I36,Double!I36))</f>
        <v>5.4057070196311299E-2</v>
      </c>
      <c r="J36">
        <f>IF(Rules!$B$7=Rules!$E$7,MAX(Hit!J36,Stand!J36,Double!J36,Surrender!J36),MAX(Hit!J36,Stand!J36,Double!J36))</f>
        <v>-3.7694688127479885E-2</v>
      </c>
      <c r="K36">
        <f>IF(Rules!$B$7=Rules!$E$7,MAX(Hit!K36,Stand!K36,Double!K36,Surrender!K36),MAX(Hit!K36,Stand!K36,Double!K36))</f>
        <v>-0.10485135840627779</v>
      </c>
      <c r="N36" s="31">
        <v>13</v>
      </c>
      <c r="O36" s="31" t="str">
        <f>IF(B36=Surrender!B36,"R",HSD!O36)</f>
        <v>H</v>
      </c>
      <c r="P36" s="31" t="str">
        <f>IF(C36=Surrender!C36,"R",HSD!P36)</f>
        <v>H</v>
      </c>
      <c r="Q36" s="31" t="str">
        <f>IF(D36=Surrender!D36,"R",HSD!Q36)</f>
        <v>H</v>
      </c>
      <c r="R36" s="31" t="str">
        <f>IF(E36=Surrender!E36,"R",HSD!R36)</f>
        <v>H</v>
      </c>
      <c r="S36" s="31" t="str">
        <f>IF(F36=Surrender!F36,"R",HSD!S36)</f>
        <v>H</v>
      </c>
      <c r="T36" s="31" t="str">
        <f>IF(G36=Surrender!G36,"R",HSD!T36)</f>
        <v>D</v>
      </c>
      <c r="U36" s="31" t="str">
        <f>IF(H36=Surrender!H36,"R",HSD!U36)</f>
        <v>H</v>
      </c>
      <c r="V36" s="31" t="str">
        <f>IF(I36=Surrender!I36,"R",HSD!V36)</f>
        <v>H</v>
      </c>
      <c r="W36" s="31" t="str">
        <f>IF(J36=Surrender!J36,"R",HSD!W36)</f>
        <v>H</v>
      </c>
      <c r="X36" s="31" t="str">
        <f>IF(K36=Surrender!K36,"R",HSD!X36)</f>
        <v>H</v>
      </c>
    </row>
    <row r="37" spans="1:24" x14ac:dyDescent="0.2">
      <c r="A37">
        <v>14</v>
      </c>
      <c r="B37">
        <f>IF(AND(Rules!$B$8=Rules!$E$8,Rules!$B$7=Rules!$E$7),MAX(Hit!B37,Stand!B37,Double!B37,Surrender!B37),MAX(Hit!B37,Stand!B37,Double!B37))</f>
        <v>-9.3874324768310105E-2</v>
      </c>
      <c r="C37">
        <f>IF(Rules!$B$7=Rules!$E$7,MAX(Hit!C37,Stand!C37,Double!C37,Surrender!C37),MAX(Hit!C37,Stand!C37,Double!C37))</f>
        <v>2.2391856987839083E-2</v>
      </c>
      <c r="D37">
        <f>IF(Rules!$B$7=Rules!$E$7,MAX(Hit!D37,Stand!D37,Double!D37,Surrender!D37),MAX(Hit!D37,Stand!D37,Double!D37))</f>
        <v>5.0806738919282814E-2</v>
      </c>
      <c r="E37">
        <f>IF(Rules!$B$7=Rules!$E$7,MAX(Hit!E37,Stand!E37,Double!E37,Surrender!E37),MAX(Hit!E37,Stand!E37,Double!E37))</f>
        <v>8.0081414310110233E-2</v>
      </c>
      <c r="F37">
        <f>IF(Rules!$B$7=Rules!$E$7,MAX(Hit!F37,Stand!F37,Double!F37,Surrender!F37),MAX(Hit!F37,Stand!F37,Double!F37))</f>
        <v>0.12595448524867925</v>
      </c>
      <c r="G37">
        <f>IF(Rules!$B$7=Rules!$E$7,MAX(Hit!G37,Stand!G37,Double!G37,Surrender!G37),MAX(Hit!G37,Stand!G37,Double!G37))</f>
        <v>0.17974820582791512</v>
      </c>
      <c r="H37">
        <f>IF(Rules!$B$7=Rules!$E$7,MAX(Hit!H37,Stand!H37,Double!H37,Surrender!H37),MAX(Hit!H37,Stand!H37,Double!H37))</f>
        <v>7.9507488494468148E-2</v>
      </c>
      <c r="I37">
        <f>IF(Rules!$B$7=Rules!$E$7,MAX(Hit!I37,Stand!I37,Double!I37,Surrender!I37),MAX(Hit!I37,Stand!I37,Double!I37))</f>
        <v>1.3277219463208444E-2</v>
      </c>
      <c r="J37">
        <f>IF(Rules!$B$7=Rules!$E$7,MAX(Hit!J37,Stand!J37,Double!J37,Surrender!J37),MAX(Hit!J37,Stand!J37,Double!J37))</f>
        <v>-7.516318944168382E-2</v>
      </c>
      <c r="K37">
        <f>IF(Rules!$B$7=Rules!$E$7,MAX(Hit!K37,Stand!K37,Double!K37,Surrender!K37),MAX(Hit!K37,Stand!K37,Double!K37))</f>
        <v>-0.13946678217545452</v>
      </c>
      <c r="N37" s="31">
        <v>14</v>
      </c>
      <c r="O37" s="31" t="str">
        <f>IF(B37=Surrender!B37,"R",HSD!O37)</f>
        <v>H</v>
      </c>
      <c r="P37" s="31" t="str">
        <f>IF(C37=Surrender!C37,"R",HSD!P37)</f>
        <v>H</v>
      </c>
      <c r="Q37" s="31" t="str">
        <f>IF(D37=Surrender!D37,"R",HSD!Q37)</f>
        <v>H</v>
      </c>
      <c r="R37" s="31" t="str">
        <f>IF(E37=Surrender!E37,"R",HSD!R37)</f>
        <v>H</v>
      </c>
      <c r="S37" s="31" t="str">
        <f>IF(F37=Surrender!F37,"R",HSD!S37)</f>
        <v>D</v>
      </c>
      <c r="T37" s="31" t="str">
        <f>IF(G37=Surrender!G37,"R",HSD!T37)</f>
        <v>D</v>
      </c>
      <c r="U37" s="31" t="str">
        <f>IF(H37=Surrender!H37,"R",HSD!U37)</f>
        <v>H</v>
      </c>
      <c r="V37" s="31" t="str">
        <f>IF(I37=Surrender!I37,"R",HSD!V37)</f>
        <v>H</v>
      </c>
      <c r="W37" s="31" t="str">
        <f>IF(J37=Surrender!J37,"R",HSD!W37)</f>
        <v>H</v>
      </c>
      <c r="X37" s="31" t="str">
        <f>IF(K37=Surrender!K37,"R",HSD!X37)</f>
        <v>H</v>
      </c>
    </row>
    <row r="38" spans="1:24" x14ac:dyDescent="0.2">
      <c r="A38">
        <v>15</v>
      </c>
      <c r="B38">
        <f>IF(AND(Rules!$B$8=Rules!$E$8,Rules!$B$7=Rules!$E$7),MAX(Hit!B38,Stand!B38,Double!B38,Surrender!B38),MAX(Hit!B38,Stand!B38,Double!B38))</f>
        <v>-0.13002650167843849</v>
      </c>
      <c r="C38">
        <f>IF(Rules!$B$7=Rules!$E$7,MAX(Hit!C38,Stand!C38,Double!C38,Surrender!C38),MAX(Hit!C38,Stand!C38,Double!C38))</f>
        <v>-1.2068474052636583E-4</v>
      </c>
      <c r="D38">
        <f>IF(Rules!$B$7=Rules!$E$7,MAX(Hit!D38,Stand!D38,Double!D38,Surrender!D38),MAX(Hit!D38,Stand!D38,Double!D38))</f>
        <v>2.9159812622497363E-2</v>
      </c>
      <c r="E38">
        <f>IF(Rules!$B$7=Rules!$E$7,MAX(Hit!E38,Stand!E38,Double!E38,Surrender!E38),MAX(Hit!E38,Stand!E38,Double!E38))</f>
        <v>5.9285376931179926E-2</v>
      </c>
      <c r="F38">
        <f>IF(Rules!$B$7=Rules!$E$7,MAX(Hit!F38,Stand!F38,Double!F38,Surrender!F38),MAX(Hit!F38,Stand!F38,Double!F38))</f>
        <v>0.12595448524867925</v>
      </c>
      <c r="G38">
        <f>IF(Rules!$B$7=Rules!$E$7,MAX(Hit!G38,Stand!G38,Double!G38,Surrender!G38),MAX(Hit!G38,Stand!G38,Double!G38))</f>
        <v>0.17974820582791512</v>
      </c>
      <c r="H38">
        <f>IF(Rules!$B$7=Rules!$E$7,MAX(Hit!H38,Stand!H38,Double!H38,Surrender!H38),MAX(Hit!H38,Stand!H38,Double!H38))</f>
        <v>3.7028282279269235E-2</v>
      </c>
      <c r="I38">
        <f>IF(Rules!$B$7=Rules!$E$7,MAX(Hit!I38,Stand!I38,Double!I38,Surrender!I38),MAX(Hit!I38,Stand!I38,Double!I38))</f>
        <v>-2.7054780502901672E-2</v>
      </c>
      <c r="J38">
        <f>IF(Rules!$B$7=Rules!$E$7,MAX(Hit!J38,Stand!J38,Double!J38,Surrender!J38),MAX(Hit!J38,Stand!J38,Double!J38))</f>
        <v>-0.11218876868994289</v>
      </c>
      <c r="K38">
        <f>IF(Rules!$B$7=Rules!$E$7,MAX(Hit!K38,Stand!K38,Double!K38,Surrender!K38),MAX(Hit!K38,Stand!K38,Double!K38))</f>
        <v>-0.17370423031226784</v>
      </c>
      <c r="N38" s="31">
        <v>15</v>
      </c>
      <c r="O38" s="31" t="str">
        <f>IF(B38=Surrender!B38,"R",HSD!O38)</f>
        <v>H</v>
      </c>
      <c r="P38" s="31" t="str">
        <f>IF(C38=Surrender!C38,"R",HSD!P38)</f>
        <v>H</v>
      </c>
      <c r="Q38" s="31" t="str">
        <f>IF(D38=Surrender!D38,"R",HSD!Q38)</f>
        <v>H</v>
      </c>
      <c r="R38" s="31" t="str">
        <f>IF(E38=Surrender!E38,"R",HSD!R38)</f>
        <v>H</v>
      </c>
      <c r="S38" s="31" t="str">
        <f>IF(F38=Surrender!F38,"R",HSD!S38)</f>
        <v>D</v>
      </c>
      <c r="T38" s="31" t="str">
        <f>IF(G38=Surrender!G38,"R",HSD!T38)</f>
        <v>D</v>
      </c>
      <c r="U38" s="31" t="str">
        <f>IF(H38=Surrender!H38,"R",HSD!U38)</f>
        <v>H</v>
      </c>
      <c r="V38" s="31" t="str">
        <f>IF(I38=Surrender!I38,"R",HSD!V38)</f>
        <v>H</v>
      </c>
      <c r="W38" s="31" t="str">
        <f>IF(J38=Surrender!J38,"R",HSD!W38)</f>
        <v>H</v>
      </c>
      <c r="X38" s="31" t="str">
        <f>IF(K38=Surrender!K38,"R",HSD!X38)</f>
        <v>H</v>
      </c>
    </row>
    <row r="39" spans="1:24" x14ac:dyDescent="0.2">
      <c r="A39">
        <v>16</v>
      </c>
      <c r="B39">
        <f>IF(AND(Rules!$B$8=Rules!$E$8,Rules!$B$7=Rules!$E$7),MAX(Hit!B39,Stand!B39,Double!B39,Surrender!B39),MAX(Hit!B39,Stand!B39,Double!B39))</f>
        <v>-0.16563717206687348</v>
      </c>
      <c r="C39">
        <f>IF(Rules!$B$7=Rules!$E$7,MAX(Hit!C39,Stand!C39,Double!C39,Surrender!C39),MAX(Hit!C39,Stand!C39,Double!C39))</f>
        <v>-2.1025187774008566E-2</v>
      </c>
      <c r="D39">
        <f>IF(Rules!$B$7=Rules!$E$7,MAX(Hit!D39,Stand!D39,Double!D39,Surrender!D39),MAX(Hit!D39,Stand!D39,Double!D39))</f>
        <v>9.0590953469108244E-3</v>
      </c>
      <c r="E39">
        <f>IF(Rules!$B$7=Rules!$E$7,MAX(Hit!E39,Stand!E39,Double!E39,Surrender!E39),MAX(Hit!E39,Stand!E39,Double!E39))</f>
        <v>5.8426518743744951E-2</v>
      </c>
      <c r="F39">
        <f>IF(Rules!$B$7=Rules!$E$7,MAX(Hit!F39,Stand!F39,Double!F39,Surrender!F39),MAX(Hit!F39,Stand!F39,Double!F39))</f>
        <v>0.12595448524867925</v>
      </c>
      <c r="G39">
        <f>IF(Rules!$B$7=Rules!$E$7,MAX(Hit!G39,Stand!G39,Double!G39,Surrender!G39),MAX(Hit!G39,Stand!G39,Double!G39))</f>
        <v>0.17974820582791512</v>
      </c>
      <c r="H39">
        <f>IF(Rules!$B$7=Rules!$E$7,MAX(Hit!H39,Stand!H39,Double!H39,Surrender!H39),MAX(Hit!H39,Stand!H39,Double!H39))</f>
        <v>-4.8901571730158942E-3</v>
      </c>
      <c r="I39">
        <f>IF(Rules!$B$7=Rules!$E$7,MAX(Hit!I39,Stand!I39,Double!I39,Surrender!I39),MAX(Hit!I39,Stand!I39,Double!I39))</f>
        <v>-6.6794847920094103E-2</v>
      </c>
      <c r="J39">
        <f>IF(Rules!$B$7=Rules!$E$7,MAX(Hit!J39,Stand!J39,Double!J39,Surrender!J39),MAX(Hit!J39,Stand!J39,Double!J39))</f>
        <v>-0.14864353463007471</v>
      </c>
      <c r="K39">
        <f>IF(Rules!$B$7=Rules!$E$7,MAX(Hit!K39,Stand!K39,Double!K39,Surrender!K39),MAX(Hit!K39,Stand!K39,Double!K39))</f>
        <v>-0.20744109003068206</v>
      </c>
      <c r="N39" s="31">
        <v>16</v>
      </c>
      <c r="O39" s="31" t="str">
        <f>IF(B39=Surrender!B39,"R",HSD!O39)</f>
        <v>H</v>
      </c>
      <c r="P39" s="31" t="str">
        <f>IF(C39=Surrender!C39,"R",HSD!P39)</f>
        <v>H</v>
      </c>
      <c r="Q39" s="31" t="str">
        <f>IF(D39=Surrender!D39,"R",HSD!Q39)</f>
        <v>H</v>
      </c>
      <c r="R39" s="31" t="str">
        <f>IF(E39=Surrender!E39,"R",HSD!R39)</f>
        <v>D</v>
      </c>
      <c r="S39" s="31" t="str">
        <f>IF(F39=Surrender!F39,"R",HSD!S39)</f>
        <v>D</v>
      </c>
      <c r="T39" s="31" t="str">
        <f>IF(G39=Surrender!G39,"R",HSD!T39)</f>
        <v>D</v>
      </c>
      <c r="U39" s="31" t="str">
        <f>IF(H39=Surrender!H39,"R",HSD!U39)</f>
        <v>H</v>
      </c>
      <c r="V39" s="31" t="str">
        <f>IF(I39=Surrender!I39,"R",HSD!V39)</f>
        <v>H</v>
      </c>
      <c r="W39" s="31" t="str">
        <f>IF(J39=Surrender!J39,"R",HSD!W39)</f>
        <v>H</v>
      </c>
      <c r="X39" s="31" t="str">
        <f>IF(K39=Surrender!K39,"R",HSD!X39)</f>
        <v>H</v>
      </c>
    </row>
    <row r="40" spans="1:24" x14ac:dyDescent="0.2">
      <c r="A40">
        <v>17</v>
      </c>
      <c r="B40">
        <f>IF(AND(Rules!$B$8=Rules!$E$8,Rules!$B$7=Rules!$E$7),MAX(Hit!B40,Stand!B40,Double!B40,Surrender!B40),MAX(Hit!B40,Stand!B40,Double!B40))</f>
        <v>-0.17956936979241733</v>
      </c>
      <c r="C40">
        <f>IF(Rules!$B$7=Rules!$E$7,MAX(Hit!C40,Stand!C40,Double!C40,Surrender!C40),MAX(Hit!C40,Stand!C40,Double!C40))</f>
        <v>-4.9104358288912882E-4</v>
      </c>
      <c r="D40">
        <f>IF(Rules!$B$7=Rules!$E$7,MAX(Hit!D40,Stand!D40,Double!D40,Surrender!D40),MAX(Hit!D40,Stand!D40,Double!D40))</f>
        <v>5.5095284479298338E-2</v>
      </c>
      <c r="E40">
        <f>IF(Rules!$B$7=Rules!$E$7,MAX(Hit!E40,Stand!E40,Double!E40,Surrender!E40),MAX(Hit!E40,Stand!E40,Double!E40))</f>
        <v>0.11865255067432869</v>
      </c>
      <c r="F40">
        <f>IF(Rules!$B$7=Rules!$E$7,MAX(Hit!F40,Stand!F40,Double!F40,Surrender!F40),MAX(Hit!F40,Stand!F40,Double!F40))</f>
        <v>0.18237815537354879</v>
      </c>
      <c r="G40">
        <f>IF(Rules!$B$7=Rules!$E$7,MAX(Hit!G40,Stand!G40,Double!G40,Surrender!G40),MAX(Hit!G40,Stand!G40,Double!G40))</f>
        <v>0.2561042872909981</v>
      </c>
      <c r="H40">
        <f>IF(Rules!$B$7=Rules!$E$7,MAX(Hit!H40,Stand!H40,Double!H40,Surrender!H40),MAX(Hit!H40,Stand!H40,Double!H40))</f>
        <v>5.3823463716116654E-2</v>
      </c>
      <c r="I40">
        <f>IF(Rules!$B$7=Rules!$E$7,MAX(Hit!I40,Stand!I40,Double!I40,Surrender!I40),MAX(Hit!I40,Stand!I40,Double!I40))</f>
        <v>-7.2915398729642075E-2</v>
      </c>
      <c r="J40">
        <f>IF(Rules!$B$7=Rules!$E$7,MAX(Hit!J40,Stand!J40,Double!J40,Surrender!J40),MAX(Hit!J40,Stand!J40,Double!J40))</f>
        <v>-0.1497868921821332</v>
      </c>
      <c r="K40">
        <f>IF(Rules!$B$7=Rules!$E$7,MAX(Hit!K40,Stand!K40,Double!K40,Surrender!K40),MAX(Hit!K40,Stand!K40,Double!K40))</f>
        <v>-0.19686697623363469</v>
      </c>
      <c r="N40" s="31">
        <v>17</v>
      </c>
      <c r="O40" s="31" t="str">
        <f>IF(B40=Surrender!B40,"R",HSD!O40)</f>
        <v>H</v>
      </c>
      <c r="P40" s="31" t="str">
        <f>IF(C40=Surrender!C40,"R",HSD!P40)</f>
        <v>H</v>
      </c>
      <c r="Q40" s="31" t="str">
        <f>IF(D40=Surrender!D40,"R",HSD!Q40)</f>
        <v>D</v>
      </c>
      <c r="R40" s="31" t="str">
        <f>IF(E40=Surrender!E40,"R",HSD!R40)</f>
        <v>D</v>
      </c>
      <c r="S40" s="31" t="str">
        <f>IF(F40=Surrender!F40,"R",HSD!S40)</f>
        <v>D</v>
      </c>
      <c r="T40" s="31" t="str">
        <f>IF(G40=Surrender!G40,"R",HSD!T40)</f>
        <v>D</v>
      </c>
      <c r="U40" s="31" t="str">
        <f>IF(H40=Surrender!H40,"R",HSD!U40)</f>
        <v>H</v>
      </c>
      <c r="V40" s="31" t="str">
        <f>IF(I40=Surrender!I40,"R",HSD!V40)</f>
        <v>H</v>
      </c>
      <c r="W40" s="31" t="str">
        <f>IF(J40=Surrender!J40,"R",HSD!W40)</f>
        <v>H</v>
      </c>
      <c r="X40" s="31" t="str">
        <f>IF(K40=Surrender!K40,"R",HSD!X40)</f>
        <v>H</v>
      </c>
    </row>
    <row r="41" spans="1:24" x14ac:dyDescent="0.2">
      <c r="A41">
        <v>18</v>
      </c>
      <c r="B41">
        <f>IF(AND(Rules!$B$8=Rules!$E$8,Rules!$B$7=Rules!$E$7),MAX(Hit!B41,Stand!B41,Double!B41,Surrender!B41),MAX(Hit!B41,Stand!B41,Double!B41))</f>
        <v>-9.2935491769284034E-2</v>
      </c>
      <c r="C41">
        <f>IF(Rules!$B$7=Rules!$E$7,MAX(Hit!C41,Stand!C41,Double!C41,Surrender!C41),MAX(Hit!C41,Stand!C41,Double!C41))</f>
        <v>0.12174190222088771</v>
      </c>
      <c r="D41">
        <f>IF(Rules!$B$7=Rules!$E$7,MAX(Hit!D41,Stand!D41,Double!D41,Surrender!D41),MAX(Hit!D41,Stand!D41,Double!D41))</f>
        <v>0.17764127567893753</v>
      </c>
      <c r="E41">
        <f>IF(Rules!$B$7=Rules!$E$7,MAX(Hit!E41,Stand!E41,Double!E41,Surrender!E41),MAX(Hit!E41,Stand!E41,Double!E41))</f>
        <v>0.23700384775562167</v>
      </c>
      <c r="F41">
        <f>IF(Rules!$B$7=Rules!$E$7,MAX(Hit!F41,Stand!F41,Double!F41,Surrender!F41),MAX(Hit!F41,Stand!F41,Double!F41))</f>
        <v>0.29522549562328804</v>
      </c>
      <c r="G41">
        <f>IF(Rules!$B$7=Rules!$E$7,MAX(Hit!G41,Stand!G41,Double!G41,Surrender!G41),MAX(Hit!G41,Stand!G41,Double!G41))</f>
        <v>0.38150648207879345</v>
      </c>
      <c r="H41">
        <f>IF(Rules!$B$7=Rules!$E$7,MAX(Hit!H41,Stand!H41,Double!H41,Surrender!H41),MAX(Hit!H41,Stand!H41,Double!H41))</f>
        <v>0.3995541673365518</v>
      </c>
      <c r="I41">
        <f>IF(Rules!$B$7=Rules!$E$7,MAX(Hit!I41,Stand!I41,Double!I41,Surrender!I41),MAX(Hit!I41,Stand!I41,Double!I41))</f>
        <v>0.10595134861912359</v>
      </c>
      <c r="J41">
        <f>IF(Rules!$B$7=Rules!$E$7,MAX(Hit!J41,Stand!J41,Double!J41,Surrender!J41),MAX(Hit!J41,Stand!J41,Double!J41))</f>
        <v>-0.10074430758041522</v>
      </c>
      <c r="K41">
        <f>IF(Rules!$B$7=Rules!$E$7,MAX(Hit!K41,Stand!K41,Double!K41,Surrender!K41),MAX(Hit!K41,Stand!K41,Double!K41))</f>
        <v>-0.14380812317405353</v>
      </c>
      <c r="N41" s="31">
        <v>18</v>
      </c>
      <c r="O41" s="31" t="str">
        <f>IF(B41=Surrender!B41,"R",HSD!O41)</f>
        <v>H</v>
      </c>
      <c r="P41" s="31" t="str">
        <f>IF(C41=Surrender!C41,"R",HSD!P41)</f>
        <v>S</v>
      </c>
      <c r="Q41" s="31" t="str">
        <f>IF(D41=Surrender!D41,"R",HSD!Q41)</f>
        <v>D</v>
      </c>
      <c r="R41" s="31" t="str">
        <f>IF(E41=Surrender!E41,"R",HSD!R41)</f>
        <v>D</v>
      </c>
      <c r="S41" s="31" t="str">
        <f>IF(F41=Surrender!F41,"R",HSD!S41)</f>
        <v>D</v>
      </c>
      <c r="T41" s="31" t="str">
        <f>IF(G41=Surrender!G41,"R",HSD!T41)</f>
        <v>D</v>
      </c>
      <c r="U41" s="31" t="str">
        <f>IF(H41=Surrender!H41,"R",HSD!U41)</f>
        <v>S</v>
      </c>
      <c r="V41" s="31" t="str">
        <f>IF(I41=Surrender!I41,"R",HSD!V41)</f>
        <v>S</v>
      </c>
      <c r="W41" s="31" t="str">
        <f>IF(J41=Surrender!J41,"R",HSD!W41)</f>
        <v>H</v>
      </c>
      <c r="X41" s="31" t="str">
        <f>IF(K41=Surrender!K41,"R",HSD!X41)</f>
        <v>H</v>
      </c>
    </row>
    <row r="42" spans="1:24" x14ac:dyDescent="0.2">
      <c r="A42">
        <v>19</v>
      </c>
      <c r="B42">
        <f>IF(AND(Rules!$B$8=Rules!$E$8,Rules!$B$7=Rules!$E$7),MAX(Hit!B42,Stand!B42,Double!B42,Surrender!B42),MAX(Hit!B42,Stand!B42,Double!B42))</f>
        <v>0.27763572376835594</v>
      </c>
      <c r="C42">
        <f>IF(Rules!$B$7=Rules!$E$7,MAX(Hit!C42,Stand!C42,Double!C42,Surrender!C42),MAX(Hit!C42,Stand!C42,Double!C42))</f>
        <v>0.38630468602058993</v>
      </c>
      <c r="D42">
        <f>IF(Rules!$B$7=Rules!$E$7,MAX(Hit!D42,Stand!D42,Double!D42,Surrender!D42),MAX(Hit!D42,Stand!D42,Double!D42))</f>
        <v>0.4043629365977599</v>
      </c>
      <c r="E42">
        <f>IF(Rules!$B$7=Rules!$E$7,MAX(Hit!E42,Stand!E42,Double!E42,Surrender!E42),MAX(Hit!E42,Stand!E42,Double!E42))</f>
        <v>0.42317892482749653</v>
      </c>
      <c r="F42">
        <f>IF(Rules!$B$7=Rules!$E$7,MAX(Hit!F42,Stand!F42,Double!F42,Surrender!F42),MAX(Hit!F42,Stand!F42,Double!F42))</f>
        <v>0.43951210416088371</v>
      </c>
      <c r="G42">
        <f>IF(Rules!$B$7=Rules!$E$7,MAX(Hit!G42,Stand!G42,Double!G42,Surrender!G42),MAX(Hit!G42,Stand!G42,Double!G42))</f>
        <v>0.49597707378731914</v>
      </c>
      <c r="H42">
        <f>IF(Rules!$B$7=Rules!$E$7,MAX(Hit!H42,Stand!H42,Double!H42,Surrender!H42),MAX(Hit!H42,Stand!H42,Double!H42))</f>
        <v>0.6159764957534315</v>
      </c>
      <c r="I42">
        <f>IF(Rules!$B$7=Rules!$E$7,MAX(Hit!I42,Stand!I42,Double!I42,Surrender!I42),MAX(Hit!I42,Stand!I42,Double!I42))</f>
        <v>0.59385366828669439</v>
      </c>
      <c r="J42">
        <f>IF(Rules!$B$7=Rules!$E$7,MAX(Hit!J42,Stand!J42,Double!J42,Surrender!J42),MAX(Hit!J42,Stand!J42,Double!J42))</f>
        <v>0.28759675706758148</v>
      </c>
      <c r="K42">
        <f>IF(Rules!$B$7=Rules!$E$7,MAX(Hit!K42,Stand!K42,Double!K42,Surrender!K42),MAX(Hit!K42,Stand!K42,Double!K42))</f>
        <v>6.3118166335840831E-2</v>
      </c>
      <c r="N42" s="31">
        <v>19</v>
      </c>
      <c r="O42" s="31" t="str">
        <f>IF(B42=Surrender!B42,"R",HSD!O42)</f>
        <v>S</v>
      </c>
      <c r="P42" s="31" t="str">
        <f>IF(C42=Surrender!C42,"R",HSD!P42)</f>
        <v>S</v>
      </c>
      <c r="Q42" s="31" t="str">
        <f>IF(D42=Surrender!D42,"R",HSD!Q42)</f>
        <v>S</v>
      </c>
      <c r="R42" s="31" t="str">
        <f>IF(E42=Surrender!E42,"R",HSD!R42)</f>
        <v>S</v>
      </c>
      <c r="S42" s="31" t="str">
        <f>IF(F42=Surrender!F42,"R",HSD!S42)</f>
        <v>S</v>
      </c>
      <c r="T42" s="31" t="str">
        <f>IF(G42=Surrender!G42,"R",HSD!T42)</f>
        <v>S</v>
      </c>
      <c r="U42" s="31" t="str">
        <f>IF(H42=Surrender!H42,"R",HSD!U42)</f>
        <v>S</v>
      </c>
      <c r="V42" s="31" t="str">
        <f>IF(I42=Surrender!I42,"R",HSD!V42)</f>
        <v>S</v>
      </c>
      <c r="W42" s="31" t="str">
        <f>IF(J42=Surrender!J42,"R",HSD!W42)</f>
        <v>S</v>
      </c>
      <c r="X42" s="31" t="str">
        <f>IF(K42=Surrender!K42,"R",HSD!X42)</f>
        <v>S</v>
      </c>
    </row>
    <row r="43" spans="1:24" x14ac:dyDescent="0.2">
      <c r="A43">
        <v>20</v>
      </c>
      <c r="B43">
        <f>IF(AND(Rules!$B$8=Rules!$E$8,Rules!$B$7=Rules!$E$7),MAX(Hit!B43,Stand!B43,Double!B43,Surrender!B43),MAX(Hit!B43,Stand!B43,Double!B43))</f>
        <v>0.65547032314990239</v>
      </c>
      <c r="C43">
        <f>IF(Rules!$B$7=Rules!$E$7,MAX(Hit!C43,Stand!C43,Double!C43,Surrender!C43),MAX(Hit!C43,Stand!C43,Double!C43))</f>
        <v>0.63998657521683877</v>
      </c>
      <c r="D43">
        <f>IF(Rules!$B$7=Rules!$E$7,MAX(Hit!D43,Stand!D43,Double!D43,Surrender!D43),MAX(Hit!D43,Stand!D43,Double!D43))</f>
        <v>0.65027209425148136</v>
      </c>
      <c r="E43">
        <f>IF(Rules!$B$7=Rules!$E$7,MAX(Hit!E43,Stand!E43,Double!E43,Surrender!E43),MAX(Hit!E43,Stand!E43,Double!E43))</f>
        <v>0.66104996194807186</v>
      </c>
      <c r="F43">
        <f>IF(Rules!$B$7=Rules!$E$7,MAX(Hit!F43,Stand!F43,Double!F43,Surrender!F43),MAX(Hit!F43,Stand!F43,Double!F43))</f>
        <v>0.67035969063279999</v>
      </c>
      <c r="G43">
        <f>IF(Rules!$B$7=Rules!$E$7,MAX(Hit!G43,Stand!G43,Double!G43,Surrender!G43),MAX(Hit!G43,Stand!G43,Double!G43))</f>
        <v>0.70395857017134467</v>
      </c>
      <c r="H43">
        <f>IF(Rules!$B$7=Rules!$E$7,MAX(Hit!H43,Stand!H43,Double!H43,Surrender!H43),MAX(Hit!H43,Stand!H43,Double!H43))</f>
        <v>0.77322722653717491</v>
      </c>
      <c r="I43">
        <f>IF(Rules!$B$7=Rules!$E$7,MAX(Hit!I43,Stand!I43,Double!I43,Surrender!I43),MAX(Hit!I43,Stand!I43,Double!I43))</f>
        <v>0.79181515955189841</v>
      </c>
      <c r="J43">
        <f>IF(Rules!$B$7=Rules!$E$7,MAX(Hit!J43,Stand!J43,Double!J43,Surrender!J43),MAX(Hit!J43,Stand!J43,Double!J43))</f>
        <v>0.75835687080859626</v>
      </c>
      <c r="K43">
        <f>IF(Rules!$B$7=Rules!$E$7,MAX(Hit!K43,Stand!K43,Double!K43,Surrender!K43),MAX(Hit!K43,Stand!K43,Double!K43))</f>
        <v>0.55453756646817121</v>
      </c>
      <c r="N43" s="31">
        <v>20</v>
      </c>
      <c r="O43" s="31" t="str">
        <f>IF(B43=Surrender!B43,"R",HSD!O43)</f>
        <v>S</v>
      </c>
      <c r="P43" s="31" t="str">
        <f>IF(C43=Surrender!C43,"R",HSD!P43)</f>
        <v>S</v>
      </c>
      <c r="Q43" s="31" t="str">
        <f>IF(D43=Surrender!D43,"R",HSD!Q43)</f>
        <v>S</v>
      </c>
      <c r="R43" s="31" t="str">
        <f>IF(E43=Surrender!E43,"R",HSD!R43)</f>
        <v>S</v>
      </c>
      <c r="S43" s="31" t="str">
        <f>IF(F43=Surrender!F43,"R",HSD!S43)</f>
        <v>S</v>
      </c>
      <c r="T43" s="31" t="str">
        <f>IF(G43=Surrender!G43,"R",HSD!T43)</f>
        <v>S</v>
      </c>
      <c r="U43" s="31" t="str">
        <f>IF(H43=Surrender!H43,"R",HSD!U43)</f>
        <v>S</v>
      </c>
      <c r="V43" s="31" t="str">
        <f>IF(I43=Surrender!I43,"R",HSD!V43)</f>
        <v>S</v>
      </c>
      <c r="W43" s="31" t="str">
        <f>IF(J43=Surrender!J43,"R",HSD!W43)</f>
        <v>S</v>
      </c>
      <c r="X43" s="31" t="str">
        <f>IF(K43=Surrender!K43,"R",HSD!X43)</f>
        <v>S</v>
      </c>
    </row>
    <row r="44" spans="1:24" x14ac:dyDescent="0.2">
      <c r="A44">
        <v>21</v>
      </c>
      <c r="B44">
        <f>IF(AND(Rules!$B$8=Rules!$E$8,Rules!$B$7=Rules!$E$7),MAX(Hit!B44,Stand!B44,Double!B44,Surrender!B44),MAX(Hit!B44,Stand!B44,Double!B44))</f>
        <v>0.92219381142033785</v>
      </c>
      <c r="C44">
        <f>IF(Rules!$B$7=Rules!$E$7,MAX(Hit!C44,Stand!C44,Double!C44,Surrender!C44),MAX(Hit!C44,Stand!C44,Double!C44))</f>
        <v>0.88200651549403997</v>
      </c>
      <c r="D44">
        <f>IF(Rules!$B$7=Rules!$E$7,MAX(Hit!D44,Stand!D44,Double!D44,Surrender!D44),MAX(Hit!D44,Stand!D44,Double!D44))</f>
        <v>0.88530035730174927</v>
      </c>
      <c r="E44">
        <f>IF(Rules!$B$7=Rules!$E$7,MAX(Hit!E44,Stand!E44,Double!E44,Surrender!E44),MAX(Hit!E44,Stand!E44,Double!E44))</f>
        <v>0.88876729296591961</v>
      </c>
      <c r="F44">
        <f>IF(Rules!$B$7=Rules!$E$7,MAX(Hit!F44,Stand!F44,Double!F44,Surrender!F44),MAX(Hit!F44,Stand!F44,Double!F44))</f>
        <v>0.89175382659528035</v>
      </c>
      <c r="G44">
        <f>IF(Rules!$B$7=Rules!$E$7,MAX(Hit!G44,Stand!G44,Double!G44,Surrender!G44),MAX(Hit!G44,Stand!G44,Double!G44))</f>
        <v>0.90283674384257995</v>
      </c>
      <c r="H44">
        <f>IF(Rules!$B$7=Rules!$E$7,MAX(Hit!H44,Stand!H44,Double!H44,Surrender!H44),MAX(Hit!H44,Stand!H44,Double!H44))</f>
        <v>0.92592629596452325</v>
      </c>
      <c r="I44">
        <f>IF(Rules!$B$7=Rules!$E$7,MAX(Hit!I44,Stand!I44,Double!I44,Surrender!I44),MAX(Hit!I44,Stand!I44,Double!I44))</f>
        <v>0.93060505318396614</v>
      </c>
      <c r="J44">
        <f>IF(Rules!$B$7=Rules!$E$7,MAX(Hit!J44,Stand!J44,Double!J44,Surrender!J44),MAX(Hit!J44,Stand!J44,Double!J44))</f>
        <v>0.93917615614724415</v>
      </c>
      <c r="K44">
        <f>IF(Rules!$B$7=Rules!$E$7,MAX(Hit!K44,Stand!K44,Double!K44,Surrender!K44),MAX(Hit!K44,Stand!K44,Double!K44))</f>
        <v>0.96262363326716827</v>
      </c>
      <c r="N44" s="31">
        <v>21</v>
      </c>
      <c r="O44" s="31" t="str">
        <f>IF(B44=Surrender!B44,"R",HSD!O44)</f>
        <v>S</v>
      </c>
      <c r="P44" s="31" t="str">
        <f>IF(C44=Surrender!C44,"R",HSD!P44)</f>
        <v>S</v>
      </c>
      <c r="Q44" s="31" t="str">
        <f>IF(D44=Surrender!D44,"R",HSD!Q44)</f>
        <v>S</v>
      </c>
      <c r="R44" s="31" t="str">
        <f>IF(E44=Surrender!E44,"R",HSD!R44)</f>
        <v>S</v>
      </c>
      <c r="S44" s="31" t="str">
        <f>IF(F44=Surrender!F44,"R",HSD!S44)</f>
        <v>S</v>
      </c>
      <c r="T44" s="31" t="str">
        <f>IF(G44=Surrender!G44,"R",HSD!T44)</f>
        <v>S</v>
      </c>
      <c r="U44" s="31" t="str">
        <f>IF(H44=Surrender!H44,"R",HSD!U44)</f>
        <v>S</v>
      </c>
      <c r="V44" s="31" t="str">
        <f>IF(I44=Surrender!I44,"R",HSD!V44)</f>
        <v>S</v>
      </c>
      <c r="W44" s="31" t="str">
        <f>IF(J44=Surrender!J44,"R",HSD!W44)</f>
        <v>S</v>
      </c>
      <c r="X44" s="31" t="str">
        <f>IF(K44=Surrender!K44,"R",HSD!X44)</f>
        <v>S</v>
      </c>
    </row>
    <row r="45" spans="1:24" x14ac:dyDescent="0.2">
      <c r="A45">
        <v>22</v>
      </c>
      <c r="B45">
        <f>IF(AND(Rules!$B$8=Rules!$E$8,Rules!$B$7=Rules!$E$7),MAX(Hit!B45,Stand!B45,Double!B45,Surrender!B45),MAX(Hit!B45,Stand!B45,Double!B45))</f>
        <v>-0.35054034044008009</v>
      </c>
      <c r="C45">
        <f>IF(Rules!$B$7=Rules!$E$7,MAX(Hit!C45,Stand!C45,Double!C45,Surrender!C45),MAX(Hit!C45,Stand!C45,Double!C45))</f>
        <v>-0.25338998596663809</v>
      </c>
      <c r="D45">
        <f>IF(Rules!$B$7=Rules!$E$7,MAX(Hit!D45,Stand!D45,Double!D45,Surrender!D45),MAX(Hit!D45,Stand!D45,Double!D45))</f>
        <v>-0.2336908997980866</v>
      </c>
      <c r="E45">
        <f>IF(Rules!$B$7=Rules!$E$7,MAX(Hit!E45,Stand!E45,Double!E45,Surrender!E45),MAX(Hit!E45,Stand!E45,Double!E45))</f>
        <v>-0.21106310899491437</v>
      </c>
      <c r="F45">
        <f>IF(Rules!$B$7=Rules!$E$7,MAX(Hit!F45,Stand!F45,Double!F45,Surrender!F45),MAX(Hit!F45,Stand!F45,Double!F45))</f>
        <v>-0.16719266083547524</v>
      </c>
      <c r="G45">
        <f>IF(Rules!$B$7=Rules!$E$7,MAX(Hit!G45,Stand!G45,Double!G45,Surrender!G45),MAX(Hit!G45,Stand!G45,Double!G45))</f>
        <v>-0.1536990158300045</v>
      </c>
      <c r="H45">
        <f>IF(Rules!$B$7=Rules!$E$7,MAX(Hit!H45,Stand!H45,Double!H45,Surrender!H45),MAX(Hit!H45,Stand!H45,Double!H45))</f>
        <v>-0.21284771451731424</v>
      </c>
      <c r="I45">
        <f>IF(Rules!$B$7=Rules!$E$7,MAX(Hit!I45,Stand!I45,Double!I45,Surrender!I45),MAX(Hit!I45,Stand!I45,Double!I45))</f>
        <v>-0.27157480502428616</v>
      </c>
      <c r="J45">
        <f>IF(Rules!$B$7=Rules!$E$7,MAX(Hit!J45,Stand!J45,Double!J45,Surrender!J45),MAX(Hit!J45,Stand!J45,Double!J45))</f>
        <v>-0.3400132806089356</v>
      </c>
      <c r="K45">
        <f>IF(Rules!$B$7=Rules!$E$7,MAX(Hit!K45,Stand!K45,Double!K45,Surrender!K45),MAX(Hit!K45,Stand!K45,Double!K45))</f>
        <v>-0.38104299284808768</v>
      </c>
      <c r="N45" s="31">
        <v>22</v>
      </c>
      <c r="O45" s="31" t="str">
        <f>IF(B45=Surrender!B45,"R",HSD!O45)</f>
        <v>H</v>
      </c>
      <c r="P45" s="31" t="str">
        <f>IF(C45=Surrender!C45,"R",HSD!P45)</f>
        <v>H</v>
      </c>
      <c r="Q45" s="31" t="str">
        <f>IF(D45=Surrender!D45,"R",HSD!Q45)</f>
        <v>H</v>
      </c>
      <c r="R45" s="31" t="str">
        <f>IF(E45=Surrender!E45,"R",HSD!R45)</f>
        <v>S</v>
      </c>
      <c r="S45" s="31" t="str">
        <f>IF(F45=Surrender!F45,"R",HSD!S45)</f>
        <v>S</v>
      </c>
      <c r="T45" s="31" t="str">
        <f>IF(G45=Surrender!G45,"R",HSD!T45)</f>
        <v>S</v>
      </c>
      <c r="U45" s="31" t="str">
        <f>IF(H45=Surrender!H45,"R",HSD!U45)</f>
        <v>H</v>
      </c>
      <c r="V45" s="31" t="str">
        <f>IF(I45=Surrender!I45,"R",HSD!V45)</f>
        <v>H</v>
      </c>
      <c r="W45" s="31" t="str">
        <f>IF(J45=Surrender!J45,"R",HSD!W45)</f>
        <v>H</v>
      </c>
      <c r="X45" s="31" t="str">
        <f>IF(K45=Surrender!K45,"R",HSD!X45)</f>
        <v>H</v>
      </c>
    </row>
    <row r="46" spans="1:24" x14ac:dyDescent="0.2">
      <c r="A46">
        <v>23</v>
      </c>
      <c r="B46">
        <f>IF(AND(Rules!$B$8=Rules!$E$8,Rules!$B$7=Rules!$E$7),MAX(Hit!B46,Stand!B46,Double!B46,Surrender!B46),MAX(Hit!B46,Stand!B46,Double!B46))</f>
        <v>-0.3969303161229315</v>
      </c>
      <c r="C46">
        <f>IF(Rules!$B$7=Rules!$E$7,MAX(Hit!C46,Stand!C46,Double!C46,Surrender!C46),MAX(Hit!C46,Stand!C46,Double!C46))</f>
        <v>-0.29278372720927726</v>
      </c>
      <c r="D46">
        <f>IF(Rules!$B$7=Rules!$E$7,MAX(Hit!D46,Stand!D46,Double!D46,Surrender!D46),MAX(Hit!D46,Stand!D46,Double!D46))</f>
        <v>-0.2522502292357135</v>
      </c>
      <c r="E46">
        <f>IF(Rules!$B$7=Rules!$E$7,MAX(Hit!E46,Stand!E46,Double!E46,Surrender!E46),MAX(Hit!E46,Stand!E46,Double!E46))</f>
        <v>-0.21106310899491437</v>
      </c>
      <c r="F46">
        <f>IF(Rules!$B$7=Rules!$E$7,MAX(Hit!F46,Stand!F46,Double!F46,Surrender!F46),MAX(Hit!F46,Stand!F46,Double!F46))</f>
        <v>-0.16719266083547524</v>
      </c>
      <c r="G46">
        <f>IF(Rules!$B$7=Rules!$E$7,MAX(Hit!G46,Stand!G46,Double!G46,Surrender!G46),MAX(Hit!G46,Stand!G46,Double!G46))</f>
        <v>-0.1536990158300045</v>
      </c>
      <c r="H46">
        <f>IF(Rules!$B$7=Rules!$E$7,MAX(Hit!H46,Stand!H46,Double!H46,Surrender!H46),MAX(Hit!H46,Stand!H46,Double!H46))</f>
        <v>-0.26907287776607752</v>
      </c>
      <c r="I46">
        <f>IF(Rules!$B$7=Rules!$E$7,MAX(Hit!I46,Stand!I46,Double!I46,Surrender!I46),MAX(Hit!I46,Stand!I46,Double!I46))</f>
        <v>-0.32360517609397998</v>
      </c>
      <c r="J46">
        <f>IF(Rules!$B$7=Rules!$E$7,MAX(Hit!J46,Stand!J46,Double!J46,Surrender!J46),MAX(Hit!J46,Stand!J46,Double!J46))</f>
        <v>-0.38715518913686875</v>
      </c>
      <c r="K46">
        <f>IF(Rules!$B$7=Rules!$E$7,MAX(Hit!K46,Stand!K46,Double!K46,Surrender!K46),MAX(Hit!K46,Stand!K46,Double!K46))</f>
        <v>-0.42525420764465277</v>
      </c>
      <c r="N46" s="31">
        <v>23</v>
      </c>
      <c r="O46" s="31" t="str">
        <f>IF(B46=Surrender!B46,"R",HSD!O46)</f>
        <v>H</v>
      </c>
      <c r="P46" s="31" t="str">
        <f>IF(C46=Surrender!C46,"R",HSD!P46)</f>
        <v>S</v>
      </c>
      <c r="Q46" s="31" t="str">
        <f>IF(D46=Surrender!D46,"R",HSD!Q46)</f>
        <v>S</v>
      </c>
      <c r="R46" s="31" t="str">
        <f>IF(E46=Surrender!E46,"R",HSD!R46)</f>
        <v>S</v>
      </c>
      <c r="S46" s="31" t="str">
        <f>IF(F46=Surrender!F46,"R",HSD!S46)</f>
        <v>S</v>
      </c>
      <c r="T46" s="31" t="str">
        <f>IF(G46=Surrender!G46,"R",HSD!T46)</f>
        <v>S</v>
      </c>
      <c r="U46" s="31" t="str">
        <f>IF(H46=Surrender!H46,"R",HSD!U46)</f>
        <v>H</v>
      </c>
      <c r="V46" s="31" t="str">
        <f>IF(I46=Surrender!I46,"R",HSD!V46)</f>
        <v>H</v>
      </c>
      <c r="W46" s="31" t="str">
        <f>IF(J46=Surrender!J46,"R",HSD!W46)</f>
        <v>H</v>
      </c>
      <c r="X46" s="31" t="str">
        <f>IF(K46=Surrender!K46,"R",HSD!X46)</f>
        <v>H</v>
      </c>
    </row>
    <row r="47" spans="1:24" x14ac:dyDescent="0.2">
      <c r="A47">
        <v>24</v>
      </c>
      <c r="B47">
        <f>IF(AND(Rules!$B$8=Rules!$E$8,Rules!$B$7=Rules!$E$7),MAX(Hit!B47,Stand!B47,Double!B47,Surrender!B47),MAX(Hit!B47,Stand!B47,Double!B47))</f>
        <v>-0.44000672211415065</v>
      </c>
      <c r="C47">
        <f>IF(Rules!$B$7=Rules!$E$7,MAX(Hit!C47,Stand!C47,Double!C47,Surrender!C47),MAX(Hit!C47,Stand!C47,Double!C47))</f>
        <v>-0.29278372720927726</v>
      </c>
      <c r="D47">
        <f>IF(Rules!$B$7=Rules!$E$7,MAX(Hit!D47,Stand!D47,Double!D47,Surrender!D47),MAX(Hit!D47,Stand!D47,Double!D47))</f>
        <v>-0.2522502292357135</v>
      </c>
      <c r="E47">
        <f>IF(Rules!$B$7=Rules!$E$7,MAX(Hit!E47,Stand!E47,Double!E47,Surrender!E47),MAX(Hit!E47,Stand!E47,Double!E47))</f>
        <v>-0.21106310899491437</v>
      </c>
      <c r="F47">
        <f>IF(Rules!$B$7=Rules!$E$7,MAX(Hit!F47,Stand!F47,Double!F47,Surrender!F47),MAX(Hit!F47,Stand!F47,Double!F47))</f>
        <v>-0.16719266083547524</v>
      </c>
      <c r="G47">
        <f>IF(Rules!$B$7=Rules!$E$7,MAX(Hit!G47,Stand!G47,Double!G47,Surrender!G47),MAX(Hit!G47,Stand!G47,Double!G47))</f>
        <v>-0.1536990158300045</v>
      </c>
      <c r="H47">
        <f>IF(Rules!$B$7=Rules!$E$7,MAX(Hit!H47,Stand!H47,Double!H47,Surrender!H47),MAX(Hit!H47,Stand!H47,Double!H47))</f>
        <v>-0.3212819579256434</v>
      </c>
      <c r="I47">
        <f>IF(Rules!$B$7=Rules!$E$7,MAX(Hit!I47,Stand!I47,Double!I47,Surrender!I47),MAX(Hit!I47,Stand!I47,Double!I47))</f>
        <v>-0.37191909208726714</v>
      </c>
      <c r="J47">
        <f>IF(Rules!$B$7=Rules!$E$7,MAX(Hit!J47,Stand!J47,Double!J47,Surrender!J47),MAX(Hit!J47,Stand!J47,Double!J47))</f>
        <v>-0.43092981848423528</v>
      </c>
      <c r="K47">
        <f>IF(Rules!$B$7=Rules!$E$7,MAX(Hit!K47,Stand!K47,Double!K47,Surrender!K47),MAX(Hit!K47,Stand!K47,Double!K47))</f>
        <v>-0.46630747852717758</v>
      </c>
      <c r="N47" s="31">
        <v>24</v>
      </c>
      <c r="O47" s="31" t="str">
        <f>IF(B47=Surrender!B47,"R",HSD!O47)</f>
        <v>H</v>
      </c>
      <c r="P47" s="31" t="str">
        <f>IF(C47=Surrender!C47,"R",HSD!P47)</f>
        <v>S</v>
      </c>
      <c r="Q47" s="31" t="str">
        <f>IF(D47=Surrender!D47,"R",HSD!Q47)</f>
        <v>S</v>
      </c>
      <c r="R47" s="31" t="str">
        <f>IF(E47=Surrender!E47,"R",HSD!R47)</f>
        <v>S</v>
      </c>
      <c r="S47" s="31" t="str">
        <f>IF(F47=Surrender!F47,"R",HSD!S47)</f>
        <v>S</v>
      </c>
      <c r="T47" s="31" t="str">
        <f>IF(G47=Surrender!G47,"R",HSD!T47)</f>
        <v>S</v>
      </c>
      <c r="U47" s="31" t="str">
        <f>IF(H47=Surrender!H47,"R",HSD!U47)</f>
        <v>H</v>
      </c>
      <c r="V47" s="31" t="str">
        <f>IF(I47=Surrender!I47,"R",HSD!V47)</f>
        <v>H</v>
      </c>
      <c r="W47" s="31" t="str">
        <f>IF(J47=Surrender!J47,"R",HSD!W47)</f>
        <v>H</v>
      </c>
      <c r="X47" s="31" t="str">
        <f>IF(K47=Surrender!K47,"R",HSD!X47)</f>
        <v>H</v>
      </c>
    </row>
    <row r="48" spans="1:24" x14ac:dyDescent="0.2">
      <c r="A48">
        <v>25</v>
      </c>
      <c r="B48">
        <f>IF(AND(Rules!$B$8=Rules!$E$8,Rules!$B$7=Rules!$E$7),MAX(Hit!B48,Stand!B48,Double!B48,Surrender!B48),MAX(Hit!B48,Stand!B48,Double!B48))</f>
        <v>-0.4800062419631399</v>
      </c>
      <c r="C48">
        <f>IF(Rules!$B$7=Rules!$E$7,MAX(Hit!C48,Stand!C48,Double!C48,Surrender!C48),MAX(Hit!C48,Stand!C48,Double!C48))</f>
        <v>-0.29278372720927726</v>
      </c>
      <c r="D48">
        <f>IF(Rules!$B$7=Rules!$E$7,MAX(Hit!D48,Stand!D48,Double!D48,Surrender!D48),MAX(Hit!D48,Stand!D48,Double!D48))</f>
        <v>-0.2522502292357135</v>
      </c>
      <c r="E48">
        <f>IF(Rules!$B$7=Rules!$E$7,MAX(Hit!E48,Stand!E48,Double!E48,Surrender!E48),MAX(Hit!E48,Stand!E48,Double!E48))</f>
        <v>-0.21106310899491437</v>
      </c>
      <c r="F48">
        <f>IF(Rules!$B$7=Rules!$E$7,MAX(Hit!F48,Stand!F48,Double!F48,Surrender!F48),MAX(Hit!F48,Stand!F48,Double!F48))</f>
        <v>-0.16719266083547524</v>
      </c>
      <c r="G48">
        <f>IF(Rules!$B$7=Rules!$E$7,MAX(Hit!G48,Stand!G48,Double!G48,Surrender!G48),MAX(Hit!G48,Stand!G48,Double!G48))</f>
        <v>-0.1536990158300045</v>
      </c>
      <c r="H48">
        <f>IF(Rules!$B$7=Rules!$E$7,MAX(Hit!H48,Stand!H48,Double!H48,Surrender!H48),MAX(Hit!H48,Stand!H48,Double!H48))</f>
        <v>-0.36976181807381175</v>
      </c>
      <c r="I48">
        <f>IF(Rules!$B$7=Rules!$E$7,MAX(Hit!I48,Stand!I48,Double!I48,Surrender!I48),MAX(Hit!I48,Stand!I48,Double!I48))</f>
        <v>-0.41678201408103371</v>
      </c>
      <c r="J48">
        <f>IF(Rules!$B$7=Rules!$E$7,MAX(Hit!J48,Stand!J48,Double!J48,Surrender!J48),MAX(Hit!J48,Stand!J48,Double!J48))</f>
        <v>-0.47157768859250415</v>
      </c>
      <c r="K48">
        <f>IF(Rules!$B$7=Rules!$E$7,MAX(Hit!K48,Stand!K48,Double!K48,Surrender!K48),MAX(Hit!K48,Stand!K48,Double!K48))</f>
        <v>-0.5</v>
      </c>
      <c r="N48" s="31">
        <v>25</v>
      </c>
      <c r="O48" s="31" t="str">
        <f>IF(B48=Surrender!B48,"R",HSD!O48)</f>
        <v>H</v>
      </c>
      <c r="P48" s="31" t="str">
        <f>IF(C48=Surrender!C48,"R",HSD!P48)</f>
        <v>S</v>
      </c>
      <c r="Q48" s="31" t="str">
        <f>IF(D48=Surrender!D48,"R",HSD!Q48)</f>
        <v>S</v>
      </c>
      <c r="R48" s="31" t="str">
        <f>IF(E48=Surrender!E48,"R",HSD!R48)</f>
        <v>S</v>
      </c>
      <c r="S48" s="31" t="str">
        <f>IF(F48=Surrender!F48,"R",HSD!S48)</f>
        <v>S</v>
      </c>
      <c r="T48" s="31" t="str">
        <f>IF(G48=Surrender!G48,"R",HSD!T48)</f>
        <v>S</v>
      </c>
      <c r="U48" s="31" t="str">
        <f>IF(H48=Surrender!H48,"R",HSD!U48)</f>
        <v>H</v>
      </c>
      <c r="V48" s="31" t="str">
        <f>IF(I48=Surrender!I48,"R",HSD!V48)</f>
        <v>H</v>
      </c>
      <c r="W48" s="31" t="str">
        <f>IF(J48=Surrender!J48,"R",HSD!W48)</f>
        <v>H</v>
      </c>
      <c r="X48" s="31" t="str">
        <f>IF(K48=Surrender!K48,"R",HSD!X48)</f>
        <v>R</v>
      </c>
    </row>
    <row r="49" spans="1:24" x14ac:dyDescent="0.2">
      <c r="A49">
        <v>26</v>
      </c>
      <c r="B49">
        <f>IF(AND(Rules!$B$8=Rules!$E$8,Rules!$B$7=Rules!$E$7),MAX(Hit!B49,Stand!B49,Double!B49,Surrender!B49),MAX(Hit!B49,Stand!B49,Double!B49))</f>
        <v>-0.51714865325148707</v>
      </c>
      <c r="C49">
        <f>IF(Rules!$B$7=Rules!$E$7,MAX(Hit!C49,Stand!C49,Double!C49,Surrender!C49),MAX(Hit!C49,Stand!C49,Double!C49))</f>
        <v>-0.29278372720927726</v>
      </c>
      <c r="D49">
        <f>IF(Rules!$B$7=Rules!$E$7,MAX(Hit!D49,Stand!D49,Double!D49,Surrender!D49),MAX(Hit!D49,Stand!D49,Double!D49))</f>
        <v>-0.2522502292357135</v>
      </c>
      <c r="E49">
        <f>IF(Rules!$B$7=Rules!$E$7,MAX(Hit!E49,Stand!E49,Double!E49,Surrender!E49),MAX(Hit!E49,Stand!E49,Double!E49))</f>
        <v>-0.21106310899491437</v>
      </c>
      <c r="F49">
        <f>IF(Rules!$B$7=Rules!$E$7,MAX(Hit!F49,Stand!F49,Double!F49,Surrender!F49),MAX(Hit!F49,Stand!F49,Double!F49))</f>
        <v>-0.16719266083547524</v>
      </c>
      <c r="G49">
        <f>IF(Rules!$B$7=Rules!$E$7,MAX(Hit!G49,Stand!G49,Double!G49,Surrender!G49),MAX(Hit!G49,Stand!G49,Double!G49))</f>
        <v>-0.1536990158300045</v>
      </c>
      <c r="H49">
        <f>IF(Rules!$B$7=Rules!$E$7,MAX(Hit!H49,Stand!H49,Double!H49,Surrender!H49),MAX(Hit!H49,Stand!H49,Double!H49))</f>
        <v>-0.41477883106853947</v>
      </c>
      <c r="I49">
        <f>IF(Rules!$B$7=Rules!$E$7,MAX(Hit!I49,Stand!I49,Double!I49,Surrender!I49),MAX(Hit!I49,Stand!I49,Double!I49))</f>
        <v>-0.45844044164667419</v>
      </c>
      <c r="J49">
        <f>IF(Rules!$B$7=Rules!$E$7,MAX(Hit!J49,Stand!J49,Double!J49,Surrender!J49),MAX(Hit!J49,Stand!J49,Double!J49))</f>
        <v>-0.5</v>
      </c>
      <c r="K49">
        <f>IF(Rules!$B$7=Rules!$E$7,MAX(Hit!K49,Stand!K49,Double!K49,Surrender!K49),MAX(Hit!K49,Stand!K49,Double!K49))</f>
        <v>-0.5</v>
      </c>
      <c r="N49" s="31">
        <v>26</v>
      </c>
      <c r="O49" s="31" t="str">
        <f>IF(B49=Surrender!B49,"R",HSD!O49)</f>
        <v>H</v>
      </c>
      <c r="P49" s="31" t="str">
        <f>IF(C49=Surrender!C49,"R",HSD!P49)</f>
        <v>S</v>
      </c>
      <c r="Q49" s="31" t="str">
        <f>IF(D49=Surrender!D49,"R",HSD!Q49)</f>
        <v>S</v>
      </c>
      <c r="R49" s="31" t="str">
        <f>IF(E49=Surrender!E49,"R",HSD!R49)</f>
        <v>S</v>
      </c>
      <c r="S49" s="31" t="str">
        <f>IF(F49=Surrender!F49,"R",HSD!S49)</f>
        <v>S</v>
      </c>
      <c r="T49" s="31" t="str">
        <f>IF(G49=Surrender!G49,"R",HSD!T49)</f>
        <v>S</v>
      </c>
      <c r="U49" s="31" t="str">
        <f>IF(H49=Surrender!H49,"R",HSD!U49)</f>
        <v>H</v>
      </c>
      <c r="V49" s="31" t="str">
        <f>IF(I49=Surrender!I49,"R",HSD!V49)</f>
        <v>H</v>
      </c>
      <c r="W49" s="31" t="str">
        <f>IF(J49=Surrender!J49,"R",HSD!W49)</f>
        <v>R</v>
      </c>
      <c r="X49" s="31" t="str">
        <f>IF(K49=Surrender!K49,"R",HSD!X49)</f>
        <v>R</v>
      </c>
    </row>
    <row r="50" spans="1:24" x14ac:dyDescent="0.2">
      <c r="A50">
        <v>27</v>
      </c>
      <c r="B50">
        <f>IF(AND(Rules!$B$8=Rules!$E$8,Rules!$B$7=Rules!$E$7),MAX(Hit!B50,Stand!B50,Double!B50,Surrender!B50),MAX(Hit!B50,Stand!B50,Double!B50))</f>
        <v>-0.47803347499473703</v>
      </c>
      <c r="C50">
        <f>IF(Rules!$B$7=Rules!$E$7,MAX(Hit!C50,Stand!C50,Double!C50,Surrender!C50),MAX(Hit!C50,Stand!C50,Double!C50))</f>
        <v>-0.15297458768154204</v>
      </c>
      <c r="D50">
        <f>IF(Rules!$B$7=Rules!$E$7,MAX(Hit!D50,Stand!D50,Double!D50,Surrender!D50),MAX(Hit!D50,Stand!D50,Double!D50))</f>
        <v>-0.11721624142457365</v>
      </c>
      <c r="E50">
        <f>IF(Rules!$B$7=Rules!$E$7,MAX(Hit!E50,Stand!E50,Double!E50,Surrender!E50),MAX(Hit!E50,Stand!E50,Double!E50))</f>
        <v>-8.0573373145316152E-2</v>
      </c>
      <c r="F50">
        <f>IF(Rules!$B$7=Rules!$E$7,MAX(Hit!F50,Stand!F50,Double!F50,Surrender!F50),MAX(Hit!F50,Stand!F50,Double!F50))</f>
        <v>-4.4941375564924446E-2</v>
      </c>
      <c r="G50">
        <f>IF(Rules!$B$7=Rules!$E$7,MAX(Hit!G50,Stand!G50,Double!G50,Surrender!G50),MAX(Hit!G50,Stand!G50,Double!G50))</f>
        <v>1.1739160673341853E-2</v>
      </c>
      <c r="H50">
        <f>IF(Rules!$B$7=Rules!$E$7,MAX(Hit!H50,Stand!H50,Double!H50,Surrender!H50),MAX(Hit!H50,Stand!H50,Double!H50))</f>
        <v>-0.10680898948269468</v>
      </c>
      <c r="I50">
        <f>IF(Rules!$B$7=Rules!$E$7,MAX(Hit!I50,Stand!I50,Double!I50,Surrender!I50),MAX(Hit!I50,Stand!I50,Double!I50))</f>
        <v>-0.38195097104844711</v>
      </c>
      <c r="J50">
        <f>IF(Rules!$B$7=Rules!$E$7,MAX(Hit!J50,Stand!J50,Double!J50,Surrender!J50),MAX(Hit!J50,Stand!J50,Double!J50))</f>
        <v>-0.42315423964521737</v>
      </c>
      <c r="K50">
        <f>IF(Rules!$B$7=Rules!$E$7,MAX(Hit!K50,Stand!K50,Double!K50,Surrender!K50),MAX(Hit!K50,Stand!K50,Double!K50))</f>
        <v>-0.41972063392881986</v>
      </c>
      <c r="N50" s="31">
        <v>27</v>
      </c>
      <c r="O50" s="31" t="str">
        <f>IF(B50=Surrender!B50,"R",HSD!O50)</f>
        <v>S</v>
      </c>
      <c r="P50" s="31" t="str">
        <f>IF(C50=Surrender!C50,"R",HSD!P50)</f>
        <v>S</v>
      </c>
      <c r="Q50" s="31" t="str">
        <f>IF(D50=Surrender!D50,"R",HSD!Q50)</f>
        <v>S</v>
      </c>
      <c r="R50" s="31" t="str">
        <f>IF(E50=Surrender!E50,"R",HSD!R50)</f>
        <v>S</v>
      </c>
      <c r="S50" s="31" t="str">
        <f>IF(F50=Surrender!F50,"R",HSD!S50)</f>
        <v>S</v>
      </c>
      <c r="T50" s="31" t="str">
        <f>IF(G50=Surrender!G50,"R",HSD!T50)</f>
        <v>S</v>
      </c>
      <c r="U50" s="31" t="str">
        <f>IF(H50=Surrender!H50,"R",HSD!U50)</f>
        <v>S</v>
      </c>
      <c r="V50" s="31" t="str">
        <f>IF(I50=Surrender!I50,"R",HSD!V50)</f>
        <v>S</v>
      </c>
      <c r="W50" s="31" t="str">
        <f>IF(J50=Surrender!J50,"R",HSD!W50)</f>
        <v>S</v>
      </c>
      <c r="X50" s="31" t="str">
        <f>IF(K50=Surrender!K50,"R",HSD!X50)</f>
        <v>S</v>
      </c>
    </row>
    <row r="51" spans="1:24" x14ac:dyDescent="0.2">
      <c r="A51">
        <v>28</v>
      </c>
      <c r="B51">
        <f>IF(AND(Rules!$B$8=Rules!$E$8,Rules!$B$7=Rules!$E$7),MAX(Hit!B51,Stand!B51,Double!B51,Surrender!B51),MAX(Hit!B51,Stand!B51,Double!B51))</f>
        <v>-0.10019887561319057</v>
      </c>
      <c r="C51">
        <f>IF(Rules!$B$7=Rules!$E$7,MAX(Hit!C51,Stand!C51,Double!C51,Surrender!C51),MAX(Hit!C51,Stand!C51,Double!C51))</f>
        <v>0.12174190222088771</v>
      </c>
      <c r="D51">
        <f>IF(Rules!$B$7=Rules!$E$7,MAX(Hit!D51,Stand!D51,Double!D51,Surrender!D51),MAX(Hit!D51,Stand!D51,Double!D51))</f>
        <v>0.14830007284131119</v>
      </c>
      <c r="E51">
        <f>IF(Rules!$B$7=Rules!$E$7,MAX(Hit!E51,Stand!E51,Double!E51,Surrender!E51),MAX(Hit!E51,Stand!E51,Double!E51))</f>
        <v>0.17585443719748528</v>
      </c>
      <c r="F51">
        <f>IF(Rules!$B$7=Rules!$E$7,MAX(Hit!F51,Stand!F51,Double!F51,Surrender!F51),MAX(Hit!F51,Stand!F51,Double!F51))</f>
        <v>0.19956119497617719</v>
      </c>
      <c r="G51">
        <f>IF(Rules!$B$7=Rules!$E$7,MAX(Hit!G51,Stand!G51,Double!G51,Surrender!G51),MAX(Hit!G51,Stand!G51,Double!G51))</f>
        <v>0.28344391604689856</v>
      </c>
      <c r="H51">
        <f>IF(Rules!$B$7=Rules!$E$7,MAX(Hit!H51,Stand!H51,Double!H51,Surrender!H51),MAX(Hit!H51,Stand!H51,Double!H51))</f>
        <v>0.3995541673365518</v>
      </c>
      <c r="I51">
        <f>IF(Rules!$B$7=Rules!$E$7,MAX(Hit!I51,Stand!I51,Double!I51,Surrender!I51),MAX(Hit!I51,Stand!I51,Double!I51))</f>
        <v>0.10595134861912359</v>
      </c>
      <c r="J51">
        <f>IF(Rules!$B$7=Rules!$E$7,MAX(Hit!J51,Stand!J51,Double!J51,Surrender!J51),MAX(Hit!J51,Stand!J51,Double!J51))</f>
        <v>-0.18316335667343331</v>
      </c>
      <c r="K51">
        <f>IF(Rules!$B$7=Rules!$E$7,MAX(Hit!K51,Stand!K51,Double!K51,Surrender!K51),MAX(Hit!K51,Stand!K51,Double!K51))</f>
        <v>-0.17830123379648949</v>
      </c>
      <c r="N51" s="31">
        <v>28</v>
      </c>
      <c r="O51" s="31" t="str">
        <f>IF(B51=Surrender!B51,"R",HSD!O51)</f>
        <v>S</v>
      </c>
      <c r="P51" s="31" t="str">
        <f>IF(C51=Surrender!C51,"R",HSD!P51)</f>
        <v>S</v>
      </c>
      <c r="Q51" s="31" t="str">
        <f>IF(D51=Surrender!D51,"R",HSD!Q51)</f>
        <v>S</v>
      </c>
      <c r="R51" s="31" t="str">
        <f>IF(E51=Surrender!E51,"R",HSD!R51)</f>
        <v>S</v>
      </c>
      <c r="S51" s="31" t="str">
        <f>IF(F51=Surrender!F51,"R",HSD!S51)</f>
        <v>S</v>
      </c>
      <c r="T51" s="31" t="str">
        <f>IF(G51=Surrender!G51,"R",HSD!T51)</f>
        <v>S</v>
      </c>
      <c r="U51" s="31" t="str">
        <f>IF(H51=Surrender!H51,"R",HSD!U51)</f>
        <v>S</v>
      </c>
      <c r="V51" s="31" t="str">
        <f>IF(I51=Surrender!I51,"R",HSD!V51)</f>
        <v>S</v>
      </c>
      <c r="W51" s="31" t="str">
        <f>IF(J51=Surrender!J51,"R",HSD!W51)</f>
        <v>S</v>
      </c>
      <c r="X51" s="31" t="str">
        <f>IF(K51=Surrender!K51,"R",HSD!X51)</f>
        <v>S</v>
      </c>
    </row>
    <row r="52" spans="1:24" x14ac:dyDescent="0.2">
      <c r="A52">
        <v>29</v>
      </c>
      <c r="B52">
        <f>IF(AND(Rules!$B$8=Rules!$E$8,Rules!$B$7=Rules!$E$7),MAX(Hit!B52,Stand!B52,Double!B52,Surrender!B52),MAX(Hit!B52,Stand!B52,Double!B52))</f>
        <v>0.27763572376835594</v>
      </c>
      <c r="C52">
        <f>IF(Rules!$B$7=Rules!$E$7,MAX(Hit!C52,Stand!C52,Double!C52,Surrender!C52),MAX(Hit!C52,Stand!C52,Double!C52))</f>
        <v>0.38630468602058993</v>
      </c>
      <c r="D52">
        <f>IF(Rules!$B$7=Rules!$E$7,MAX(Hit!D52,Stand!D52,Double!D52,Surrender!D52),MAX(Hit!D52,Stand!D52,Double!D52))</f>
        <v>0.4043629365977599</v>
      </c>
      <c r="E52">
        <f>IF(Rules!$B$7=Rules!$E$7,MAX(Hit!E52,Stand!E52,Double!E52,Surrender!E52),MAX(Hit!E52,Stand!E52,Double!E52))</f>
        <v>0.42317892482749653</v>
      </c>
      <c r="F52">
        <f>IF(Rules!$B$7=Rules!$E$7,MAX(Hit!F52,Stand!F52,Double!F52,Surrender!F52),MAX(Hit!F52,Stand!F52,Double!F52))</f>
        <v>0.43951210416088371</v>
      </c>
      <c r="G52">
        <f>IF(Rules!$B$7=Rules!$E$7,MAX(Hit!G52,Stand!G52,Double!G52,Surrender!G52),MAX(Hit!G52,Stand!G52,Double!G52))</f>
        <v>0.49597707378731914</v>
      </c>
      <c r="H52">
        <f>IF(Rules!$B$7=Rules!$E$7,MAX(Hit!H52,Stand!H52,Double!H52,Surrender!H52),MAX(Hit!H52,Stand!H52,Double!H52))</f>
        <v>0.6159764957534315</v>
      </c>
      <c r="I52">
        <f>IF(Rules!$B$7=Rules!$E$7,MAX(Hit!I52,Stand!I52,Double!I52,Surrender!I52),MAX(Hit!I52,Stand!I52,Double!I52))</f>
        <v>0.59385366828669439</v>
      </c>
      <c r="J52">
        <f>IF(Rules!$B$7=Rules!$E$7,MAX(Hit!J52,Stand!J52,Double!J52,Surrender!J52),MAX(Hit!J52,Stand!J52,Double!J52))</f>
        <v>0.28759675706758148</v>
      </c>
      <c r="K52">
        <f>IF(Rules!$B$7=Rules!$E$7,MAX(Hit!K52,Stand!K52,Double!K52,Surrender!K52),MAX(Hit!K52,Stand!K52,Double!K52))</f>
        <v>6.3118166335840831E-2</v>
      </c>
      <c r="N52" s="31">
        <v>29</v>
      </c>
      <c r="O52" s="31" t="str">
        <f>IF(B52=Surrender!B52,"R",HSD!O52)</f>
        <v>S</v>
      </c>
      <c r="P52" s="31" t="str">
        <f>IF(C52=Surrender!C52,"R",HSD!P52)</f>
        <v>S</v>
      </c>
      <c r="Q52" s="31" t="str">
        <f>IF(D52=Surrender!D52,"R",HSD!Q52)</f>
        <v>S</v>
      </c>
      <c r="R52" s="31" t="str">
        <f>IF(E52=Surrender!E52,"R",HSD!R52)</f>
        <v>S</v>
      </c>
      <c r="S52" s="31" t="str">
        <f>IF(F52=Surrender!F52,"R",HSD!S52)</f>
        <v>S</v>
      </c>
      <c r="T52" s="31" t="str">
        <f>IF(G52=Surrender!G52,"R",HSD!T52)</f>
        <v>S</v>
      </c>
      <c r="U52" s="31" t="str">
        <f>IF(H52=Surrender!H52,"R",HSD!U52)</f>
        <v>S</v>
      </c>
      <c r="V52" s="31" t="str">
        <f>IF(I52=Surrender!I52,"R",HSD!V52)</f>
        <v>S</v>
      </c>
      <c r="W52" s="31" t="str">
        <f>IF(J52=Surrender!J52,"R",HSD!W52)</f>
        <v>S</v>
      </c>
      <c r="X52" s="31" t="str">
        <f>IF(K52=Surrender!K52,"R",HSD!X52)</f>
        <v>S</v>
      </c>
    </row>
    <row r="53" spans="1:24" x14ac:dyDescent="0.2">
      <c r="A53">
        <v>30</v>
      </c>
      <c r="B53">
        <f>IF(AND(Rules!$B$8=Rules!$E$8,Rules!$B$7=Rules!$E$7),MAX(Hit!B53,Stand!B53,Double!B53,Surrender!B53),MAX(Hit!B53,Stand!B53,Double!B53))</f>
        <v>0.65547032314990239</v>
      </c>
      <c r="C53">
        <f>IF(Rules!$B$7=Rules!$E$7,MAX(Hit!C53,Stand!C53,Double!C53,Surrender!C53),MAX(Hit!C53,Stand!C53,Double!C53))</f>
        <v>0.63998657521683877</v>
      </c>
      <c r="D53">
        <f>IF(Rules!$B$7=Rules!$E$7,MAX(Hit!D53,Stand!D53,Double!D53,Surrender!D53),MAX(Hit!D53,Stand!D53,Double!D53))</f>
        <v>0.65027209425148136</v>
      </c>
      <c r="E53">
        <f>IF(Rules!$B$7=Rules!$E$7,MAX(Hit!E53,Stand!E53,Double!E53,Surrender!E53),MAX(Hit!E53,Stand!E53,Double!E53))</f>
        <v>0.66104996194807186</v>
      </c>
      <c r="F53">
        <f>IF(Rules!$B$7=Rules!$E$7,MAX(Hit!F53,Stand!F53,Double!F53,Surrender!F53),MAX(Hit!F53,Stand!F53,Double!F53))</f>
        <v>0.67035969063279999</v>
      </c>
      <c r="G53">
        <f>IF(Rules!$B$7=Rules!$E$7,MAX(Hit!G53,Stand!G53,Double!G53,Surrender!G53),MAX(Hit!G53,Stand!G53,Double!G53))</f>
        <v>0.70395857017134467</v>
      </c>
      <c r="H53">
        <f>IF(Rules!$B$7=Rules!$E$7,MAX(Hit!H53,Stand!H53,Double!H53,Surrender!H53),MAX(Hit!H53,Stand!H53,Double!H53))</f>
        <v>0.77322722653717491</v>
      </c>
      <c r="I53">
        <f>IF(Rules!$B$7=Rules!$E$7,MAX(Hit!I53,Stand!I53,Double!I53,Surrender!I53),MAX(Hit!I53,Stand!I53,Double!I53))</f>
        <v>0.79181515955189841</v>
      </c>
      <c r="J53">
        <f>IF(Rules!$B$7=Rules!$E$7,MAX(Hit!J53,Stand!J53,Double!J53,Surrender!J53),MAX(Hit!J53,Stand!J53,Double!J53))</f>
        <v>0.75835687080859626</v>
      </c>
      <c r="K53">
        <f>IF(Rules!$B$7=Rules!$E$7,MAX(Hit!K53,Stand!K53,Double!K53,Surrender!K53),MAX(Hit!K53,Stand!K53,Double!K53))</f>
        <v>0.55453756646817121</v>
      </c>
      <c r="N53" s="31">
        <v>30</v>
      </c>
      <c r="O53" s="31" t="str">
        <f>IF(B53=Surrender!B53,"R",HSD!O53)</f>
        <v>S</v>
      </c>
      <c r="P53" s="31" t="str">
        <f>IF(C53=Surrender!C53,"R",HSD!P53)</f>
        <v>S</v>
      </c>
      <c r="Q53" s="31" t="str">
        <f>IF(D53=Surrender!D53,"R",HSD!Q53)</f>
        <v>S</v>
      </c>
      <c r="R53" s="31" t="str">
        <f>IF(E53=Surrender!E53,"R",HSD!R53)</f>
        <v>S</v>
      </c>
      <c r="S53" s="31" t="str">
        <f>IF(F53=Surrender!F53,"R",HSD!S53)</f>
        <v>S</v>
      </c>
      <c r="T53" s="31" t="str">
        <f>IF(G53=Surrender!G53,"R",HSD!T53)</f>
        <v>S</v>
      </c>
      <c r="U53" s="31" t="str">
        <f>IF(H53=Surrender!H53,"R",HSD!U53)</f>
        <v>S</v>
      </c>
      <c r="V53" s="31" t="str">
        <f>IF(I53=Surrender!I53,"R",HSD!V53)</f>
        <v>S</v>
      </c>
      <c r="W53" s="31" t="str">
        <f>IF(J53=Surrender!J53,"R",HSD!W53)</f>
        <v>S</v>
      </c>
      <c r="X53" s="31" t="str">
        <f>IF(K53=Surrender!K53,"R",HSD!X53)</f>
        <v>S</v>
      </c>
    </row>
    <row r="54" spans="1:24" x14ac:dyDescent="0.2">
      <c r="A54">
        <v>31</v>
      </c>
      <c r="B54">
        <f>IF(AND(Rules!$B$8=Rules!$E$8,Rules!$B$7=Rules!$E$7),MAX(Hit!B54,Stand!B54,Double!B54,Surrender!B54),MAX(Hit!B54,Stand!B54,Double!B54))</f>
        <v>0.92219381142033785</v>
      </c>
      <c r="C54">
        <f>IF(Rules!$B$7=Rules!$E$7,MAX(Hit!C54,Stand!C54,Double!C54,Surrender!C54),MAX(Hit!C54,Stand!C54,Double!C54))</f>
        <v>0.88200651549403997</v>
      </c>
      <c r="D54">
        <f>IF(Rules!$B$7=Rules!$E$7,MAX(Hit!D54,Stand!D54,Double!D54,Surrender!D54),MAX(Hit!D54,Stand!D54,Double!D54))</f>
        <v>0.88530035730174927</v>
      </c>
      <c r="E54">
        <f>IF(Rules!$B$7=Rules!$E$7,MAX(Hit!E54,Stand!E54,Double!E54,Surrender!E54),MAX(Hit!E54,Stand!E54,Double!E54))</f>
        <v>0.88876729296591961</v>
      </c>
      <c r="F54">
        <f>IF(Rules!$B$7=Rules!$E$7,MAX(Hit!F54,Stand!F54,Double!F54,Surrender!F54),MAX(Hit!F54,Stand!F54,Double!F54))</f>
        <v>0.89175382659528035</v>
      </c>
      <c r="G54">
        <f>IF(Rules!$B$7=Rules!$E$7,MAX(Hit!G54,Stand!G54,Double!G54,Surrender!G54),MAX(Hit!G54,Stand!G54,Double!G54))</f>
        <v>0.90283674384257995</v>
      </c>
      <c r="H54">
        <f>IF(Rules!$B$7=Rules!$E$7,MAX(Hit!H54,Stand!H54,Double!H54,Surrender!H54),MAX(Hit!H54,Stand!H54,Double!H54))</f>
        <v>0.92592629596452325</v>
      </c>
      <c r="I54">
        <f>IF(Rules!$B$7=Rules!$E$7,MAX(Hit!I54,Stand!I54,Double!I54,Surrender!I54),MAX(Hit!I54,Stand!I54,Double!I54))</f>
        <v>0.93060505318396614</v>
      </c>
      <c r="J54">
        <f>IF(Rules!$B$7=Rules!$E$7,MAX(Hit!J54,Stand!J54,Double!J54,Surrender!J54),MAX(Hit!J54,Stand!J54,Double!J54))</f>
        <v>0.93917615614724415</v>
      </c>
      <c r="K54">
        <f>IF(Rules!$B$7=Rules!$E$7,MAX(Hit!K54,Stand!K54,Double!K54,Surrender!K54),MAX(Hit!K54,Stand!K54,Double!K54))</f>
        <v>0.96262363326716827</v>
      </c>
      <c r="N54" s="31">
        <v>31</v>
      </c>
      <c r="O54" s="31" t="str">
        <f>IF(B54=Surrender!B54,"R",HSD!O54)</f>
        <v>S</v>
      </c>
      <c r="P54" s="31" t="str">
        <f>IF(C54=Surrender!C54,"R",HSD!P54)</f>
        <v>S</v>
      </c>
      <c r="Q54" s="31" t="str">
        <f>IF(D54=Surrender!D54,"R",HSD!Q54)</f>
        <v>S</v>
      </c>
      <c r="R54" s="31" t="str">
        <f>IF(E54=Surrender!E54,"R",HSD!R54)</f>
        <v>S</v>
      </c>
      <c r="S54" s="31" t="str">
        <f>IF(F54=Surrender!F54,"R",HSD!S54)</f>
        <v>S</v>
      </c>
      <c r="T54" s="31" t="str">
        <f>IF(G54=Surrender!G54,"R",HSD!T54)</f>
        <v>S</v>
      </c>
      <c r="U54" s="31" t="str">
        <f>IF(H54=Surrender!H54,"R",HSD!U54)</f>
        <v>S</v>
      </c>
      <c r="V54" s="31" t="str">
        <f>IF(I54=Surrender!I54,"R",HSD!V54)</f>
        <v>S</v>
      </c>
      <c r="W54" s="31" t="str">
        <f>IF(J54=Surrender!J54,"R",HSD!W54)</f>
        <v>S</v>
      </c>
      <c r="X54" s="31" t="str">
        <f>IF(K54=Surrender!K54,"R",HSD!X54)</f>
        <v>S</v>
      </c>
    </row>
  </sheetData>
  <sheetProtection sheet="1" objects="1" scenarios="1"/>
  <phoneticPr fontId="14" type="noConversion"/>
  <conditionalFormatting sqref="O2:X31">
    <cfRule type="containsText" dxfId="80" priority="14" operator="containsText" text="S">
      <formula>NOT(ISERROR(SEARCH("S",O2)))</formula>
    </cfRule>
    <cfRule type="containsText" dxfId="79" priority="15" operator="containsText" text="H">
      <formula>NOT(ISERROR(SEARCH("H",O2)))</formula>
    </cfRule>
  </conditionalFormatting>
  <conditionalFormatting sqref="O2:X31">
    <cfRule type="containsText" dxfId="78" priority="13" operator="containsText" text="D">
      <formula>NOT(ISERROR(SEARCH("D",O2)))</formula>
    </cfRule>
  </conditionalFormatting>
  <conditionalFormatting sqref="O2:X31">
    <cfRule type="containsText" dxfId="77" priority="9" operator="containsText" text="R">
      <formula>NOT(ISERROR(SEARCH("R",O2)))</formula>
    </cfRule>
  </conditionalFormatting>
  <conditionalFormatting sqref="O34:X54">
    <cfRule type="containsText" dxfId="76" priority="3" operator="containsText" text="S">
      <formula>NOT(ISERROR(SEARCH("S",O34)))</formula>
    </cfRule>
    <cfRule type="containsText" dxfId="75" priority="4" operator="containsText" text="H">
      <formula>NOT(ISERROR(SEARCH("H",O34)))</formula>
    </cfRule>
  </conditionalFormatting>
  <conditionalFormatting sqref="O34:X54">
    <cfRule type="containsText" dxfId="74" priority="2" operator="containsText" text="D">
      <formula>NOT(ISERROR(SEARCH("D",O34)))</formula>
    </cfRule>
  </conditionalFormatting>
  <conditionalFormatting sqref="O34:X54">
    <cfRule type="containsText" dxfId="73" priority="1" operator="containsText" text="R">
      <formula>NOT(ISERROR(SEARCH("R",O34)))</formula>
    </cfRule>
  </conditionalFormatting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workbookViewId="0">
      <selection activeCell="K9" sqref="K9"/>
    </sheetView>
  </sheetViews>
  <sheetFormatPr baseColWidth="10" defaultColWidth="8.83203125" defaultRowHeight="16" x14ac:dyDescent="0.2"/>
  <cols>
    <col min="14" max="24" width="3.5" customWidth="1"/>
  </cols>
  <sheetData>
    <row r="1" spans="1:24" ht="17" thickBot="1" x14ac:dyDescent="0.25">
      <c r="A1" s="392" t="s">
        <v>89</v>
      </c>
      <c r="B1" s="393"/>
      <c r="C1" s="393"/>
      <c r="D1" s="393"/>
      <c r="E1" s="393"/>
      <c r="F1" s="393"/>
      <c r="G1" s="393"/>
      <c r="H1" s="393"/>
      <c r="I1" s="393"/>
      <c r="J1" s="393"/>
      <c r="K1" s="401"/>
      <c r="N1" t="s">
        <v>7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</row>
    <row r="2" spans="1:24" ht="17" thickBot="1" x14ac:dyDescent="0.25">
      <c r="A2" s="131" t="s">
        <v>7</v>
      </c>
      <c r="B2" s="182">
        <v>1</v>
      </c>
      <c r="C2" s="183">
        <v>2</v>
      </c>
      <c r="D2" s="183">
        <v>3</v>
      </c>
      <c r="E2" s="183">
        <v>4</v>
      </c>
      <c r="F2" s="183">
        <v>5</v>
      </c>
      <c r="G2" s="183">
        <v>6</v>
      </c>
      <c r="H2" s="183">
        <v>7</v>
      </c>
      <c r="I2" s="183">
        <v>8</v>
      </c>
      <c r="J2" s="183">
        <v>9</v>
      </c>
      <c r="K2" s="144">
        <v>10</v>
      </c>
      <c r="N2">
        <v>1</v>
      </c>
      <c r="O2" s="31" t="str">
        <f>IF(B54=IF(Rules!$B$17=2,B42,IF(Rules!$B$17=3,B29,IF(Rules!$B$17=4,B16,B3))),"P",HSDR!O34)</f>
        <v>P</v>
      </c>
      <c r="P2" s="31" t="str">
        <f>IF(C54=IF(Rules!$B$17=2,C42,IF(Rules!$B$17=3,C29,IF(Rules!$B$17=4,C16,C3))),"P",HSDR!P34)</f>
        <v>P</v>
      </c>
      <c r="Q2" s="31" t="str">
        <f>IF(D54=IF(Rules!$B$17=2,D42,IF(Rules!$B$17=3,D29,IF(Rules!$B$17=4,D16,D3))),"P",HSDR!Q34)</f>
        <v>P</v>
      </c>
      <c r="R2" s="31" t="str">
        <f>IF(E54=IF(Rules!$B$17=2,E42,IF(Rules!$B$17=3,E29,IF(Rules!$B$17=4,E16,E3))),"P",HSDR!R34)</f>
        <v>P</v>
      </c>
      <c r="S2" s="31" t="str">
        <f>IF(F54=IF(Rules!$B$17=2,F42,IF(Rules!$B$17=3,F29,IF(Rules!$B$17=4,F16,F3))),"P",HSDR!S34)</f>
        <v>P</v>
      </c>
      <c r="T2" s="31" t="str">
        <f>IF(G54=IF(Rules!$B$17=2,G42,IF(Rules!$B$17=3,G29,IF(Rules!$B$17=4,G16,G3))),"P",HSDR!T34)</f>
        <v>P</v>
      </c>
      <c r="U2" s="31" t="str">
        <f>IF(H54=IF(Rules!$B$17=2,H42,IF(Rules!$B$17=3,H29,IF(Rules!$B$17=4,H16,H3))),"P",HSDR!U34)</f>
        <v>P</v>
      </c>
      <c r="V2" s="31" t="str">
        <f>IF(I54=IF(Rules!$B$17=2,I42,IF(Rules!$B$17=3,I29,IF(Rules!$B$17=4,I16,I3))),"P",HSDR!V34)</f>
        <v>P</v>
      </c>
      <c r="W2" s="31" t="str">
        <f>IF(J54=IF(Rules!$B$17=2,J42,IF(Rules!$B$17=3,J29,IF(Rules!$B$17=4,J16,J3))),"P",HSDR!W34)</f>
        <v>P</v>
      </c>
      <c r="X2" s="31" t="str">
        <f>IF(K54=IF(Rules!$B$17=2,K42,IF(Rules!$B$17=3,K29,IF(Rules!$B$17=4,K16,K3))),"P",HSDR!X34)</f>
        <v>P</v>
      </c>
    </row>
    <row r="3" spans="1:24" x14ac:dyDescent="0.2">
      <c r="A3" s="126">
        <v>1</v>
      </c>
      <c r="B3" s="169">
        <f>2*(IF(Rules!$B$12=Rules!$F$12,SUM(Stand!B36:B43)+Rules!$B$5*Stand!B44+B16,SUM(HSD!B36:B43)+Rules!$B$5*HSD!B44+B16)/(9+Rules!$B$5))</f>
        <v>0.24964002360108775</v>
      </c>
      <c r="C3" s="170">
        <f>2*(IF(Rules!$B$12=Rules!$F$12,SUM(Stand!C36:C43)+Rules!$B$5*Stand!C44+C16,SUM(HSD!C36:C43)+Rules!$B$5*HSD!C44+C16)/(9+Rules!$B$5))</f>
        <v>0.60893997246027043</v>
      </c>
      <c r="D3" s="170">
        <f>2*(IF(Rules!$B$12=Rules!$F$12,SUM(Stand!D36:D43)+Rules!$B$5*Stand!D44+D16,SUM(HSD!D36:D43)+Rules!$B$5*HSD!D44+D16)/(9+Rules!$B$5))</f>
        <v>0.65729370645788177</v>
      </c>
      <c r="E3" s="170">
        <f>2*(IF(Rules!$B$12=Rules!$F$12,SUM(Stand!E36:E43)+Rules!$B$5*Stand!E44+E16,SUM(HSD!E36:E43)+Rules!$B$5*HSD!E44+E16)/(9+Rules!$B$5))</f>
        <v>0.7068176357371978</v>
      </c>
      <c r="F3" s="170">
        <f>2*(IF(Rules!$B$12=Rules!$F$12,SUM(Stand!F36:F43)+Rules!$B$5*Stand!F44+F16,SUM(HSD!F36:F43)+Rules!$B$5*HSD!F44+F16)/(9+Rules!$B$5))</f>
        <v>0.75634348224235182</v>
      </c>
      <c r="G3" s="170">
        <f>2*(IF(Rules!$B$12=Rules!$F$12,SUM(Stand!G36:G43)+Rules!$B$5*Stand!G44+G16,SUM(HSD!G36:G43)+Rules!$B$5*HSD!G44+G16)/(9+Rules!$B$5))</f>
        <v>0.81612360245129012</v>
      </c>
      <c r="H3" s="170">
        <f>2*(IF(Rules!$B$12=Rules!$F$12,SUM(Stand!H36:H43)+Rules!$B$5*Stand!H44+H16,SUM(HSD!H36:H43)+Rules!$B$5*HSD!H44+H16)/(9+Rules!$B$5))</f>
        <v>0.63286124044017034</v>
      </c>
      <c r="I3" s="170">
        <f>2*(IF(Rules!$B$12=Rules!$F$12,SUM(Stand!I36:I43)+Rules!$B$5*Stand!I44+I16,SUM(HSD!I36:I43)+Rules!$B$5*HSD!I44+I16)/(9+Rules!$B$5))</f>
        <v>0.5067060739538094</v>
      </c>
      <c r="J3" s="170">
        <f>2*(IF(Rules!$B$12=Rules!$F$12,SUM(Stand!J36:J43)+Rules!$B$5*Stand!J44+J16,SUM(HSD!J36:J43)+Rules!$B$5*HSD!J44+J16)/(9+Rules!$B$5))</f>
        <v>0.36744267463395625</v>
      </c>
      <c r="K3" s="63">
        <f>2*(IF(Rules!$B$12=Rules!$F$12,SUM(Stand!K36:K43)+Rules!$B$5*Stand!K44+K16,SUM(HSD!K36:K43)+Rules!$B$5*HSD!K44+K16)/(9+Rules!$B$5))</f>
        <v>0.31014270394261662</v>
      </c>
      <c r="N3">
        <v>2</v>
      </c>
      <c r="O3" s="31" t="str">
        <f>IF(B55=IF(Rules!$B$11=2,B43,IF(Rules!$B$11=3,B30,IF(Rules!$B$11=4,B17,B4))),"P",HSDR!O4)</f>
        <v>H</v>
      </c>
      <c r="P3" s="31" t="str">
        <f>IF(C55=IF(Rules!$B$11=2,C43,IF(Rules!$B$11=3,C30,IF(Rules!$B$11=4,C17,C4))),"P",HSDR!P4)</f>
        <v>P</v>
      </c>
      <c r="Q3" s="31" t="str">
        <f>IF(D55=IF(Rules!$B$11=2,D43,IF(Rules!$B$11=3,D30,IF(Rules!$B$11=4,D17,D4))),"P",HSDR!Q4)</f>
        <v>P</v>
      </c>
      <c r="R3" s="31" t="str">
        <f>IF(E55=IF(Rules!$B$11=2,E43,IF(Rules!$B$11=3,E30,IF(Rules!$B$11=4,E17,E4))),"P",HSDR!R4)</f>
        <v>P</v>
      </c>
      <c r="S3" s="31" t="str">
        <f>IF(F55=IF(Rules!$B$11=2,F43,IF(Rules!$B$11=3,F30,IF(Rules!$B$11=4,F17,F4))),"P",HSDR!S4)</f>
        <v>P</v>
      </c>
      <c r="T3" s="31" t="str">
        <f>IF(G55=IF(Rules!$B$11=2,G43,IF(Rules!$B$11=3,G30,IF(Rules!$B$11=4,G17,G4))),"P",HSDR!T4)</f>
        <v>P</v>
      </c>
      <c r="U3" s="31" t="str">
        <f>IF(H55=IF(Rules!$B$11=2,H43,IF(Rules!$B$11=3,H30,IF(Rules!$B$11=4,H17,H4))),"P",HSDR!U4)</f>
        <v>P</v>
      </c>
      <c r="V3" s="31" t="str">
        <f>IF(I55=IF(Rules!$B$11=2,I43,IF(Rules!$B$11=3,I30,IF(Rules!$B$11=4,I17,I4))),"P",HSDR!V4)</f>
        <v>H</v>
      </c>
      <c r="W3" s="31" t="str">
        <f>IF(J55=IF(Rules!$B$11=2,J43,IF(Rules!$B$11=3,J30,IF(Rules!$B$11=4,J17,J4))),"P",HSDR!W4)</f>
        <v>H</v>
      </c>
      <c r="X3" s="31" t="str">
        <f>IF(K55=IF(Rules!$B$11=2,K43,IF(Rules!$B$11=3,K30,IF(Rules!$B$11=4,K17,K4))),"P",HSDR!X4)</f>
        <v>H</v>
      </c>
    </row>
    <row r="4" spans="1:24" x14ac:dyDescent="0.2">
      <c r="A4" s="126">
        <v>2</v>
      </c>
      <c r="B4" s="117">
        <f>2*(IF(Rules!$B$9=Rules!$E$9,SUM(HSD!B5:B11)+Rules!$B$5*HSD!B12+HSD!B36+B17,SUM(HS!B5:B11)+Rules!$B$5*HS!B12+HS!B36+B17)/(9+Rules!$B$5))</f>
        <v>-0.43453844868912295</v>
      </c>
      <c r="C4" s="1">
        <f>2*(IF(Rules!$B$9=Rules!$E$9,SUM(HSD!C5:C11)+Rules!$B$5*HSD!C12+HSD!C36+C17,SUM(HS!C5:C11)+Rules!$B$5*HS!C12+HS!C36+C17)/(9+Rules!$B$5))</f>
        <v>-8.4172455956159187E-2</v>
      </c>
      <c r="D4" s="1">
        <f>2*(IF(Rules!$B$9=Rules!$E$9,SUM(HSD!D5:D11)+Rules!$B$5*HSD!D12+HSD!D36+D17,SUM(HS!D5:D11)+Rules!$B$5*HS!D12+HS!D36+D17)/(9+Rules!$B$5))</f>
        <v>-1.5290741694285886E-2</v>
      </c>
      <c r="E4" s="1">
        <f>2*(IF(Rules!$B$9=Rules!$E$9,SUM(HSD!E5:E11)+Rules!$B$5*HSD!E12+HSD!E36+E17,SUM(HS!E5:E11)+Rules!$B$5*HS!E12+HS!E36+E17)/(9+Rules!$B$5))</f>
        <v>5.9669884812702897E-2</v>
      </c>
      <c r="F4" s="1">
        <f>2*(IF(Rules!$B$9=Rules!$E$9,SUM(HSD!F5:F11)+Rules!$B$5*HSD!F12+HSD!F36+F17,SUM(HS!F5:F11)+Rules!$B$5*HS!F12+HS!F36+F17)/(9+Rules!$B$5))</f>
        <v>0.15254460734826114</v>
      </c>
      <c r="G4" s="1">
        <f>2*(IF(Rules!$B$9=Rules!$E$9,SUM(HSD!G5:G11)+Rules!$B$5*HSD!G12+HSD!G36+G17,SUM(HS!G5:G11)+Rules!$B$5*HS!G12+HS!G36+G17)/(9+Rules!$B$5))</f>
        <v>0.22804759042439768</v>
      </c>
      <c r="H4" s="1">
        <f>2*(IF(Rules!$B$9=Rules!$E$9,SUM(HSD!H5:H11)+Rules!$B$5*HSD!H12+HSD!H36+H17,SUM(HS!H5:H11)+Rules!$B$5*HS!H12+HS!H36+H17)/(9+Rules!$B$5))</f>
        <v>7.2525602925352451E-3</v>
      </c>
      <c r="I4" s="1">
        <f>2*(IF(Rules!$B$9=Rules!$E$9,SUM(HSD!I5:I11)+Rules!$B$5*HSD!I12+HSD!I36+I17,SUM(HS!I5:I11)+Rules!$B$5*HS!I12+HS!I36+I17)/(9+Rules!$B$5))</f>
        <v>-0.17678582788913758</v>
      </c>
      <c r="J4" s="1">
        <f>2*(IF(Rules!$B$9=Rules!$E$9,SUM(HSD!J5:J11)+Rules!$B$5*HSD!J12+HSD!J36+J17,SUM(HS!J5:J11)+Rules!$B$5*HS!J12+HS!J36+J17)/(9+Rules!$B$5))</f>
        <v>-0.38766698488340534</v>
      </c>
      <c r="K4" s="9">
        <f>2*(IF(Rules!$B$9=Rules!$E$9,SUM(HSD!K5:K11)+Rules!$B$5*HSD!K12+HSD!K36+K17,SUM(HS!K5:K11)+Rules!$B$5*HS!K12+HS!K36+K17)/(9+Rules!$B$5))</f>
        <v>-0.50834444067073903</v>
      </c>
      <c r="N4">
        <v>3</v>
      </c>
      <c r="O4" s="31" t="str">
        <f>IF(B56=IF(Rules!$B$11=2,B44,IF(Rules!$B$11=3,B31,IF(Rules!$B$11=4,B18,B5))),"P",HSDR!O6)</f>
        <v>H</v>
      </c>
      <c r="P4" s="31" t="str">
        <f>IF(C56=IF(Rules!$B$11=2,C44,IF(Rules!$B$11=3,C31,IF(Rules!$B$11=4,C18,C5))),"P",HSDR!P6)</f>
        <v>P</v>
      </c>
      <c r="Q4" s="31" t="str">
        <f>IF(D56=IF(Rules!$B$11=2,D44,IF(Rules!$B$11=3,D31,IF(Rules!$B$11=4,D18,D5))),"P",HSDR!Q6)</f>
        <v>P</v>
      </c>
      <c r="R4" s="31" t="str">
        <f>IF(E56=IF(Rules!$B$11=2,E44,IF(Rules!$B$11=3,E31,IF(Rules!$B$11=4,E18,E5))),"P",HSDR!R6)</f>
        <v>P</v>
      </c>
      <c r="S4" s="31" t="str">
        <f>IF(F56=IF(Rules!$B$11=2,F44,IF(Rules!$B$11=3,F31,IF(Rules!$B$11=4,F18,F5))),"P",HSDR!S6)</f>
        <v>P</v>
      </c>
      <c r="T4" s="31" t="str">
        <f>IF(G56=IF(Rules!$B$11=2,G44,IF(Rules!$B$11=3,G31,IF(Rules!$B$11=4,G18,G5))),"P",HSDR!T6)</f>
        <v>P</v>
      </c>
      <c r="U4" s="31" t="str">
        <f>IF(H56=IF(Rules!$B$11=2,H44,IF(Rules!$B$11=3,H31,IF(Rules!$B$11=4,H18,H5))),"P",HSDR!U6)</f>
        <v>P</v>
      </c>
      <c r="V4" s="31" t="str">
        <f>IF(I56=IF(Rules!$B$11=2,I44,IF(Rules!$B$11=3,I31,IF(Rules!$B$11=4,I18,I5))),"P",HSDR!V6)</f>
        <v>H</v>
      </c>
      <c r="W4" s="31" t="str">
        <f>IF(J56=IF(Rules!$B$11=2,J44,IF(Rules!$B$11=3,J31,IF(Rules!$B$11=4,J18,J5))),"P",HSDR!W6)</f>
        <v>H</v>
      </c>
      <c r="X4" s="31" t="str">
        <f>IF(K56=IF(Rules!$B$11=2,K44,IF(Rules!$B$11=3,K31,IF(Rules!$B$11=4,K18,K5))),"P",HSDR!X6)</f>
        <v>H</v>
      </c>
    </row>
    <row r="5" spans="1:24" x14ac:dyDescent="0.2">
      <c r="A5" s="126">
        <v>3</v>
      </c>
      <c r="B5" s="117">
        <f>2*(IF(Rules!$B$9=Rules!$E$9,SUM(HSD!B6:B12)+Rules!$B$5*HSD!B13+HSD!B37+B18,SUM(HS!B6:B12)+Rules!$B$5*HS!B13+HS!B37+B18)/(9+Rules!$B$5))</f>
        <v>-0.48799403658041574</v>
      </c>
      <c r="C5" s="1">
        <f>2*(IF(Rules!$B$9=Rules!$E$9,SUM(HSD!C6:C12)+Rules!$B$5*HSD!C13+HSD!C37+C18,SUM(HS!C6:C12)+Rules!$B$5*HS!C13+HS!C37+C18)/(9+Rules!$B$5))</f>
        <v>-0.13996566799551638</v>
      </c>
      <c r="D5" s="1">
        <f>2*(IF(Rules!$B$9=Rules!$E$9,SUM(HSD!D6:D12)+Rules!$B$5*HSD!D13+HSD!D37+D18,SUM(HS!D6:D12)+Rules!$B$5*HS!D13+HS!D37+D18)/(9+Rules!$B$5))</f>
        <v>-5.8170199231302212E-2</v>
      </c>
      <c r="E5" s="1">
        <f>2*(IF(Rules!$B$9=Rules!$E$9,SUM(HSD!E6:E12)+Rules!$B$5*HSD!E13+HSD!E37+E18,SUM(HS!E6:E12)+Rules!$B$5*HS!E13+HS!E37+E18)/(9+Rules!$B$5))</f>
        <v>2.8411638911331531E-2</v>
      </c>
      <c r="F5" s="1">
        <f>2*(IF(Rules!$B$9=Rules!$E$9,SUM(HSD!F6:F12)+Rules!$B$5*HSD!F13+HSD!F37+F18,SUM(HS!F6:F12)+Rules!$B$5*HS!F13+HS!F37+F18)/(9+Rules!$B$5))</f>
        <v>0.12516764322265045</v>
      </c>
      <c r="G5" s="1">
        <f>2*(IF(Rules!$B$9=Rules!$E$9,SUM(HSD!G6:G12)+Rules!$B$5*HSD!G13+HSD!G37+G18,SUM(HS!G6:G12)+Rules!$B$5*HS!G13+HS!G37+G18)/(9+Rules!$B$5))</f>
        <v>0.20032664693999136</v>
      </c>
      <c r="H5" s="1">
        <f>2*(IF(Rules!$B$9=Rules!$E$9,SUM(HSD!H6:H12)+Rules!$B$5*HSD!H13+HSD!H37+H18,SUM(HS!H6:H12)+Rules!$B$5*HS!H13+HS!H37+H18)/(9+Rules!$B$5))</f>
        <v>-5.8397045413019377E-2</v>
      </c>
      <c r="I5" s="1">
        <f>2*(IF(Rules!$B$9=Rules!$E$9,SUM(HSD!I6:I12)+Rules!$B$5*HSD!I13+HSD!I37+I18,SUM(HS!I6:I12)+Rules!$B$5*HS!I13+HS!I37+I18)/(9+Rules!$B$5))</f>
        <v>-0.23720132685451165</v>
      </c>
      <c r="J5" s="1">
        <f>2*(IF(Rules!$B$9=Rules!$E$9,SUM(HSD!J6:J12)+Rules!$B$5*HSD!J13+HSD!J37+J18,SUM(HS!J6:J12)+Rules!$B$5*HS!J13+HS!J37+J18)/(9+Rules!$B$5))</f>
        <v>-0.44209363396013424</v>
      </c>
      <c r="K5" s="9">
        <f>2*(IF(Rules!$B$9=Rules!$E$9,SUM(HSD!K6:K12)+Rules!$B$5*HSD!K13+HSD!K37+K18,SUM(HS!K6:K12)+Rules!$B$5*HS!K13+HS!K37+K18)/(9+Rules!$B$5))</f>
        <v>-0.55907351150222828</v>
      </c>
      <c r="N5">
        <v>4</v>
      </c>
      <c r="O5" s="31" t="str">
        <f>IF(B57=IF(Rules!$B$11=2,B45,IF(Rules!$B$11=3,B32,IF(Rules!$B$11=4,B19,B6))),"P",HSDR!O8)</f>
        <v>H</v>
      </c>
      <c r="P5" s="31" t="str">
        <f>IF(C57=IF(Rules!$B$11=2,C45,IF(Rules!$B$11=3,C32,IF(Rules!$B$11=4,C19,C6))),"P",HSDR!P8)</f>
        <v>H</v>
      </c>
      <c r="Q5" s="31" t="str">
        <f>IF(D57=IF(Rules!$B$11=2,D45,IF(Rules!$B$11=3,D32,IF(Rules!$B$11=4,D19,D6))),"P",HSDR!Q8)</f>
        <v>H</v>
      </c>
      <c r="R5" s="31" t="str">
        <f>IF(E57=IF(Rules!$B$11=2,E45,IF(Rules!$B$11=3,E32,IF(Rules!$B$11=4,E19,E6))),"P",HSDR!R8)</f>
        <v>H</v>
      </c>
      <c r="S5" s="31" t="str">
        <f>IF(F57=IF(Rules!$B$11=2,F45,IF(Rules!$B$11=3,F32,IF(Rules!$B$11=4,F19,F6))),"P",HSDR!S8)</f>
        <v>P</v>
      </c>
      <c r="T5" s="31" t="str">
        <f>IF(G57=IF(Rules!$B$11=2,G45,IF(Rules!$B$11=3,G32,IF(Rules!$B$11=4,G19,G6))),"P",HSDR!T8)</f>
        <v>P</v>
      </c>
      <c r="U5" s="31" t="str">
        <f>IF(H57=IF(Rules!$B$11=2,H45,IF(Rules!$B$11=3,H32,IF(Rules!$B$11=4,H19,H6))),"P",HSDR!U8)</f>
        <v>H</v>
      </c>
      <c r="V5" s="31" t="str">
        <f>IF(I57=IF(Rules!$B$11=2,I45,IF(Rules!$B$11=3,I32,IF(Rules!$B$11=4,I19,I6))),"P",HSDR!V8)</f>
        <v>H</v>
      </c>
      <c r="W5" s="31" t="str">
        <f>IF(J57=IF(Rules!$B$11=2,J45,IF(Rules!$B$11=3,J32,IF(Rules!$B$11=4,J19,J6))),"P",HSDR!W8)</f>
        <v>H</v>
      </c>
      <c r="X5" s="31" t="str">
        <f>IF(K57=IF(Rules!$B$11=2,K45,IF(Rules!$B$11=3,K32,IF(Rules!$B$11=4,K19,K6))),"P",HSDR!X8)</f>
        <v>H</v>
      </c>
    </row>
    <row r="6" spans="1:24" x14ac:dyDescent="0.2">
      <c r="A6" s="126">
        <v>4</v>
      </c>
      <c r="B6" s="117">
        <f>2*(IF(Rules!$B$9=Rules!$E$9,SUM(HSD!B7:B13)+Rules!$B$5*HSD!B14+HSD!B38+B19,SUM(HS!B7:B13)+Rules!$B$5*HS!B14+HS!B38+B19)/(9+Rules!$B$5))</f>
        <v>-0.54274885836502385</v>
      </c>
      <c r="C6" s="1">
        <f>2*(IF(Rules!$B$9=Rules!$E$9,SUM(HSD!C7:C13)+Rules!$B$5*HSD!C14+HSD!C38+C19,SUM(HS!C7:C13)+Rules!$B$5*HS!C14+HS!C38+C19)/(9+Rules!$B$5))</f>
        <v>-0.17168894494573531</v>
      </c>
      <c r="D6" s="1">
        <f>2*(IF(Rules!$B$9=Rules!$E$9,SUM(HSD!D7:D13)+Rules!$B$5*HSD!D14+HSD!D38+D19,SUM(HS!D7:D13)+Rules!$B$5*HS!D14+HS!D38+D19)/(9+Rules!$B$5))</f>
        <v>-8.84519553309117E-2</v>
      </c>
      <c r="E6" s="1">
        <f>2*(IF(Rules!$B$9=Rules!$E$9,SUM(HSD!E7:E13)+Rules!$B$5*HSD!E14+HSD!E38+E19,SUM(HS!E7:E13)+Rules!$B$5*HS!E14+HS!E38+E19)/(9+Rules!$B$5))</f>
        <v>-4.7712569515744507E-4</v>
      </c>
      <c r="F6" s="1">
        <f>2*(IF(Rules!$B$9=Rules!$E$9,SUM(HSD!F7:F13)+Rules!$B$5*HSD!F14+HSD!F38+F19,SUM(HS!F7:F13)+Rules!$B$5*HS!F14+HS!F38+F19)/(9+Rules!$B$5))</f>
        <v>0.10112468253500301</v>
      </c>
      <c r="G6" s="1">
        <f>2*(IF(Rules!$B$9=Rules!$E$9,SUM(HSD!G7:G13)+Rules!$B$5*HSD!G14+HSD!G38+G19,SUM(HS!G7:G13)+Rules!$B$5*HS!G14+HS!G38+G19)/(9+Rules!$B$5))</f>
        <v>0.17475377772250111</v>
      </c>
      <c r="H6" s="1">
        <f>2*(IF(Rules!$B$9=Rules!$E$9,SUM(HSD!H7:H13)+Rules!$B$5*HSD!H14+HSD!H38+H19,SUM(HS!H7:H13)+Rules!$B$5*HS!H14+HS!H38+H19)/(9+Rules!$B$5))</f>
        <v>-0.12536965959538635</v>
      </c>
      <c r="I6" s="1">
        <f>2*(IF(Rules!$B$9=Rules!$E$9,SUM(HSD!I7:I13)+Rules!$B$5*HSD!I14+HSD!I38+I19,SUM(HS!I7:I13)+Rules!$B$5*HS!I14+HS!I38+I19)/(9+Rules!$B$5))</f>
        <v>-0.29899229541150613</v>
      </c>
      <c r="J6" s="1">
        <f>2*(IF(Rules!$B$9=Rules!$E$9,SUM(HSD!J7:J13)+Rules!$B$5*HSD!J14+HSD!J38+J19,SUM(HS!J7:J13)+Rules!$B$5*HS!J14+HS!J38+J19)/(9+Rules!$B$5))</f>
        <v>-0.49782945096560954</v>
      </c>
      <c r="K6" s="9">
        <f>2*(IF(Rules!$B$9=Rules!$E$9,SUM(HSD!K7:K13)+Rules!$B$5*HSD!K14+HSD!K38+K19,SUM(HS!K7:K13)+Rules!$B$5*HS!K14+HS!K38+K19)/(9+Rules!$B$5))</f>
        <v>-0.61104989209868155</v>
      </c>
      <c r="N6">
        <v>5</v>
      </c>
      <c r="O6" s="31" t="str">
        <f>IF(B58=IF(Rules!$B$11=2,B46,IF(Rules!$B$11=3,B33,IF(Rules!$B$11=4,B20,B7))),"P",HSDR!O10)</f>
        <v>H</v>
      </c>
      <c r="P6" s="31" t="str">
        <f>IF(C58=IF(Rules!$B$11=2,C46,IF(Rules!$B$11=3,C33,IF(Rules!$B$11=4,C20,C7))),"P",HSDR!P10)</f>
        <v>D</v>
      </c>
      <c r="Q6" s="31" t="str">
        <f>IF(D58=IF(Rules!$B$11=2,D46,IF(Rules!$B$11=3,D33,IF(Rules!$B$11=4,D20,D7))),"P",HSDR!Q10)</f>
        <v>D</v>
      </c>
      <c r="R6" s="31" t="str">
        <f>IF(E58=IF(Rules!$B$11=2,E46,IF(Rules!$B$11=3,E33,IF(Rules!$B$11=4,E20,E7))),"P",HSDR!R10)</f>
        <v>D</v>
      </c>
      <c r="S6" s="31" t="str">
        <f>IF(F58=IF(Rules!$B$11=2,F46,IF(Rules!$B$11=3,F33,IF(Rules!$B$11=4,F20,F7))),"P",HSDR!S10)</f>
        <v>D</v>
      </c>
      <c r="T6" s="31" t="str">
        <f>IF(G58=IF(Rules!$B$11=2,G46,IF(Rules!$B$11=3,G33,IF(Rules!$B$11=4,G20,G7))),"P",HSDR!T10)</f>
        <v>D</v>
      </c>
      <c r="U6" s="31" t="str">
        <f>IF(H58=IF(Rules!$B$11=2,H46,IF(Rules!$B$11=3,H33,IF(Rules!$B$11=4,H20,H7))),"P",HSDR!U10)</f>
        <v>D</v>
      </c>
      <c r="V6" s="31" t="str">
        <f>IF(I58=IF(Rules!$B$11=2,I46,IF(Rules!$B$11=3,I33,IF(Rules!$B$11=4,I20,I7))),"P",HSDR!V10)</f>
        <v>D</v>
      </c>
      <c r="W6" s="31" t="str">
        <f>IF(J58=IF(Rules!$B$11=2,J46,IF(Rules!$B$11=3,J33,IF(Rules!$B$11=4,J20,J7))),"P",HSDR!W10)</f>
        <v>D</v>
      </c>
      <c r="X6" s="31" t="str">
        <f>IF(K58=IF(Rules!$B$11=2,K46,IF(Rules!$B$11=3,K33,IF(Rules!$B$11=4,K20,K7))),"P",HSDR!X10)</f>
        <v>H</v>
      </c>
    </row>
    <row r="7" spans="1:24" x14ac:dyDescent="0.2">
      <c r="A7" s="126">
        <v>5</v>
      </c>
      <c r="B7" s="117">
        <f>2*(IF(Rules!$B$9=Rules!$E$9,SUM(HSD!B8:B14)+Rules!$B$5*HSD!B15+HSD!B39+B20,SUM(HS!B8:B14)+Rules!$B$5*HS!B15+HS!B39+B20)/(9+Rules!$B$5))</f>
        <v>-0.60190880494399301</v>
      </c>
      <c r="C7" s="1">
        <f>2*(IF(Rules!$B$9=Rules!$E$9,SUM(HSD!C8:C14)+Rules!$B$5*HSD!C15+HSD!C39+C20,SUM(HS!C8:C14)+Rules!$B$5*HS!C15+HS!C39+C20)/(9+Rules!$B$5))</f>
        <v>-0.20883311753418418</v>
      </c>
      <c r="D7" s="1">
        <f>2*(IF(Rules!$B$9=Rules!$E$9,SUM(HSD!D8:D14)+Rules!$B$5*HSD!D15+HSD!D39+D20,SUM(HS!D8:D14)+Rules!$B$5*HS!D15+HS!D39+D20)/(9+Rules!$B$5))</f>
        <v>-0.12400898788480738</v>
      </c>
      <c r="E7" s="1">
        <f>2*(IF(Rules!$B$9=Rules!$E$9,SUM(HSD!E8:E14)+Rules!$B$5*HSD!E15+HSD!E39+E20,SUM(HS!E8:E14)+Rules!$B$5*HS!E15+HS!E39+E20)/(9+Rules!$B$5))</f>
        <v>-3.1152297195703841E-2</v>
      </c>
      <c r="F7" s="1">
        <f>2*(IF(Rules!$B$9=Rules!$E$9,SUM(HSD!F8:F14)+Rules!$B$5*HSD!F15+HSD!F39+F20,SUM(HS!F8:F14)+Rules!$B$5*HS!F15+HS!F39+F20)/(9+Rules!$B$5))</f>
        <v>7.2079858024270943E-2</v>
      </c>
      <c r="G7" s="1">
        <f>2*(IF(Rules!$B$9=Rules!$E$9,SUM(HSD!G8:G14)+Rules!$B$5*HSD!G15+HSD!G39+G20,SUM(HS!G8:G14)+Rules!$B$5*HS!G15+HS!G39+G20)/(9+Rules!$B$5))</f>
        <v>0.14154433967312882</v>
      </c>
      <c r="H7" s="1">
        <f>2*(IF(Rules!$B$9=Rules!$E$9,SUM(HSD!H8:H14)+Rules!$B$5*HSD!H15+HSD!H39+H20,SUM(HS!H8:H14)+Rules!$B$5*HS!H15+HS!H39+H20)/(9+Rules!$B$5))</f>
        <v>-0.21405736243220946</v>
      </c>
      <c r="I7" s="1">
        <f>2*(IF(Rules!$B$9=Rules!$E$9,SUM(HSD!I8:I14)+Rules!$B$5*HSD!I15+HSD!I39+I20,SUM(HS!I8:I14)+Rules!$B$5*HS!I15+HS!I39+I20)/(9+Rules!$B$5))</f>
        <v>-0.36813274409810048</v>
      </c>
      <c r="J7" s="1">
        <f>2*(IF(Rules!$B$9=Rules!$E$9,SUM(HSD!J8:J14)+Rules!$B$5*HSD!J15+HSD!J39+J20,SUM(HS!J8:J14)+Rules!$B$5*HS!J15+HS!J39+J20)/(9+Rules!$B$5))</f>
        <v>-0.56044675205198125</v>
      </c>
      <c r="K7" s="9">
        <f>2*(IF(Rules!$B$9=Rules!$E$9,SUM(HSD!K8:K14)+Rules!$B$5*HSD!K15+HSD!K39+K20,SUM(HS!K8:K14)+Rules!$B$5*HS!K15+HS!K39+K20)/(9+Rules!$B$5))</f>
        <v>-0.6716369304134806</v>
      </c>
      <c r="N7">
        <v>6</v>
      </c>
      <c r="O7" s="31" t="str">
        <f>IF(B59=IF(Rules!$B$11=2,B47,IF(Rules!$B$11=3,B34,IF(Rules!$B$11=4,B21,B8))),"P",HSDR!O12)</f>
        <v>H</v>
      </c>
      <c r="P7" s="31" t="str">
        <f>IF(C59=IF(Rules!$B$11=2,C47,IF(Rules!$B$11=3,C34,IF(Rules!$B$11=4,C21,C8))),"P",HSDR!P12)</f>
        <v>H</v>
      </c>
      <c r="Q7" s="31" t="str">
        <f>IF(D59=IF(Rules!$B$11=2,D47,IF(Rules!$B$11=3,D34,IF(Rules!$B$11=4,D21,D8))),"P",HSDR!Q12)</f>
        <v>P</v>
      </c>
      <c r="R7" s="31" t="str">
        <f>IF(E59=IF(Rules!$B$11=2,E47,IF(Rules!$B$11=3,E34,IF(Rules!$B$11=4,E21,E8))),"P",HSDR!R12)</f>
        <v>P</v>
      </c>
      <c r="S7" s="31" t="str">
        <f>IF(F59=IF(Rules!$B$11=2,F47,IF(Rules!$B$11=3,F34,IF(Rules!$B$11=4,F21,F8))),"P",HSDR!S12)</f>
        <v>P</v>
      </c>
      <c r="T7" s="31" t="str">
        <f>IF(G59=IF(Rules!$B$11=2,G47,IF(Rules!$B$11=3,G34,IF(Rules!$B$11=4,G21,G8))),"P",HSDR!T12)</f>
        <v>P</v>
      </c>
      <c r="U7" s="31" t="str">
        <f>IF(H59=IF(Rules!$B$11=2,H47,IF(Rules!$B$11=3,H34,IF(Rules!$B$11=4,H21,H8))),"P",HSDR!U12)</f>
        <v>H</v>
      </c>
      <c r="V7" s="31" t="str">
        <f>IF(I59=IF(Rules!$B$11=2,I47,IF(Rules!$B$11=3,I34,IF(Rules!$B$11=4,I21,I8))),"P",HSDR!V12)</f>
        <v>H</v>
      </c>
      <c r="W7" s="31" t="str">
        <f>IF(J59=IF(Rules!$B$11=2,J47,IF(Rules!$B$11=3,J34,IF(Rules!$B$11=4,J21,J8))),"P",HSDR!W12)</f>
        <v>H</v>
      </c>
      <c r="X7" s="31" t="str">
        <f>IF(K59=IF(Rules!$B$11=2,K47,IF(Rules!$B$11=3,K34,IF(Rules!$B$11=4,K21,K8))),"P",HSDR!X12)</f>
        <v>H</v>
      </c>
    </row>
    <row r="8" spans="1:24" x14ac:dyDescent="0.2">
      <c r="A8" s="126">
        <v>6</v>
      </c>
      <c r="B8" s="117">
        <f>2*(IF(Rules!$B$9=Rules!$E$9,SUM(HSD!B9:B15)+Rules!$B$5*HSD!B16+HSD!B40+B21,SUM(HS!B9:B15)+Rules!$B$5*HS!B16+HS!B40+B21)/(9+Rules!$B$5))</f>
        <v>-0.68279633507299153</v>
      </c>
      <c r="C8" s="1">
        <f>2*(IF(Rules!$B$9=Rules!$E$9,SUM(HSD!C9:C15)+Rules!$B$5*HSD!C16+HSD!C40+C21,SUM(HS!C9:C15)+Rules!$B$5*HS!C16+HS!C40+C21)/(9+Rules!$B$5))</f>
        <v>-0.25429527138946978</v>
      </c>
      <c r="D8" s="1">
        <f>2*(IF(Rules!$B$9=Rules!$E$9,SUM(HSD!D9:D15)+Rules!$B$5*HSD!D16+HSD!D40+D21,SUM(HS!D9:D15)+Rules!$B$5*HS!D16+HS!D40+D21)/(9+Rules!$B$5))</f>
        <v>-0.16288874590306299</v>
      </c>
      <c r="E8" s="1">
        <f>2*(IF(Rules!$B$9=Rules!$E$9,SUM(HSD!E9:E15)+Rules!$B$5*HSD!E16+HSD!E40+E21,SUM(HS!E9:E15)+Rules!$B$5*HS!E16+HS!E40+E21)/(9+Rules!$B$5))</f>
        <v>-6.5563800504274461E-2</v>
      </c>
      <c r="F8" s="1">
        <f>2*(IF(Rules!$B$9=Rules!$E$9,SUM(HSD!F9:F15)+Rules!$B$5*HSD!F16+HSD!F40+F21,SUM(HS!F9:F15)+Rules!$B$5*HS!F16+HS!F40+F21)/(9+Rules!$B$5))</f>
        <v>3.9128704122453284E-2</v>
      </c>
      <c r="G8" s="1">
        <f>2*(IF(Rules!$B$9=Rules!$E$9,SUM(HSD!G9:G15)+Rules!$B$5*HSD!G16+HSD!G40+G21,SUM(HS!G9:G15)+Rules!$B$5*HS!G16+HS!G40+G21)/(9+Rules!$B$5))</f>
        <v>0.10664778102882916</v>
      </c>
      <c r="H8" s="1">
        <f>2*(IF(Rules!$B$9=Rules!$E$9,SUM(HSD!H9:H15)+Rules!$B$5*HSD!H16+HSD!H40+H21,SUM(HS!H9:H15)+Rules!$B$5*HS!H16+HS!H40+H21)/(9+Rules!$B$5))</f>
        <v>-0.31815503757081631</v>
      </c>
      <c r="I8" s="1">
        <f>2*(IF(Rules!$B$9=Rules!$E$9,SUM(HSD!I9:I15)+Rules!$B$5*HSD!I16+HSD!I40+I21,SUM(HS!I9:I15)+Rules!$B$5*HS!I16+HS!I40+I21)/(9+Rules!$B$5))</f>
        <v>-0.46429218926764421</v>
      </c>
      <c r="J8" s="1">
        <f>2*(IF(Rules!$B$9=Rules!$E$9,SUM(HSD!J9:J15)+Rules!$B$5*HSD!J16+HSD!J40+J21,SUM(HS!J9:J15)+Rules!$B$5*HS!J16+HS!J40+J21)/(9+Rules!$B$5))</f>
        <v>-0.63554661198683648</v>
      </c>
      <c r="K8" s="9">
        <f>2*(IF(Rules!$B$9=Rules!$E$9,SUM(HSD!K9:K15)+Rules!$B$5*HSD!K16+HSD!K40+K21,SUM(HS!K9:K15)+Rules!$B$5*HS!K16+HS!K40+K21)/(9+Rules!$B$5))</f>
        <v>-0.74175331248723864</v>
      </c>
      <c r="N8">
        <v>7</v>
      </c>
      <c r="O8" s="31" t="str">
        <f>IF(B60=IF(Rules!$B$11=2,B48,IF(Rules!$B$11=3,B35,IF(Rules!$B$11=4,B22,B9))),"P",HSDR!O14)</f>
        <v>H</v>
      </c>
      <c r="P8" s="31" t="str">
        <f>IF(C60=IF(Rules!$B$11=2,C48,IF(Rules!$B$11=3,C35,IF(Rules!$B$11=4,C22,C9))),"P",HSDR!P14)</f>
        <v>P</v>
      </c>
      <c r="Q8" s="31" t="str">
        <f>IF(D60=IF(Rules!$B$11=2,D48,IF(Rules!$B$11=3,D35,IF(Rules!$B$11=4,D22,D9))),"P",HSDR!Q14)</f>
        <v>P</v>
      </c>
      <c r="R8" s="31" t="str">
        <f>IF(E60=IF(Rules!$B$11=2,E48,IF(Rules!$B$11=3,E35,IF(Rules!$B$11=4,E22,E9))),"P",HSDR!R14)</f>
        <v>P</v>
      </c>
      <c r="S8" s="31" t="str">
        <f>IF(F60=IF(Rules!$B$11=2,F48,IF(Rules!$B$11=3,F35,IF(Rules!$B$11=4,F22,F9))),"P",HSDR!S14)</f>
        <v>P</v>
      </c>
      <c r="T8" s="31" t="str">
        <f>IF(G60=IF(Rules!$B$11=2,G48,IF(Rules!$B$11=3,G35,IF(Rules!$B$11=4,G22,G9))),"P",HSDR!T14)</f>
        <v>P</v>
      </c>
      <c r="U8" s="31" t="str">
        <f>IF(H60=IF(Rules!$B$11=2,H48,IF(Rules!$B$11=3,H35,IF(Rules!$B$11=4,H22,H9))),"P",HSDR!U14)</f>
        <v>P</v>
      </c>
      <c r="V8" s="31" t="str">
        <f>IF(I60=IF(Rules!$B$11=2,I48,IF(Rules!$B$11=3,I35,IF(Rules!$B$11=4,I22,I9))),"P",HSDR!V14)</f>
        <v>H</v>
      </c>
      <c r="W8" s="31" t="str">
        <f>IF(J60=IF(Rules!$B$11=2,J48,IF(Rules!$B$11=3,J35,IF(Rules!$B$11=4,J22,J9))),"P",HSDR!W14)</f>
        <v>H</v>
      </c>
      <c r="X8" s="31" t="str">
        <f>IF(K60=IF(Rules!$B$11=2,K48,IF(Rules!$B$11=3,K35,IF(Rules!$B$11=4,K22,K9))),"P",HSDR!X14)</f>
        <v>H</v>
      </c>
    </row>
    <row r="9" spans="1:24" x14ac:dyDescent="0.2">
      <c r="A9" s="126">
        <v>7</v>
      </c>
      <c r="B9" s="117">
        <f>2*(IF(Rules!$B$9=Rules!$E$9,SUM(HSD!B10:B16)+Rules!$B$5*HSD!B17+HSD!B41+B22,SUM(HS!B10:B16)+Rules!$B$5*HS!B17+HS!B41+B22)/(9+Rules!$B$5))</f>
        <v>-0.72058758091375785</v>
      </c>
      <c r="C9" s="1">
        <f>2*(IF(Rules!$B$9=Rules!$E$9,SUM(HSD!C10:C16)+Rules!$B$5*HSD!C17+HSD!C41+C22,SUM(HS!C10:C16)+Rules!$B$5*HS!C17+HS!C41+C22)/(9+Rules!$B$5))</f>
        <v>-0.19713886392161539</v>
      </c>
      <c r="D9" s="1">
        <f>2*(IF(Rules!$B$9=Rules!$E$9,SUM(HSD!D10:D16)+Rules!$B$5*HSD!D17+HSD!D41+D22,SUM(HS!D10:D16)+Rules!$B$5*HS!D17+HS!D41+D22)/(9+Rules!$B$5))</f>
        <v>-0.11019770934194308</v>
      </c>
      <c r="E9" s="1">
        <f>2*(IF(Rules!$B$9=Rules!$E$9,SUM(HSD!E10:E16)+Rules!$B$5*HSD!E17+HSD!E41+E22,SUM(HS!E10:E16)+Rules!$B$5*HS!E17+HS!E41+E22)/(9+Rules!$B$5))</f>
        <v>-2.0545479155361621E-2</v>
      </c>
      <c r="F9" s="1">
        <f>2*(IF(Rules!$B$9=Rules!$E$9,SUM(HSD!F10:F16)+Rules!$B$5*HSD!F17+HSD!F41+F22,SUM(HS!F10:F16)+Rules!$B$5*HS!F17+HS!F41+F22)/(9+Rules!$B$5))</f>
        <v>7.4042520610245952E-2</v>
      </c>
      <c r="G9" s="1">
        <f>2*(IF(Rules!$B$9=Rules!$E$9,SUM(HSD!G10:G16)+Rules!$B$5*HSD!G17+HSD!G41+G22,SUM(HS!G10:G16)+Rules!$B$5*HS!G17+HS!G41+G22)/(9+Rules!$B$5))</f>
        <v>0.16425624804113409</v>
      </c>
      <c r="H9" s="1">
        <f>2*(IF(Rules!$B$9=Rules!$E$9,SUM(HSD!H10:H16)+Rules!$B$5*HSD!H17+HSD!H41+H22,SUM(HS!H10:H16)+Rules!$B$5*HS!H17+HS!H41+H22)/(9+Rules!$B$5))</f>
        <v>-0.1380305845221533</v>
      </c>
      <c r="I9" s="1">
        <f>2*(IF(Rules!$B$9=Rules!$E$9,SUM(HSD!I10:I16)+Rules!$B$5*HSD!I17+HSD!I41+I22,SUM(HS!I10:I16)+Rules!$B$5*HS!I17+HS!I41+I22)/(9+Rules!$B$5))</f>
        <v>-0.47728565029446862</v>
      </c>
      <c r="J9" s="1">
        <f>2*(IF(Rules!$B$9=Rules!$E$9,SUM(HSD!J10:J16)+Rules!$B$5*HSD!J17+HSD!J41+J22,SUM(HS!J10:J16)+Rules!$B$5*HS!J17+HS!J41+J22)/(9+Rules!$B$5))</f>
        <v>-0.64698434387479586</v>
      </c>
      <c r="K9" s="9">
        <f>2*(IF(Rules!$B$9=Rules!$E$9,SUM(HSD!K10:K16)+Rules!$B$5*HSD!K17+HSD!K41+K22,SUM(HS!K10:K16)+Rules!$B$5*HS!K17+HS!K41+K22)/(9+Rules!$B$5))</f>
        <v>-0.71505816723170745</v>
      </c>
      <c r="N9">
        <v>8</v>
      </c>
      <c r="O9" s="31" t="str">
        <f>IF(B61=IF(Rules!$B$11=2,B49,IF(Rules!$B$11=3,B36,IF(Rules!$B$11=4,B23,B10))),"P",HSDR!O16)</f>
        <v>P</v>
      </c>
      <c r="P9" s="31" t="str">
        <f>IF(C61=IF(Rules!$B$11=2,C49,IF(Rules!$B$11=3,C36,IF(Rules!$B$11=4,C23,C10))),"P",HSDR!P16)</f>
        <v>P</v>
      </c>
      <c r="Q9" s="31" t="str">
        <f>IF(D61=IF(Rules!$B$11=2,D49,IF(Rules!$B$11=3,D36,IF(Rules!$B$11=4,D23,D10))),"P",HSDR!Q16)</f>
        <v>P</v>
      </c>
      <c r="R9" s="31" t="str">
        <f>IF(E61=IF(Rules!$B$11=2,E49,IF(Rules!$B$11=3,E36,IF(Rules!$B$11=4,E23,E10))),"P",HSDR!R16)</f>
        <v>P</v>
      </c>
      <c r="S9" s="31" t="str">
        <f>IF(F61=IF(Rules!$B$11=2,F49,IF(Rules!$B$11=3,F36,IF(Rules!$B$11=4,F23,F10))),"P",HSDR!S16)</f>
        <v>P</v>
      </c>
      <c r="T9" s="31" t="str">
        <f>IF(G61=IF(Rules!$B$11=2,G49,IF(Rules!$B$11=3,G36,IF(Rules!$B$11=4,G23,G10))),"P",HSDR!T16)</f>
        <v>P</v>
      </c>
      <c r="U9" s="31" t="str">
        <f>IF(H61=IF(Rules!$B$11=2,H49,IF(Rules!$B$11=3,H36,IF(Rules!$B$11=4,H23,H10))),"P",HSDR!U16)</f>
        <v>P</v>
      </c>
      <c r="V9" s="31" t="str">
        <f>IF(I61=IF(Rules!$B$11=2,I49,IF(Rules!$B$11=3,I36,IF(Rules!$B$11=4,I23,I10))),"P",HSDR!V16)</f>
        <v>P</v>
      </c>
      <c r="W9" s="31" t="str">
        <f>IF(J61=IF(Rules!$B$11=2,J49,IF(Rules!$B$11=3,J36,IF(Rules!$B$11=4,J23,J10))),"P",HSDR!W16)</f>
        <v>R</v>
      </c>
      <c r="X9" s="31" t="str">
        <f>IF(K61=IF(Rules!$B$11=2,K49,IF(Rules!$B$11=3,K36,IF(Rules!$B$11=4,K23,K10))),"P",HSDR!X16)</f>
        <v>R</v>
      </c>
    </row>
    <row r="10" spans="1:24" x14ac:dyDescent="0.2">
      <c r="A10" s="126">
        <v>8</v>
      </c>
      <c r="B10" s="117">
        <f>2*(IF(Rules!$B$9=Rules!$E$9,SUM(HSD!B11:B17)+Rules!$B$5*HSD!B18+HSD!B42+B23,SUM(HS!B11:B17)+Rules!$B$5*HS!B18+HS!B42+B23)/(9+Rules!$B$5))</f>
        <v>-0.48019868486214329</v>
      </c>
      <c r="C10" s="1">
        <f>2*(IF(Rules!$B$9=Rules!$E$9,SUM(HSD!C11:C17)+Rules!$B$5*HSD!C18+HSD!C42+C23,SUM(HS!C11:C17)+Rules!$B$5*HS!C18+HS!C42+C23)/(9+Rules!$B$5))</f>
        <v>-4.2245358384343665E-2</v>
      </c>
      <c r="D10" s="1">
        <f>2*(IF(Rules!$B$9=Rules!$E$9,SUM(HSD!D11:D17)+Rules!$B$5*HSD!D18+HSD!D42+D23,SUM(HS!D11:D17)+Rules!$B$5*HS!D18+HS!D42+D23)/(9+Rules!$B$5))</f>
        <v>2.8477183070484049E-2</v>
      </c>
      <c r="E10" s="1">
        <f>2*(IF(Rules!$B$9=Rules!$E$9,SUM(HSD!E11:E17)+Rules!$B$5*HSD!E18+HSD!E42+E23,SUM(HS!E11:E17)+Rules!$B$5*HS!E18+HS!E42+E23)/(9+Rules!$B$5))</f>
        <v>0.10142847770044075</v>
      </c>
      <c r="F10" s="1">
        <f>2*(IF(Rules!$B$9=Rules!$E$9,SUM(HSD!F11:F17)+Rules!$B$5*HSD!F18+HSD!F42+F23,SUM(HS!F11:F17)+Rules!$B$5*HS!F18+HS!F42+F23)/(9+Rules!$B$5))</f>
        <v>0.17683383344875153</v>
      </c>
      <c r="G10" s="1">
        <f>2*(IF(Rules!$B$9=Rules!$E$9,SUM(HSD!G11:G17)+Rules!$B$5*HSD!G18+HSD!G42+G23,SUM(HS!G11:G17)+Rules!$B$5*HS!G18+HS!G42+G23)/(9+Rules!$B$5))</f>
        <v>0.28023408243631798</v>
      </c>
      <c r="H10" s="1">
        <f>2*(IF(Rules!$B$9=Rules!$E$9,SUM(HSD!H11:H17)+Rules!$B$5*HSD!H18+HSD!H42+H23,SUM(HS!H11:H17)+Rules!$B$5*HS!H18+HS!H42+H23)/(9+Rules!$B$5))</f>
        <v>0.17876155984413827</v>
      </c>
      <c r="I10" s="1">
        <f>2*(IF(Rules!$B$9=Rules!$E$9,SUM(HSD!I11:I17)+Rules!$B$5*HSD!I18+HSD!I42+I23,SUM(HS!I11:I17)+Rules!$B$5*HS!I18+HS!I42+I23)/(9+Rules!$B$5))</f>
        <v>-0.15537421732701576</v>
      </c>
      <c r="J10" s="1">
        <f>2*(IF(Rules!$B$9=Rules!$E$9,SUM(HSD!J11:J17)+Rules!$B$5*HSD!J18+HSD!J42+J23,SUM(HS!J11:J17)+Rules!$B$5*HS!J18+HS!J42+J23)/(9+Rules!$B$5))</f>
        <v>-0.50498615672756886</v>
      </c>
      <c r="K10" s="9">
        <f>2*(IF(Rules!$B$9=Rules!$E$9,SUM(HSD!K11:K17)+Rules!$B$5*HSD!K18+HSD!K42+K23,SUM(HS!K11:K17)+Rules!$B$5*HS!K18+HS!K42+K23)/(9+Rules!$B$5))</f>
        <v>-0.58274609661942167</v>
      </c>
      <c r="N10">
        <v>9</v>
      </c>
      <c r="O10" s="31" t="str">
        <f>IF(B62=IF(Rules!$B$11=2,B50,IF(Rules!$B$11=3,B37,IF(Rules!$B$11=4,B24,B11))),"P",HSDR!O18)</f>
        <v>S</v>
      </c>
      <c r="P10" s="31" t="str">
        <f>IF(C62=IF(Rules!$B$11=2,C50,IF(Rules!$B$11=3,C37,IF(Rules!$B$11=4,C24,C11))),"P",HSDR!P18)</f>
        <v>P</v>
      </c>
      <c r="Q10" s="31" t="str">
        <f>IF(D62=IF(Rules!$B$11=2,D50,IF(Rules!$B$11=3,D37,IF(Rules!$B$11=4,D24,D11))),"P",HSDR!Q18)</f>
        <v>P</v>
      </c>
      <c r="R10" s="31" t="str">
        <f>IF(E62=IF(Rules!$B$11=2,E50,IF(Rules!$B$11=3,E37,IF(Rules!$B$11=4,E24,E11))),"P",HSDR!R18)</f>
        <v>P</v>
      </c>
      <c r="S10" s="31" t="str">
        <f>IF(F62=IF(Rules!$B$11=2,F50,IF(Rules!$B$11=3,F37,IF(Rules!$B$11=4,F24,F11))),"P",HSDR!S18)</f>
        <v>P</v>
      </c>
      <c r="T10" s="31" t="str">
        <f>IF(G62=IF(Rules!$B$11=2,G50,IF(Rules!$B$11=3,G37,IF(Rules!$B$11=4,G24,G11))),"P",HSDR!T18)</f>
        <v>P</v>
      </c>
      <c r="U10" s="31" t="str">
        <f>IF(H62=IF(Rules!$B$11=2,H50,IF(Rules!$B$11=3,H37,IF(Rules!$B$11=4,H24,H11))),"P",HSDR!U18)</f>
        <v>S</v>
      </c>
      <c r="V10" s="31" t="str">
        <f>IF(I62=IF(Rules!$B$11=2,I50,IF(Rules!$B$11=3,I37,IF(Rules!$B$11=4,I24,I11))),"P",HSDR!V18)</f>
        <v>P</v>
      </c>
      <c r="W10" s="31" t="str">
        <f>IF(J62=IF(Rules!$B$11=2,J50,IF(Rules!$B$11=3,J37,IF(Rules!$B$11=4,J24,J11))),"P",HSDR!W18)</f>
        <v>P</v>
      </c>
      <c r="X10" s="31" t="str">
        <f>IF(K62=IF(Rules!$B$11=2,K50,IF(Rules!$B$11=3,K37,IF(Rules!$B$11=4,K24,K11))),"P",HSDR!X18)</f>
        <v>S</v>
      </c>
    </row>
    <row r="11" spans="1:24" x14ac:dyDescent="0.2">
      <c r="A11" s="126">
        <v>9</v>
      </c>
      <c r="B11" s="117">
        <f>2*(IF(Rules!$B$9=Rules!$E$9,SUM(HSD!B12:B18)+Rules!$B$5*HSD!B19+HSD!B43+B24,SUM(HS!B12:B18)+Rules!$B$5*HS!B19+HS!B43+B24)/(9+Rules!$B$5))</f>
        <v>-0.18106406561604571</v>
      </c>
      <c r="C11" s="1">
        <f>2*(IF(Rules!$B$9=Rules!$E$9,SUM(HSD!C12:C18)+Rules!$B$5*HSD!C19+HSD!C43+C24,SUM(HS!C12:C18)+Rules!$B$5*HS!C19+HS!C43+C24)/(9+Rules!$B$5))</f>
        <v>0.13281621863254187</v>
      </c>
      <c r="D11" s="1">
        <f>2*(IF(Rules!$B$9=Rules!$E$9,SUM(HSD!D12:D18)+Rules!$B$5*HSD!D19+HSD!D43+D24,SUM(HS!D12:D18)+Rules!$B$5*HS!D19+HS!D43+D24)/(9+Rules!$B$5))</f>
        <v>0.19220356476145886</v>
      </c>
      <c r="E11" s="1">
        <f>2*(IF(Rules!$B$9=Rules!$E$9,SUM(HSD!E12:E18)+Rules!$B$5*HSD!E19+HSD!E43+E24,SUM(HS!E12:E18)+Rules!$B$5*HS!E19+HS!E43+E24)/(9+Rules!$B$5))</f>
        <v>0.25358080861134896</v>
      </c>
      <c r="F11" s="1">
        <f>2*(IF(Rules!$B$9=Rules!$E$9,SUM(HSD!F12:F18)+Rules!$B$5*HSD!F19+HSD!F43+F24,SUM(HS!F12:F18)+Rules!$B$5*HS!F19+HS!F43+F24)/(9+Rules!$B$5))</f>
        <v>0.31781452242969582</v>
      </c>
      <c r="G11" s="1">
        <f>2*(IF(Rules!$B$9=Rules!$E$9,SUM(HSD!G12:G18)+Rules!$B$5*HSD!G19+HSD!G43+G24,SUM(HS!G12:G18)+Rules!$B$5*HS!G19+HS!G43+G24)/(9+Rules!$B$5))</f>
        <v>0.40279464374223511</v>
      </c>
      <c r="H11" s="1">
        <f>2*(IF(Rules!$B$9=Rules!$E$9,SUM(HSD!H12:H18)+Rules!$B$5*HSD!H19+HSD!H43+H24,SUM(HS!H12:H18)+Rules!$B$5*HS!H19+HS!H43+H24)/(9+Rules!$B$5))</f>
        <v>0.35317698432053596</v>
      </c>
      <c r="I11" s="1">
        <f>2*(IF(Rules!$B$9=Rules!$E$9,SUM(HSD!I12:I18)+Rules!$B$5*HSD!I19+HSD!I43+I24,SUM(HS!I12:I18)+Rules!$B$5*HS!I19+HS!I43+I24)/(9+Rules!$B$5))</f>
        <v>0.19080029192214351</v>
      </c>
      <c r="J11" s="1">
        <f>2*(IF(Rules!$B$9=Rules!$E$9,SUM(HSD!J12:J18)+Rules!$B$5*HSD!J19+HSD!J43+J24,SUM(HS!J12:J18)+Rules!$B$5*HS!J19+HS!J43+J24)/(9+Rules!$B$5))</f>
        <v>-0.15189115147007362</v>
      </c>
      <c r="K11" s="9">
        <f>2*(IF(Rules!$B$9=Rules!$E$9,SUM(HSD!K12:K18)+Rules!$B$5*HSD!K19+HSD!K43+K24,SUM(HS!K12:K18)+Rules!$B$5*HS!K19+HS!K43+K24)/(9+Rules!$B$5))</f>
        <v>-0.38293391854315445</v>
      </c>
      <c r="N11">
        <v>10</v>
      </c>
      <c r="O11" s="31" t="str">
        <f>IF(B63=IF(Rules!$B$11=2,B51,IF(Rules!$B$11=3,B38,IF(Rules!$B$11=4,B25,B12))),"P",HSDR!O20)</f>
        <v>S</v>
      </c>
      <c r="P11" s="31" t="str">
        <f>IF(C63=IF(Rules!$B$11=2,C51,IF(Rules!$B$11=3,C38,IF(Rules!$B$11=4,C25,C12))),"P",HSDR!P20)</f>
        <v>S</v>
      </c>
      <c r="Q11" s="31" t="str">
        <f>IF(D63=IF(Rules!$B$11=2,D51,IF(Rules!$B$11=3,D38,IF(Rules!$B$11=4,D25,D12))),"P",HSDR!Q20)</f>
        <v>S</v>
      </c>
      <c r="R11" s="31" t="str">
        <f>IF(E63=IF(Rules!$B$11=2,E51,IF(Rules!$B$11=3,E38,IF(Rules!$B$11=4,E25,E12))),"P",HSDR!R20)</f>
        <v>S</v>
      </c>
      <c r="S11" s="31" t="str">
        <f>IF(F63=IF(Rules!$B$11=2,F51,IF(Rules!$B$11=3,F38,IF(Rules!$B$11=4,F25,F12))),"P",HSDR!S20)</f>
        <v>S</v>
      </c>
      <c r="T11" s="31" t="str">
        <f>IF(G63=IF(Rules!$B$11=2,G51,IF(Rules!$B$11=3,G38,IF(Rules!$B$11=4,G25,G12))),"P",HSDR!T20)</f>
        <v>P</v>
      </c>
      <c r="U11" s="31" t="str">
        <f>IF(H63=IF(Rules!$B$11=2,H51,IF(Rules!$B$11=3,H38,IF(Rules!$B$11=4,H25,H12))),"P",HSDR!U20)</f>
        <v>S</v>
      </c>
      <c r="V11" s="31" t="str">
        <f>IF(I63=IF(Rules!$B$11=2,I51,IF(Rules!$B$11=3,I38,IF(Rules!$B$11=4,I25,I12))),"P",HSDR!V20)</f>
        <v>S</v>
      </c>
      <c r="W11" s="31" t="str">
        <f>IF(J63=IF(Rules!$B$11=2,J51,IF(Rules!$B$11=3,J38,IF(Rules!$B$11=4,J25,J12))),"P",HSDR!W20)</f>
        <v>S</v>
      </c>
      <c r="X11" s="31" t="str">
        <f>IF(K63=IF(Rules!$B$11=2,K51,IF(Rules!$B$11=3,K38,IF(Rules!$B$11=4,K25,K12))),"P",HSDR!X20)</f>
        <v>S</v>
      </c>
    </row>
    <row r="12" spans="1:24" ht="17" thickBot="1" x14ac:dyDescent="0.25">
      <c r="A12" s="127">
        <v>10</v>
      </c>
      <c r="B12" s="118">
        <f>2*(IF(Rules!$B$9=Rules!$E$9,SUM(HSD!B13:B19)+Rules!$B$5*HSD!B20+HSD!B44+B25,SUM(HS!B13:B19)+Rules!$B$5*HS!B20+HS!B44+B25)/(9+Rules!$B$5))</f>
        <v>0.25591217102008812</v>
      </c>
      <c r="C12" s="171">
        <f>2*(IF(Rules!$B$9=Rules!$E$9,SUM(HSD!C13:C19)+Rules!$B$5*HSD!C20+HSD!C44+C25,SUM(HS!C13:C19)+Rules!$B$5*HS!C20+HS!C44+C25)/(9+Rules!$B$5))</f>
        <v>0.47702511757927396</v>
      </c>
      <c r="D12" s="171">
        <f>2*(IF(Rules!$B$9=Rules!$E$9,SUM(HSD!D13:D19)+Rules!$B$5*HSD!D20+HSD!D44+D25,SUM(HS!D13:D19)+Rules!$B$5*HS!D20+HS!D44+D25)/(9+Rules!$B$5))</f>
        <v>0.52917868575056526</v>
      </c>
      <c r="E12" s="171">
        <f>2*(IF(Rules!$B$9=Rules!$E$9,SUM(HSD!E13:E19)+Rules!$B$5*HSD!E20+HSD!E44+E25,SUM(HS!E13:E19)+Rules!$B$5*HS!E20+HS!E44+E25)/(9+Rules!$B$5))</f>
        <v>0.58267776514625602</v>
      </c>
      <c r="F12" s="171">
        <f>2*(IF(Rules!$B$9=Rules!$E$9,SUM(HSD!F13:F19)+Rules!$B$5*HSD!F20+HSD!F44+F25,SUM(HS!F13:F19)+Rules!$B$5*HS!F20+HS!F44+F25)/(9+Rules!$B$5))</f>
        <v>0.63565069498224802</v>
      </c>
      <c r="G12" s="171">
        <f>2*(IF(Rules!$B$9=Rules!$E$9,SUM(HSD!G13:G19)+Rules!$B$5*HSD!G20+HSD!G44+G25,SUM(HS!G13:G19)+Rules!$B$5*HS!G20+HS!G44+G25)/(9+Rules!$B$5))</f>
        <v>0.70770536905396042</v>
      </c>
      <c r="H12" s="171">
        <f>2*(IF(Rules!$B$9=Rules!$E$9,SUM(HSD!H13:H19)+Rules!$B$5*HSD!H20+HSD!H44+H25,SUM(HS!H13:H19)+Rules!$B$5*HS!H20+HS!H44+H25)/(9+Rules!$B$5))</f>
        <v>0.6454573388630771</v>
      </c>
      <c r="I12" s="171">
        <f>2*(IF(Rules!$B$9=Rules!$E$9,SUM(HSD!I13:I19)+Rules!$B$5*HSD!I20+HSD!I44+I25,SUM(HS!I13:I19)+Rules!$B$5*HS!I20+HS!I44+I25)/(9+Rules!$B$5))</f>
        <v>0.51682590743860801</v>
      </c>
      <c r="J12" s="171">
        <f>2*(IF(Rules!$B$9=Rules!$E$9,SUM(HSD!J13:J19)+Rules!$B$5*HSD!J20+HSD!J44+J25,SUM(HS!J13:J19)+Rules!$B$5*HS!J20+HS!J44+J25)/(9+Rules!$B$5))</f>
        <v>0.33687476710602637</v>
      </c>
      <c r="K12" s="10">
        <f>2*(IF(Rules!$B$9=Rules!$E$9,SUM(HSD!K13:K19)+Rules!$B$5*HSD!K20+HSD!K44+K25,SUM(HS!K13:K19)+Rules!$B$5*HS!K20+HS!K44+K25)/(9+Rules!$B$5))</f>
        <v>0.12881490474995208</v>
      </c>
    </row>
    <row r="13" spans="1:24" ht="17" thickBot="1" x14ac:dyDescent="0.25"/>
    <row r="14" spans="1:24" ht="17" thickBot="1" x14ac:dyDescent="0.25">
      <c r="A14" s="392" t="s">
        <v>90</v>
      </c>
      <c r="B14" s="393"/>
      <c r="C14" s="393"/>
      <c r="D14" s="393"/>
      <c r="E14" s="393"/>
      <c r="F14" s="393"/>
      <c r="G14" s="393"/>
      <c r="H14" s="393"/>
      <c r="I14" s="393"/>
      <c r="J14" s="393"/>
      <c r="K14" s="401"/>
    </row>
    <row r="15" spans="1:24" ht="17" thickBot="1" x14ac:dyDescent="0.25">
      <c r="A15" s="140" t="s">
        <v>7</v>
      </c>
      <c r="B15" s="182">
        <v>1</v>
      </c>
      <c r="C15" s="183">
        <v>2</v>
      </c>
      <c r="D15" s="183">
        <v>3</v>
      </c>
      <c r="E15" s="183">
        <v>4</v>
      </c>
      <c r="F15" s="183">
        <v>5</v>
      </c>
      <c r="G15" s="183">
        <v>6</v>
      </c>
      <c r="H15" s="183">
        <v>7</v>
      </c>
      <c r="I15" s="183">
        <v>8</v>
      </c>
      <c r="J15" s="183">
        <v>9</v>
      </c>
      <c r="K15" s="144">
        <v>10</v>
      </c>
    </row>
    <row r="16" spans="1:24" x14ac:dyDescent="0.2">
      <c r="A16" s="131">
        <v>1</v>
      </c>
      <c r="B16" s="169">
        <f>2*(IF(Rules!$B$12=Rules!$F$12,SUM(Stand!B36:B43)+Rules!$B$5*Stand!B44+B29,SUM(HSD!B36:B43)+Rules!$B$5*HSD!B44+B29)/(9+Rules!$B$5))</f>
        <v>0.24681431015742963</v>
      </c>
      <c r="C16" s="170">
        <f>2*(IF(Rules!$B$12=Rules!$F$12,SUM(Stand!C36:C43)+Rules!$B$5*Stand!C44+C29,SUM(HSD!C36:C43)+Rules!$B$5*HSD!C44+C29)/(9+Rules!$B$5))</f>
        <v>0.60616009207593269</v>
      </c>
      <c r="D16" s="170">
        <f>2*(IF(Rules!$B$12=Rules!$F$12,SUM(Stand!D36:D43)+Rules!$B$5*Stand!D44+D29,SUM(HSD!D36:D43)+Rules!$B$5*HSD!D44+D29)/(9+Rules!$B$5))</f>
        <v>0.65448971744610962</v>
      </c>
      <c r="E16" s="170">
        <f>2*(IF(Rules!$B$12=Rules!$F$12,SUM(Stand!E36:E43)+Rules!$B$5*Stand!E44+E29,SUM(HSD!E36:E43)+Rules!$B$5*HSD!E44+E29)/(9+Rules!$B$5))</f>
        <v>0.70398794558002764</v>
      </c>
      <c r="F16" s="170">
        <f>2*(IF(Rules!$B$12=Rules!$F$12,SUM(Stand!F36:F43)+Rules!$B$5*Stand!F44+F29,SUM(HSD!F36:F43)+Rules!$B$5*HSD!F44+F29)/(9+Rules!$B$5))</f>
        <v>0.75349635733112907</v>
      </c>
      <c r="G16" s="170">
        <f>2*(IF(Rules!$B$12=Rules!$F$12,SUM(Stand!G36:G43)+Rules!$B$5*Stand!G44+G29,SUM(HSD!G36:G43)+Rules!$B$5*HSD!G44+G29)/(9+Rules!$B$5))</f>
        <v>0.81313378320418017</v>
      </c>
      <c r="H16" s="170">
        <f>2*(IF(Rules!$B$12=Rules!$F$12,SUM(Stand!H36:H43)+Rules!$B$5*Stand!H44+H29,SUM(HSD!H36:H43)+Rules!$B$5*HSD!H44+H29)/(9+Rules!$B$5))</f>
        <v>0.62944471196628327</v>
      </c>
      <c r="I16" s="170">
        <f>2*(IF(Rules!$B$12=Rules!$F$12,SUM(Stand!I36:I43)+Rules!$B$5*Stand!I44+I29,SUM(HSD!I36:I43)+Rules!$B$5*HSD!I44+I29)/(9+Rules!$B$5))</f>
        <v>0.50357012454509587</v>
      </c>
      <c r="J16" s="170">
        <f>2*(IF(Rules!$B$12=Rules!$F$12,SUM(Stand!J36:J43)+Rules!$B$5*Stand!J44+J29,SUM(HSD!J36:J43)+Rules!$B$5*HSD!J44+J29)/(9+Rules!$B$5))</f>
        <v>0.36463545349864968</v>
      </c>
      <c r="K16" s="63">
        <f>2*(IF(Rules!$B$12=Rules!$F$12,SUM(Stand!K36:K43)+Rules!$B$5*Stand!K44+K29,SUM(HSD!K36:K43)+Rules!$B$5*HSD!K44+K29)/(9+Rules!$B$5))</f>
        <v>0.30752051345957193</v>
      </c>
    </row>
    <row r="17" spans="1:11" x14ac:dyDescent="0.2">
      <c r="A17" s="126">
        <v>2</v>
      </c>
      <c r="B17" s="117">
        <f>2*(IF(Rules!$B$9=Rules!$E$9,SUM(HSD!B5:B11)+Rules!$B$5*HSD!B12+HSD!B36+B30,SUM(HS!B5:B11)+Rules!$B$5*HS!B12+HS!B36+B30)/(9+Rules!$B$5))</f>
        <v>-0.43397902994758852</v>
      </c>
      <c r="C17" s="1">
        <f>2*(IF(Rules!$B$9=Rules!$E$9,SUM(HSD!C5:C11)+Rules!$B$5*HSD!C12+HSD!C36+C30,SUM(HS!C5:C11)+Rules!$B$5*HS!C12+HS!C36+C30)/(9+Rules!$B$5))</f>
        <v>-8.4267225502711041E-2</v>
      </c>
      <c r="D17" s="1">
        <f>2*(IF(Rules!$B$9=Rules!$E$9,SUM(HSD!D5:D11)+Rules!$B$5*HSD!D12+HSD!D36+D30,SUM(HS!D5:D11)+Rules!$B$5*HS!D12+HS!D36+D30)/(9+Rules!$B$5))</f>
        <v>-1.5498287197501173E-2</v>
      </c>
      <c r="E17" s="1">
        <f>2*(IF(Rules!$B$9=Rules!$E$9,SUM(HSD!E5:E11)+Rules!$B$5*HSD!E12+HSD!E36+E30,SUM(HS!E5:E11)+Rules!$B$5*HS!E12+HS!E36+E30)/(9+Rules!$B$5))</f>
        <v>5.9333738978653974E-2</v>
      </c>
      <c r="F17" s="1">
        <f>2*(IF(Rules!$B$9=Rules!$E$9,SUM(HSD!F5:F11)+Rules!$B$5*HSD!F12+HSD!F36+F30,SUM(HS!F5:F11)+Rules!$B$5*HS!F12+HS!F36+F30)/(9+Rules!$B$5))</f>
        <v>0.15203616947891799</v>
      </c>
      <c r="G17" s="1">
        <f>2*(IF(Rules!$B$9=Rules!$E$9,SUM(HSD!G5:G11)+Rules!$B$5*HSD!G12+HSD!G36+G30,SUM(HS!G5:G11)+Rules!$B$5*HS!G12+HS!G36+G30)/(9+Rules!$B$5))</f>
        <v>0.22737886696191317</v>
      </c>
      <c r="H17" s="1">
        <f>2*(IF(Rules!$B$9=Rules!$E$9,SUM(HSD!H5:H11)+Rules!$B$5*HSD!H12+HSD!H36+H30,SUM(HS!H5:H11)+Rules!$B$5*HS!H12+HS!H36+H30)/(9+Rules!$B$5))</f>
        <v>6.958050045595748E-3</v>
      </c>
      <c r="I17" s="1">
        <f>2*(IF(Rules!$B$9=Rules!$E$9,SUM(HSD!I5:I11)+Rules!$B$5*HSD!I12+HSD!I36+I30,SUM(HS!I5:I11)+Rules!$B$5*HS!I12+HS!I36+I30)/(9+Rules!$B$5))</f>
        <v>-0.17673202696357632</v>
      </c>
      <c r="J17" s="1">
        <f>2*(IF(Rules!$B$9=Rules!$E$9,SUM(HSD!J5:J11)+Rules!$B$5*HSD!J12+HSD!J36+J30,SUM(HS!J5:J11)+Rules!$B$5*HS!J12+HS!J36+J30)/(9+Rules!$B$5))</f>
        <v>-0.38721380320870769</v>
      </c>
      <c r="K17" s="9">
        <f>2*(IF(Rules!$B$9=Rules!$E$9,SUM(HSD!K5:K11)+Rules!$B$5*HSD!K12+HSD!K36+K30,SUM(HS!K5:K11)+Rules!$B$5*HS!K12+HS!K36+K30)/(9+Rules!$B$5))</f>
        <v>-0.50766884444357896</v>
      </c>
    </row>
    <row r="18" spans="1:11" x14ac:dyDescent="0.2">
      <c r="A18" s="126">
        <v>3</v>
      </c>
      <c r="B18" s="117">
        <f>2*(IF(Rules!$B$9=Rules!$E$9,SUM(HSD!B6:B12)+Rules!$B$5*HSD!B13+HSD!B37+B31,SUM(HS!B6:B12)+Rules!$B$5*HS!B13+HS!B37+B31)/(9+Rules!$B$5))</f>
        <v>-0.48734842751982665</v>
      </c>
      <c r="C18" s="1">
        <f>2*(IF(Rules!$B$9=Rules!$E$9,SUM(HSD!C6:C12)+Rules!$B$5*HSD!C13+HSD!C37+C31,SUM(HS!C6:C12)+Rules!$B$5*HS!C13+HS!C37+C31)/(9+Rules!$B$5))</f>
        <v>-0.13992944417761496</v>
      </c>
      <c r="D18" s="1">
        <f>2*(IF(Rules!$B$9=Rules!$E$9,SUM(HSD!D6:D12)+Rules!$B$5*HSD!D13+HSD!D37+D31,SUM(HS!D6:D12)+Rules!$B$5*HS!D13+HS!D37+D31)/(9+Rules!$B$5))</f>
        <v>-5.8284696427541714E-2</v>
      </c>
      <c r="E18" s="1">
        <f>2*(IF(Rules!$B$9=Rules!$E$9,SUM(HSD!E6:E12)+Rules!$B$5*HSD!E13+HSD!E37+E31,SUM(HS!E6:E12)+Rules!$B$5*HS!E13+HS!E37+E31)/(9+Rules!$B$5))</f>
        <v>2.8134517976885209E-2</v>
      </c>
      <c r="F18" s="1">
        <f>2*(IF(Rules!$B$9=Rules!$E$9,SUM(HSD!F6:F12)+Rules!$B$5*HSD!F13+HSD!F37+F31,SUM(HS!F6:F12)+Rules!$B$5*HS!F13+HS!F37+F31)/(9+Rules!$B$5))</f>
        <v>0.12470784634060185</v>
      </c>
      <c r="G18" s="1">
        <f>2*(IF(Rules!$B$9=Rules!$E$9,SUM(HSD!G6:G12)+Rules!$B$5*HSD!G13+HSD!G37+G31,SUM(HS!G6:G12)+Rules!$B$5*HS!G13+HS!G37+G31)/(9+Rules!$B$5))</f>
        <v>0.19970541230483627</v>
      </c>
      <c r="H18" s="1">
        <f>2*(IF(Rules!$B$9=Rules!$E$9,SUM(HSD!H6:H12)+Rules!$B$5*HSD!H13+HSD!H37+H31,SUM(HS!H6:H12)+Rules!$B$5*HS!H13+HS!H37+H31)/(9+Rules!$B$5))</f>
        <v>-5.8585254727766593E-2</v>
      </c>
      <c r="I18" s="1">
        <f>2*(IF(Rules!$B$9=Rules!$E$9,SUM(HSD!I6:I12)+Rules!$B$5*HSD!I13+HSD!I37+I31,SUM(HS!I6:I12)+Rules!$B$5*HS!I13+HS!I37+I31)/(9+Rules!$B$5))</f>
        <v>-0.23704993410552874</v>
      </c>
      <c r="J18" s="1">
        <f>2*(IF(Rules!$B$9=Rules!$E$9,SUM(HSD!J6:J12)+Rules!$B$5*HSD!J13+HSD!J37+J31,SUM(HS!J6:J12)+Rules!$B$5*HS!J13+HS!J37+J31)/(9+Rules!$B$5))</f>
        <v>-0.44155265953053213</v>
      </c>
      <c r="K18" s="9">
        <f>2*(IF(Rules!$B$9=Rules!$E$9,SUM(HSD!K6:K12)+Rules!$B$5*HSD!K13+HSD!K37+K31,SUM(HS!K6:K12)+Rules!$B$5*HS!K13+HS!K37+K31)/(9+Rules!$B$5))</f>
        <v>-0.55831617240970499</v>
      </c>
    </row>
    <row r="19" spans="1:11" x14ac:dyDescent="0.2">
      <c r="A19" s="126">
        <v>4</v>
      </c>
      <c r="B19" s="117">
        <f>2*(IF(Rules!$B$9=Rules!$E$9,SUM(HSD!B7:B13)+Rules!$B$5*HSD!B14+HSD!B38+B32,SUM(HS!B7:B13)+Rules!$B$5*HS!B14+HS!B38+B32)/(9+Rules!$B$5))</f>
        <v>-0.54201328309754238</v>
      </c>
      <c r="C19" s="1">
        <f>2*(IF(Rules!$B$9=Rules!$E$9,SUM(HSD!C7:C13)+Rules!$B$5*HSD!C14+HSD!C38+C32,SUM(HS!C7:C13)+Rules!$B$5*HS!C14+HS!C38+C32)/(9+Rules!$B$5))</f>
        <v>-0.17159359287641518</v>
      </c>
      <c r="D19" s="1">
        <f>2*(IF(Rules!$B$9=Rules!$E$9,SUM(HSD!D7:D13)+Rules!$B$5*HSD!D14+HSD!D38+D32,SUM(HS!D7:D13)+Rules!$B$5*HS!D14+HS!D38+D32)/(9+Rules!$B$5))</f>
        <v>-8.8510033551112699E-2</v>
      </c>
      <c r="E19" s="1">
        <f>2*(IF(Rules!$B$9=Rules!$E$9,SUM(HSD!E7:E13)+Rules!$B$5*HSD!E14+HSD!E38+E32,SUM(HS!E7:E13)+Rules!$B$5*HS!E14+HS!E38+E32)/(9+Rules!$B$5))</f>
        <v>-7.0044751783560999E-4</v>
      </c>
      <c r="F19" s="1">
        <f>2*(IF(Rules!$B$9=Rules!$E$9,SUM(HSD!F7:F13)+Rules!$B$5*HSD!F14+HSD!F38+F32,SUM(HS!F7:F13)+Rules!$B$5*HS!F14+HS!F38+F32)/(9+Rules!$B$5))</f>
        <v>0.10070528937626665</v>
      </c>
      <c r="G19" s="1">
        <f>2*(IF(Rules!$B$9=Rules!$E$9,SUM(HSD!G7:G13)+Rules!$B$5*HSD!G14+HSD!G38+G32,SUM(HS!G7:G13)+Rules!$B$5*HS!G14+HS!G38+G32)/(9+Rules!$B$5))</f>
        <v>0.17417494269127992</v>
      </c>
      <c r="H19" s="1">
        <f>2*(IF(Rules!$B$9=Rules!$E$9,SUM(HSD!H7:H13)+Rules!$B$5*HSD!H14+HSD!H38+H32,SUM(HS!H7:H13)+Rules!$B$5*HS!H14+HS!H38+H32)/(9+Rules!$B$5))</f>
        <v>-0.1254515495303114</v>
      </c>
      <c r="I19" s="1">
        <f>2*(IF(Rules!$B$9=Rules!$E$9,SUM(HSD!I7:I13)+Rules!$B$5*HSD!I14+HSD!I38+I32,SUM(HS!I7:I13)+Rules!$B$5*HS!I14+HS!I38+I32)/(9+Rules!$B$5))</f>
        <v>-0.29874027101353856</v>
      </c>
      <c r="J19" s="1">
        <f>2*(IF(Rules!$B$9=Rules!$E$9,SUM(HSD!J7:J13)+Rules!$B$5*HSD!J14+HSD!J38+J32,SUM(HS!J7:J13)+Rules!$B$5*HS!J14+HS!J38+J32)/(9+Rules!$B$5))</f>
        <v>-0.49719688448925381</v>
      </c>
      <c r="K19" s="9">
        <f>2*(IF(Rules!$B$9=Rules!$E$9,SUM(HSD!K7:K13)+Rules!$B$5*HSD!K14+HSD!K38+K32,SUM(HS!K7:K13)+Rules!$B$5*HS!K14+HS!K38+K32)/(9+Rules!$B$5))</f>
        <v>-0.6102073473534938</v>
      </c>
    </row>
    <row r="20" spans="1:11" x14ac:dyDescent="0.2">
      <c r="A20" s="126">
        <v>5</v>
      </c>
      <c r="B20" s="117">
        <f>2*(IF(Rules!$B$9=Rules!$E$9,SUM(HSD!B8:B14)+Rules!$B$5*HSD!B15+HSD!B39+B33,SUM(HS!B8:B14)+Rules!$B$5*HS!B15+HS!B39+B33)/(9+Rules!$B$5))</f>
        <v>-0.60100911429393566</v>
      </c>
      <c r="C20" s="1">
        <f>2*(IF(Rules!$B$9=Rules!$E$9,SUM(HSD!C8:C14)+Rules!$B$5*HSD!C15+HSD!C39+C33,SUM(HS!C8:C14)+Rules!$B$5*HS!C15+HS!C39+C33)/(9+Rules!$B$5))</f>
        <v>-0.20852591232518977</v>
      </c>
      <c r="D20" s="1">
        <f>2*(IF(Rules!$B$9=Rules!$E$9,SUM(HSD!D8:D14)+Rules!$B$5*HSD!D15+HSD!D39+D33,SUM(HS!D8:D14)+Rules!$B$5*HS!D15+HS!D39+D33)/(9+Rules!$B$5))</f>
        <v>-0.12386278054459822</v>
      </c>
      <c r="E20" s="1">
        <f>2*(IF(Rules!$B$9=Rules!$E$9,SUM(HSD!E8:E14)+Rules!$B$5*HSD!E15+HSD!E39+E33,SUM(HS!E8:E14)+Rules!$B$5*HS!E15+HS!E39+E33)/(9+Rules!$B$5))</f>
        <v>-3.1188889093379798E-2</v>
      </c>
      <c r="F20" s="1">
        <f>2*(IF(Rules!$B$9=Rules!$E$9,SUM(HSD!F8:F14)+Rules!$B$5*HSD!F15+HSD!F39+F33,SUM(HS!F8:F14)+Rules!$B$5*HS!F15+HS!F39+F33)/(9+Rules!$B$5))</f>
        <v>7.1835229989042543E-2</v>
      </c>
      <c r="G20" s="1">
        <f>2*(IF(Rules!$B$9=Rules!$E$9,SUM(HSD!G8:G14)+Rules!$B$5*HSD!G15+HSD!G39+G33,SUM(HS!G8:G14)+Rules!$B$5*HS!G15+HS!G39+G33)/(9+Rules!$B$5))</f>
        <v>0.14119795355422551</v>
      </c>
      <c r="H20" s="1">
        <f>2*(IF(Rules!$B$9=Rules!$E$9,SUM(HSD!H8:H14)+Rules!$B$5*HSD!H15+HSD!H39+H33,SUM(HS!H8:H14)+Rules!$B$5*HS!H15+HS!H39+H33)/(9+Rules!$B$5))</f>
        <v>-0.21360957957948717</v>
      </c>
      <c r="I20" s="1">
        <f>2*(IF(Rules!$B$9=Rules!$E$9,SUM(HSD!I8:I14)+Rules!$B$5*HSD!I15+HSD!I39+I33,SUM(HS!I8:I14)+Rules!$B$5*HS!I15+HS!I39+I33)/(9+Rules!$B$5))</f>
        <v>-0.36764710872122569</v>
      </c>
      <c r="J20" s="1">
        <f>2*(IF(Rules!$B$9=Rules!$E$9,SUM(HSD!J8:J14)+Rules!$B$5*HSD!J15+HSD!J39+J33,SUM(HS!J8:J14)+Rules!$B$5*HS!J15+HS!J39+J33)/(9+Rules!$B$5))</f>
        <v>-0.55959871718010423</v>
      </c>
      <c r="K20" s="9">
        <f>2*(IF(Rules!$B$9=Rules!$E$9,SUM(HSD!K8:K14)+Rules!$B$5*HSD!K15+HSD!K39+K33,SUM(HS!K8:K14)+Rules!$B$5*HS!K15+HS!K39+K33)/(9+Rules!$B$5))</f>
        <v>-0.67054997198877109</v>
      </c>
    </row>
    <row r="21" spans="1:11" x14ac:dyDescent="0.2">
      <c r="A21" s="126">
        <v>6</v>
      </c>
      <c r="B21" s="117">
        <f>2*(IF(Rules!$B$9=Rules!$E$9,SUM(HSD!B9:B15)+Rules!$B$5*HSD!B16+HSD!B40+B34,SUM(HS!B9:B15)+Rules!$B$5*HS!B16+HS!B40+B34)/(9+Rules!$B$5))</f>
        <v>-0.68129878586451731</v>
      </c>
      <c r="C21" s="1">
        <f>2*(IF(Rules!$B$9=Rules!$E$9,SUM(HSD!C9:C15)+Rules!$B$5*HSD!C16+HSD!C40+C34,SUM(HS!C9:C15)+Rules!$B$5*HS!C16+HS!C40+C34)/(9+Rules!$B$5))</f>
        <v>-0.2535785173751941</v>
      </c>
      <c r="D21" s="1">
        <f>2*(IF(Rules!$B$9=Rules!$E$9,SUM(HSD!D9:D15)+Rules!$B$5*HSD!D16+HSD!D40+D34,SUM(HS!D9:D15)+Rules!$B$5*HS!D16+HS!D40+D34)/(9+Rules!$B$5))</f>
        <v>-0.16236190502927889</v>
      </c>
      <c r="E21" s="1">
        <f>2*(IF(Rules!$B$9=Rules!$E$9,SUM(HSD!E9:E15)+Rules!$B$5*HSD!E16+HSD!E40+E34,SUM(HS!E9:E15)+Rules!$B$5*HS!E16+HS!E40+E34)/(9+Rules!$B$5))</f>
        <v>-6.5242110257549266E-2</v>
      </c>
      <c r="F21" s="1">
        <f>2*(IF(Rules!$B$9=Rules!$E$9,SUM(HSD!F9:F15)+Rules!$B$5*HSD!F16+HSD!F40+F34,SUM(HS!F9:F15)+Rules!$B$5*HS!F16+HS!F40+F34)/(9+Rules!$B$5))</f>
        <v>3.9226356320867399E-2</v>
      </c>
      <c r="G21" s="1">
        <f>2*(IF(Rules!$B$9=Rules!$E$9,SUM(HSD!G9:G15)+Rules!$B$5*HSD!G16+HSD!G40+G34,SUM(HS!G9:G15)+Rules!$B$5*HS!G16+HS!G40+G34)/(9+Rules!$B$5))</f>
        <v>0.10667340682942227</v>
      </c>
      <c r="H21" s="1">
        <f>2*(IF(Rules!$B$9=Rules!$E$9,SUM(HSD!H9:H15)+Rules!$B$5*HSD!H16+HSD!H40+H34,SUM(HS!H9:H15)+Rules!$B$5*HS!H16+HS!H40+H34)/(9+Rules!$B$5))</f>
        <v>-0.31692077945309899</v>
      </c>
      <c r="I21" s="1">
        <f>2*(IF(Rules!$B$9=Rules!$E$9,SUM(HSD!I9:I15)+Rules!$B$5*HSD!I16+HSD!I40+I34,SUM(HS!I9:I15)+Rules!$B$5*HS!I16+HS!I40+I34)/(9+Rules!$B$5))</f>
        <v>-0.46304550282877255</v>
      </c>
      <c r="J21" s="1">
        <f>2*(IF(Rules!$B$9=Rules!$E$9,SUM(HSD!J9:J15)+Rules!$B$5*HSD!J16+HSD!J40+J34,SUM(HS!J9:J15)+Rules!$B$5*HS!J16+HS!J40+J34)/(9+Rules!$B$5))</f>
        <v>-0.63423528935103346</v>
      </c>
      <c r="K21" s="9">
        <f>2*(IF(Rules!$B$9=Rules!$E$9,SUM(HSD!K9:K15)+Rules!$B$5*HSD!K16+HSD!K40+K34,SUM(HS!K9:K15)+Rules!$B$5*HS!K16+HS!K40+K34)/(9+Rules!$B$5))</f>
        <v>-0.74023538344852136</v>
      </c>
    </row>
    <row r="22" spans="1:11" x14ac:dyDescent="0.2">
      <c r="A22" s="126">
        <v>7</v>
      </c>
      <c r="B22" s="117">
        <f>2*(IF(Rules!$B$9=Rules!$E$9,SUM(HSD!B10:B16)+Rules!$B$5*HSD!B17+HSD!B41+B35,SUM(HS!B10:B16)+Rules!$B$5*HS!B17+HS!B41+B35)/(9+Rules!$B$5))</f>
        <v>-0.71856860040621029</v>
      </c>
      <c r="C22" s="1">
        <f>2*(IF(Rules!$B$9=Rules!$E$9,SUM(HSD!C10:C16)+Rules!$B$5*HSD!C17+HSD!C41+C35,SUM(HS!C10:C16)+Rules!$B$5*HS!C17+HS!C41+C35)/(9+Rules!$B$5))</f>
        <v>-0.1963016079632402</v>
      </c>
      <c r="D22" s="1">
        <f>2*(IF(Rules!$B$9=Rules!$E$9,SUM(HSD!D10:D16)+Rules!$B$5*HSD!D17+HSD!D41+D35,SUM(HS!D10:D16)+Rules!$B$5*HS!D17+HS!D41+D35)/(9+Rules!$B$5))</f>
        <v>-0.10948552726048816</v>
      </c>
      <c r="E22" s="1">
        <f>2*(IF(Rules!$B$9=Rules!$E$9,SUM(HSD!E10:E16)+Rules!$B$5*HSD!E17+HSD!E41+E35,SUM(HS!E10:E16)+Rules!$B$5*HS!E17+HS!E41+E35)/(9+Rules!$B$5))</f>
        <v>-1.9921218921965758E-2</v>
      </c>
      <c r="F22" s="1">
        <f>2*(IF(Rules!$B$9=Rules!$E$9,SUM(HSD!F10:F16)+Rules!$B$5*HSD!F17+HSD!F41+F35,SUM(HS!F10:F16)+Rules!$B$5*HS!F17+HS!F41+F35)/(9+Rules!$B$5))</f>
        <v>7.4563567868088848E-2</v>
      </c>
      <c r="G22" s="1">
        <f>2*(IF(Rules!$B$9=Rules!$E$9,SUM(HSD!G10:G16)+Rules!$B$5*HSD!G17+HSD!G41+G35,SUM(HS!G10:G16)+Rules!$B$5*HS!G17+HS!G41+G35)/(9+Rules!$B$5))</f>
        <v>0.16472730313989489</v>
      </c>
      <c r="H22" s="1">
        <f>2*(IF(Rules!$B$9=Rules!$E$9,SUM(HSD!H10:H16)+Rules!$B$5*HSD!H17+HSD!H41+H35,SUM(HS!H10:H16)+Rules!$B$5*HS!H17+HS!H41+H35)/(9+Rules!$B$5))</f>
        <v>-0.13707521359511174</v>
      </c>
      <c r="I22" s="1">
        <f>2*(IF(Rules!$B$9=Rules!$E$9,SUM(HSD!I10:I16)+Rules!$B$5*HSD!I17+HSD!I41+I35,SUM(HS!I10:I16)+Rules!$B$5*HS!I17+HS!I41+I35)/(9+Rules!$B$5))</f>
        <v>-0.4755109701627388</v>
      </c>
      <c r="J22" s="1">
        <f>2*(IF(Rules!$B$9=Rules!$E$9,SUM(HSD!J10:J16)+Rules!$B$5*HSD!J17+HSD!J41+J35,SUM(HS!J10:J16)+Rules!$B$5*HS!J17+HS!J41+J35)/(9+Rules!$B$5))</f>
        <v>-0.64515064432824587</v>
      </c>
      <c r="K22" s="9">
        <f>2*(IF(Rules!$B$9=Rules!$E$9,SUM(HSD!K10:K16)+Rules!$B$5*HSD!K17+HSD!K41+K35,SUM(HS!K10:K16)+Rules!$B$5*HS!K17+HS!K41+K35)/(9+Rules!$B$5))</f>
        <v>-0.71332528034968157</v>
      </c>
    </row>
    <row r="23" spans="1:11" x14ac:dyDescent="0.2">
      <c r="A23" s="126">
        <v>8</v>
      </c>
      <c r="B23" s="117">
        <f>2*(IF(Rules!$B$9=Rules!$E$9,SUM(HSD!B11:B17)+Rules!$B$5*HSD!B18+HSD!B42+B36,SUM(HS!B11:B17)+Rules!$B$5*HS!B18+HS!B42+B36)/(9+Rules!$B$5))</f>
        <v>-0.47846720619452893</v>
      </c>
      <c r="C23" s="1">
        <f>2*(IF(Rules!$B$9=Rules!$E$9,SUM(HSD!C11:C17)+Rules!$B$5*HSD!C18+HSD!C42+C36,SUM(HS!C11:C17)+Rules!$B$5*HS!C18+HS!C42+C36)/(9+Rules!$B$5))</f>
        <v>-4.10085652565544E-2</v>
      </c>
      <c r="D23" s="1">
        <f>2*(IF(Rules!$B$9=Rules!$E$9,SUM(HSD!D11:D17)+Rules!$B$5*HSD!D18+HSD!D42+D36,SUM(HS!D11:D17)+Rules!$B$5*HS!D18+HS!D42+D36)/(9+Rules!$B$5))</f>
        <v>2.9651267038439212E-2</v>
      </c>
      <c r="E23" s="1">
        <f>2*(IF(Rules!$B$9=Rules!$E$9,SUM(HSD!E11:E17)+Rules!$B$5*HSD!E18+HSD!E42+E36,SUM(HS!E11:E17)+Rules!$B$5*HS!E18+HS!E42+E36)/(9+Rules!$B$5))</f>
        <v>0.10253679913733912</v>
      </c>
      <c r="F23" s="1">
        <f>2*(IF(Rules!$B$9=Rules!$E$9,SUM(HSD!F11:F17)+Rules!$B$5*HSD!F18+HSD!F42+F36,SUM(HS!F11:F17)+Rules!$B$5*HS!F18+HS!F42+F36)/(9+Rules!$B$5))</f>
        <v>0.17786869518456505</v>
      </c>
      <c r="G23" s="1">
        <f>2*(IF(Rules!$B$9=Rules!$E$9,SUM(HSD!G11:G17)+Rules!$B$5*HSD!G18+HSD!G42+G36,SUM(HS!G11:G17)+Rules!$B$5*HS!G18+HS!G42+G36)/(9+Rules!$B$5))</f>
        <v>0.28114462143026464</v>
      </c>
      <c r="H23" s="1">
        <f>2*(IF(Rules!$B$9=Rules!$E$9,SUM(HSD!H11:H17)+Rules!$B$5*HSD!H18+HSD!H42+H36,SUM(HS!H11:H17)+Rules!$B$5*HS!H18+HS!H42+H36)/(9+Rules!$B$5))</f>
        <v>0.17942021385705018</v>
      </c>
      <c r="I23" s="1">
        <f>2*(IF(Rules!$B$9=Rules!$E$9,SUM(HSD!I11:I17)+Rules!$B$5*HSD!I18+HSD!I42+I36,SUM(HS!I11:I17)+Rules!$B$5*HS!I18+HS!I42+I36)/(9+Rules!$B$5))</f>
        <v>-0.15401156627741791</v>
      </c>
      <c r="J23" s="1">
        <f>2*(IF(Rules!$B$9=Rules!$E$9,SUM(HSD!J11:J17)+Rules!$B$5*HSD!J18+HSD!J42+J36,SUM(HS!J11:J17)+Rules!$B$5*HS!J18+HS!J42+J36)/(9+Rules!$B$5))</f>
        <v>-0.50298441638041402</v>
      </c>
      <c r="K23" s="9">
        <f>2*(IF(Rules!$B$9=Rules!$E$9,SUM(HSD!K11:K17)+Rules!$B$5*HSD!K18+HSD!K42+K36,SUM(HS!K11:K17)+Rules!$B$5*HS!K18+HS!K42+K36)/(9+Rules!$B$5))</f>
        <v>-0.58087155443935135</v>
      </c>
    </row>
    <row r="24" spans="1:11" x14ac:dyDescent="0.2">
      <c r="A24" s="126">
        <v>9</v>
      </c>
      <c r="B24" s="117">
        <f>2*(IF(Rules!$B$9=Rules!$E$9,SUM(HSD!B12:B18)+Rules!$B$5*HSD!B19+HSD!B43+B37,SUM(HS!B12:B18)+Rules!$B$5*HS!B19+HS!B43+B37)/(9+Rules!$B$5))</f>
        <v>-0.18006502022790671</v>
      </c>
      <c r="C24" s="1">
        <f>2*(IF(Rules!$B$9=Rules!$E$9,SUM(HSD!C12:C18)+Rules!$B$5*HSD!C19+HSD!C43+C37,SUM(HS!C12:C18)+Rules!$B$5*HS!C19+HS!C43+C37)/(9+Rules!$B$5))</f>
        <v>0.13385768207672508</v>
      </c>
      <c r="D24" s="1">
        <f>2*(IF(Rules!$B$9=Rules!$E$9,SUM(HSD!D12:D18)+Rules!$B$5*HSD!D19+HSD!D43+D37,SUM(HS!D12:D18)+Rules!$B$5*HS!D19+HS!D43+D37)/(9+Rules!$B$5))</f>
        <v>0.19320731563116447</v>
      </c>
      <c r="E24" s="1">
        <f>2*(IF(Rules!$B$9=Rules!$E$9,SUM(HSD!E12:E18)+Rules!$B$5*HSD!E19+HSD!E43+E37,SUM(HS!E12:E18)+Rules!$B$5*HS!E19+HS!E43+E37)/(9+Rules!$B$5))</f>
        <v>0.25454407563811315</v>
      </c>
      <c r="F24" s="1">
        <f>2*(IF(Rules!$B$9=Rules!$E$9,SUM(HSD!F12:F18)+Rules!$B$5*HSD!F19+HSD!F43+F37,SUM(HS!F12:F18)+Rules!$B$5*HS!F19+HS!F43+F37)/(9+Rules!$B$5))</f>
        <v>0.31872977328281132</v>
      </c>
      <c r="G24" s="1">
        <f>2*(IF(Rules!$B$9=Rules!$E$9,SUM(HSD!G12:G18)+Rules!$B$5*HSD!G19+HSD!G43+G37,SUM(HS!G12:G18)+Rules!$B$5*HS!G19+HS!G43+G37)/(9+Rules!$B$5))</f>
        <v>0.40361032143368897</v>
      </c>
      <c r="H24" s="1">
        <f>2*(IF(Rules!$B$9=Rules!$E$9,SUM(HSD!H12:H18)+Rules!$B$5*HSD!H19+HSD!H43+H37,SUM(HS!H12:H18)+Rules!$B$5*HS!H19+HS!H43+H37)/(9+Rules!$B$5))</f>
        <v>0.3535152100301121</v>
      </c>
      <c r="I24" s="1">
        <f>2*(IF(Rules!$B$9=Rules!$E$9,SUM(HSD!I12:I18)+Rules!$B$5*HSD!I19+HSD!I43+I37,SUM(HS!I12:I18)+Rules!$B$5*HS!I19+HS!I43+I37)/(9+Rules!$B$5))</f>
        <v>0.19129321615782191</v>
      </c>
      <c r="J24" s="1">
        <f>2*(IF(Rules!$B$9=Rules!$E$9,SUM(HSD!J12:J18)+Rules!$B$5*HSD!J19+HSD!J43+J37,SUM(HS!J12:J18)+Rules!$B$5*HS!J19+HS!J43+J37)/(9+Rules!$B$5))</f>
        <v>-0.15072067108588086</v>
      </c>
      <c r="K24" s="9">
        <f>2*(IF(Rules!$B$9=Rules!$E$9,SUM(HSD!K12:K18)+Rules!$B$5*HSD!K19+HSD!K43+K37,SUM(HS!K12:K18)+Rules!$B$5*HS!K19+HS!K43+K37)/(9+Rules!$B$5))</f>
        <v>-0.3811994363976306</v>
      </c>
    </row>
    <row r="25" spans="1:11" ht="17" thickBot="1" x14ac:dyDescent="0.25">
      <c r="A25" s="127">
        <v>10</v>
      </c>
      <c r="B25" s="118">
        <f>2*(IF(Rules!$B$9=Rules!$E$9,SUM(HSD!B13:B19)+Rules!$B$5*HSD!B20+HSD!B44+B38,SUM(HS!B13:B19)+Rules!$B$5*HS!B20+HS!B44+B38)/(9+Rules!$B$5))</f>
        <v>0.25404256790190649</v>
      </c>
      <c r="C25" s="171">
        <f>2*(IF(Rules!$B$9=Rules!$E$9,SUM(HSD!C13:C19)+Rules!$B$5*HSD!C20+HSD!C44+C38,SUM(HS!C13:C19)+Rules!$B$5*HS!C20+HS!C44+C38)/(9+Rules!$B$5))</f>
        <v>0.47477335618105915</v>
      </c>
      <c r="D25" s="171">
        <f>2*(IF(Rules!$B$9=Rules!$E$9,SUM(HSD!D13:D19)+Rules!$B$5*HSD!D20+HSD!D44+D38,SUM(HS!D13:D19)+Rules!$B$5*HS!D20+HS!D44+D38)/(9+Rules!$B$5))</f>
        <v>0.52682687199935552</v>
      </c>
      <c r="E25" s="171">
        <f>2*(IF(Rules!$B$9=Rules!$E$9,SUM(HSD!E13:E19)+Rules!$B$5*HSD!E20+HSD!E44+E38,SUM(HS!E13:E19)+Rules!$B$5*HS!E20+HS!E44+E38)/(9+Rules!$B$5))</f>
        <v>0.58023077979244886</v>
      </c>
      <c r="F25" s="171">
        <f>2*(IF(Rules!$B$9=Rules!$E$9,SUM(HSD!F13:F19)+Rules!$B$5*HSD!F20+HSD!F44+F38,SUM(HS!F13:F19)+Rules!$B$5*HS!F20+HS!F44+F38)/(9+Rules!$B$5))</f>
        <v>0.63317564802789661</v>
      </c>
      <c r="G25" s="171">
        <f>2*(IF(Rules!$B$9=Rules!$E$9,SUM(HSD!G13:G19)+Rules!$B$5*HSD!G20+HSD!G44+G38,SUM(HS!G13:G19)+Rules!$B$5*HS!G20+HS!G44+G38)/(9+Rules!$B$5))</f>
        <v>0.70504978713524302</v>
      </c>
      <c r="H25" s="171">
        <f>2*(IF(Rules!$B$9=Rules!$E$9,SUM(HSD!H13:H19)+Rules!$B$5*HSD!H20+HSD!H44+H38,SUM(HS!H13:H19)+Rules!$B$5*HS!H20+HS!H44+H38)/(9+Rules!$B$5))</f>
        <v>0.64281131172356143</v>
      </c>
      <c r="I25" s="171">
        <f>2*(IF(Rules!$B$9=Rules!$E$9,SUM(HSD!I13:I19)+Rules!$B$5*HSD!I20+HSD!I44+I38,SUM(HS!I13:I19)+Rules!$B$5*HS!I20+HS!I44+I38)/(9+Rules!$B$5))</f>
        <v>0.5143953850109767</v>
      </c>
      <c r="J25" s="171">
        <f>2*(IF(Rules!$B$9=Rules!$E$9,SUM(HSD!J13:J19)+Rules!$B$5*HSD!J20+HSD!J44+J38,SUM(HS!J13:J19)+Rules!$B$5*HS!J20+HS!J44+J38)/(9+Rules!$B$5))</f>
        <v>0.3347880216795448</v>
      </c>
      <c r="K25" s="10">
        <f>2*(IF(Rules!$B$9=Rules!$E$9,SUM(HSD!K13:K19)+Rules!$B$5*HSD!K20+HSD!K44+K38,SUM(HS!K13:K19)+Rules!$B$5*HS!K20+HS!K44+K38)/(9+Rules!$B$5))</f>
        <v>0.12724308849531457</v>
      </c>
    </row>
    <row r="26" spans="1:11" ht="17" thickBot="1" x14ac:dyDescent="0.25"/>
    <row r="27" spans="1:11" ht="17" thickBot="1" x14ac:dyDescent="0.25">
      <c r="A27" s="392" t="s">
        <v>91</v>
      </c>
      <c r="B27" s="393"/>
      <c r="C27" s="393"/>
      <c r="D27" s="393"/>
      <c r="E27" s="393"/>
      <c r="F27" s="393"/>
      <c r="G27" s="393"/>
      <c r="H27" s="393"/>
      <c r="I27" s="393"/>
      <c r="J27" s="393"/>
      <c r="K27" s="401"/>
    </row>
    <row r="28" spans="1:11" ht="17" thickBot="1" x14ac:dyDescent="0.25">
      <c r="A28" s="165" t="s">
        <v>7</v>
      </c>
      <c r="B28" s="182">
        <v>1</v>
      </c>
      <c r="C28" s="183">
        <v>2</v>
      </c>
      <c r="D28" s="183">
        <v>3</v>
      </c>
      <c r="E28" s="183">
        <v>4</v>
      </c>
      <c r="F28" s="183">
        <v>5</v>
      </c>
      <c r="G28" s="183">
        <v>6</v>
      </c>
      <c r="H28" s="183">
        <v>7</v>
      </c>
      <c r="I28" s="183">
        <v>8</v>
      </c>
      <c r="J28" s="183">
        <v>9</v>
      </c>
      <c r="K28" s="144">
        <v>10</v>
      </c>
    </row>
    <row r="29" spans="1:11" x14ac:dyDescent="0.2">
      <c r="A29" s="131">
        <v>1</v>
      </c>
      <c r="B29" s="169">
        <f>2*(IF(Rules!$B$12=Rules!$F$12,SUM(Stand!B36:B43)+Rules!$B$5*Stand!B44+B42,SUM(HSD!B36:B43)+Rules!$B$5*HSD!B44+B42)/(9+Rules!$B$5))</f>
        <v>0.22844717277365195</v>
      </c>
      <c r="C29" s="170">
        <f>2*(IF(Rules!$B$12=Rules!$F$12,SUM(Stand!C36:C43)+Rules!$B$5*Stand!C44+C42,SUM(HSD!C36:C43)+Rules!$B$5*HSD!C44+C42)/(9+Rules!$B$5))</f>
        <v>0.58809086957773749</v>
      </c>
      <c r="D29" s="170">
        <f>2*(IF(Rules!$B$12=Rules!$F$12,SUM(Stand!D36:D43)+Rules!$B$5*Stand!D44+D42,SUM(HSD!D36:D43)+Rules!$B$5*HSD!D44+D42)/(9+Rules!$B$5))</f>
        <v>0.63626378886959067</v>
      </c>
      <c r="E29" s="170">
        <f>2*(IF(Rules!$B$12=Rules!$F$12,SUM(Stand!E36:E43)+Rules!$B$5*Stand!E44+E42,SUM(HSD!E36:E43)+Rules!$B$5*HSD!E44+E42)/(9+Rules!$B$5))</f>
        <v>0.68559495955842076</v>
      </c>
      <c r="F29" s="170">
        <f>2*(IF(Rules!$B$12=Rules!$F$12,SUM(Stand!F36:F43)+Rules!$B$5*Stand!F44+F42,SUM(HSD!F36:F43)+Rules!$B$5*HSD!F44+F42)/(9+Rules!$B$5))</f>
        <v>0.73499004540818236</v>
      </c>
      <c r="G29" s="170">
        <f>2*(IF(Rules!$B$12=Rules!$F$12,SUM(Stand!G36:G43)+Rules!$B$5*Stand!G44+G42,SUM(HSD!G36:G43)+Rules!$B$5*HSD!G44+G42)/(9+Rules!$B$5))</f>
        <v>0.79369995809796545</v>
      </c>
      <c r="H29" s="170">
        <f>2*(IF(Rules!$B$12=Rules!$F$12,SUM(Stand!H36:H43)+Rules!$B$5*Stand!H44+H42,SUM(HSD!H36:H43)+Rules!$B$5*HSD!H44+H42)/(9+Rules!$B$5))</f>
        <v>0.60723727688601759</v>
      </c>
      <c r="I29" s="170">
        <f>2*(IF(Rules!$B$12=Rules!$F$12,SUM(Stand!I36:I43)+Rules!$B$5*Stand!I44+I42,SUM(HSD!I36:I43)+Rules!$B$5*HSD!I44+I42)/(9+Rules!$B$5))</f>
        <v>0.48318645338845845</v>
      </c>
      <c r="J29" s="170">
        <f>2*(IF(Rules!$B$12=Rules!$F$12,SUM(Stand!J36:J43)+Rules!$B$5*Stand!J44+J42,SUM(HSD!J36:J43)+Rules!$B$5*HSD!J44+J42)/(9+Rules!$B$5))</f>
        <v>0.34638851611915705</v>
      </c>
      <c r="K29" s="63">
        <f>2*(IF(Rules!$B$12=Rules!$F$12,SUM(Stand!K36:K43)+Rules!$B$5*Stand!K44+K42,SUM(HSD!K36:K43)+Rules!$B$5*HSD!K44+K42)/(9+Rules!$B$5))</f>
        <v>0.29047627531978187</v>
      </c>
    </row>
    <row r="30" spans="1:11" x14ac:dyDescent="0.2">
      <c r="A30" s="126">
        <v>2</v>
      </c>
      <c r="B30" s="117">
        <f>2*(IF(Rules!$B$9=Rules!$E$9,SUM(HSD!B5:B11)+Rules!$B$5*HSD!B12+HSD!B36+B43,SUM(HS!B5:B11)+Rules!$B$5*HS!B12+HS!B36+B43)/(9+Rules!$B$5))</f>
        <v>-0.43034280812761505</v>
      </c>
      <c r="C30" s="1">
        <f>2*(IF(Rules!$B$9=Rules!$E$9,SUM(HSD!C5:C11)+Rules!$B$5*HSD!C12+HSD!C36+C43,SUM(HS!C5:C11)+Rules!$B$5*HS!C12+HS!C36+C43)/(9+Rules!$B$5))</f>
        <v>-8.4883227555298188E-2</v>
      </c>
      <c r="D30" s="1">
        <f>2*(IF(Rules!$B$9=Rules!$E$9,SUM(HSD!D5:D11)+Rules!$B$5*HSD!D12+HSD!D36+D43,SUM(HS!D5:D11)+Rules!$B$5*HS!D12+HS!D36+D43)/(9+Rules!$B$5))</f>
        <v>-1.6847332968400533E-2</v>
      </c>
      <c r="E30" s="1">
        <f>2*(IF(Rules!$B$9=Rules!$E$9,SUM(HSD!E5:E11)+Rules!$B$5*HSD!E12+HSD!E36+E43,SUM(HS!E5:E11)+Rules!$B$5*HS!E12+HS!E36+E43)/(9+Rules!$B$5))</f>
        <v>5.7148791057335974E-2</v>
      </c>
      <c r="F30" s="1">
        <f>2*(IF(Rules!$B$9=Rules!$E$9,SUM(HSD!F5:F11)+Rules!$B$5*HSD!F12+HSD!F36+F43,SUM(HS!F5:F11)+Rules!$B$5*HS!F12+HS!F36+F43)/(9+Rules!$B$5))</f>
        <v>0.14873132332818745</v>
      </c>
      <c r="G30" s="1">
        <f>2*(IF(Rules!$B$9=Rules!$E$9,SUM(HSD!G5:G11)+Rules!$B$5*HSD!G12+HSD!G36+G43,SUM(HS!G5:G11)+Rules!$B$5*HS!G12+HS!G36+G43)/(9+Rules!$B$5))</f>
        <v>0.22303216445576374</v>
      </c>
      <c r="H30" s="1">
        <f>2*(IF(Rules!$B$9=Rules!$E$9,SUM(HSD!H5:H11)+Rules!$B$5*HSD!H12+HSD!H36+H43,SUM(HS!H5:H11)+Rules!$B$5*HS!H12+HS!H36+H43)/(9+Rules!$B$5))</f>
        <v>5.0437334404890245E-3</v>
      </c>
      <c r="I30" s="1">
        <f>2*(IF(Rules!$B$9=Rules!$E$9,SUM(HSD!I5:I11)+Rules!$B$5*HSD!I12+HSD!I36+I43,SUM(HS!I5:I11)+Rules!$B$5*HS!I12+HS!I36+I43)/(9+Rules!$B$5))</f>
        <v>-0.17638232094742817</v>
      </c>
      <c r="J30" s="1">
        <f>2*(IF(Rules!$B$9=Rules!$E$9,SUM(HSD!J5:J11)+Rules!$B$5*HSD!J12+HSD!J36+J43,SUM(HS!J5:J11)+Rules!$B$5*HS!J12+HS!J36+J43)/(9+Rules!$B$5))</f>
        <v>-0.3842681223231732</v>
      </c>
      <c r="K30" s="9">
        <f>2*(IF(Rules!$B$9=Rules!$E$9,SUM(HSD!K5:K11)+Rules!$B$5*HSD!K12+HSD!K36+K43,SUM(HS!K5:K11)+Rules!$B$5*HS!K12+HS!K36+K43)/(9+Rules!$B$5))</f>
        <v>-0.50327746896703818</v>
      </c>
    </row>
    <row r="31" spans="1:11" x14ac:dyDescent="0.2">
      <c r="A31" s="126">
        <v>3</v>
      </c>
      <c r="B31" s="117">
        <f>2*(IF(Rules!$B$9=Rules!$E$9,SUM(HSD!B6:B12)+Rules!$B$5*HSD!B13+HSD!B37+B44,SUM(HS!B6:B12)+Rules!$B$5*HS!B13+HS!B37+B44)/(9+Rules!$B$5))</f>
        <v>-0.48315196862599741</v>
      </c>
      <c r="C31" s="1">
        <f>2*(IF(Rules!$B$9=Rules!$E$9,SUM(HSD!C6:C12)+Rules!$B$5*HSD!C13+HSD!C37+C44,SUM(HS!C6:C12)+Rules!$B$5*HS!C13+HS!C37+C44)/(9+Rules!$B$5))</f>
        <v>-0.13969398936125582</v>
      </c>
      <c r="D31" s="1">
        <f>2*(IF(Rules!$B$9=Rules!$E$9,SUM(HSD!D6:D12)+Rules!$B$5*HSD!D13+HSD!D37+D44,SUM(HS!D6:D12)+Rules!$B$5*HS!D13+HS!D37+D44)/(9+Rules!$B$5))</f>
        <v>-5.9028928203098463E-2</v>
      </c>
      <c r="E31" s="1">
        <f>2*(IF(Rules!$B$9=Rules!$E$9,SUM(HSD!E6:E12)+Rules!$B$5*HSD!E13+HSD!E37+E44,SUM(HS!E6:E12)+Rules!$B$5*HS!E13+HS!E37+E44)/(9+Rules!$B$5))</f>
        <v>2.6333231902984113E-2</v>
      </c>
      <c r="F31" s="1">
        <f>2*(IF(Rules!$B$9=Rules!$E$9,SUM(HSD!F6:F12)+Rules!$B$5*HSD!F13+HSD!F37+F44,SUM(HS!F6:F12)+Rules!$B$5*HS!F13+HS!F37+F44)/(9+Rules!$B$5))</f>
        <v>0.12171916660728604</v>
      </c>
      <c r="G31" s="1">
        <f>2*(IF(Rules!$B$9=Rules!$E$9,SUM(HSD!G6:G12)+Rules!$B$5*HSD!G13+HSD!G37+G44,SUM(HS!G6:G12)+Rules!$B$5*HS!G13+HS!G37+G44)/(9+Rules!$B$5))</f>
        <v>0.19566738717632817</v>
      </c>
      <c r="H31" s="1">
        <f>2*(IF(Rules!$B$9=Rules!$E$9,SUM(HSD!H6:H12)+Rules!$B$5*HSD!H13+HSD!H37+H44,SUM(HS!H6:H12)+Rules!$B$5*HS!H13+HS!H37+H44)/(9+Rules!$B$5))</f>
        <v>-5.9808615273623515E-2</v>
      </c>
      <c r="I31" s="1">
        <f>2*(IF(Rules!$B$9=Rules!$E$9,SUM(HSD!I6:I12)+Rules!$B$5*HSD!I13+HSD!I37+I44,SUM(HS!I6:I12)+Rules!$B$5*HS!I13+HS!I37+I44)/(9+Rules!$B$5))</f>
        <v>-0.23606588123713995</v>
      </c>
      <c r="J31" s="1">
        <f>2*(IF(Rules!$B$9=Rules!$E$9,SUM(HSD!J6:J12)+Rules!$B$5*HSD!J13+HSD!J37+J44,SUM(HS!J6:J12)+Rules!$B$5*HS!J13+HS!J37+J44)/(9+Rules!$B$5))</f>
        <v>-0.43803632573811863</v>
      </c>
      <c r="K31" s="9">
        <f>2*(IF(Rules!$B$9=Rules!$E$9,SUM(HSD!K6:K12)+Rules!$B$5*HSD!K13+HSD!K37+K44,SUM(HS!K6:K12)+Rules!$B$5*HS!K13+HS!K37+K44)/(9+Rules!$B$5))</f>
        <v>-0.55339346830830327</v>
      </c>
    </row>
    <row r="32" spans="1:11" x14ac:dyDescent="0.2">
      <c r="A32" s="126">
        <v>4</v>
      </c>
      <c r="B32" s="117">
        <f>2*(IF(Rules!$B$9=Rules!$E$9,SUM(HSD!B7:B13)+Rules!$B$5*HSD!B14+HSD!B38+B45,SUM(HS!B7:B13)+Rules!$B$5*HS!B14+HS!B38+B45)/(9+Rules!$B$5))</f>
        <v>-0.53723204385891232</v>
      </c>
      <c r="C32" s="1">
        <f>2*(IF(Rules!$B$9=Rules!$E$9,SUM(HSD!C7:C13)+Rules!$B$5*HSD!C14+HSD!C38+C45,SUM(HS!C7:C13)+Rules!$B$5*HS!C14+HS!C38+C45)/(9+Rules!$B$5))</f>
        <v>-0.17097380442583437</v>
      </c>
      <c r="D32" s="1">
        <f>2*(IF(Rules!$B$9=Rules!$E$9,SUM(HSD!D7:D13)+Rules!$B$5*HSD!D14+HSD!D38+D45,SUM(HS!D7:D13)+Rules!$B$5*HS!D14+HS!D38+D45)/(9+Rules!$B$5))</f>
        <v>-8.8887541982419133E-2</v>
      </c>
      <c r="E32" s="1">
        <f>2*(IF(Rules!$B$9=Rules!$E$9,SUM(HSD!E7:E13)+Rules!$B$5*HSD!E14+HSD!E38+E45,SUM(HS!E7:E13)+Rules!$B$5*HS!E14+HS!E38+E45)/(9+Rules!$B$5))</f>
        <v>-2.1520393652436822E-3</v>
      </c>
      <c r="F32" s="1">
        <f>2*(IF(Rules!$B$9=Rules!$E$9,SUM(HSD!F7:F13)+Rules!$B$5*HSD!F14+HSD!F38+F45,SUM(HS!F7:F13)+Rules!$B$5*HS!F14+HS!F38+F45)/(9+Rules!$B$5))</f>
        <v>9.7979233844480332E-2</v>
      </c>
      <c r="G32" s="1">
        <f>2*(IF(Rules!$B$9=Rules!$E$9,SUM(HSD!G7:G13)+Rules!$B$5*HSD!G14+HSD!G38+G45,SUM(HS!G7:G13)+Rules!$B$5*HS!G14+HS!G38+G45)/(9+Rules!$B$5))</f>
        <v>0.17041251498834212</v>
      </c>
      <c r="H32" s="1">
        <f>2*(IF(Rules!$B$9=Rules!$E$9,SUM(HSD!H7:H13)+Rules!$B$5*HSD!H14+HSD!H38+H45,SUM(HS!H7:H13)+Rules!$B$5*HS!H14+HS!H38+H45)/(9+Rules!$B$5))</f>
        <v>-0.12598383410732422</v>
      </c>
      <c r="I32" s="1">
        <f>2*(IF(Rules!$B$9=Rules!$E$9,SUM(HSD!I7:I13)+Rules!$B$5*HSD!I14+HSD!I38+I45,SUM(HS!I7:I13)+Rules!$B$5*HS!I14+HS!I38+I45)/(9+Rules!$B$5))</f>
        <v>-0.29710211242674955</v>
      </c>
      <c r="J32" s="1">
        <f>2*(IF(Rules!$B$9=Rules!$E$9,SUM(HSD!J7:J13)+Rules!$B$5*HSD!J14+HSD!J38+J45,SUM(HS!J7:J13)+Rules!$B$5*HS!J14+HS!J38+J45)/(9+Rules!$B$5))</f>
        <v>-0.49308520239294168</v>
      </c>
      <c r="K32" s="9">
        <f>2*(IF(Rules!$B$9=Rules!$E$9,SUM(HSD!K7:K13)+Rules!$B$5*HSD!K14+HSD!K38+K45,SUM(HS!K7:K13)+Rules!$B$5*HS!K14+HS!K38+K45)/(9+Rules!$B$5))</f>
        <v>-0.60473080650977351</v>
      </c>
    </row>
    <row r="33" spans="1:11" x14ac:dyDescent="0.2">
      <c r="A33" s="126">
        <v>5</v>
      </c>
      <c r="B33" s="117">
        <f>2*(IF(Rules!$B$9=Rules!$E$9,SUM(HSD!B8:B14)+Rules!$B$5*HSD!B15+HSD!B39+B46,SUM(HS!B8:B14)+Rules!$B$5*HS!B15+HS!B39+B46)/(9+Rules!$B$5))</f>
        <v>-0.59516112506856278</v>
      </c>
      <c r="C33" s="1">
        <f>2*(IF(Rules!$B$9=Rules!$E$9,SUM(HSD!C8:C14)+Rules!$B$5*HSD!C15+HSD!C39+C46,SUM(HS!C8:C14)+Rules!$B$5*HS!C15+HS!C39+C46)/(9+Rules!$B$5))</f>
        <v>-0.206529078466726</v>
      </c>
      <c r="D33" s="1">
        <f>2*(IF(Rules!$B$9=Rules!$E$9,SUM(HSD!D8:D14)+Rules!$B$5*HSD!D15+HSD!D39+D46,SUM(HS!D8:D14)+Rules!$B$5*HS!D15+HS!D39+D46)/(9+Rules!$B$5))</f>
        <v>-0.12291243283323873</v>
      </c>
      <c r="E33" s="1">
        <f>2*(IF(Rules!$B$9=Rules!$E$9,SUM(HSD!E8:E14)+Rules!$B$5*HSD!E15+HSD!E39+E46,SUM(HS!E8:E14)+Rules!$B$5*HS!E15+HS!E39+E46)/(9+Rules!$B$5))</f>
        <v>-3.1426736428273511E-2</v>
      </c>
      <c r="F33" s="1">
        <f>2*(IF(Rules!$B$9=Rules!$E$9,SUM(HSD!F8:F14)+Rules!$B$5*HSD!F15+HSD!F39+F46,SUM(HS!F8:F14)+Rules!$B$5*HS!F15+HS!F39+F46)/(9+Rules!$B$5))</f>
        <v>7.0245147760057941E-2</v>
      </c>
      <c r="G33" s="1">
        <f>2*(IF(Rules!$B$9=Rules!$E$9,SUM(HSD!G8:G14)+Rules!$B$5*HSD!G15+HSD!G39+G46,SUM(HS!G8:G14)+Rules!$B$5*HS!G15+HS!G39+G46)/(9+Rules!$B$5))</f>
        <v>0.13894644378135385</v>
      </c>
      <c r="H33" s="1">
        <f>2*(IF(Rules!$B$9=Rules!$E$9,SUM(HSD!H8:H14)+Rules!$B$5*HSD!H15+HSD!H39+H46,SUM(HS!H8:H14)+Rules!$B$5*HS!H15+HS!H39+H46)/(9+Rules!$B$5))</f>
        <v>-0.21069899103679252</v>
      </c>
      <c r="I33" s="1">
        <f>2*(IF(Rules!$B$9=Rules!$E$9,SUM(HSD!I8:I14)+Rules!$B$5*HSD!I15+HSD!I39+I46,SUM(HS!I8:I14)+Rules!$B$5*HS!I15+HS!I39+I46)/(9+Rules!$B$5))</f>
        <v>-0.36449047877153973</v>
      </c>
      <c r="J33" s="1">
        <f>2*(IF(Rules!$B$9=Rules!$E$9,SUM(HSD!J8:J14)+Rules!$B$5*HSD!J15+HSD!J39+J46,SUM(HS!J8:J14)+Rules!$B$5*HS!J15+HS!J39+J46)/(9+Rules!$B$5))</f>
        <v>-0.55408649051290371</v>
      </c>
      <c r="K33" s="9">
        <f>2*(IF(Rules!$B$9=Rules!$E$9,SUM(HSD!K8:K14)+Rules!$B$5*HSD!K15+HSD!K39+K46,SUM(HS!K8:K14)+Rules!$B$5*HS!K15+HS!K39+K46)/(9+Rules!$B$5))</f>
        <v>-0.66348474222815945</v>
      </c>
    </row>
    <row r="34" spans="1:11" x14ac:dyDescent="0.2">
      <c r="A34" s="126">
        <v>6</v>
      </c>
      <c r="B34" s="117">
        <f>2*(IF(Rules!$B$9=Rules!$E$9,SUM(HSD!B9:B15)+Rules!$B$5*HSD!B16+HSD!B40+B47,SUM(HS!B9:B15)+Rules!$B$5*HS!B16+HS!B40+B47)/(9+Rules!$B$5))</f>
        <v>-0.6715647160094349</v>
      </c>
      <c r="C34" s="1">
        <f>2*(IF(Rules!$B$9=Rules!$E$9,SUM(HSD!C9:C15)+Rules!$B$5*HSD!C16+HSD!C40+C47,SUM(HS!C9:C15)+Rules!$B$5*HS!C16+HS!C40+C47)/(9+Rules!$B$5))</f>
        <v>-0.24891961628240239</v>
      </c>
      <c r="D34" s="1">
        <f>2*(IF(Rules!$B$9=Rules!$E$9,SUM(HSD!D9:D15)+Rules!$B$5*HSD!D16+HSD!D40+D47,SUM(HS!D9:D15)+Rules!$B$5*HS!D16+HS!D40+D47)/(9+Rules!$B$5))</f>
        <v>-0.15893743934968224</v>
      </c>
      <c r="E34" s="1">
        <f>2*(IF(Rules!$B$9=Rules!$E$9,SUM(HSD!E9:E15)+Rules!$B$5*HSD!E16+HSD!E40+E47,SUM(HS!E9:E15)+Rules!$B$5*HS!E16+HS!E40+E47)/(9+Rules!$B$5))</f>
        <v>-6.3151123653835545E-2</v>
      </c>
      <c r="F34" s="1">
        <f>2*(IF(Rules!$B$9=Rules!$E$9,SUM(HSD!F9:F15)+Rules!$B$5*HSD!F16+HSD!F40+F47,SUM(HS!F9:F15)+Rules!$B$5*HS!F16+HS!F40+F47)/(9+Rules!$B$5))</f>
        <v>3.9861095610559186E-2</v>
      </c>
      <c r="G34" s="1">
        <f>2*(IF(Rules!$B$9=Rules!$E$9,SUM(HSD!G9:G15)+Rules!$B$5*HSD!G16+HSD!G40+G47,SUM(HS!G9:G15)+Rules!$B$5*HS!G16+HS!G40+G47)/(9+Rules!$B$5))</f>
        <v>0.10683997453327757</v>
      </c>
      <c r="H34" s="1">
        <f>2*(IF(Rules!$B$9=Rules!$E$9,SUM(HSD!H9:H15)+Rules!$B$5*HSD!H16+HSD!H40+H47,SUM(HS!H9:H15)+Rules!$B$5*HS!H16+HS!H40+H47)/(9+Rules!$B$5))</f>
        <v>-0.30889810168793636</v>
      </c>
      <c r="I34" s="1">
        <f>2*(IF(Rules!$B$9=Rules!$E$9,SUM(HSD!I9:I15)+Rules!$B$5*HSD!I16+HSD!I40+I47,SUM(HS!I9:I15)+Rules!$B$5*HS!I16+HS!I40+I47)/(9+Rules!$B$5))</f>
        <v>-0.45494204097610691</v>
      </c>
      <c r="J34" s="1">
        <f>2*(IF(Rules!$B$9=Rules!$E$9,SUM(HSD!J9:J15)+Rules!$B$5*HSD!J16+HSD!J40+J47,SUM(HS!J9:J15)+Rules!$B$5*HS!J16+HS!J40+J47)/(9+Rules!$B$5))</f>
        <v>-0.62571169221831358</v>
      </c>
      <c r="K34" s="9">
        <f>2*(IF(Rules!$B$9=Rules!$E$9,SUM(HSD!K9:K15)+Rules!$B$5*HSD!K16+HSD!K40+K47,SUM(HS!K9:K15)+Rules!$B$5*HS!K16+HS!K40+K47)/(9+Rules!$B$5))</f>
        <v>-0.73036884469685959</v>
      </c>
    </row>
    <row r="35" spans="1:11" x14ac:dyDescent="0.2">
      <c r="A35" s="126">
        <v>7</v>
      </c>
      <c r="B35" s="117">
        <f>2*(IF(Rules!$B$9=Rules!$E$9,SUM(HSD!B10:B16)+Rules!$B$5*HSD!B17+HSD!B41+B48,SUM(HS!B10:B16)+Rules!$B$5*HS!B17+HS!B41+B48)/(9+Rules!$B$5))</f>
        <v>-0.70544522710715207</v>
      </c>
      <c r="C35" s="1">
        <f>2*(IF(Rules!$B$9=Rules!$E$9,SUM(HSD!C10:C16)+Rules!$B$5*HSD!C17+HSD!C41+C48,SUM(HS!C10:C16)+Rules!$B$5*HS!C17+HS!C41+C48)/(9+Rules!$B$5))</f>
        <v>-0.19085944423380138</v>
      </c>
      <c r="D35" s="1">
        <f>2*(IF(Rules!$B$9=Rules!$E$9,SUM(HSD!D10:D16)+Rules!$B$5*HSD!D17+HSD!D41+D48,SUM(HS!D10:D16)+Rules!$B$5*HS!D17+HS!D41+D48)/(9+Rules!$B$5))</f>
        <v>-0.1048563437310312</v>
      </c>
      <c r="E35" s="1">
        <f>2*(IF(Rules!$B$9=Rules!$E$9,SUM(HSD!E10:E16)+Rules!$B$5*HSD!E17+HSD!E41+E48,SUM(HS!E10:E16)+Rules!$B$5*HS!E17+HS!E41+E48)/(9+Rules!$B$5))</f>
        <v>-1.5863527404892646E-2</v>
      </c>
      <c r="F35" s="1">
        <f>2*(IF(Rules!$B$9=Rules!$E$9,SUM(HSD!F10:F16)+Rules!$B$5*HSD!F17+HSD!F41+F48,SUM(HS!F10:F16)+Rules!$B$5*HS!F17+HS!F41+F48)/(9+Rules!$B$5))</f>
        <v>7.7950375044067696E-2</v>
      </c>
      <c r="G35" s="1">
        <f>2*(IF(Rules!$B$9=Rules!$E$9,SUM(HSD!G10:G16)+Rules!$B$5*HSD!G17+HSD!G41+G48,SUM(HS!G10:G16)+Rules!$B$5*HS!G17+HS!G41+G48)/(9+Rules!$B$5))</f>
        <v>0.16778916128184004</v>
      </c>
      <c r="H35" s="1">
        <f>2*(IF(Rules!$B$9=Rules!$E$9,SUM(HSD!H10:H16)+Rules!$B$5*HSD!H17+HSD!H41+H48,SUM(HS!H10:H16)+Rules!$B$5*HS!H17+HS!H41+H48)/(9+Rules!$B$5))</f>
        <v>-0.13086530256934162</v>
      </c>
      <c r="I35" s="1">
        <f>2*(IF(Rules!$B$9=Rules!$E$9,SUM(HSD!I10:I16)+Rules!$B$5*HSD!I17+HSD!I41+I48,SUM(HS!I10:I16)+Rules!$B$5*HS!I17+HS!I41+I48)/(9+Rules!$B$5))</f>
        <v>-0.46397554930649498</v>
      </c>
      <c r="J35" s="1">
        <f>2*(IF(Rules!$B$9=Rules!$E$9,SUM(HSD!J10:J16)+Rules!$B$5*HSD!J17+HSD!J41+J48,SUM(HS!J10:J16)+Rules!$B$5*HS!J17+HS!J41+J48)/(9+Rules!$B$5))</f>
        <v>-0.63323159727567113</v>
      </c>
      <c r="K35" s="9">
        <f>2*(IF(Rules!$B$9=Rules!$E$9,SUM(HSD!K10:K16)+Rules!$B$5*HSD!K17+HSD!K41+K48,SUM(HS!K10:K16)+Rules!$B$5*HS!K17+HS!K41+K48)/(9+Rules!$B$5))</f>
        <v>-0.70206151561651309</v>
      </c>
    </row>
    <row r="36" spans="1:11" x14ac:dyDescent="0.2">
      <c r="A36" s="126">
        <v>8</v>
      </c>
      <c r="B36" s="117">
        <f>2*(IF(Rules!$B$9=Rules!$E$9,SUM(HSD!B11:B17)+Rules!$B$5*HSD!B18+HSD!B42+B49,SUM(HS!B11:B17)+Rules!$B$5*HS!B18+HS!B42+B49)/(9+Rules!$B$5))</f>
        <v>-0.46721259485503536</v>
      </c>
      <c r="C36" s="1">
        <f>2*(IF(Rules!$B$9=Rules!$E$9,SUM(HSD!C11:C17)+Rules!$B$5*HSD!C18+HSD!C42+C49,SUM(HS!C11:C17)+Rules!$B$5*HS!C18+HS!C42+C49)/(9+Rules!$B$5))</f>
        <v>-3.2969409925924183E-2</v>
      </c>
      <c r="D36" s="1">
        <f>2*(IF(Rules!$B$9=Rules!$E$9,SUM(HSD!D11:D17)+Rules!$B$5*HSD!D18+HSD!D42+D49,SUM(HS!D11:D17)+Rules!$B$5*HS!D18+HS!D42+D49)/(9+Rules!$B$5))</f>
        <v>3.7282812830147755E-2</v>
      </c>
      <c r="E36" s="1">
        <f>2*(IF(Rules!$B$9=Rules!$E$9,SUM(HSD!E11:E17)+Rules!$B$5*HSD!E18+HSD!E42+E49,SUM(HS!E11:E17)+Rules!$B$5*HS!E18+HS!E42+E49)/(9+Rules!$B$5))</f>
        <v>0.10974088847717861</v>
      </c>
      <c r="F36" s="1">
        <f>2*(IF(Rules!$B$9=Rules!$E$9,SUM(HSD!F11:F17)+Rules!$B$5*HSD!F18+HSD!F42+F49,SUM(HS!F11:F17)+Rules!$B$5*HS!F18+HS!F42+F49)/(9+Rules!$B$5))</f>
        <v>0.18459529646735304</v>
      </c>
      <c r="G36" s="1">
        <f>2*(IF(Rules!$B$9=Rules!$E$9,SUM(HSD!G11:G17)+Rules!$B$5*HSD!G18+HSD!G42+G49,SUM(HS!G11:G17)+Rules!$B$5*HS!G18+HS!G42+G49)/(9+Rules!$B$5))</f>
        <v>0.28706312489091801</v>
      </c>
      <c r="H36" s="1">
        <f>2*(IF(Rules!$B$9=Rules!$E$9,SUM(HSD!H11:H17)+Rules!$B$5*HSD!H18+HSD!H42+H49,SUM(HS!H11:H17)+Rules!$B$5*HS!H18+HS!H42+H49)/(9+Rules!$B$5))</f>
        <v>0.18370146494097755</v>
      </c>
      <c r="I36" s="1">
        <f>2*(IF(Rules!$B$9=Rules!$E$9,SUM(HSD!I11:I17)+Rules!$B$5*HSD!I18+HSD!I42+I49,SUM(HS!I11:I17)+Rules!$B$5*HS!I18+HS!I42+I49)/(9+Rules!$B$5))</f>
        <v>-0.14515433445503195</v>
      </c>
      <c r="J36" s="1">
        <f>2*(IF(Rules!$B$9=Rules!$E$9,SUM(HSD!J11:J17)+Rules!$B$5*HSD!J18+HSD!J42+J49,SUM(HS!J11:J17)+Rules!$B$5*HS!J18+HS!J42+J49)/(9+Rules!$B$5))</f>
        <v>-0.48997310412390777</v>
      </c>
      <c r="K36" s="9">
        <f>2*(IF(Rules!$B$9=Rules!$E$9,SUM(HSD!K11:K17)+Rules!$B$5*HSD!K18+HSD!K42+K49,SUM(HS!K11:K17)+Rules!$B$5*HS!K18+HS!K42+K49)/(9+Rules!$B$5))</f>
        <v>-0.56868703026889478</v>
      </c>
    </row>
    <row r="37" spans="1:11" x14ac:dyDescent="0.2">
      <c r="A37" s="126">
        <v>9</v>
      </c>
      <c r="B37" s="117">
        <f>2*(IF(Rules!$B$9=Rules!$E$9,SUM(HSD!B12:B18)+Rules!$B$5*HSD!B19+HSD!B43+B50,SUM(HS!B12:B18)+Rules!$B$5*HS!B19+HS!B43+B50)/(9+Rules!$B$5))</f>
        <v>-0.17357122520500348</v>
      </c>
      <c r="C37" s="1">
        <f>2*(IF(Rules!$B$9=Rules!$E$9,SUM(HSD!C12:C18)+Rules!$B$5*HSD!C19+HSD!C43+C50,SUM(HS!C12:C18)+Rules!$B$5*HS!C19+HS!C43+C50)/(9+Rules!$B$5))</f>
        <v>0.14062719446391592</v>
      </c>
      <c r="D37" s="1">
        <f>2*(IF(Rules!$B$9=Rules!$E$9,SUM(HSD!D12:D18)+Rules!$B$5*HSD!D19+HSD!D43+D50,SUM(HS!D12:D18)+Rules!$B$5*HS!D19+HS!D43+D50)/(9+Rules!$B$5))</f>
        <v>0.19973169628425091</v>
      </c>
      <c r="E37" s="1">
        <f>2*(IF(Rules!$B$9=Rules!$E$9,SUM(HSD!E12:E18)+Rules!$B$5*HSD!E19+HSD!E43+E50,SUM(HS!E12:E18)+Rules!$B$5*HS!E19+HS!E43+E50)/(9+Rules!$B$5))</f>
        <v>0.26080531131208023</v>
      </c>
      <c r="F37" s="1">
        <f>2*(IF(Rules!$B$9=Rules!$E$9,SUM(HSD!F12:F18)+Rules!$B$5*HSD!F19+HSD!F43+F50,SUM(HS!F12:F18)+Rules!$B$5*HS!F19+HS!F43+F50)/(9+Rules!$B$5))</f>
        <v>0.32467890382806186</v>
      </c>
      <c r="G37" s="1">
        <f>2*(IF(Rules!$B$9=Rules!$E$9,SUM(HSD!G12:G18)+Rules!$B$5*HSD!G19+HSD!G43+G50,SUM(HS!G12:G18)+Rules!$B$5*HS!G19+HS!G43+G50)/(9+Rules!$B$5))</f>
        <v>0.40891222642813879</v>
      </c>
      <c r="H37" s="1">
        <f>2*(IF(Rules!$B$9=Rules!$E$9,SUM(HSD!H12:H18)+Rules!$B$5*HSD!H19+HSD!H43+H50,SUM(HS!H12:H18)+Rules!$B$5*HS!H19+HS!H43+H50)/(9+Rules!$B$5))</f>
        <v>0.35571367714235691</v>
      </c>
      <c r="I37" s="1">
        <f>2*(IF(Rules!$B$9=Rules!$E$9,SUM(HSD!I12:I18)+Rules!$B$5*HSD!I19+HSD!I43+I50,SUM(HS!I12:I18)+Rules!$B$5*HS!I19+HS!I43+I50)/(9+Rules!$B$5))</f>
        <v>0.19449722368973132</v>
      </c>
      <c r="J37" s="1">
        <f>2*(IF(Rules!$B$9=Rules!$E$9,SUM(HSD!J12:J18)+Rules!$B$5*HSD!J19+HSD!J43+J50,SUM(HS!J12:J18)+Rules!$B$5*HS!J19+HS!J43+J50)/(9+Rules!$B$5))</f>
        <v>-0.14311254858862787</v>
      </c>
      <c r="K37" s="9">
        <f>2*(IF(Rules!$B$9=Rules!$E$9,SUM(HSD!K12:K18)+Rules!$B$5*HSD!K19+HSD!K43+K50,SUM(HS!K12:K18)+Rules!$B$5*HS!K19+HS!K43+K50)/(9+Rules!$B$5))</f>
        <v>-0.3699253024517255</v>
      </c>
    </row>
    <row r="38" spans="1:11" ht="17" thickBot="1" x14ac:dyDescent="0.25">
      <c r="A38" s="127">
        <v>10</v>
      </c>
      <c r="B38" s="118">
        <f>2*(IF(Rules!$B$9=Rules!$E$9,SUM(HSD!B13:B19)+Rules!$B$5*HSD!B20+HSD!B44+B51,SUM(HS!B13:B19)+Rules!$B$5*HS!B20+HS!B44+B51)/(9+Rules!$B$5))</f>
        <v>0.24189014763372588</v>
      </c>
      <c r="C38" s="171">
        <f>2*(IF(Rules!$B$9=Rules!$E$9,SUM(HSD!C13:C19)+Rules!$B$5*HSD!C20+HSD!C44+C51,SUM(HS!C13:C19)+Rules!$B$5*HS!C20+HS!C44+C51)/(9+Rules!$B$5))</f>
        <v>0.46013690709266325</v>
      </c>
      <c r="D38" s="171">
        <f>2*(IF(Rules!$B$9=Rules!$E$9,SUM(HSD!D13:D19)+Rules!$B$5*HSD!D20+HSD!D44+D51,SUM(HS!D13:D19)+Rules!$B$5*HS!D20+HS!D44+D51)/(9+Rules!$B$5))</f>
        <v>0.51154008261649231</v>
      </c>
      <c r="E38" s="171">
        <f>2*(IF(Rules!$B$9=Rules!$E$9,SUM(HSD!E13:E19)+Rules!$B$5*HSD!E20+HSD!E44+E51,SUM(HS!E13:E19)+Rules!$B$5*HS!E20+HS!E44+E51)/(9+Rules!$B$5))</f>
        <v>0.56432537499270297</v>
      </c>
      <c r="F38" s="171">
        <f>2*(IF(Rules!$B$9=Rules!$E$9,SUM(HSD!F13:F19)+Rules!$B$5*HSD!F20+HSD!F44+F51,SUM(HS!F13:F19)+Rules!$B$5*HS!F20+HS!F44+F51)/(9+Rules!$B$5))</f>
        <v>0.61708784282461282</v>
      </c>
      <c r="G38" s="171">
        <f>2*(IF(Rules!$B$9=Rules!$E$9,SUM(HSD!G13:G19)+Rules!$B$5*HSD!G20+HSD!G44+G51,SUM(HS!G13:G19)+Rules!$B$5*HS!G20+HS!G44+G51)/(9+Rules!$B$5))</f>
        <v>0.68778850466357977</v>
      </c>
      <c r="H38" s="171">
        <f>2*(IF(Rules!$B$9=Rules!$E$9,SUM(HSD!H13:H19)+Rules!$B$5*HSD!H20+HSD!H44+H51,SUM(HS!H13:H19)+Rules!$B$5*HS!H20+HS!H44+H51)/(9+Rules!$B$5))</f>
        <v>0.62561213531670967</v>
      </c>
      <c r="I38" s="171">
        <f>2*(IF(Rules!$B$9=Rules!$E$9,SUM(HSD!I13:I19)+Rules!$B$5*HSD!I20+HSD!I44+I51,SUM(HS!I13:I19)+Rules!$B$5*HS!I20+HS!I44+I51)/(9+Rules!$B$5))</f>
        <v>0.49859698923137341</v>
      </c>
      <c r="J38" s="171">
        <f>2*(IF(Rules!$B$9=Rules!$E$9,SUM(HSD!J13:J19)+Rules!$B$5*HSD!J20+HSD!J44+J51,SUM(HS!J13:J19)+Rules!$B$5*HS!J20+HS!J44+J51)/(9+Rules!$B$5))</f>
        <v>0.32122417640741452</v>
      </c>
      <c r="K38" s="10">
        <f>2*(IF(Rules!$B$9=Rules!$E$9,SUM(HSD!K13:K19)+Rules!$B$5*HSD!K20+HSD!K44+K51,SUM(HS!K13:K19)+Rules!$B$5*HS!K20+HS!K44+K51)/(9+Rules!$B$5))</f>
        <v>0.11702628284017082</v>
      </c>
    </row>
    <row r="39" spans="1:11" ht="17" thickBot="1" x14ac:dyDescent="0.25"/>
    <row r="40" spans="1:11" ht="17" thickBot="1" x14ac:dyDescent="0.25">
      <c r="A40" s="402" t="s">
        <v>92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4"/>
    </row>
    <row r="41" spans="1:11" ht="17" thickBot="1" x14ac:dyDescent="0.25">
      <c r="A41" s="196" t="s">
        <v>7</v>
      </c>
      <c r="B41" s="197">
        <v>1</v>
      </c>
      <c r="C41" s="198">
        <v>2</v>
      </c>
      <c r="D41" s="198">
        <v>3</v>
      </c>
      <c r="E41" s="198">
        <v>4</v>
      </c>
      <c r="F41" s="198">
        <v>5</v>
      </c>
      <c r="G41" s="198">
        <v>6</v>
      </c>
      <c r="H41" s="198">
        <v>7</v>
      </c>
      <c r="I41" s="198">
        <v>8</v>
      </c>
      <c r="J41" s="198">
        <v>9</v>
      </c>
      <c r="K41" s="199">
        <v>10</v>
      </c>
    </row>
    <row r="42" spans="1:11" x14ac:dyDescent="0.2">
      <c r="A42" s="191">
        <v>1</v>
      </c>
      <c r="B42" s="190">
        <f>2*(IF(Rules!$B$12=Rules!$F$12,SUM(Stand!B35:B43)+Rules!$B$5*Stand!B44,SUM(HSD!B35:B43)+Rules!$B$5*HSD!B44)/(9+Rules!$B$5))</f>
        <v>0.10906077977909699</v>
      </c>
      <c r="C42" s="194">
        <f>2*(IF(Rules!$B$12=Rules!$F$12,SUM(Stand!C35:C43)+Rules!$B$5*Stand!C44,SUM(HSD!C35:C43)+Rules!$B$5*HSD!C44)/(9+Rules!$B$5))</f>
        <v>0.47064092333946894</v>
      </c>
      <c r="D42" s="194">
        <f>2*(IF(Rules!$B$12=Rules!$F$12,SUM(Stand!D35:D43)+Rules!$B$5*Stand!D44,SUM(HSD!D35:D43)+Rules!$B$5*HSD!D44)/(9+Rules!$B$5))</f>
        <v>0.51779525312221664</v>
      </c>
      <c r="E42" s="194">
        <f>2*(IF(Rules!$B$12=Rules!$F$12,SUM(Stand!E35:E43)+Rules!$B$5*Stand!E44,SUM(HSD!E35:E43)+Rules!$B$5*HSD!E44)/(9+Rules!$B$5))</f>
        <v>0.56604055041797596</v>
      </c>
      <c r="F42" s="194">
        <f>2*(IF(Rules!$B$12=Rules!$F$12,SUM(Stand!F35:F43)+Rules!$B$5*Stand!F44,SUM(HSD!F35:F43)+Rules!$B$5*HSD!F44)/(9+Rules!$B$5))</f>
        <v>0.61469901790902803</v>
      </c>
      <c r="G42" s="194">
        <f>2*(IF(Rules!$B$12=Rules!$F$12,SUM(Stand!G35:G43)+Rules!$B$5*Stand!G44,SUM(HSD!G35:G43)+Rules!$B$5*HSD!G44)/(9+Rules!$B$5))</f>
        <v>0.66738009490756944</v>
      </c>
      <c r="H42" s="194">
        <f>2*(IF(Rules!$B$12=Rules!$F$12,SUM(Stand!H35:H43)+Rules!$B$5*Stand!H44,SUM(HSD!H35:H43)+Rules!$B$5*HSD!H44)/(9+Rules!$B$5))</f>
        <v>0.46288894886429088</v>
      </c>
      <c r="I42" s="194">
        <f>2*(IF(Rules!$B$12=Rules!$F$12,SUM(Stand!I35:I43)+Rules!$B$5*Stand!I44,SUM(HSD!I35:I43)+Rules!$B$5*HSD!I44)/(9+Rules!$B$5))</f>
        <v>0.35069259087031512</v>
      </c>
      <c r="J42" s="194">
        <f>2*(IF(Rules!$B$12=Rules!$F$12,SUM(Stand!J35:J43)+Rules!$B$5*Stand!J44,SUM(HSD!J35:J43)+Rules!$B$5*HSD!J44)/(9+Rules!$B$5))</f>
        <v>0.22778342315245487</v>
      </c>
      <c r="K42" s="195">
        <f>2*(IF(Rules!$B$12=Rules!$F$12,SUM(Stand!K35:K43)+Rules!$B$5*Stand!K44,SUM(HSD!K35:K43)+Rules!$B$5*HSD!K44)/(9+Rules!$B$5))</f>
        <v>0.17968872741114625</v>
      </c>
    </row>
    <row r="43" spans="1:11" x14ac:dyDescent="0.2">
      <c r="A43" s="192">
        <v>2</v>
      </c>
      <c r="B43" s="185">
        <f>2*(IF(Rules!$B$9=Rules!$E$9,SUM(HSD!B4:B11)+Rules!$B$5*HSD!B12+HSD!B36,SUM(HS!B4:B11)+Rules!$B$5*HS!B12+HS!B36)/(9+Rules!$B$5))</f>
        <v>-0.40670736629778753</v>
      </c>
      <c r="C43" s="184">
        <f>2*(IF(Rules!$B$9=Rules!$E$9,SUM(HSD!C4:C11)+Rules!$B$5*HSD!C12+HSD!C36,SUM(HS!C4:C11)+Rules!$B$5*HS!C12+HS!C36)/(9+Rules!$B$5))</f>
        <v>-8.8887240897114625E-2</v>
      </c>
      <c r="D43" s="184">
        <f>2*(IF(Rules!$B$9=Rules!$E$9,SUM(HSD!D4:D11)+Rules!$B$5*HSD!D12+HSD!D36,SUM(HS!D4:D11)+Rules!$B$5*HS!D12+HS!D36)/(9+Rules!$B$5))</f>
        <v>-2.561613047924638E-2</v>
      </c>
      <c r="E43" s="184">
        <f>2*(IF(Rules!$B$9=Rules!$E$9,SUM(HSD!E4:E11)+Rules!$B$5*HSD!E12+HSD!E36,SUM(HS!E4:E11)+Rules!$B$5*HS!E12+HS!E36)/(9+Rules!$B$5))</f>
        <v>4.2946629568768907E-2</v>
      </c>
      <c r="F43" s="184">
        <f>2*(IF(Rules!$B$9=Rules!$E$9,SUM(HSD!F4:F11)+Rules!$B$5*HSD!F12+HSD!F36,SUM(HS!F4:F11)+Rules!$B$5*HS!F12+HS!F36)/(9+Rules!$B$5))</f>
        <v>0.12724982334843896</v>
      </c>
      <c r="G43" s="184">
        <f>2*(IF(Rules!$B$9=Rules!$E$9,SUM(HSD!G4:G11)+Rules!$B$5*HSD!G12+HSD!G36,SUM(HS!G4:G11)+Rules!$B$5*HS!G12+HS!G36)/(9+Rules!$B$5))</f>
        <v>0.19477859816579254</v>
      </c>
      <c r="H43" s="184">
        <f>2*(IF(Rules!$B$9=Rules!$E$9,SUM(HSD!H4:H11)+Rules!$B$5*HSD!H12+HSD!H36,SUM(HS!H4:H11)+Rules!$B$5*HS!H12+HS!H36)/(9+Rules!$B$5))</f>
        <v>-7.3993244927046805E-3</v>
      </c>
      <c r="I43" s="184">
        <f>2*(IF(Rules!$B$9=Rules!$E$9,SUM(HSD!I4:I11)+Rules!$B$5*HSD!I12+HSD!I36,SUM(HS!I4:I11)+Rules!$B$5*HS!I12+HS!I36)/(9+Rules!$B$5))</f>
        <v>-0.17410923184246513</v>
      </c>
      <c r="J43" s="184">
        <f>2*(IF(Rules!$B$9=Rules!$E$9,SUM(HSD!J4:J11)+Rules!$B$5*HSD!J12+HSD!J36,SUM(HS!J4:J11)+Rules!$B$5*HS!J12+HS!J36)/(9+Rules!$B$5))</f>
        <v>-0.36512119656719888</v>
      </c>
      <c r="K43" s="186">
        <f>2*(IF(Rules!$B$9=Rules!$E$9,SUM(HSD!K4:K11)+Rules!$B$5*HSD!K12+HSD!K36,SUM(HS!K4:K11)+Rules!$B$5*HS!K12+HS!K36)/(9+Rules!$B$5))</f>
        <v>-0.47473352836952315</v>
      </c>
    </row>
    <row r="44" spans="1:11" x14ac:dyDescent="0.2">
      <c r="A44" s="192">
        <v>3</v>
      </c>
      <c r="B44" s="185">
        <f>2*(IF(Rules!$B$9=Rules!$E$9,SUM(HSD!B5:B12)+Rules!$B$5*HSD!B13+HSD!B37,SUM(HS!B5:B12)+Rules!$B$5*HS!B13+HS!B37)/(9+Rules!$B$5))</f>
        <v>-0.45587498581610703</v>
      </c>
      <c r="C44" s="184">
        <f>2*(IF(Rules!$B$9=Rules!$E$9,SUM(HSD!C5:C12)+Rules!$B$5*HSD!C13+HSD!C37,SUM(HS!C5:C12)+Rules!$B$5*HS!C13+HS!C37)/(9+Rules!$B$5))</f>
        <v>-0.13816353305492138</v>
      </c>
      <c r="D44" s="184">
        <f>2*(IF(Rules!$B$9=Rules!$E$9,SUM(HSD!D5:D12)+Rules!$B$5*HSD!D13+HSD!D37,SUM(HS!D5:D12)+Rules!$B$5*HS!D13+HS!D37)/(9+Rules!$B$5))</f>
        <v>-6.3866434744217312E-2</v>
      </c>
      <c r="E44" s="184">
        <f>2*(IF(Rules!$B$9=Rules!$E$9,SUM(HSD!E5:E12)+Rules!$B$5*HSD!E13+HSD!E37,SUM(HS!E5:E12)+Rules!$B$5*HS!E13+HS!E37)/(9+Rules!$B$5))</f>
        <v>1.4624872422626991E-2</v>
      </c>
      <c r="F44" s="184">
        <f>2*(IF(Rules!$B$9=Rules!$E$9,SUM(HSD!F5:F12)+Rules!$B$5*HSD!F13+HSD!F37,SUM(HS!F5:F12)+Rules!$B$5*HS!F13+HS!F37)/(9+Rules!$B$5))</f>
        <v>0.10229274834073326</v>
      </c>
      <c r="G44" s="184">
        <f>2*(IF(Rules!$B$9=Rules!$E$9,SUM(HSD!G5:G12)+Rules!$B$5*HSD!G13+HSD!G37,SUM(HS!G5:G12)+Rules!$B$5*HS!G13+HS!G37)/(9+Rules!$B$5))</f>
        <v>0.16942022384102573</v>
      </c>
      <c r="H44" s="184">
        <f>2*(IF(Rules!$B$9=Rules!$E$9,SUM(HSD!H5:H12)+Rules!$B$5*HSD!H13+HSD!H37,SUM(HS!H5:H12)+Rules!$B$5*HS!H13+HS!H37)/(9+Rules!$B$5))</f>
        <v>-6.7760458821693514E-2</v>
      </c>
      <c r="I44" s="184">
        <f>2*(IF(Rules!$B$9=Rules!$E$9,SUM(HSD!I5:I12)+Rules!$B$5*HSD!I13+HSD!I37,SUM(HS!I5:I12)+Rules!$B$5*HS!I13+HS!I37)/(9+Rules!$B$5))</f>
        <v>-0.22966953759261269</v>
      </c>
      <c r="J44" s="184">
        <f>2*(IF(Rules!$B$9=Rules!$E$9,SUM(HSD!J5:J12)+Rules!$B$5*HSD!J13+HSD!J37,SUM(HS!J5:J12)+Rules!$B$5*HS!J13+HS!J37)/(9+Rules!$B$5))</f>
        <v>-0.41518015608743064</v>
      </c>
      <c r="K44" s="186">
        <f>2*(IF(Rules!$B$9=Rules!$E$9,SUM(HSD!K5:K12)+Rules!$B$5*HSD!K13+HSD!K37,SUM(HS!K5:K12)+Rules!$B$5*HS!K13+HS!K37)/(9+Rules!$B$5))</f>
        <v>-0.52139589164919231</v>
      </c>
    </row>
    <row r="45" spans="1:11" x14ac:dyDescent="0.2">
      <c r="A45" s="192">
        <v>4</v>
      </c>
      <c r="B45" s="185">
        <f>2*(IF(Rules!$B$9=Rules!$E$9,SUM(HSD!B6:B13)+Rules!$B$5*HSD!B14+HSD!B38,SUM(HS!B6:B13)+Rules!$B$5*HS!B14+HS!B38)/(9+Rules!$B$5))</f>
        <v>-0.50615398880781726</v>
      </c>
      <c r="C45" s="184">
        <f>2*(IF(Rules!$B$9=Rules!$E$9,SUM(HSD!C6:C13)+Rules!$B$5*HSD!C14+HSD!C38,SUM(HS!C6:C13)+Rules!$B$5*HS!C14+HS!C38)/(9+Rules!$B$5))</f>
        <v>-0.16694517949705912</v>
      </c>
      <c r="D45" s="184">
        <f>2*(IF(Rules!$B$9=Rules!$E$9,SUM(HSD!D6:D13)+Rules!$B$5*HSD!D14+HSD!D38,SUM(HS!D6:D13)+Rules!$B$5*HS!D14+HS!D38)/(9+Rules!$B$5))</f>
        <v>-9.1341346785911021E-2</v>
      </c>
      <c r="E45" s="184">
        <f>2*(IF(Rules!$B$9=Rules!$E$9,SUM(HSD!E6:E13)+Rules!$B$5*HSD!E14+HSD!E38,SUM(HS!E6:E13)+Rules!$B$5*HS!E14+HS!E38)/(9+Rules!$B$5))</f>
        <v>-1.1587386373396152E-2</v>
      </c>
      <c r="F45" s="184">
        <f>2*(IF(Rules!$B$9=Rules!$E$9,SUM(HSD!F6:F13)+Rules!$B$5*HSD!F14+HSD!F38,SUM(HS!F6:F13)+Rules!$B$5*HS!F14+HS!F38)/(9+Rules!$B$5))</f>
        <v>8.0259872887869343E-2</v>
      </c>
      <c r="G45" s="184">
        <f>2*(IF(Rules!$B$9=Rules!$E$9,SUM(HSD!G6:G13)+Rules!$B$5*HSD!G14+HSD!G38,SUM(HS!G6:G13)+Rules!$B$5*HS!G14+HS!G38)/(9+Rules!$B$5))</f>
        <v>0.14595673491924663</v>
      </c>
      <c r="H45" s="184">
        <f>2*(IF(Rules!$B$9=Rules!$E$9,SUM(HSD!H6:H13)+Rules!$B$5*HSD!H14+HSD!H38,SUM(HS!H6:H13)+Rules!$B$5*HS!H14+HS!H38)/(9+Rules!$B$5))</f>
        <v>-0.12944368385790758</v>
      </c>
      <c r="I45" s="184">
        <f>2*(IF(Rules!$B$9=Rules!$E$9,SUM(HSD!I6:I13)+Rules!$B$5*HSD!I14+HSD!I38,SUM(HS!I6:I13)+Rules!$B$5*HS!I14+HS!I38)/(9+Rules!$B$5))</f>
        <v>-0.28645408161262087</v>
      </c>
      <c r="J45" s="184">
        <f>2*(IF(Rules!$B$9=Rules!$E$9,SUM(HSD!J6:J13)+Rules!$B$5*HSD!J14+HSD!J38,SUM(HS!J6:J13)+Rules!$B$5*HS!J14+HS!J38)/(9+Rules!$B$5))</f>
        <v>-0.46635926876691297</v>
      </c>
      <c r="K45" s="186">
        <f>2*(IF(Rules!$B$9=Rules!$E$9,SUM(HSD!K6:K13)+Rules!$B$5*HSD!K14+HSD!K38,SUM(HS!K6:K13)+Rules!$B$5*HS!K14+HS!K38)/(9+Rules!$B$5))</f>
        <v>-0.5691332910255914</v>
      </c>
    </row>
    <row r="46" spans="1:11" x14ac:dyDescent="0.2">
      <c r="A46" s="192">
        <v>5</v>
      </c>
      <c r="B46" s="185">
        <f>2*(IF(Rules!$B$9=Rules!$E$9,SUM(HSD!B7:B14)+Rules!$B$5*HSD!B15+HSD!B39,SUM(HS!B7:B14)+Rules!$B$5*HS!B15+HS!B39)/(9+Rules!$B$5))</f>
        <v>-0.55714919510363936</v>
      </c>
      <c r="C46" s="184">
        <f>2*(IF(Rules!$B$9=Rules!$E$9,SUM(HSD!C7:C14)+Rules!$B$5*HSD!C15+HSD!C39,SUM(HS!C7:C14)+Rules!$B$5*HS!C15+HS!C39)/(9+Rules!$B$5))</f>
        <v>-0.19354965838671134</v>
      </c>
      <c r="D46" s="184">
        <f>2*(IF(Rules!$B$9=Rules!$E$9,SUM(HSD!D7:D14)+Rules!$B$5*HSD!D15+HSD!D39,SUM(HS!D7:D14)+Rules!$B$5*HS!D15+HS!D39)/(9+Rules!$B$5))</f>
        <v>-0.11673517270940206</v>
      </c>
      <c r="E46" s="184">
        <f>2*(IF(Rules!$B$9=Rules!$E$9,SUM(HSD!E7:E14)+Rules!$B$5*HSD!E15+HSD!E39,SUM(HS!E7:E14)+Rules!$B$5*HS!E15+HS!E39)/(9+Rules!$B$5))</f>
        <v>-3.2972744105082649E-2</v>
      </c>
      <c r="F46" s="184">
        <f>2*(IF(Rules!$B$9=Rules!$E$9,SUM(HSD!F7:F14)+Rules!$B$5*HSD!F15+HSD!F39,SUM(HS!F7:F14)+Rules!$B$5*HS!F15+HS!F39)/(9+Rules!$B$5))</f>
        <v>5.9909613271658099E-2</v>
      </c>
      <c r="G46" s="184">
        <f>2*(IF(Rules!$B$9=Rules!$E$9,SUM(HSD!G7:G14)+Rules!$B$5*HSD!G15+HSD!G39,SUM(HS!G7:G14)+Rules!$B$5*HS!G15+HS!G39)/(9+Rules!$B$5))</f>
        <v>0.12431163025768811</v>
      </c>
      <c r="H46" s="184">
        <f>2*(IF(Rules!$B$9=Rules!$E$9,SUM(HSD!H7:H14)+Rules!$B$5*HSD!H15+HSD!H39,SUM(HS!H7:H14)+Rules!$B$5*HS!H15+HS!H39)/(9+Rules!$B$5))</f>
        <v>-0.19178016550927721</v>
      </c>
      <c r="I46" s="184">
        <f>2*(IF(Rules!$B$9=Rules!$E$9,SUM(HSD!I7:I14)+Rules!$B$5*HSD!I15+HSD!I39,SUM(HS!I7:I14)+Rules!$B$5*HS!I15+HS!I39)/(9+Rules!$B$5))</f>
        <v>-0.34397238409858105</v>
      </c>
      <c r="J46" s="184">
        <f>2*(IF(Rules!$B$9=Rules!$E$9,SUM(HSD!J7:J14)+Rules!$B$5*HSD!J15+HSD!J39,SUM(HS!J7:J14)+Rules!$B$5*HS!J15+HS!J39)/(9+Rules!$B$5))</f>
        <v>-0.51825701717610007</v>
      </c>
      <c r="K46" s="186">
        <f>2*(IF(Rules!$B$9=Rules!$E$9,SUM(HSD!K7:K14)+Rules!$B$5*HSD!K15+HSD!K39,SUM(HS!K7:K14)+Rules!$B$5*HS!K15+HS!K39)/(9+Rules!$B$5))</f>
        <v>-0.61756074878418332</v>
      </c>
    </row>
    <row r="47" spans="1:11" x14ac:dyDescent="0.2">
      <c r="A47" s="192">
        <v>6</v>
      </c>
      <c r="B47" s="185">
        <f>2*(IF(Rules!$B$9=Rules!$E$9,SUM(HSD!B8:B15)+Rules!$B$5*HSD!B16+HSD!B40,SUM(HS!B8:B15)+Rules!$B$5*HS!B16+HS!B40)/(9+Rules!$B$5))</f>
        <v>-0.60829326195139866</v>
      </c>
      <c r="C47" s="184">
        <f>2*(IF(Rules!$B$9=Rules!$E$9,SUM(HSD!C8:C15)+Rules!$B$5*HSD!C16+HSD!C40,SUM(HS!C8:C15)+Rules!$B$5*HS!C16+HS!C40)/(9+Rules!$B$5))</f>
        <v>-0.21863675917925621</v>
      </c>
      <c r="D47" s="184">
        <f>2*(IF(Rules!$B$9=Rules!$E$9,SUM(HSD!D8:D15)+Rules!$B$5*HSD!D16+HSD!D40,SUM(HS!D8:D15)+Rules!$B$5*HS!D16+HS!D40)/(9+Rules!$B$5))</f>
        <v>-0.13667841243230397</v>
      </c>
      <c r="E47" s="184">
        <f>2*(IF(Rules!$B$9=Rules!$E$9,SUM(HSD!E8:E15)+Rules!$B$5*HSD!E16+HSD!E40,SUM(HS!E8:E15)+Rules!$B$5*HS!E16+HS!E40)/(9+Rules!$B$5))</f>
        <v>-4.9559710729696275E-2</v>
      </c>
      <c r="F47" s="184">
        <f>2*(IF(Rules!$B$9=Rules!$E$9,SUM(HSD!F8:F15)+Rules!$B$5*HSD!F16+HSD!F40,SUM(HS!F8:F15)+Rules!$B$5*HS!F16+HS!F40)/(9+Rules!$B$5))</f>
        <v>4.3986900993555816E-2</v>
      </c>
      <c r="G47" s="184">
        <f>2*(IF(Rules!$B$9=Rules!$E$9,SUM(HSD!G8:G15)+Rules!$B$5*HSD!G16+HSD!G40,SUM(HS!G8:G15)+Rules!$B$5*HS!G16+HS!G40)/(9+Rules!$B$5))</f>
        <v>0.10792266460833698</v>
      </c>
      <c r="H47" s="184">
        <f>2*(IF(Rules!$B$9=Rules!$E$9,SUM(HSD!H8:H15)+Rules!$B$5*HSD!H16+HSD!H40,SUM(HS!H8:H15)+Rules!$B$5*HS!H16+HS!H40)/(9+Rules!$B$5))</f>
        <v>-0.25675069621437913</v>
      </c>
      <c r="I47" s="184">
        <f>2*(IF(Rules!$B$9=Rules!$E$9,SUM(HSD!I8:I15)+Rules!$B$5*HSD!I16+HSD!I40,SUM(HS!I8:I15)+Rules!$B$5*HS!I16+HS!I40)/(9+Rules!$B$5))</f>
        <v>-0.40226953893378015</v>
      </c>
      <c r="J47" s="184">
        <f>2*(IF(Rules!$B$9=Rules!$E$9,SUM(HSD!J8:J15)+Rules!$B$5*HSD!J16+HSD!J40,SUM(HS!J8:J15)+Rules!$B$5*HS!J16+HS!J40)/(9+Rules!$B$5))</f>
        <v>-0.57030831085563405</v>
      </c>
      <c r="K47" s="186">
        <f>2*(IF(Rules!$B$9=Rules!$E$9,SUM(HSD!K8:K15)+Rules!$B$5*HSD!K16+HSD!K40,SUM(HS!K8:K15)+Rules!$B$5*HS!K16+HS!K40)/(9+Rules!$B$5))</f>
        <v>-0.66623634281105726</v>
      </c>
    </row>
    <row r="48" spans="1:11" x14ac:dyDescent="0.2">
      <c r="A48" s="192">
        <v>7</v>
      </c>
      <c r="B48" s="185">
        <f>2*(IF(Rules!$B$9=Rules!$E$9,SUM(HSD!B9:B16)+Rules!$B$5*HSD!B17+HSD!B41,SUM(HS!B9:B16)+Rules!$B$5*HS!B17+HS!B41)/(9+Rules!$B$5))</f>
        <v>-0.62014330066327394</v>
      </c>
      <c r="C48" s="184">
        <f>2*(IF(Rules!$B$9=Rules!$E$9,SUM(HSD!C9:C16)+Rules!$B$5*HSD!C17+HSD!C41,SUM(HS!C9:C16)+Rules!$B$5*HS!C17+HS!C41)/(9+Rules!$B$5))</f>
        <v>-0.1554853799924491</v>
      </c>
      <c r="D48" s="184">
        <f>2*(IF(Rules!$B$9=Rules!$E$9,SUM(HSD!D9:D16)+Rules!$B$5*HSD!D17+HSD!D41,SUM(HS!D9:D16)+Rules!$B$5*HS!D17+HS!D41)/(9+Rules!$B$5))</f>
        <v>-7.4766650789560851E-2</v>
      </c>
      <c r="E48" s="184">
        <f>2*(IF(Rules!$B$9=Rules!$E$9,SUM(HSD!E9:E16)+Rules!$B$5*HSD!E17+HSD!E41,SUM(HS!E9:E16)+Rules!$B$5*HS!E17+HS!E41)/(9+Rules!$B$5))</f>
        <v>1.0511467456082583E-2</v>
      </c>
      <c r="F48" s="184">
        <f>2*(IF(Rules!$B$9=Rules!$E$9,SUM(HSD!F9:F16)+Rules!$B$5*HSD!F17+HSD!F41,SUM(HS!F9:F16)+Rules!$B$5*HS!F17+HS!F41)/(9+Rules!$B$5))</f>
        <v>9.9964621687930175E-2</v>
      </c>
      <c r="G48" s="184">
        <f>2*(IF(Rules!$B$9=Rules!$E$9,SUM(HSD!G9:G16)+Rules!$B$5*HSD!G17+HSD!G41,SUM(HS!G9:G16)+Rules!$B$5*HS!G17+HS!G41)/(9+Rules!$B$5))</f>
        <v>0.18769123920448363</v>
      </c>
      <c r="H48" s="184">
        <f>2*(IF(Rules!$B$9=Rules!$E$9,SUM(HSD!H9:H16)+Rules!$B$5*HSD!H17+HSD!H41,SUM(HS!H9:H16)+Rules!$B$5*HS!H17+HS!H41)/(9+Rules!$B$5))</f>
        <v>-9.0500880901835723E-2</v>
      </c>
      <c r="I48" s="184">
        <f>2*(IF(Rules!$B$9=Rules!$E$9,SUM(HSD!I9:I16)+Rules!$B$5*HSD!I17+HSD!I41,SUM(HS!I9:I16)+Rules!$B$5*HS!I17+HS!I41)/(9+Rules!$B$5))</f>
        <v>-0.38899531374091001</v>
      </c>
      <c r="J48" s="184">
        <f>2*(IF(Rules!$B$9=Rules!$E$9,SUM(HSD!J9:J16)+Rules!$B$5*HSD!J17+HSD!J41,SUM(HS!J9:J16)+Rules!$B$5*HS!J17+HS!J41)/(9+Rules!$B$5))</f>
        <v>-0.55575779143393522</v>
      </c>
      <c r="K48" s="186">
        <f>2*(IF(Rules!$B$9=Rules!$E$9,SUM(HSD!K9:K16)+Rules!$B$5*HSD!K17+HSD!K41,SUM(HS!K9:K16)+Rules!$B$5*HS!K17+HS!K41)/(9+Rules!$B$5))</f>
        <v>-0.62884704485091814</v>
      </c>
    </row>
    <row r="49" spans="1:11" x14ac:dyDescent="0.2">
      <c r="A49" s="192">
        <v>8</v>
      </c>
      <c r="B49" s="185">
        <f>2*(IF(Rules!$B$9=Rules!$E$9,SUM(HSD!B10:B17)+Rules!$B$5*HSD!B18+HSD!B42,SUM(HS!B10:B17)+Rules!$B$5*HS!B18+HS!B42)/(9+Rules!$B$5))</f>
        <v>-0.39405762114832721</v>
      </c>
      <c r="C49" s="184">
        <f>2*(IF(Rules!$B$9=Rules!$E$9,SUM(HSD!C10:C17)+Rules!$B$5*HSD!C18+HSD!C42,SUM(HS!C10:C17)+Rules!$B$5*HS!C18+HS!C42)/(9+Rules!$B$5))</f>
        <v>1.9285099723172237E-2</v>
      </c>
      <c r="D49" s="184">
        <f>2*(IF(Rules!$B$9=Rules!$E$9,SUM(HSD!D10:D17)+Rules!$B$5*HSD!D18+HSD!D42,SUM(HS!D10:D17)+Rules!$B$5*HS!D18+HS!D42)/(9+Rules!$B$5))</f>
        <v>8.688786047625327E-2</v>
      </c>
      <c r="E49" s="184">
        <f>2*(IF(Rules!$B$9=Rules!$E$9,SUM(HSD!E10:E17)+Rules!$B$5*HSD!E18+HSD!E42,SUM(HS!E10:E17)+Rules!$B$5*HS!E18+HS!E42)/(9+Rules!$B$5))</f>
        <v>0.15656746918613532</v>
      </c>
      <c r="F49" s="184">
        <f>2*(IF(Rules!$B$9=Rules!$E$9,SUM(HSD!F10:F17)+Rules!$B$5*HSD!F18+HSD!F42,SUM(HS!F10:F17)+Rules!$B$5*HS!F18+HS!F42)/(9+Rules!$B$5))</f>
        <v>0.22831820480547502</v>
      </c>
      <c r="G49" s="184">
        <f>2*(IF(Rules!$B$9=Rules!$E$9,SUM(HSD!G10:G17)+Rules!$B$5*HSD!G18+HSD!G42,SUM(HS!G10:G17)+Rules!$B$5*HS!G18+HS!G42)/(9+Rules!$B$5))</f>
        <v>0.32553339738516479</v>
      </c>
      <c r="H49" s="184">
        <f>2*(IF(Rules!$B$9=Rules!$E$9,SUM(HSD!H10:H17)+Rules!$B$5*HSD!H18+HSD!H42,SUM(HS!H10:H17)+Rules!$B$5*HS!H18+HS!H42)/(9+Rules!$B$5))</f>
        <v>0.21152959698650559</v>
      </c>
      <c r="I49" s="184">
        <f>2*(IF(Rules!$B$9=Rules!$E$9,SUM(HSD!I10:I17)+Rules!$B$5*HSD!I18+HSD!I42,SUM(HS!I10:I17)+Rules!$B$5*HS!I18+HS!I42)/(9+Rules!$B$5))</f>
        <v>-8.7582327609523197E-2</v>
      </c>
      <c r="J49" s="184">
        <f>2*(IF(Rules!$B$9=Rules!$E$9,SUM(HSD!J10:J17)+Rules!$B$5*HSD!J18+HSD!J42,SUM(HS!J10:J17)+Rules!$B$5*HS!J18+HS!J42)/(9+Rules!$B$5))</f>
        <v>-0.40539957445661723</v>
      </c>
      <c r="K49" s="186">
        <f>2*(IF(Rules!$B$9=Rules!$E$9,SUM(HSD!K10:K17)+Rules!$B$5*HSD!K18+HSD!K42,SUM(HS!K10:K17)+Rules!$B$5*HS!K18+HS!K42)/(9+Rules!$B$5))</f>
        <v>-0.48948762316092631</v>
      </c>
    </row>
    <row r="50" spans="1:11" x14ac:dyDescent="0.2">
      <c r="A50" s="192">
        <v>9</v>
      </c>
      <c r="B50" s="185">
        <f>2*(IF(Rules!$B$9=Rules!$E$9,SUM(HSD!B11:B18)+Rules!$B$5*HSD!B19+HSD!B43,SUM(HS!B11:B18)+Rules!$B$5*HS!B19+HS!B43)/(9+Rules!$B$5))</f>
        <v>-0.13136155755613241</v>
      </c>
      <c r="C50" s="184">
        <f>2*(IF(Rules!$B$9=Rules!$E$9,SUM(HSD!C11:C18)+Rules!$B$5*HSD!C19+HSD!C43,SUM(HS!C11:C18)+Rules!$B$5*HS!C19+HS!C43)/(9+Rules!$B$5))</f>
        <v>0.18462902498065631</v>
      </c>
      <c r="D50" s="184">
        <f>2*(IF(Rules!$B$9=Rules!$E$9,SUM(HSD!D11:D18)+Rules!$B$5*HSD!D19+HSD!D43,SUM(HS!D11:D18)+Rules!$B$5*HS!D19+HS!D43)/(9+Rules!$B$5))</f>
        <v>0.24214017052931303</v>
      </c>
      <c r="E50" s="184">
        <f>2*(IF(Rules!$B$9=Rules!$E$9,SUM(HSD!E11:E18)+Rules!$B$5*HSD!E19+HSD!E43,SUM(HS!E11:E18)+Rules!$B$5*HS!E19+HS!E43)/(9+Rules!$B$5))</f>
        <v>0.30150334319286637</v>
      </c>
      <c r="F50" s="184">
        <f>2*(IF(Rules!$B$9=Rules!$E$9,SUM(HSD!F11:F18)+Rules!$B$5*HSD!F19+HSD!F43,SUM(HS!F11:F18)+Rules!$B$5*HS!F19+HS!F43)/(9+Rules!$B$5))</f>
        <v>0.36334825237219065</v>
      </c>
      <c r="G50" s="184">
        <f>2*(IF(Rules!$B$9=Rules!$E$9,SUM(HSD!G11:G18)+Rules!$B$5*HSD!G19+HSD!G43,SUM(HS!G11:G18)+Rules!$B$5*HS!G19+HS!G43)/(9+Rules!$B$5))</f>
        <v>0.44337460889206287</v>
      </c>
      <c r="H50" s="184">
        <f>2*(IF(Rules!$B$9=Rules!$E$9,SUM(HSD!H11:H18)+Rules!$B$5*HSD!H19+HSD!H43,SUM(HS!H11:H18)+Rules!$B$5*HS!H19+HS!H43)/(9+Rules!$B$5))</f>
        <v>0.37000371337194804</v>
      </c>
      <c r="I50" s="184">
        <f>2*(IF(Rules!$B$9=Rules!$E$9,SUM(HSD!I11:I18)+Rules!$B$5*HSD!I19+HSD!I43,SUM(HS!I11:I18)+Rules!$B$5*HS!I19+HS!I43)/(9+Rules!$B$5))</f>
        <v>0.21532327264714252</v>
      </c>
      <c r="J50" s="184">
        <f>2*(IF(Rules!$B$9=Rules!$E$9,SUM(HSD!J11:J18)+Rules!$B$5*HSD!J19+HSD!J43,SUM(HS!J11:J18)+Rules!$B$5*HS!J19+HS!J43)/(9+Rules!$B$5))</f>
        <v>-9.3659752356483508E-2</v>
      </c>
      <c r="K50" s="186">
        <f>2*(IF(Rules!$B$9=Rules!$E$9,SUM(HSD!K11:K18)+Rules!$B$5*HSD!K19+HSD!K43,SUM(HS!K11:K18)+Rules!$B$5*HS!K19+HS!K43)/(9+Rules!$B$5))</f>
        <v>-0.29664343180334263</v>
      </c>
    </row>
    <row r="51" spans="1:11" ht="17" thickBot="1" x14ac:dyDescent="0.25">
      <c r="A51" s="193">
        <v>10</v>
      </c>
      <c r="B51" s="187">
        <f>2*(IF(Rules!$B$9=Rules!$E$9,SUM(HSD!B12:B19)+Rules!$B$5*HSD!B20+HSD!B44,SUM(HS!B12:B19)+Rules!$B$5*HS!B20+HS!B44)/(9+Rules!$B$5))</f>
        <v>0.16289941589055185</v>
      </c>
      <c r="C51" s="188">
        <f>2*(IF(Rules!$B$9=Rules!$E$9,SUM(HSD!C12:C19)+Rules!$B$5*HSD!C20+HSD!C44,SUM(HS!C12:C19)+Rules!$B$5*HS!C20+HS!C44)/(9+Rules!$B$5))</f>
        <v>0.36499998801808975</v>
      </c>
      <c r="D51" s="188">
        <f>2*(IF(Rules!$B$9=Rules!$E$9,SUM(HSD!D12:D19)+Rules!$B$5*HSD!D20+HSD!D44,SUM(HS!D12:D19)+Rules!$B$5*HS!D20+HS!D44)/(9+Rules!$B$5))</f>
        <v>0.41217595162788179</v>
      </c>
      <c r="E51" s="188">
        <f>2*(IF(Rules!$B$9=Rules!$E$9,SUM(HSD!E12:E19)+Rules!$B$5*HSD!E20+HSD!E44,SUM(HS!E12:E19)+Rules!$B$5*HS!E20+HS!E44)/(9+Rules!$B$5))</f>
        <v>0.460940243794354</v>
      </c>
      <c r="F51" s="188">
        <f>2*(IF(Rules!$B$9=Rules!$E$9,SUM(HSD!F12:F19)+Rules!$B$5*HSD!F20+HSD!F44,SUM(HS!F12:F19)+Rules!$B$5*HS!F20+HS!F44)/(9+Rules!$B$5))</f>
        <v>0.51251710900326775</v>
      </c>
      <c r="G51" s="188">
        <f>2*(IF(Rules!$B$9=Rules!$E$9,SUM(HSD!G12:G19)+Rules!$B$5*HSD!G20+HSD!G44,SUM(HS!G12:G19)+Rules!$B$5*HS!G20+HS!G44)/(9+Rules!$B$5))</f>
        <v>0.57559016859776857</v>
      </c>
      <c r="H51" s="188">
        <f>2*(IF(Rules!$B$9=Rules!$E$9,SUM(HSD!H12:H19)+Rules!$B$5*HSD!H20+HSD!H44,SUM(HS!H12:H19)+Rules!$B$5*HS!H20+HS!H44)/(9+Rules!$B$5))</f>
        <v>0.51381748867217314</v>
      </c>
      <c r="I51" s="188">
        <f>2*(IF(Rules!$B$9=Rules!$E$9,SUM(HSD!I12:I19)+Rules!$B$5*HSD!I20+HSD!I44,SUM(HS!I12:I19)+Rules!$B$5*HS!I20+HS!I44)/(9+Rules!$B$5))</f>
        <v>0.39590741666395218</v>
      </c>
      <c r="J51" s="188">
        <f>2*(IF(Rules!$B$9=Rules!$E$9,SUM(HSD!J12:J19)+Rules!$B$5*HSD!J20+HSD!J44,SUM(HS!J12:J19)+Rules!$B$5*HS!J20+HS!J44)/(9+Rules!$B$5))</f>
        <v>0.2330591821385678</v>
      </c>
      <c r="K51" s="189">
        <f>2*(IF(Rules!$B$9=Rules!$E$9,SUM(HSD!K12:K19)+Rules!$B$5*HSD!K20+HSD!K44,SUM(HS!K12:K19)+Rules!$B$5*HS!K20+HS!K44)/(9+Rules!$B$5))</f>
        <v>5.061704608173629E-2</v>
      </c>
    </row>
    <row r="53" spans="1:11" x14ac:dyDescent="0.2">
      <c r="A53" s="1" t="s">
        <v>7</v>
      </c>
      <c r="B53" s="1">
        <v>1</v>
      </c>
      <c r="C53" s="1">
        <v>2</v>
      </c>
      <c r="D53" s="1">
        <v>3</v>
      </c>
      <c r="E53" s="1">
        <v>4</v>
      </c>
      <c r="F53" s="1">
        <v>5</v>
      </c>
      <c r="G53" s="1">
        <v>6</v>
      </c>
      <c r="H53" s="1">
        <v>7</v>
      </c>
      <c r="I53" s="1">
        <v>8</v>
      </c>
      <c r="J53" s="1">
        <v>9</v>
      </c>
      <c r="K53" s="1">
        <v>10</v>
      </c>
    </row>
    <row r="54" spans="1:11" x14ac:dyDescent="0.2">
      <c r="A54" s="1">
        <v>1</v>
      </c>
      <c r="B54" s="1">
        <f>MAX(IF(Rules!$B$17=2,B42,IF(Rules!$B$17=3,B29,IF(Rules!$B$17=4,B16,B3))),HSDR!B35)</f>
        <v>0.10906077977909699</v>
      </c>
      <c r="C54" s="1">
        <f>MAX(IF(Rules!$B$17=2,C42,IF(Rules!$B$17=3,C29,IF(Rules!$B$17=4,C16,C3))),HSDR!C35)</f>
        <v>0.47064092333946894</v>
      </c>
      <c r="D54" s="1">
        <f>MAX(IF(Rules!$B$17=2,D42,IF(Rules!$B$17=3,D29,IF(Rules!$B$17=4,D16,D3))),HSDR!D35)</f>
        <v>0.51779525312221664</v>
      </c>
      <c r="E54" s="1">
        <f>MAX(IF(Rules!$B$17=2,E42,IF(Rules!$B$17=3,E29,IF(Rules!$B$17=4,E16,E3))),HSDR!E35)</f>
        <v>0.56604055041797596</v>
      </c>
      <c r="F54" s="1">
        <f>MAX(IF(Rules!$B$17=2,F42,IF(Rules!$B$17=3,F29,IF(Rules!$B$17=4,F16,F3))),HSDR!F35)</f>
        <v>0.61469901790902803</v>
      </c>
      <c r="G54" s="1">
        <f>MAX(IF(Rules!$B$17=2,G42,IF(Rules!$B$17=3,G29,IF(Rules!$B$17=4,G16,G3))),HSDR!G35)</f>
        <v>0.66738009490756944</v>
      </c>
      <c r="H54" s="1">
        <f>MAX(IF(Rules!$B$17=2,H42,IF(Rules!$B$17=3,H29,IF(Rules!$B$17=4,H16,H3))),HSDR!H35)</f>
        <v>0.46288894886429088</v>
      </c>
      <c r="I54" s="1">
        <f>MAX(IF(Rules!$B$17=2,I42,IF(Rules!$B$17=3,I29,IF(Rules!$B$17=4,I16,I3))),HSDR!I35)</f>
        <v>0.35069259087031512</v>
      </c>
      <c r="J54" s="1">
        <f>MAX(IF(Rules!$B$17=2,J42,IF(Rules!$B$17=3,J29,IF(Rules!$B$17=4,J16,J3))),HSDR!J35)</f>
        <v>0.22778342315245487</v>
      </c>
      <c r="K54" s="1">
        <f>MAX(IF(Rules!$B$17=2,K42,IF(Rules!$B$17=3,K29,IF(Rules!$B$17=4,K16,K3))),HSDR!K35)</f>
        <v>0.17968872741114625</v>
      </c>
    </row>
    <row r="55" spans="1:11" x14ac:dyDescent="0.2">
      <c r="A55" s="1">
        <v>2</v>
      </c>
      <c r="B55" s="1">
        <f>MAX(IF(Rules!$B$11=2,B43,IF(Rules!$B$11=3,B30,IF(Rules!$B$11=4,B17,B4))),HSDR!B4)</f>
        <v>-0.25307699440390863</v>
      </c>
      <c r="C55" s="1">
        <f>MAX(IF(Rules!$B$11=2,C43,IF(Rules!$B$11=3,C30,IF(Rules!$B$11=4,C17,C4))),HSDR!C4)</f>
        <v>-8.4267225502711041E-2</v>
      </c>
      <c r="D55" s="1">
        <f>MAX(IF(Rules!$B$11=2,D43,IF(Rules!$B$11=3,D30,IF(Rules!$B$11=4,D17,D4))),HSDR!D4)</f>
        <v>-1.5498287197501173E-2</v>
      </c>
      <c r="E55" s="1">
        <f>MAX(IF(Rules!$B$11=2,E43,IF(Rules!$B$11=3,E30,IF(Rules!$B$11=4,E17,E4))),HSDR!E4)</f>
        <v>5.9333738978653974E-2</v>
      </c>
      <c r="F55" s="1">
        <f>MAX(IF(Rules!$B$11=2,F43,IF(Rules!$B$11=3,F30,IF(Rules!$B$11=4,F17,F4))),HSDR!F4)</f>
        <v>0.15203616947891799</v>
      </c>
      <c r="G55" s="1">
        <f>MAX(IF(Rules!$B$11=2,G43,IF(Rules!$B$11=3,G30,IF(Rules!$B$11=4,G17,G4))),HSDR!G4)</f>
        <v>0.22737886696191317</v>
      </c>
      <c r="H55" s="1">
        <f>MAX(IF(Rules!$B$11=2,H43,IF(Rules!$B$11=3,H30,IF(Rules!$B$11=4,H17,H4))),HSDR!H4)</f>
        <v>6.958050045595748E-3</v>
      </c>
      <c r="I55" s="1">
        <f>MAX(IF(Rules!$B$11=2,I43,IF(Rules!$B$11=3,I30,IF(Rules!$B$11=4,I17,I4))),HSDR!I4)</f>
        <v>-0.15933415266020512</v>
      </c>
      <c r="J55" s="1">
        <f>MAX(IF(Rules!$B$11=2,J43,IF(Rules!$B$11=3,J30,IF(Rules!$B$11=4,J17,J4))),HSDR!J4)</f>
        <v>-0.24066617915336547</v>
      </c>
      <c r="K55" s="1">
        <f>MAX(IF(Rules!$B$11=2,K43,IF(Rules!$B$11=3,K30,IF(Rules!$B$11=4,K17,K4))),HSDR!K4)</f>
        <v>-0.28919791448567511</v>
      </c>
    </row>
    <row r="56" spans="1:11" x14ac:dyDescent="0.2">
      <c r="A56" s="1">
        <v>3</v>
      </c>
      <c r="B56" s="1">
        <f>MAX(IF(Rules!$B$11=2,B44,IF(Rules!$B$11=3,B31,IF(Rules!$B$11=4,B18,B5))),HSDR!B6)</f>
        <v>-0.30414663097569933</v>
      </c>
      <c r="C56" s="1">
        <f>MAX(IF(Rules!$B$11=2,C44,IF(Rules!$B$11=3,C31,IF(Rules!$B$11=4,C18,C5))),HSDR!C6)</f>
        <v>-0.13992944417761496</v>
      </c>
      <c r="D56" s="1">
        <f>MAX(IF(Rules!$B$11=2,D44,IF(Rules!$B$11=3,D31,IF(Rules!$B$11=4,D18,D5))),HSDR!D6)</f>
        <v>-5.8284696427541714E-2</v>
      </c>
      <c r="E56" s="1">
        <f>MAX(IF(Rules!$B$11=2,E44,IF(Rules!$B$11=3,E31,IF(Rules!$B$11=4,E18,E5))),HSDR!E6)</f>
        <v>2.8134517976885209E-2</v>
      </c>
      <c r="F56" s="1">
        <f>MAX(IF(Rules!$B$11=2,F44,IF(Rules!$B$11=3,F31,IF(Rules!$B$11=4,F18,F5))),HSDR!F6)</f>
        <v>0.12470784634060185</v>
      </c>
      <c r="G56" s="1">
        <f>MAX(IF(Rules!$B$11=2,G44,IF(Rules!$B$11=3,G31,IF(Rules!$B$11=4,G18,G5))),HSDR!G6)</f>
        <v>0.19970541230483627</v>
      </c>
      <c r="H56" s="1">
        <f>MAX(IF(Rules!$B$11=2,H44,IF(Rules!$B$11=3,H31,IF(Rules!$B$11=4,H18,H5))),HSDR!H6)</f>
        <v>-5.8585254727766593E-2</v>
      </c>
      <c r="I56" s="1">
        <f>MAX(IF(Rules!$B$11=2,I44,IF(Rules!$B$11=3,I31,IF(Rules!$B$11=4,I18,I5))),HSDR!I6)</f>
        <v>-0.21724188132078476</v>
      </c>
      <c r="J56" s="1">
        <f>MAX(IF(Rules!$B$11=2,J44,IF(Rules!$B$11=3,J31,IF(Rules!$B$11=4,J18,J5))),HSDR!J6)</f>
        <v>-0.29264070019772598</v>
      </c>
      <c r="K56" s="1">
        <f>MAX(IF(Rules!$B$11=2,K44,IF(Rules!$B$11=3,K31,IF(Rules!$B$11=4,K18,K5))),HSDR!K6)</f>
        <v>-0.33774944037840804</v>
      </c>
    </row>
    <row r="57" spans="1:11" x14ac:dyDescent="0.2">
      <c r="A57" s="1">
        <v>4</v>
      </c>
      <c r="B57" s="1">
        <f>MAX(IF(Rules!$B$11=2,B45,IF(Rules!$B$11=3,B32,IF(Rules!$B$11=4,B19,B6))),HSDR!B8)</f>
        <v>-0.1970288105741636</v>
      </c>
      <c r="C57" s="1">
        <f>MAX(IF(Rules!$B$11=2,C45,IF(Rules!$B$11=3,C32,IF(Rules!$B$11=4,C19,C6))),HSDR!C8)</f>
        <v>-2.1798188008805668E-2</v>
      </c>
      <c r="D57" s="1">
        <f>MAX(IF(Rules!$B$11=2,D45,IF(Rules!$B$11=3,D32,IF(Rules!$B$11=4,D19,D6))),HSDR!D8)</f>
        <v>8.0052625306546825E-3</v>
      </c>
      <c r="E57" s="1">
        <f>MAX(IF(Rules!$B$11=2,E45,IF(Rules!$B$11=3,E32,IF(Rules!$B$11=4,E19,E6))),HSDR!E8)</f>
        <v>3.8784473277208811E-2</v>
      </c>
      <c r="F57" s="1">
        <f>MAX(IF(Rules!$B$11=2,F45,IF(Rules!$B$11=3,F32,IF(Rules!$B$11=4,F19,F6))),HSDR!F8)</f>
        <v>0.10070528937626665</v>
      </c>
      <c r="G57" s="1">
        <f>MAX(IF(Rules!$B$11=2,G45,IF(Rules!$B$11=3,G32,IF(Rules!$B$11=4,G19,G6))),HSDR!G8)</f>
        <v>0.17417494269127992</v>
      </c>
      <c r="H57" s="1">
        <f>MAX(IF(Rules!$B$11=2,H45,IF(Rules!$B$11=3,H32,IF(Rules!$B$11=4,H19,H6))),HSDR!H8)</f>
        <v>8.2207439363742862E-2</v>
      </c>
      <c r="I57" s="1">
        <f>MAX(IF(Rules!$B$11=2,I45,IF(Rules!$B$11=3,I32,IF(Rules!$B$11=4,I19,I6))),HSDR!I8)</f>
        <v>-5.9898275658656304E-2</v>
      </c>
      <c r="J57" s="1">
        <f>MAX(IF(Rules!$B$11=2,J45,IF(Rules!$B$11=3,J32,IF(Rules!$B$11=4,J19,J6))),HSDR!J8)</f>
        <v>-0.21018633199821757</v>
      </c>
      <c r="K57" s="1">
        <f>MAX(IF(Rules!$B$11=2,K45,IF(Rules!$B$11=3,K32,IF(Rules!$B$11=4,K19,K6))),HSDR!K8)</f>
        <v>-0.24937508055334259</v>
      </c>
    </row>
    <row r="58" spans="1:11" x14ac:dyDescent="0.2">
      <c r="A58" s="1">
        <v>5</v>
      </c>
      <c r="B58" s="1">
        <f>MAX(IF(Rules!$B$11=2,B46,IF(Rules!$B$11=3,B33,IF(Rules!$B$11=4,B20,B7))),HSDR!B10)</f>
        <v>8.1449707945275923E-2</v>
      </c>
      <c r="C58" s="1">
        <f>MAX(IF(Rules!$B$11=2,C46,IF(Rules!$B$11=3,C33,IF(Rules!$B$11=4,C20,C7))),HSDR!C10)</f>
        <v>0.3589394124422991</v>
      </c>
      <c r="D58" s="1">
        <f>MAX(IF(Rules!$B$11=2,D46,IF(Rules!$B$11=3,D33,IF(Rules!$B$11=4,D20,D7))),HSDR!D10)</f>
        <v>0.40932067017593915</v>
      </c>
      <c r="E58" s="1">
        <f>MAX(IF(Rules!$B$11=2,E46,IF(Rules!$B$11=3,E33,IF(Rules!$B$11=4,E20,E7))),HSDR!E10)</f>
        <v>0.460940243794354</v>
      </c>
      <c r="F58" s="1">
        <f>MAX(IF(Rules!$B$11=2,F46,IF(Rules!$B$11=3,F33,IF(Rules!$B$11=4,F20,F7))),HSDR!F10)</f>
        <v>0.51251710900326775</v>
      </c>
      <c r="G58" s="1">
        <f>MAX(IF(Rules!$B$11=2,G46,IF(Rules!$B$11=3,G33,IF(Rules!$B$11=4,G20,G7))),HSDR!G10)</f>
        <v>0.57559016859776857</v>
      </c>
      <c r="H58" s="1">
        <f>MAX(IF(Rules!$B$11=2,H46,IF(Rules!$B$11=3,H33,IF(Rules!$B$11=4,H20,H7))),HSDR!H10)</f>
        <v>0.39241245528243773</v>
      </c>
      <c r="I58" s="1">
        <f>MAX(IF(Rules!$B$11=2,I46,IF(Rules!$B$11=3,I33,IF(Rules!$B$11=4,I20,I7))),HSDR!I10)</f>
        <v>0.28663571688628381</v>
      </c>
      <c r="J58" s="1">
        <f>MAX(IF(Rules!$B$11=2,J46,IF(Rules!$B$11=3,J33,IF(Rules!$B$11=4,J20,J7))),HSDR!J10)</f>
        <v>0.1443283683807712</v>
      </c>
      <c r="K58" s="1">
        <f>MAX(IF(Rules!$B$11=2,K46,IF(Rules!$B$11=3,K33,IF(Rules!$B$11=4,K20,K7))),HSDR!K10)</f>
        <v>2.5308523040868145E-2</v>
      </c>
    </row>
    <row r="59" spans="1:11" x14ac:dyDescent="0.2">
      <c r="A59" s="1">
        <v>6</v>
      </c>
      <c r="B59" s="1">
        <f>MAX(IF(Rules!$B$11=2,B47,IF(Rules!$B$11=3,B34,IF(Rules!$B$11=4,B21,B8))),HSDR!B12)</f>
        <v>-0.35054034044008009</v>
      </c>
      <c r="C59" s="1">
        <f>MAX(IF(Rules!$B$11=2,C47,IF(Rules!$B$11=3,C34,IF(Rules!$B$11=4,C21,C8))),HSDR!C12)</f>
        <v>-0.25338998596663809</v>
      </c>
      <c r="D59" s="1">
        <f>MAX(IF(Rules!$B$11=2,D47,IF(Rules!$B$11=3,D34,IF(Rules!$B$11=4,D21,D8))),HSDR!D12)</f>
        <v>-0.16236190502927889</v>
      </c>
      <c r="E59" s="1">
        <f>MAX(IF(Rules!$B$11=2,E47,IF(Rules!$B$11=3,E34,IF(Rules!$B$11=4,E21,E8))),HSDR!E12)</f>
        <v>-6.5242110257549266E-2</v>
      </c>
      <c r="F59" s="1">
        <f>MAX(IF(Rules!$B$11=2,F47,IF(Rules!$B$11=3,F34,IF(Rules!$B$11=4,F21,F8))),HSDR!F12)</f>
        <v>3.9226356320867399E-2</v>
      </c>
      <c r="G59" s="1">
        <f>MAX(IF(Rules!$B$11=2,G47,IF(Rules!$B$11=3,G34,IF(Rules!$B$11=4,G21,G8))),HSDR!G12)</f>
        <v>0.10667340682942227</v>
      </c>
      <c r="H59" s="1">
        <f>MAX(IF(Rules!$B$11=2,H47,IF(Rules!$B$11=3,H34,IF(Rules!$B$11=4,H21,H8))),HSDR!H12)</f>
        <v>-0.21284771451731424</v>
      </c>
      <c r="I59" s="1">
        <f>MAX(IF(Rules!$B$11=2,I47,IF(Rules!$B$11=3,I34,IF(Rules!$B$11=4,I21,I8))),HSDR!I12)</f>
        <v>-0.27157480502428616</v>
      </c>
      <c r="J59" s="1">
        <f>MAX(IF(Rules!$B$11=2,J47,IF(Rules!$B$11=3,J34,IF(Rules!$B$11=4,J21,J8))),HSDR!J12)</f>
        <v>-0.3400132806089356</v>
      </c>
      <c r="K59" s="1">
        <f>MAX(IF(Rules!$B$11=2,K47,IF(Rules!$B$11=3,K34,IF(Rules!$B$11=4,K21,K8))),HSDR!K12)</f>
        <v>-0.38104299284808768</v>
      </c>
    </row>
    <row r="60" spans="1:11" x14ac:dyDescent="0.2">
      <c r="A60" s="1">
        <v>7</v>
      </c>
      <c r="B60" s="1">
        <f>MAX(IF(Rules!$B$11=2,B48,IF(Rules!$B$11=3,B35,IF(Rules!$B$11=4,B22,B9))),HSDR!B14)</f>
        <v>-0.44000672211415065</v>
      </c>
      <c r="C60" s="1">
        <f>MAX(IF(Rules!$B$11=2,C48,IF(Rules!$B$11=3,C35,IF(Rules!$B$11=4,C22,C9))),HSDR!C14)</f>
        <v>-0.1963016079632402</v>
      </c>
      <c r="D60" s="1">
        <f>MAX(IF(Rules!$B$11=2,D48,IF(Rules!$B$11=3,D35,IF(Rules!$B$11=4,D22,D9))),HSDR!D14)</f>
        <v>-0.10948552726048816</v>
      </c>
      <c r="E60" s="1">
        <f>MAX(IF(Rules!$B$11=2,E48,IF(Rules!$B$11=3,E35,IF(Rules!$B$11=4,E22,E9))),HSDR!E14)</f>
        <v>-1.9921218921965758E-2</v>
      </c>
      <c r="F60" s="1">
        <f>MAX(IF(Rules!$B$11=2,F48,IF(Rules!$B$11=3,F35,IF(Rules!$B$11=4,F22,F9))),HSDR!F14)</f>
        <v>7.4563567868088848E-2</v>
      </c>
      <c r="G60" s="1">
        <f>MAX(IF(Rules!$B$11=2,G48,IF(Rules!$B$11=3,G35,IF(Rules!$B$11=4,G22,G9))),HSDR!G14)</f>
        <v>0.16472730313989489</v>
      </c>
      <c r="H60" s="1">
        <f>MAX(IF(Rules!$B$11=2,H48,IF(Rules!$B$11=3,H35,IF(Rules!$B$11=4,H22,H9))),HSDR!H14)</f>
        <v>-0.13707521359511174</v>
      </c>
      <c r="I60" s="1">
        <f>MAX(IF(Rules!$B$11=2,I48,IF(Rules!$B$11=3,I35,IF(Rules!$B$11=4,I22,I9))),HSDR!I14)</f>
        <v>-0.37191909208726714</v>
      </c>
      <c r="J60" s="1">
        <f>MAX(IF(Rules!$B$11=2,J48,IF(Rules!$B$11=3,J35,IF(Rules!$B$11=4,J22,J9))),HSDR!J14)</f>
        <v>-0.43092981848423528</v>
      </c>
      <c r="K60" s="1">
        <f>MAX(IF(Rules!$B$11=2,K48,IF(Rules!$B$11=3,K35,IF(Rules!$B$11=4,K22,K9))),HSDR!K14)</f>
        <v>-0.46630747852717758</v>
      </c>
    </row>
    <row r="61" spans="1:11" x14ac:dyDescent="0.2">
      <c r="A61" s="1">
        <v>8</v>
      </c>
      <c r="B61" s="1">
        <f>MAX(IF(Rules!$B$11=2,B49,IF(Rules!$B$11=3,B36,IF(Rules!$B$11=4,B23,B10))),HSDR!B16)</f>
        <v>-0.47846720619452893</v>
      </c>
      <c r="C61" s="1">
        <f>MAX(IF(Rules!$B$11=2,C49,IF(Rules!$B$11=3,C36,IF(Rules!$B$11=4,C23,C10))),HSDR!C16)</f>
        <v>-4.10085652565544E-2</v>
      </c>
      <c r="D61" s="1">
        <f>MAX(IF(Rules!$B$11=2,D49,IF(Rules!$B$11=3,D36,IF(Rules!$B$11=4,D23,D10))),HSDR!D16)</f>
        <v>2.9651267038439212E-2</v>
      </c>
      <c r="E61" s="1">
        <f>MAX(IF(Rules!$B$11=2,E49,IF(Rules!$B$11=3,E36,IF(Rules!$B$11=4,E23,E10))),HSDR!E16)</f>
        <v>0.10253679913733912</v>
      </c>
      <c r="F61" s="1">
        <f>MAX(IF(Rules!$B$11=2,F49,IF(Rules!$B$11=3,F36,IF(Rules!$B$11=4,F23,F10))),HSDR!F16)</f>
        <v>0.17786869518456505</v>
      </c>
      <c r="G61" s="1">
        <f>MAX(IF(Rules!$B$11=2,G49,IF(Rules!$B$11=3,G36,IF(Rules!$B$11=4,G23,G10))),HSDR!G16)</f>
        <v>0.28114462143026464</v>
      </c>
      <c r="H61" s="1">
        <f>MAX(IF(Rules!$B$11=2,H49,IF(Rules!$B$11=3,H36,IF(Rules!$B$11=4,H23,H10))),HSDR!H16)</f>
        <v>0.17942021385705018</v>
      </c>
      <c r="I61" s="1">
        <f>MAX(IF(Rules!$B$11=2,I49,IF(Rules!$B$11=3,I36,IF(Rules!$B$11=4,I23,I10))),HSDR!I16)</f>
        <v>-0.15401156627741791</v>
      </c>
      <c r="J61" s="1">
        <f>MAX(IF(Rules!$B$11=2,J49,IF(Rules!$B$11=3,J36,IF(Rules!$B$11=4,J23,J10))),HSDR!J16)</f>
        <v>-0.5</v>
      </c>
      <c r="K61" s="1">
        <f>MAX(IF(Rules!$B$11=2,K49,IF(Rules!$B$11=3,K36,IF(Rules!$B$11=4,K23,K10))),HSDR!K16)</f>
        <v>-0.5</v>
      </c>
    </row>
    <row r="62" spans="1:11" x14ac:dyDescent="0.2">
      <c r="A62" s="1">
        <v>9</v>
      </c>
      <c r="B62" s="1">
        <f>MAX(IF(Rules!$B$11=2,B50,IF(Rules!$B$11=3,B37,IF(Rules!$B$11=4,B24,B11))),HSDR!B18)</f>
        <v>-0.10019887561319057</v>
      </c>
      <c r="C62" s="1">
        <f>MAX(IF(Rules!$B$11=2,C50,IF(Rules!$B$11=3,C37,IF(Rules!$B$11=4,C24,C11))),HSDR!C18)</f>
        <v>0.13385768207672508</v>
      </c>
      <c r="D62" s="1">
        <f>MAX(IF(Rules!$B$11=2,D50,IF(Rules!$B$11=3,D37,IF(Rules!$B$11=4,D24,D11))),HSDR!D18)</f>
        <v>0.19320731563116447</v>
      </c>
      <c r="E62" s="1">
        <f>MAX(IF(Rules!$B$11=2,E50,IF(Rules!$B$11=3,E37,IF(Rules!$B$11=4,E24,E11))),HSDR!E18)</f>
        <v>0.25454407563811315</v>
      </c>
      <c r="F62" s="1">
        <f>MAX(IF(Rules!$B$11=2,F50,IF(Rules!$B$11=3,F37,IF(Rules!$B$11=4,F24,F11))),HSDR!F18)</f>
        <v>0.31872977328281132</v>
      </c>
      <c r="G62" s="1">
        <f>MAX(IF(Rules!$B$11=2,G50,IF(Rules!$B$11=3,G37,IF(Rules!$B$11=4,G24,G11))),HSDR!G18)</f>
        <v>0.40361032143368897</v>
      </c>
      <c r="H62" s="1">
        <f>MAX(IF(Rules!$B$11=2,H50,IF(Rules!$B$11=3,H37,IF(Rules!$B$11=4,H24,H11))),HSDR!H18)</f>
        <v>0.3995541673365518</v>
      </c>
      <c r="I62" s="1">
        <f>MAX(IF(Rules!$B$11=2,I50,IF(Rules!$B$11=3,I37,IF(Rules!$B$11=4,I24,I11))),HSDR!I18)</f>
        <v>0.19129321615782191</v>
      </c>
      <c r="J62" s="1">
        <f>MAX(IF(Rules!$B$11=2,J50,IF(Rules!$B$11=3,J37,IF(Rules!$B$11=4,J24,J11))),HSDR!J18)</f>
        <v>-0.15072067108588086</v>
      </c>
      <c r="K62" s="1">
        <f>MAX(IF(Rules!$B$11=2,K50,IF(Rules!$B$11=3,K37,IF(Rules!$B$11=4,K24,K11))),HSDR!K18)</f>
        <v>-0.17830123379648949</v>
      </c>
    </row>
    <row r="63" spans="1:11" x14ac:dyDescent="0.2">
      <c r="A63" s="1">
        <v>10</v>
      </c>
      <c r="B63" s="1">
        <f>MAX(IF(Rules!$B$11=2,B51,IF(Rules!$B$11=3,B38,IF(Rules!$B$11=4,B25,B12))),HSDR!B20)</f>
        <v>0.65547032314990239</v>
      </c>
      <c r="C63" s="1">
        <f>MAX(IF(Rules!$B$11=2,C51,IF(Rules!$B$11=3,C38,IF(Rules!$B$11=4,C25,C12))),HSDR!C20)</f>
        <v>0.63998657521683877</v>
      </c>
      <c r="D63" s="1">
        <f>MAX(IF(Rules!$B$11=2,D51,IF(Rules!$B$11=3,D38,IF(Rules!$B$11=4,D25,D12))),HSDR!D20)</f>
        <v>0.65027209425148136</v>
      </c>
      <c r="E63" s="1">
        <f>MAX(IF(Rules!$B$11=2,E51,IF(Rules!$B$11=3,E38,IF(Rules!$B$11=4,E25,E12))),HSDR!E20)</f>
        <v>0.66104996194807186</v>
      </c>
      <c r="F63" s="1">
        <f>MAX(IF(Rules!$B$11=2,F51,IF(Rules!$B$11=3,F38,IF(Rules!$B$11=4,F25,F12))),HSDR!F20)</f>
        <v>0.67035969063279999</v>
      </c>
      <c r="G63" s="1">
        <f>MAX(IF(Rules!$B$11=2,G51,IF(Rules!$B$11=3,G38,IF(Rules!$B$11=4,G25,G12))),HSDR!G20)</f>
        <v>0.70504978713524302</v>
      </c>
      <c r="H63" s="1">
        <f>MAX(IF(Rules!$B$11=2,H51,IF(Rules!$B$11=3,H38,IF(Rules!$B$11=4,H25,H12))),HSDR!H20)</f>
        <v>0.77322722653717491</v>
      </c>
      <c r="I63" s="1">
        <f>MAX(IF(Rules!$B$11=2,I51,IF(Rules!$B$11=3,I38,IF(Rules!$B$11=4,I25,I12))),HSDR!I20)</f>
        <v>0.79181515955189841</v>
      </c>
      <c r="J63" s="1">
        <f>MAX(IF(Rules!$B$11=2,J51,IF(Rules!$B$11=3,J38,IF(Rules!$B$11=4,J25,J12))),HSDR!J20)</f>
        <v>0.75835687080859626</v>
      </c>
      <c r="K63" s="1">
        <f>MAX(IF(Rules!$B$11=2,K51,IF(Rules!$B$11=3,K38,IF(Rules!$B$11=4,K25,K12))),HSDR!K20)</f>
        <v>0.55453756646817121</v>
      </c>
    </row>
  </sheetData>
  <sheetProtection sheet="1" objects="1" scenarios="1"/>
  <mergeCells count="4">
    <mergeCell ref="A1:K1"/>
    <mergeCell ref="A14:K14"/>
    <mergeCell ref="A27:K27"/>
    <mergeCell ref="A40:K40"/>
  </mergeCells>
  <phoneticPr fontId="14" type="noConversion"/>
  <conditionalFormatting sqref="O2:X11">
    <cfRule type="containsText" dxfId="72" priority="5" operator="containsText" text="S">
      <formula>NOT(ISERROR(SEARCH("S",O2)))</formula>
    </cfRule>
    <cfRule type="containsText" dxfId="71" priority="6" operator="containsText" text="H">
      <formula>NOT(ISERROR(SEARCH("H",O2)))</formula>
    </cfRule>
  </conditionalFormatting>
  <conditionalFormatting sqref="O2:X11">
    <cfRule type="containsText" dxfId="70" priority="4" operator="containsText" text="D">
      <formula>NOT(ISERROR(SEARCH("D",O2)))</formula>
    </cfRule>
  </conditionalFormatting>
  <conditionalFormatting sqref="O2:X11">
    <cfRule type="containsText" dxfId="69" priority="3" operator="containsText" text="R">
      <formula>NOT(ISERROR(SEARCH("R",O2)))</formula>
    </cfRule>
  </conditionalFormatting>
  <conditionalFormatting sqref="O2:X11">
    <cfRule type="containsText" dxfId="68" priority="2" operator="containsText" text="P">
      <formula>NOT(ISERROR(SEARCH("P",O2)))</formula>
    </cfRule>
  </conditionalFormatting>
  <conditionalFormatting sqref="O3:X11">
    <cfRule type="containsText" dxfId="67" priority="1" operator="containsText" text="P">
      <formula>NOT(ISERROR(SEARCH("P",O3)))</formula>
    </cfRule>
  </conditionalFormatting>
  <pageMargins left="0.7" right="0.7" top="0.75" bottom="0.75" header="0.3" footer="0.3"/>
  <pageSetup paperSize="9" orientation="landscape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K9" sqref="K9"/>
    </sheetView>
  </sheetViews>
  <sheetFormatPr baseColWidth="10" defaultColWidth="8.83203125" defaultRowHeight="16" x14ac:dyDescent="0.2"/>
  <cols>
    <col min="2" max="2" width="17.6640625" bestFit="1" customWidth="1"/>
  </cols>
  <sheetData>
    <row r="1" spans="2:3" x14ac:dyDescent="0.2">
      <c r="B1" s="58" t="s">
        <v>31</v>
      </c>
      <c r="C1" s="1">
        <f>Dealer!J33</f>
        <v>4.7337278106508882E-2</v>
      </c>
    </row>
    <row r="2" spans="2:3" x14ac:dyDescent="0.2">
      <c r="B2" s="58" t="s">
        <v>32</v>
      </c>
      <c r="C2" s="1">
        <f>1-Dealer!J33</f>
        <v>0.9526627218934911</v>
      </c>
    </row>
    <row r="3" spans="2:3" x14ac:dyDescent="0.2">
      <c r="B3" s="1"/>
      <c r="C3" s="1">
        <f>C1*C2</f>
        <v>4.5096460207975919E-2</v>
      </c>
    </row>
  </sheetData>
  <sheetProtection sheet="1" objects="1" scenarios="1"/>
  <phoneticPr fontId="14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opLeftCell="A31" workbookViewId="0">
      <selection activeCell="K9" sqref="K9"/>
    </sheetView>
  </sheetViews>
  <sheetFormatPr baseColWidth="10" defaultColWidth="8.83203125" defaultRowHeight="15" x14ac:dyDescent="0.2"/>
  <cols>
    <col min="1" max="2" width="8.83203125" style="33"/>
    <col min="3" max="3" width="8" style="33" customWidth="1"/>
    <col min="4" max="16384" width="8.83203125" style="33"/>
  </cols>
  <sheetData>
    <row r="1" spans="1:13" x14ac:dyDescent="0.2">
      <c r="A1" s="32" t="s">
        <v>9</v>
      </c>
      <c r="B1" s="32" t="s">
        <v>1</v>
      </c>
      <c r="C1" s="32">
        <v>2</v>
      </c>
      <c r="D1" s="32">
        <v>3</v>
      </c>
      <c r="E1" s="32">
        <v>4</v>
      </c>
      <c r="F1" s="32">
        <v>5</v>
      </c>
      <c r="G1" s="32">
        <v>6</v>
      </c>
      <c r="H1" s="32">
        <v>7</v>
      </c>
      <c r="I1" s="32">
        <v>8</v>
      </c>
      <c r="J1" s="32">
        <v>9</v>
      </c>
      <c r="K1" s="32">
        <v>10</v>
      </c>
    </row>
    <row r="2" spans="1:13" x14ac:dyDescent="0.2">
      <c r="A2" s="32">
        <v>5</v>
      </c>
      <c r="B2" s="34">
        <f>$C70*1/(9+Rules!$B$5)*(9/(9+Rules!$B$5))</f>
        <v>6.3023003396239633E-4</v>
      </c>
      <c r="C2" s="34">
        <f>$C70*1/(9+Rules!$B$5)</f>
        <v>9.1033227127901696E-4</v>
      </c>
      <c r="D2" s="34">
        <f>$C70*1/(9+Rules!$B$5)</f>
        <v>9.1033227127901696E-4</v>
      </c>
      <c r="E2" s="34">
        <f>$C70*1/(9+Rules!$B$5)</f>
        <v>9.1033227127901696E-4</v>
      </c>
      <c r="F2" s="34">
        <f>$C70*1/(9+Rules!$B$5)</f>
        <v>9.1033227127901696E-4</v>
      </c>
      <c r="G2" s="34">
        <f>$C70*1/(9+Rules!$B$5)</f>
        <v>9.1033227127901696E-4</v>
      </c>
      <c r="H2" s="34">
        <f>$C70*1/(9+Rules!$B$5)</f>
        <v>9.1033227127901696E-4</v>
      </c>
      <c r="I2" s="34">
        <f>$C70*1/(9+Rules!$B$5)</f>
        <v>9.1033227127901696E-4</v>
      </c>
      <c r="J2" s="34">
        <f>$C70*1/(9+Rules!$B$5)</f>
        <v>9.1033227127901696E-4</v>
      </c>
      <c r="K2" s="34">
        <f>$C70*Rules!$B$5/(9+Rules!$B$5)*((9+Rules!$B$5-1)/(9+Rules!$B$5))</f>
        <v>3.3612268477994475E-3</v>
      </c>
    </row>
    <row r="3" spans="1:13" x14ac:dyDescent="0.2">
      <c r="A3" s="32">
        <v>6</v>
      </c>
      <c r="B3" s="34">
        <f>$C71*1/(9+Rules!$B$5)*(9/(9+Rules!$B$5))</f>
        <v>6.3023003396239633E-4</v>
      </c>
      <c r="C3" s="34">
        <f>$C71*1/(9+Rules!$B$5)</f>
        <v>9.1033227127901696E-4</v>
      </c>
      <c r="D3" s="34">
        <f>$C71*1/(9+Rules!$B$5)</f>
        <v>9.1033227127901696E-4</v>
      </c>
      <c r="E3" s="34">
        <f>$C71*1/(9+Rules!$B$5)</f>
        <v>9.1033227127901696E-4</v>
      </c>
      <c r="F3" s="34">
        <f>$C71*1/(9+Rules!$B$5)</f>
        <v>9.1033227127901696E-4</v>
      </c>
      <c r="G3" s="34">
        <f>$C71*1/(9+Rules!$B$5)</f>
        <v>9.1033227127901696E-4</v>
      </c>
      <c r="H3" s="34">
        <f>$C71*1/(9+Rules!$B$5)</f>
        <v>9.1033227127901696E-4</v>
      </c>
      <c r="I3" s="34">
        <f>$C71*1/(9+Rules!$B$5)</f>
        <v>9.1033227127901696E-4</v>
      </c>
      <c r="J3" s="34">
        <f>$C71*1/(9+Rules!$B$5)</f>
        <v>9.1033227127901696E-4</v>
      </c>
      <c r="K3" s="34">
        <f>$C71*Rules!$B$5/(9+Rules!$B$5)*((9+Rules!$B$5-1)/(9+Rules!$B$5))</f>
        <v>3.3612268477994475E-3</v>
      </c>
    </row>
    <row r="4" spans="1:13" x14ac:dyDescent="0.2">
      <c r="A4" s="32">
        <v>7</v>
      </c>
      <c r="B4" s="34">
        <f>$C72*1/(9+Rules!$B$5)*(9/(9+Rules!$B$5))</f>
        <v>1.2604600679247927E-3</v>
      </c>
      <c r="C4" s="34">
        <f>$C72*1/(9+Rules!$B$5)</f>
        <v>1.8206645425580339E-3</v>
      </c>
      <c r="D4" s="34">
        <f>$C72*1/(9+Rules!$B$5)</f>
        <v>1.8206645425580339E-3</v>
      </c>
      <c r="E4" s="34">
        <f>$C72*1/(9+Rules!$B$5)</f>
        <v>1.8206645425580339E-3</v>
      </c>
      <c r="F4" s="34">
        <f>$C72*1/(9+Rules!$B$5)</f>
        <v>1.8206645425580339E-3</v>
      </c>
      <c r="G4" s="34">
        <f>$C72*1/(9+Rules!$B$5)</f>
        <v>1.8206645425580339E-3</v>
      </c>
      <c r="H4" s="34">
        <f>$C72*1/(9+Rules!$B$5)</f>
        <v>1.8206645425580339E-3</v>
      </c>
      <c r="I4" s="34">
        <f>$C72*1/(9+Rules!$B$5)</f>
        <v>1.8206645425580339E-3</v>
      </c>
      <c r="J4" s="34">
        <f>$C72*1/(9+Rules!$B$5)</f>
        <v>1.8206645425580339E-3</v>
      </c>
      <c r="K4" s="34">
        <f>$C72*Rules!$B$5/(9+Rules!$B$5)*((9+Rules!$B$5-1)/(9+Rules!$B$5))</f>
        <v>6.7224536955988951E-3</v>
      </c>
    </row>
    <row r="5" spans="1:13" x14ac:dyDescent="0.2">
      <c r="A5" s="32">
        <v>8</v>
      </c>
      <c r="B5" s="34">
        <f>$C73*1/(9+Rules!$B$5)*(9/(9+Rules!$B$5))</f>
        <v>1.2604600679247927E-3</v>
      </c>
      <c r="C5" s="34">
        <f>$C73*1/(9+Rules!$B$5)</f>
        <v>1.8206645425580339E-3</v>
      </c>
      <c r="D5" s="34">
        <f>$C73*1/(9+Rules!$B$5)</f>
        <v>1.8206645425580339E-3</v>
      </c>
      <c r="E5" s="34">
        <f>$C73*1/(9+Rules!$B$5)</f>
        <v>1.8206645425580339E-3</v>
      </c>
      <c r="F5" s="34">
        <f>$C73*1/(9+Rules!$B$5)</f>
        <v>1.8206645425580339E-3</v>
      </c>
      <c r="G5" s="34">
        <f>$C73*1/(9+Rules!$B$5)</f>
        <v>1.8206645425580339E-3</v>
      </c>
      <c r="H5" s="34">
        <f>$C73*1/(9+Rules!$B$5)</f>
        <v>1.8206645425580339E-3</v>
      </c>
      <c r="I5" s="34">
        <f>$C73*1/(9+Rules!$B$5)</f>
        <v>1.8206645425580339E-3</v>
      </c>
      <c r="J5" s="34">
        <f>$C73*1/(9+Rules!$B$5)</f>
        <v>1.8206645425580339E-3</v>
      </c>
      <c r="K5" s="34">
        <f>$C73*Rules!$B$5/(9+Rules!$B$5)*((9+Rules!$B$5-1)/(9+Rules!$B$5))</f>
        <v>6.7224536955988951E-3</v>
      </c>
    </row>
    <row r="6" spans="1:13" x14ac:dyDescent="0.2">
      <c r="A6" s="32">
        <v>9</v>
      </c>
      <c r="B6" s="34">
        <f>$C74*1/(9+Rules!$B$5)*(9/(9+Rules!$B$5))</f>
        <v>1.890690101887189E-3</v>
      </c>
      <c r="C6" s="34">
        <f>$C74*1/(9+Rules!$B$5)</f>
        <v>2.730996813837051E-3</v>
      </c>
      <c r="D6" s="34">
        <f>$C74*1/(9+Rules!$B$5)</f>
        <v>2.730996813837051E-3</v>
      </c>
      <c r="E6" s="34">
        <f>$C74*1/(9+Rules!$B$5)</f>
        <v>2.730996813837051E-3</v>
      </c>
      <c r="F6" s="34">
        <f>$C74*1/(9+Rules!$B$5)</f>
        <v>2.730996813837051E-3</v>
      </c>
      <c r="G6" s="34">
        <f>$C74*1/(9+Rules!$B$5)</f>
        <v>2.730996813837051E-3</v>
      </c>
      <c r="H6" s="34">
        <f>$C74*1/(9+Rules!$B$5)</f>
        <v>2.730996813837051E-3</v>
      </c>
      <c r="I6" s="34">
        <f>$C74*1/(9+Rules!$B$5)</f>
        <v>2.730996813837051E-3</v>
      </c>
      <c r="J6" s="34">
        <f>$C74*1/(9+Rules!$B$5)</f>
        <v>2.730996813837051E-3</v>
      </c>
      <c r="K6" s="34">
        <f>$C74*Rules!$B$5/(9+Rules!$B$5)*((9+Rules!$B$5-1)/(9+Rules!$B$5))</f>
        <v>1.0083680543398343E-2</v>
      </c>
    </row>
    <row r="7" spans="1:13" x14ac:dyDescent="0.2">
      <c r="A7" s="32">
        <v>10</v>
      </c>
      <c r="B7" s="34">
        <f>$C75*1/(9+Rules!$B$5)*(9/(9+Rules!$B$5))</f>
        <v>1.890690101887189E-3</v>
      </c>
      <c r="C7" s="34">
        <f>$C75*1/(9+Rules!$B$5)</f>
        <v>2.730996813837051E-3</v>
      </c>
      <c r="D7" s="34">
        <f>$C75*1/(9+Rules!$B$5)</f>
        <v>2.730996813837051E-3</v>
      </c>
      <c r="E7" s="34">
        <f>$C75*1/(9+Rules!$B$5)</f>
        <v>2.730996813837051E-3</v>
      </c>
      <c r="F7" s="34">
        <f>$C75*1/(9+Rules!$B$5)</f>
        <v>2.730996813837051E-3</v>
      </c>
      <c r="G7" s="34">
        <f>$C75*1/(9+Rules!$B$5)</f>
        <v>2.730996813837051E-3</v>
      </c>
      <c r="H7" s="34">
        <f>$C75*1/(9+Rules!$B$5)</f>
        <v>2.730996813837051E-3</v>
      </c>
      <c r="I7" s="34">
        <f>$C75*1/(9+Rules!$B$5)</f>
        <v>2.730996813837051E-3</v>
      </c>
      <c r="J7" s="34">
        <f>$C75*1/(9+Rules!$B$5)</f>
        <v>2.730996813837051E-3</v>
      </c>
      <c r="K7" s="34">
        <f>$C75*Rules!$B$5/(9+Rules!$B$5)*((9+Rules!$B$5-1)/(9+Rules!$B$5))</f>
        <v>1.0083680543398343E-2</v>
      </c>
    </row>
    <row r="8" spans="1:13" x14ac:dyDescent="0.2">
      <c r="A8" s="32">
        <v>11</v>
      </c>
      <c r="B8" s="34">
        <f>$C76*1/(9+Rules!$B$5)*(9/(9+Rules!$B$5))</f>
        <v>2.5209201358495858E-3</v>
      </c>
      <c r="C8" s="34">
        <f>$C76*1/(9+Rules!$B$5)</f>
        <v>3.6413290851160683E-3</v>
      </c>
      <c r="D8" s="34">
        <f>$C76*1/(9+Rules!$B$5)</f>
        <v>3.6413290851160683E-3</v>
      </c>
      <c r="E8" s="34">
        <f>$C76*1/(9+Rules!$B$5)</f>
        <v>3.6413290851160683E-3</v>
      </c>
      <c r="F8" s="34">
        <f>$C76*1/(9+Rules!$B$5)</f>
        <v>3.6413290851160683E-3</v>
      </c>
      <c r="G8" s="34">
        <f>$C76*1/(9+Rules!$B$5)</f>
        <v>3.6413290851160683E-3</v>
      </c>
      <c r="H8" s="34">
        <f>$C76*1/(9+Rules!$B$5)</f>
        <v>3.6413290851160683E-3</v>
      </c>
      <c r="I8" s="34">
        <f>$C76*1/(9+Rules!$B$5)</f>
        <v>3.6413290851160683E-3</v>
      </c>
      <c r="J8" s="34">
        <f>$C76*1/(9+Rules!$B$5)</f>
        <v>3.6413290851160683E-3</v>
      </c>
      <c r="K8" s="34">
        <f>$C76*Rules!$B$5/(9+Rules!$B$5)*((9+Rules!$B$5-1)/(9+Rules!$B$5))</f>
        <v>1.3444907391197792E-2</v>
      </c>
    </row>
    <row r="9" spans="1:13" x14ac:dyDescent="0.2">
      <c r="A9" s="32">
        <v>12</v>
      </c>
      <c r="B9" s="34">
        <f>$C77*1/(9+Rules!$B$5)*(9/(9+Rules!$B$5))</f>
        <v>4.4116102377367745E-3</v>
      </c>
      <c r="C9" s="34">
        <f>$C77*1/(9+Rules!$B$5)</f>
        <v>6.3723258989531193E-3</v>
      </c>
      <c r="D9" s="34">
        <f>$C77*1/(9+Rules!$B$5)</f>
        <v>6.3723258989531193E-3</v>
      </c>
      <c r="E9" s="34">
        <f>$C77*1/(9+Rules!$B$5)</f>
        <v>6.3723258989531193E-3</v>
      </c>
      <c r="F9" s="34">
        <f>$C77*1/(9+Rules!$B$5)</f>
        <v>6.3723258989531193E-3</v>
      </c>
      <c r="G9" s="34">
        <f>$C77*1/(9+Rules!$B$5)</f>
        <v>6.3723258989531193E-3</v>
      </c>
      <c r="H9" s="34">
        <f>$C77*1/(9+Rules!$B$5)</f>
        <v>6.3723258989531193E-3</v>
      </c>
      <c r="I9" s="34">
        <f>$C77*1/(9+Rules!$B$5)</f>
        <v>6.3723258989531193E-3</v>
      </c>
      <c r="J9" s="34">
        <f>$C77*1/(9+Rules!$B$5)</f>
        <v>6.3723258989531193E-3</v>
      </c>
      <c r="K9" s="34">
        <f>$C77*Rules!$B$5/(9+Rules!$B$5)*((9+Rules!$B$5-1)/(9+Rules!$B$5))</f>
        <v>2.3528587934596133E-2</v>
      </c>
    </row>
    <row r="10" spans="1:13" x14ac:dyDescent="0.2">
      <c r="A10" s="32">
        <v>13</v>
      </c>
      <c r="B10" s="34">
        <f>$C78*1/(9+Rules!$B$5)*(9/(9+Rules!$B$5))</f>
        <v>4.4116102377367745E-3</v>
      </c>
      <c r="C10" s="34">
        <f>$C78*1/(9+Rules!$B$5)</f>
        <v>6.3723258989531193E-3</v>
      </c>
      <c r="D10" s="34">
        <f>$C78*1/(9+Rules!$B$5)</f>
        <v>6.3723258989531193E-3</v>
      </c>
      <c r="E10" s="34">
        <f>$C78*1/(9+Rules!$B$5)</f>
        <v>6.3723258989531193E-3</v>
      </c>
      <c r="F10" s="34">
        <f>$C78*1/(9+Rules!$B$5)</f>
        <v>6.3723258989531193E-3</v>
      </c>
      <c r="G10" s="34">
        <f>$C78*1/(9+Rules!$B$5)</f>
        <v>6.3723258989531193E-3</v>
      </c>
      <c r="H10" s="34">
        <f>$C78*1/(9+Rules!$B$5)</f>
        <v>6.3723258989531193E-3</v>
      </c>
      <c r="I10" s="34">
        <f>$C78*1/(9+Rules!$B$5)</f>
        <v>6.3723258989531193E-3</v>
      </c>
      <c r="J10" s="34">
        <f>$C78*1/(9+Rules!$B$5)</f>
        <v>6.3723258989531193E-3</v>
      </c>
      <c r="K10" s="34">
        <f>$C78*Rules!$B$5/(9+Rules!$B$5)*((9+Rules!$B$5-1)/(9+Rules!$B$5))</f>
        <v>2.3528587934596133E-2</v>
      </c>
    </row>
    <row r="11" spans="1:13" x14ac:dyDescent="0.2">
      <c r="A11" s="32">
        <v>14</v>
      </c>
      <c r="B11" s="34">
        <f>$C79*1/(9+Rules!$B$5)*(9/(9+Rules!$B$5))</f>
        <v>3.781380203774378E-3</v>
      </c>
      <c r="C11" s="34">
        <f>$C79*1/(9+Rules!$B$5)</f>
        <v>5.461993627674102E-3</v>
      </c>
      <c r="D11" s="34">
        <f>$C79*1/(9+Rules!$B$5)</f>
        <v>5.461993627674102E-3</v>
      </c>
      <c r="E11" s="34">
        <f>$C79*1/(9+Rules!$B$5)</f>
        <v>5.461993627674102E-3</v>
      </c>
      <c r="F11" s="34">
        <f>$C79*1/(9+Rules!$B$5)</f>
        <v>5.461993627674102E-3</v>
      </c>
      <c r="G11" s="34">
        <f>$C79*1/(9+Rules!$B$5)</f>
        <v>5.461993627674102E-3</v>
      </c>
      <c r="H11" s="34">
        <f>$C79*1/(9+Rules!$B$5)</f>
        <v>5.461993627674102E-3</v>
      </c>
      <c r="I11" s="34">
        <f>$C79*1/(9+Rules!$B$5)</f>
        <v>5.461993627674102E-3</v>
      </c>
      <c r="J11" s="34">
        <f>$C79*1/(9+Rules!$B$5)</f>
        <v>5.461993627674102E-3</v>
      </c>
      <c r="K11" s="34">
        <f>$C79*Rules!$B$5/(9+Rules!$B$5)*((9+Rules!$B$5-1)/(9+Rules!$B$5))</f>
        <v>2.0167361086796686E-2</v>
      </c>
    </row>
    <row r="12" spans="1:13" x14ac:dyDescent="0.2">
      <c r="A12" s="32">
        <v>15</v>
      </c>
      <c r="B12" s="34">
        <f>$C80*1/(9+Rules!$B$5)*(9/(9+Rules!$B$5))</f>
        <v>3.781380203774378E-3</v>
      </c>
      <c r="C12" s="34">
        <f>$C80*1/(9+Rules!$B$5)</f>
        <v>5.461993627674102E-3</v>
      </c>
      <c r="D12" s="34">
        <f>$C80*1/(9+Rules!$B$5)</f>
        <v>5.461993627674102E-3</v>
      </c>
      <c r="E12" s="34">
        <f>$C80*1/(9+Rules!$B$5)</f>
        <v>5.461993627674102E-3</v>
      </c>
      <c r="F12" s="34">
        <f>$C80*1/(9+Rules!$B$5)</f>
        <v>5.461993627674102E-3</v>
      </c>
      <c r="G12" s="34">
        <f>$C80*1/(9+Rules!$B$5)</f>
        <v>5.461993627674102E-3</v>
      </c>
      <c r="H12" s="34">
        <f>$C80*1/(9+Rules!$B$5)</f>
        <v>5.461993627674102E-3</v>
      </c>
      <c r="I12" s="34">
        <f>$C80*1/(9+Rules!$B$5)</f>
        <v>5.461993627674102E-3</v>
      </c>
      <c r="J12" s="34">
        <f>$C80*1/(9+Rules!$B$5)</f>
        <v>5.461993627674102E-3</v>
      </c>
      <c r="K12" s="34">
        <f>$C80*Rules!$B$5/(9+Rules!$B$5)*((9+Rules!$B$5-1)/(9+Rules!$B$5))</f>
        <v>2.0167361086796686E-2</v>
      </c>
    </row>
    <row r="13" spans="1:13" x14ac:dyDescent="0.2">
      <c r="A13" s="32">
        <v>16</v>
      </c>
      <c r="B13" s="34">
        <f>$C81*1/(9+Rules!$B$5)*(9/(9+Rules!$B$5))</f>
        <v>3.1511501698119814E-3</v>
      </c>
      <c r="C13" s="34">
        <f>$C81*1/(9+Rules!$B$5)</f>
        <v>4.5516613563950847E-3</v>
      </c>
      <c r="D13" s="34">
        <f>$C81*1/(9+Rules!$B$5)</f>
        <v>4.5516613563950847E-3</v>
      </c>
      <c r="E13" s="34">
        <f>$C81*1/(9+Rules!$B$5)</f>
        <v>4.5516613563950847E-3</v>
      </c>
      <c r="F13" s="34">
        <f>$C81*1/(9+Rules!$B$5)</f>
        <v>4.5516613563950847E-3</v>
      </c>
      <c r="G13" s="34">
        <f>$C81*1/(9+Rules!$B$5)</f>
        <v>4.5516613563950847E-3</v>
      </c>
      <c r="H13" s="34">
        <f>$C81*1/(9+Rules!$B$5)</f>
        <v>4.5516613563950847E-3</v>
      </c>
      <c r="I13" s="34">
        <f>$C81*1/(9+Rules!$B$5)</f>
        <v>4.5516613563950847E-3</v>
      </c>
      <c r="J13" s="34">
        <f>$C81*1/(9+Rules!$B$5)</f>
        <v>4.5516613563950847E-3</v>
      </c>
      <c r="K13" s="34">
        <f>$C81*Rules!$B$5/(9+Rules!$B$5)*((9+Rules!$B$5-1)/(9+Rules!$B$5))</f>
        <v>1.6806134238997236E-2</v>
      </c>
      <c r="M13" s="225"/>
    </row>
    <row r="14" spans="1:13" x14ac:dyDescent="0.2">
      <c r="A14" s="32">
        <v>17</v>
      </c>
      <c r="B14" s="34">
        <f>$C82*1/(9+Rules!$B$5)*(9/(9+Rules!$B$5))</f>
        <v>3.1511501698119814E-3</v>
      </c>
      <c r="C14" s="34">
        <f>$C82*1/(9+Rules!$B$5)</f>
        <v>4.5516613563950847E-3</v>
      </c>
      <c r="D14" s="34">
        <f>$C82*1/(9+Rules!$B$5)</f>
        <v>4.5516613563950847E-3</v>
      </c>
      <c r="E14" s="34">
        <f>$C82*1/(9+Rules!$B$5)</f>
        <v>4.5516613563950847E-3</v>
      </c>
      <c r="F14" s="34">
        <f>$C82*1/(9+Rules!$B$5)</f>
        <v>4.5516613563950847E-3</v>
      </c>
      <c r="G14" s="34">
        <f>$C82*1/(9+Rules!$B$5)</f>
        <v>4.5516613563950847E-3</v>
      </c>
      <c r="H14" s="34">
        <f>$C82*1/(9+Rules!$B$5)</f>
        <v>4.5516613563950847E-3</v>
      </c>
      <c r="I14" s="34">
        <f>$C82*1/(9+Rules!$B$5)</f>
        <v>4.5516613563950847E-3</v>
      </c>
      <c r="J14" s="34">
        <f>$C82*1/(9+Rules!$B$5)</f>
        <v>4.5516613563950847E-3</v>
      </c>
      <c r="K14" s="34">
        <f>$C82*Rules!$B$5/(9+Rules!$B$5)*((9+Rules!$B$5-1)/(9+Rules!$B$5))</f>
        <v>1.6806134238997236E-2</v>
      </c>
    </row>
    <row r="15" spans="1:13" x14ac:dyDescent="0.2">
      <c r="A15" s="32">
        <v>18</v>
      </c>
      <c r="B15" s="34">
        <f>$C83*1/(9+Rules!$B$5)*(9/(9+Rules!$B$5))</f>
        <v>2.5209201358495853E-3</v>
      </c>
      <c r="C15" s="34">
        <f>$C83*1/(9+Rules!$B$5)</f>
        <v>3.6413290851160678E-3</v>
      </c>
      <c r="D15" s="34">
        <f>$C83*1/(9+Rules!$B$5)</f>
        <v>3.6413290851160678E-3</v>
      </c>
      <c r="E15" s="34">
        <f>$C83*1/(9+Rules!$B$5)</f>
        <v>3.6413290851160678E-3</v>
      </c>
      <c r="F15" s="34">
        <f>$C83*1/(9+Rules!$B$5)</f>
        <v>3.6413290851160678E-3</v>
      </c>
      <c r="G15" s="34">
        <f>$C83*1/(9+Rules!$B$5)</f>
        <v>3.6413290851160678E-3</v>
      </c>
      <c r="H15" s="34">
        <f>$C83*1/(9+Rules!$B$5)</f>
        <v>3.6413290851160678E-3</v>
      </c>
      <c r="I15" s="34">
        <f>$C83*1/(9+Rules!$B$5)</f>
        <v>3.6413290851160678E-3</v>
      </c>
      <c r="J15" s="34">
        <f>$C83*1/(9+Rules!$B$5)</f>
        <v>3.6413290851160678E-3</v>
      </c>
      <c r="K15" s="34">
        <f>$C83*Rules!$B$5/(9+Rules!$B$5)*((9+Rules!$B$5-1)/(9+Rules!$B$5))</f>
        <v>1.344490739119779E-2</v>
      </c>
    </row>
    <row r="16" spans="1:13" x14ac:dyDescent="0.2">
      <c r="A16" s="32">
        <v>19</v>
      </c>
      <c r="B16" s="34">
        <f>$C84*1/(9+Rules!$B$5)*(9/(9+Rules!$B$5))</f>
        <v>2.5209201358495853E-3</v>
      </c>
      <c r="C16" s="34">
        <f>$C84*1/(9+Rules!$B$5)</f>
        <v>3.6413290851160678E-3</v>
      </c>
      <c r="D16" s="34">
        <f>$C84*1/(9+Rules!$B$5)</f>
        <v>3.6413290851160678E-3</v>
      </c>
      <c r="E16" s="34">
        <f>$C84*1/(9+Rules!$B$5)</f>
        <v>3.6413290851160678E-3</v>
      </c>
      <c r="F16" s="34">
        <f>$C84*1/(9+Rules!$B$5)</f>
        <v>3.6413290851160678E-3</v>
      </c>
      <c r="G16" s="34">
        <f>$C84*1/(9+Rules!$B$5)</f>
        <v>3.6413290851160678E-3</v>
      </c>
      <c r="H16" s="34">
        <f>$C84*1/(9+Rules!$B$5)</f>
        <v>3.6413290851160678E-3</v>
      </c>
      <c r="I16" s="34">
        <f>$C84*1/(9+Rules!$B$5)</f>
        <v>3.6413290851160678E-3</v>
      </c>
      <c r="J16" s="34">
        <f>$C84*1/(9+Rules!$B$5)</f>
        <v>3.6413290851160678E-3</v>
      </c>
      <c r="K16" s="34">
        <f>$C84*Rules!$B$5/(9+Rules!$B$5)*((9+Rules!$B$5-1)/(9+Rules!$B$5))</f>
        <v>1.344490739119779E-2</v>
      </c>
      <c r="M16" s="33">
        <f>SUM(B2:K16)</f>
        <v>0.67644690311963807</v>
      </c>
    </row>
    <row r="17" spans="1:13" x14ac:dyDescent="0.2">
      <c r="A17" s="32" t="s">
        <v>4</v>
      </c>
      <c r="B17" s="32" t="s">
        <v>1</v>
      </c>
      <c r="C17" s="35">
        <v>2</v>
      </c>
      <c r="D17" s="35">
        <v>3</v>
      </c>
      <c r="E17" s="35">
        <v>4</v>
      </c>
      <c r="F17" s="35">
        <v>5</v>
      </c>
      <c r="G17" s="35">
        <v>6</v>
      </c>
      <c r="H17" s="35">
        <v>7</v>
      </c>
      <c r="I17" s="35">
        <v>8</v>
      </c>
      <c r="J17" s="35">
        <v>9</v>
      </c>
      <c r="K17" s="35">
        <v>10</v>
      </c>
    </row>
    <row r="18" spans="1:13" x14ac:dyDescent="0.2">
      <c r="A18" s="32">
        <v>13</v>
      </c>
      <c r="B18" s="34">
        <f>2*(1/(9+Rules!$B$5))^3*(9/(9+Rules!$B$5))</f>
        <v>6.3023003396239633E-4</v>
      </c>
      <c r="C18" s="34">
        <f>2*(1/(9+Rules!$B$5))^3</f>
        <v>9.1033227127901696E-4</v>
      </c>
      <c r="D18" s="34">
        <f>2*(1/(9+Rules!$B$5))^3</f>
        <v>9.1033227127901696E-4</v>
      </c>
      <c r="E18" s="34">
        <f>2*(1/(9+Rules!$B$5))^3</f>
        <v>9.1033227127901696E-4</v>
      </c>
      <c r="F18" s="34">
        <f>2*(1/(9+Rules!$B$5))^3</f>
        <v>9.1033227127901696E-4</v>
      </c>
      <c r="G18" s="34">
        <f>2*(1/(9+Rules!$B$5))^3</f>
        <v>9.1033227127901696E-4</v>
      </c>
      <c r="H18" s="34">
        <f>2*(1/(9+Rules!$B$5))^3</f>
        <v>9.1033227127901696E-4</v>
      </c>
      <c r="I18" s="34">
        <f>2*(1/(9+Rules!$B$5))^3</f>
        <v>9.1033227127901696E-4</v>
      </c>
      <c r="J18" s="34">
        <f>2*(1/(9+Rules!$B$5))^3</f>
        <v>9.1033227127901696E-4</v>
      </c>
      <c r="K18" s="34">
        <f>2*(1/(9+Rules!$B$5))^2*(Rules!$B$5/(9+Rules!$B$5))*((9+Rules!$B$5-1)/(9+Rules!$B$5))</f>
        <v>3.3612268477994475E-3</v>
      </c>
    </row>
    <row r="19" spans="1:13" x14ac:dyDescent="0.2">
      <c r="A19" s="32">
        <v>14</v>
      </c>
      <c r="B19" s="34">
        <f>2*(1/(9+Rules!$B$5))^3*(9/(9+Rules!$B$5))</f>
        <v>6.3023003396239633E-4</v>
      </c>
      <c r="C19" s="34">
        <f>2*(1/(9+Rules!$B$5))^3</f>
        <v>9.1033227127901696E-4</v>
      </c>
      <c r="D19" s="34">
        <f>2*(1/(9+Rules!$B$5))^3</f>
        <v>9.1033227127901696E-4</v>
      </c>
      <c r="E19" s="34">
        <f>2*(1/(9+Rules!$B$5))^3</f>
        <v>9.1033227127901696E-4</v>
      </c>
      <c r="F19" s="34">
        <f>2*(1/(9+Rules!$B$5))^3</f>
        <v>9.1033227127901696E-4</v>
      </c>
      <c r="G19" s="34">
        <f>2*(1/(9+Rules!$B$5))^3</f>
        <v>9.1033227127901696E-4</v>
      </c>
      <c r="H19" s="34">
        <f>2*(1/(9+Rules!$B$5))^3</f>
        <v>9.1033227127901696E-4</v>
      </c>
      <c r="I19" s="34">
        <f>2*(1/(9+Rules!$B$5))^3</f>
        <v>9.1033227127901696E-4</v>
      </c>
      <c r="J19" s="34">
        <f>2*(1/(9+Rules!$B$5))^3</f>
        <v>9.1033227127901696E-4</v>
      </c>
      <c r="K19" s="34">
        <f>2*(1/(9+Rules!$B$5))^2*(Rules!$B$5/(9+Rules!$B$5))*((9+Rules!$B$5-1)/(9+Rules!$B$5))</f>
        <v>3.3612268477994475E-3</v>
      </c>
    </row>
    <row r="20" spans="1:13" x14ac:dyDescent="0.2">
      <c r="A20" s="32">
        <v>15</v>
      </c>
      <c r="B20" s="34">
        <f>2*(1/(9+Rules!$B$5))^3*(9/(9+Rules!$B$5))</f>
        <v>6.3023003396239633E-4</v>
      </c>
      <c r="C20" s="34">
        <f>2*(1/(9+Rules!$B$5))^3</f>
        <v>9.1033227127901696E-4</v>
      </c>
      <c r="D20" s="34">
        <f>2*(1/(9+Rules!$B$5))^3</f>
        <v>9.1033227127901696E-4</v>
      </c>
      <c r="E20" s="34">
        <f>2*(1/(9+Rules!$B$5))^3</f>
        <v>9.1033227127901696E-4</v>
      </c>
      <c r="F20" s="34">
        <f>2*(1/(9+Rules!$B$5))^3</f>
        <v>9.1033227127901696E-4</v>
      </c>
      <c r="G20" s="34">
        <f>2*(1/(9+Rules!$B$5))^3</f>
        <v>9.1033227127901696E-4</v>
      </c>
      <c r="H20" s="34">
        <f>2*(1/(9+Rules!$B$5))^3</f>
        <v>9.1033227127901696E-4</v>
      </c>
      <c r="I20" s="34">
        <f>2*(1/(9+Rules!$B$5))^3</f>
        <v>9.1033227127901696E-4</v>
      </c>
      <c r="J20" s="34">
        <f>2*(1/(9+Rules!$B$5))^3</f>
        <v>9.1033227127901696E-4</v>
      </c>
      <c r="K20" s="34">
        <f>2*(1/(9+Rules!$B$5))^2*(Rules!$B$5/(9+Rules!$B$5))*((9+Rules!$B$5-1)/(9+Rules!$B$5))</f>
        <v>3.3612268477994475E-3</v>
      </c>
    </row>
    <row r="21" spans="1:13" x14ac:dyDescent="0.2">
      <c r="A21" s="32">
        <v>16</v>
      </c>
      <c r="B21" s="34">
        <f>2*(1/(9+Rules!$B$5))^3*(9/(9+Rules!$B$5))</f>
        <v>6.3023003396239633E-4</v>
      </c>
      <c r="C21" s="34">
        <f>2*(1/(9+Rules!$B$5))^3</f>
        <v>9.1033227127901696E-4</v>
      </c>
      <c r="D21" s="34">
        <f>2*(1/(9+Rules!$B$5))^3</f>
        <v>9.1033227127901696E-4</v>
      </c>
      <c r="E21" s="34">
        <f>2*(1/(9+Rules!$B$5))^3</f>
        <v>9.1033227127901696E-4</v>
      </c>
      <c r="F21" s="34">
        <f>2*(1/(9+Rules!$B$5))^3</f>
        <v>9.1033227127901696E-4</v>
      </c>
      <c r="G21" s="34">
        <f>2*(1/(9+Rules!$B$5))^3</f>
        <v>9.1033227127901696E-4</v>
      </c>
      <c r="H21" s="34">
        <f>2*(1/(9+Rules!$B$5))^3</f>
        <v>9.1033227127901696E-4</v>
      </c>
      <c r="I21" s="34">
        <f>2*(1/(9+Rules!$B$5))^3</f>
        <v>9.1033227127901696E-4</v>
      </c>
      <c r="J21" s="34">
        <f>2*(1/(9+Rules!$B$5))^3</f>
        <v>9.1033227127901696E-4</v>
      </c>
      <c r="K21" s="34">
        <f>2*(1/(9+Rules!$B$5))^2*(Rules!$B$5/(9+Rules!$B$5))*((9+Rules!$B$5-1)/(9+Rules!$B$5))</f>
        <v>3.3612268477994475E-3</v>
      </c>
    </row>
    <row r="22" spans="1:13" x14ac:dyDescent="0.2">
      <c r="A22" s="32">
        <v>17</v>
      </c>
      <c r="B22" s="34">
        <f>2*(1/(9+Rules!$B$5))^3*(9/(9+Rules!$B$5))</f>
        <v>6.3023003396239633E-4</v>
      </c>
      <c r="C22" s="34">
        <f>2*(1/(9+Rules!$B$5))^3</f>
        <v>9.1033227127901696E-4</v>
      </c>
      <c r="D22" s="34">
        <f>2*(1/(9+Rules!$B$5))^3</f>
        <v>9.1033227127901696E-4</v>
      </c>
      <c r="E22" s="34">
        <f>2*(1/(9+Rules!$B$5))^3</f>
        <v>9.1033227127901696E-4</v>
      </c>
      <c r="F22" s="34">
        <f>2*(1/(9+Rules!$B$5))^3</f>
        <v>9.1033227127901696E-4</v>
      </c>
      <c r="G22" s="34">
        <f>2*(1/(9+Rules!$B$5))^3</f>
        <v>9.1033227127901696E-4</v>
      </c>
      <c r="H22" s="34">
        <f>2*(1/(9+Rules!$B$5))^3</f>
        <v>9.1033227127901696E-4</v>
      </c>
      <c r="I22" s="34">
        <f>2*(1/(9+Rules!$B$5))^3</f>
        <v>9.1033227127901696E-4</v>
      </c>
      <c r="J22" s="34">
        <f>2*(1/(9+Rules!$B$5))^3</f>
        <v>9.1033227127901696E-4</v>
      </c>
      <c r="K22" s="34">
        <f>2*(1/(9+Rules!$B$5))^2*(Rules!$B$5/(9+Rules!$B$5))*((9+Rules!$B$5-1)/(9+Rules!$B$5))</f>
        <v>3.3612268477994475E-3</v>
      </c>
    </row>
    <row r="23" spans="1:13" x14ac:dyDescent="0.2">
      <c r="A23" s="32">
        <v>18</v>
      </c>
      <c r="B23" s="34">
        <f>2*(1/(9+Rules!$B$5))^3*(9/(9+Rules!$B$5))</f>
        <v>6.3023003396239633E-4</v>
      </c>
      <c r="C23" s="34">
        <f>2*(1/(9+Rules!$B$5))^3</f>
        <v>9.1033227127901696E-4</v>
      </c>
      <c r="D23" s="34">
        <f>2*(1/(9+Rules!$B$5))^3</f>
        <v>9.1033227127901696E-4</v>
      </c>
      <c r="E23" s="34">
        <f>2*(1/(9+Rules!$B$5))^3</f>
        <v>9.1033227127901696E-4</v>
      </c>
      <c r="F23" s="34">
        <f>2*(1/(9+Rules!$B$5))^3</f>
        <v>9.1033227127901696E-4</v>
      </c>
      <c r="G23" s="34">
        <f>2*(1/(9+Rules!$B$5))^3</f>
        <v>9.1033227127901696E-4</v>
      </c>
      <c r="H23" s="34">
        <f>2*(1/(9+Rules!$B$5))^3</f>
        <v>9.1033227127901696E-4</v>
      </c>
      <c r="I23" s="34">
        <f>2*(1/(9+Rules!$B$5))^3</f>
        <v>9.1033227127901696E-4</v>
      </c>
      <c r="J23" s="34">
        <f>2*(1/(9+Rules!$B$5))^3</f>
        <v>9.1033227127901696E-4</v>
      </c>
      <c r="K23" s="34">
        <f>2*(1/(9+Rules!$B$5))^2*(Rules!$B$5/(9+Rules!$B$5))*((9+Rules!$B$5-1)/(9+Rules!$B$5))</f>
        <v>3.3612268477994475E-3</v>
      </c>
    </row>
    <row r="24" spans="1:13" x14ac:dyDescent="0.2">
      <c r="A24" s="32">
        <v>19</v>
      </c>
      <c r="B24" s="34">
        <f>2*(1/(9+Rules!$B$5))^3*(9/(9+Rules!$B$5))</f>
        <v>6.3023003396239633E-4</v>
      </c>
      <c r="C24" s="34">
        <f>2*(1/(9+Rules!$B$5))^3</f>
        <v>9.1033227127901696E-4</v>
      </c>
      <c r="D24" s="34">
        <f>2*(1/(9+Rules!$B$5))^3</f>
        <v>9.1033227127901696E-4</v>
      </c>
      <c r="E24" s="34">
        <f>2*(1/(9+Rules!$B$5))^3</f>
        <v>9.1033227127901696E-4</v>
      </c>
      <c r="F24" s="34">
        <f>2*(1/(9+Rules!$B$5))^3</f>
        <v>9.1033227127901696E-4</v>
      </c>
      <c r="G24" s="34">
        <f>2*(1/(9+Rules!$B$5))^3</f>
        <v>9.1033227127901696E-4</v>
      </c>
      <c r="H24" s="34">
        <f>2*(1/(9+Rules!$B$5))^3</f>
        <v>9.1033227127901696E-4</v>
      </c>
      <c r="I24" s="34">
        <f>2*(1/(9+Rules!$B$5))^3</f>
        <v>9.1033227127901696E-4</v>
      </c>
      <c r="J24" s="34">
        <f>2*(1/(9+Rules!$B$5))^3</f>
        <v>9.1033227127901696E-4</v>
      </c>
      <c r="K24" s="34">
        <f>2*(1/(9+Rules!$B$5))^2*(Rules!$B$5/(9+Rules!$B$5))*((9+Rules!$B$5-1)/(9+Rules!$B$5))</f>
        <v>3.3612268477994475E-3</v>
      </c>
    </row>
    <row r="25" spans="1:13" x14ac:dyDescent="0.2">
      <c r="A25" s="32">
        <v>20</v>
      </c>
      <c r="B25" s="34">
        <f>2*(1/(9+Rules!$B$5))^3*(9/(9+Rules!$B$5))</f>
        <v>6.3023003396239633E-4</v>
      </c>
      <c r="C25" s="34">
        <f>2*(1/(9+Rules!$B$5))^3</f>
        <v>9.1033227127901696E-4</v>
      </c>
      <c r="D25" s="34">
        <f>2*(1/(9+Rules!$B$5))^3</f>
        <v>9.1033227127901696E-4</v>
      </c>
      <c r="E25" s="34">
        <f>2*(1/(9+Rules!$B$5))^3</f>
        <v>9.1033227127901696E-4</v>
      </c>
      <c r="F25" s="34">
        <f>2*(1/(9+Rules!$B$5))^3</f>
        <v>9.1033227127901696E-4</v>
      </c>
      <c r="G25" s="34">
        <f>2*(1/(9+Rules!$B$5))^3</f>
        <v>9.1033227127901696E-4</v>
      </c>
      <c r="H25" s="34">
        <f>2*(1/(9+Rules!$B$5))^3</f>
        <v>9.1033227127901696E-4</v>
      </c>
      <c r="I25" s="34">
        <f>2*(1/(9+Rules!$B$5))^3</f>
        <v>9.1033227127901696E-4</v>
      </c>
      <c r="J25" s="34">
        <f>2*(1/(9+Rules!$B$5))^3</f>
        <v>9.1033227127901696E-4</v>
      </c>
      <c r="K25" s="34">
        <f>2*(1/(9+Rules!$B$5))^2*(Rules!$B$5/(9+Rules!$B$5))*((9+Rules!$B$5-1)/(9+Rules!$B$5))</f>
        <v>3.3612268477994475E-3</v>
      </c>
    </row>
    <row r="26" spans="1:13" x14ac:dyDescent="0.2">
      <c r="A26" s="32">
        <v>21</v>
      </c>
      <c r="B26" s="34">
        <f>2*(1/(9+Rules!$B$5))^2*(Rules!$B$5/(9+Rules!$B$5))*(9/(9+Rules!$B$5))</f>
        <v>2.5209201358495853E-3</v>
      </c>
      <c r="C26" s="34">
        <f>2*(1/(9+Rules!$B$5))^2*(Rules!$B$5/(9+Rules!$B$5))</f>
        <v>3.6413290851160678E-3</v>
      </c>
      <c r="D26" s="34">
        <f>2*(1/(9+Rules!$B$5))^2*(Rules!$B$5/(9+Rules!$B$5))</f>
        <v>3.6413290851160678E-3</v>
      </c>
      <c r="E26" s="34">
        <f>2*(1/(9+Rules!$B$5))^2*(Rules!$B$5/(9+Rules!$B$5))</f>
        <v>3.6413290851160678E-3</v>
      </c>
      <c r="F26" s="34">
        <f>2*(1/(9+Rules!$B$5))^2*(Rules!$B$5/(9+Rules!$B$5))</f>
        <v>3.6413290851160678E-3</v>
      </c>
      <c r="G26" s="34">
        <f>2*(1/(9+Rules!$B$5))^2*(Rules!$B$5/(9+Rules!$B$5))</f>
        <v>3.6413290851160678E-3</v>
      </c>
      <c r="H26" s="34">
        <f>2*(1/(9+Rules!$B$5))^2*(Rules!$B$5/(9+Rules!$B$5))</f>
        <v>3.6413290851160678E-3</v>
      </c>
      <c r="I26" s="34">
        <f>2*(1/(9+Rules!$B$5))^2*(Rules!$B$5/(9+Rules!$B$5))</f>
        <v>3.6413290851160678E-3</v>
      </c>
      <c r="J26" s="34">
        <f>2*(1/(9+Rules!$B$5))^2*(Rules!$B$5/(9+Rules!$B$5))</f>
        <v>3.6413290851160678E-3</v>
      </c>
      <c r="K26" s="34">
        <f>2*(Rules!$B$5/(9+Rules!$B$5))^2*(1/(9+Rules!$B$5))*((9+Rules!$B$5-1)/(9+Rules!$B$5))</f>
        <v>1.344490739119779E-2</v>
      </c>
      <c r="M26" s="33">
        <f>SUM(B18:K26)</f>
        <v>0.13528938062392776</v>
      </c>
    </row>
    <row r="27" spans="1:13" x14ac:dyDescent="0.2">
      <c r="A27" s="32" t="s">
        <v>10</v>
      </c>
      <c r="B27" s="32" t="s">
        <v>1</v>
      </c>
      <c r="C27" s="35">
        <v>2</v>
      </c>
      <c r="D27" s="35">
        <v>3</v>
      </c>
      <c r="E27" s="35">
        <v>4</v>
      </c>
      <c r="F27" s="35">
        <v>5</v>
      </c>
      <c r="G27" s="35">
        <v>6</v>
      </c>
      <c r="H27" s="35">
        <v>7</v>
      </c>
      <c r="I27" s="35">
        <v>8</v>
      </c>
      <c r="J27" s="35">
        <v>9</v>
      </c>
      <c r="K27" s="35">
        <v>10</v>
      </c>
    </row>
    <row r="28" spans="1:13" x14ac:dyDescent="0.2">
      <c r="A28" s="32" t="s">
        <v>1</v>
      </c>
      <c r="B28" s="34">
        <f>(1/(9+Rules!$B$5))^3*(9/(9+Rules!$B$5))</f>
        <v>3.1511501698119817E-4</v>
      </c>
      <c r="C28" s="34">
        <f>(1/(9+Rules!$B$5))^3</f>
        <v>4.5516613563950848E-4</v>
      </c>
      <c r="D28" s="34">
        <f>(1/(9+Rules!$B$5))^3</f>
        <v>4.5516613563950848E-4</v>
      </c>
      <c r="E28" s="34">
        <f>(1/(9+Rules!$B$5))^3</f>
        <v>4.5516613563950848E-4</v>
      </c>
      <c r="F28" s="34">
        <f>(1/(9+Rules!$B$5))^3</f>
        <v>4.5516613563950848E-4</v>
      </c>
      <c r="G28" s="34">
        <f>(1/(9+Rules!$B$5))^3</f>
        <v>4.5516613563950848E-4</v>
      </c>
      <c r="H28" s="34">
        <f>(1/(9+Rules!$B$5))^3</f>
        <v>4.5516613563950848E-4</v>
      </c>
      <c r="I28" s="34">
        <f>(1/(9+Rules!$B$5))^3</f>
        <v>4.5516613563950848E-4</v>
      </c>
      <c r="J28" s="34">
        <f>(1/(9+Rules!$B$5))^3</f>
        <v>4.5516613563950848E-4</v>
      </c>
      <c r="K28" s="34">
        <f>(1/(9+Rules!$B$5))^2*(Rules!$B$5/(9+Rules!$B$5))*((9+Rules!$B$5-1)/(9+Rules!$B$5))</f>
        <v>1.6806134238997238E-3</v>
      </c>
    </row>
    <row r="29" spans="1:13" x14ac:dyDescent="0.2">
      <c r="A29" s="32">
        <v>2</v>
      </c>
      <c r="B29" s="34">
        <f>(1/(9+Rules!$B$5))^3*(9/(9+Rules!$B$5))</f>
        <v>3.1511501698119817E-4</v>
      </c>
      <c r="C29" s="34">
        <f>(1/(9+Rules!$B$5))^3</f>
        <v>4.5516613563950848E-4</v>
      </c>
      <c r="D29" s="34">
        <f>(1/(9+Rules!$B$5))^3</f>
        <v>4.5516613563950848E-4</v>
      </c>
      <c r="E29" s="34">
        <f>(1/(9+Rules!$B$5))^3</f>
        <v>4.5516613563950848E-4</v>
      </c>
      <c r="F29" s="34">
        <f>(1/(9+Rules!$B$5))^3</f>
        <v>4.5516613563950848E-4</v>
      </c>
      <c r="G29" s="34">
        <f>(1/(9+Rules!$B$5))^3</f>
        <v>4.5516613563950848E-4</v>
      </c>
      <c r="H29" s="34">
        <f>(1/(9+Rules!$B$5))^3</f>
        <v>4.5516613563950848E-4</v>
      </c>
      <c r="I29" s="34">
        <f>(1/(9+Rules!$B$5))^3</f>
        <v>4.5516613563950848E-4</v>
      </c>
      <c r="J29" s="34">
        <f>(1/(9+Rules!$B$5))^3</f>
        <v>4.5516613563950848E-4</v>
      </c>
      <c r="K29" s="34">
        <f>(1/(9+Rules!$B$5))^2*(Rules!$B$5/(9+Rules!$B$5))*((9+Rules!$B$5-1)/(9+Rules!$B$5))</f>
        <v>1.6806134238997238E-3</v>
      </c>
    </row>
    <row r="30" spans="1:13" x14ac:dyDescent="0.2">
      <c r="A30" s="32">
        <v>3</v>
      </c>
      <c r="B30" s="34">
        <f>(1/(9+Rules!$B$5))^3*(9/(9+Rules!$B$5))</f>
        <v>3.1511501698119817E-4</v>
      </c>
      <c r="C30" s="34">
        <f>(1/(9+Rules!$B$5))^3</f>
        <v>4.5516613563950848E-4</v>
      </c>
      <c r="D30" s="34">
        <f>(1/(9+Rules!$B$5))^3</f>
        <v>4.5516613563950848E-4</v>
      </c>
      <c r="E30" s="34">
        <f>(1/(9+Rules!$B$5))^3</f>
        <v>4.5516613563950848E-4</v>
      </c>
      <c r="F30" s="34">
        <f>(1/(9+Rules!$B$5))^3</f>
        <v>4.5516613563950848E-4</v>
      </c>
      <c r="G30" s="34">
        <f>(1/(9+Rules!$B$5))^3</f>
        <v>4.5516613563950848E-4</v>
      </c>
      <c r="H30" s="34">
        <f>(1/(9+Rules!$B$5))^3</f>
        <v>4.5516613563950848E-4</v>
      </c>
      <c r="I30" s="34">
        <f>(1/(9+Rules!$B$5))^3</f>
        <v>4.5516613563950848E-4</v>
      </c>
      <c r="J30" s="34">
        <f>(1/(9+Rules!$B$5))^3</f>
        <v>4.5516613563950848E-4</v>
      </c>
      <c r="K30" s="34">
        <f>(1/(9+Rules!$B$5))^2*(Rules!$B$5/(9+Rules!$B$5))*((9+Rules!$B$5-1)/(9+Rules!$B$5))</f>
        <v>1.6806134238997238E-3</v>
      </c>
    </row>
    <row r="31" spans="1:13" x14ac:dyDescent="0.2">
      <c r="A31" s="32">
        <v>4</v>
      </c>
      <c r="B31" s="34">
        <f>(1/(9+Rules!$B$5))^3*(9/(9+Rules!$B$5))</f>
        <v>3.1511501698119817E-4</v>
      </c>
      <c r="C31" s="34">
        <f>(1/(9+Rules!$B$5))^3</f>
        <v>4.5516613563950848E-4</v>
      </c>
      <c r="D31" s="34">
        <f>(1/(9+Rules!$B$5))^3</f>
        <v>4.5516613563950848E-4</v>
      </c>
      <c r="E31" s="34">
        <f>(1/(9+Rules!$B$5))^3</f>
        <v>4.5516613563950848E-4</v>
      </c>
      <c r="F31" s="34">
        <f>(1/(9+Rules!$B$5))^3</f>
        <v>4.5516613563950848E-4</v>
      </c>
      <c r="G31" s="34">
        <f>(1/(9+Rules!$B$5))^3</f>
        <v>4.5516613563950848E-4</v>
      </c>
      <c r="H31" s="34">
        <f>(1/(9+Rules!$B$5))^3</f>
        <v>4.5516613563950848E-4</v>
      </c>
      <c r="I31" s="34">
        <f>(1/(9+Rules!$B$5))^3</f>
        <v>4.5516613563950848E-4</v>
      </c>
      <c r="J31" s="34">
        <f>(1/(9+Rules!$B$5))^3</f>
        <v>4.5516613563950848E-4</v>
      </c>
      <c r="K31" s="34">
        <f>(1/(9+Rules!$B$5))^2*(Rules!$B$5/(9+Rules!$B$5))*((9+Rules!$B$5-1)/(9+Rules!$B$5))</f>
        <v>1.6806134238997238E-3</v>
      </c>
    </row>
    <row r="32" spans="1:13" x14ac:dyDescent="0.2">
      <c r="A32" s="32">
        <v>5</v>
      </c>
      <c r="B32" s="34">
        <f>(1/(9+Rules!$B$5))^3*(9/(9+Rules!$B$5))</f>
        <v>3.1511501698119817E-4</v>
      </c>
      <c r="C32" s="34">
        <f>(1/(9+Rules!$B$5))^3</f>
        <v>4.5516613563950848E-4</v>
      </c>
      <c r="D32" s="34">
        <f>(1/(9+Rules!$B$5))^3</f>
        <v>4.5516613563950848E-4</v>
      </c>
      <c r="E32" s="34">
        <f>(1/(9+Rules!$B$5))^3</f>
        <v>4.5516613563950848E-4</v>
      </c>
      <c r="F32" s="34">
        <f>(1/(9+Rules!$B$5))^3</f>
        <v>4.5516613563950848E-4</v>
      </c>
      <c r="G32" s="34">
        <f>(1/(9+Rules!$B$5))^3</f>
        <v>4.5516613563950848E-4</v>
      </c>
      <c r="H32" s="34">
        <f>(1/(9+Rules!$B$5))^3</f>
        <v>4.5516613563950848E-4</v>
      </c>
      <c r="I32" s="34">
        <f>(1/(9+Rules!$B$5))^3</f>
        <v>4.5516613563950848E-4</v>
      </c>
      <c r="J32" s="34">
        <f>(1/(9+Rules!$B$5))^3</f>
        <v>4.5516613563950848E-4</v>
      </c>
      <c r="K32" s="34">
        <f>(1/(9+Rules!$B$5))^2*(Rules!$B$5/(9+Rules!$B$5))*((9+Rules!$B$5-1)/(9+Rules!$B$5))</f>
        <v>1.6806134238997238E-3</v>
      </c>
    </row>
    <row r="33" spans="1:13" x14ac:dyDescent="0.2">
      <c r="A33" s="32">
        <v>6</v>
      </c>
      <c r="B33" s="34">
        <f>(1/(9+Rules!$B$5))^3*(9/(9+Rules!$B$5))</f>
        <v>3.1511501698119817E-4</v>
      </c>
      <c r="C33" s="34">
        <f>(1/(9+Rules!$B$5))^3</f>
        <v>4.5516613563950848E-4</v>
      </c>
      <c r="D33" s="34">
        <f>(1/(9+Rules!$B$5))^3</f>
        <v>4.5516613563950848E-4</v>
      </c>
      <c r="E33" s="34">
        <f>(1/(9+Rules!$B$5))^3</f>
        <v>4.5516613563950848E-4</v>
      </c>
      <c r="F33" s="34">
        <f>(1/(9+Rules!$B$5))^3</f>
        <v>4.5516613563950848E-4</v>
      </c>
      <c r="G33" s="34">
        <f>(1/(9+Rules!$B$5))^3</f>
        <v>4.5516613563950848E-4</v>
      </c>
      <c r="H33" s="34">
        <f>(1/(9+Rules!$B$5))^3</f>
        <v>4.5516613563950848E-4</v>
      </c>
      <c r="I33" s="34">
        <f>(1/(9+Rules!$B$5))^3</f>
        <v>4.5516613563950848E-4</v>
      </c>
      <c r="J33" s="34">
        <f>(1/(9+Rules!$B$5))^3</f>
        <v>4.5516613563950848E-4</v>
      </c>
      <c r="K33" s="34">
        <f>(1/(9+Rules!$B$5))^2*(Rules!$B$5/(9+Rules!$B$5))*((9+Rules!$B$5-1)/(9+Rules!$B$5))</f>
        <v>1.6806134238997238E-3</v>
      </c>
    </row>
    <row r="34" spans="1:13" x14ac:dyDescent="0.2">
      <c r="A34" s="32">
        <v>7</v>
      </c>
      <c r="B34" s="34">
        <f>(1/(9+Rules!$B$5))^3*(9/(9+Rules!$B$5))</f>
        <v>3.1511501698119817E-4</v>
      </c>
      <c r="C34" s="34">
        <f>(1/(9+Rules!$B$5))^3</f>
        <v>4.5516613563950848E-4</v>
      </c>
      <c r="D34" s="34">
        <f>(1/(9+Rules!$B$5))^3</f>
        <v>4.5516613563950848E-4</v>
      </c>
      <c r="E34" s="34">
        <f>(1/(9+Rules!$B$5))^3</f>
        <v>4.5516613563950848E-4</v>
      </c>
      <c r="F34" s="34">
        <f>(1/(9+Rules!$B$5))^3</f>
        <v>4.5516613563950848E-4</v>
      </c>
      <c r="G34" s="34">
        <f>(1/(9+Rules!$B$5))^3</f>
        <v>4.5516613563950848E-4</v>
      </c>
      <c r="H34" s="34">
        <f>(1/(9+Rules!$B$5))^3</f>
        <v>4.5516613563950848E-4</v>
      </c>
      <c r="I34" s="34">
        <f>(1/(9+Rules!$B$5))^3</f>
        <v>4.5516613563950848E-4</v>
      </c>
      <c r="J34" s="34">
        <f>(1/(9+Rules!$B$5))^3</f>
        <v>4.5516613563950848E-4</v>
      </c>
      <c r="K34" s="34">
        <f>(1/(9+Rules!$B$5))^2*(Rules!$B$5/(9+Rules!$B$5))*((9+Rules!$B$5-1)/(9+Rules!$B$5))</f>
        <v>1.6806134238997238E-3</v>
      </c>
    </row>
    <row r="35" spans="1:13" x14ac:dyDescent="0.2">
      <c r="A35" s="32">
        <v>8</v>
      </c>
      <c r="B35" s="34">
        <f>(1/(9+Rules!$B$5))^3*(9/(9+Rules!$B$5))</f>
        <v>3.1511501698119817E-4</v>
      </c>
      <c r="C35" s="34">
        <f>(1/(9+Rules!$B$5))^3</f>
        <v>4.5516613563950848E-4</v>
      </c>
      <c r="D35" s="34">
        <f>(1/(9+Rules!$B$5))^3</f>
        <v>4.5516613563950848E-4</v>
      </c>
      <c r="E35" s="34">
        <f>(1/(9+Rules!$B$5))^3</f>
        <v>4.5516613563950848E-4</v>
      </c>
      <c r="F35" s="34">
        <f>(1/(9+Rules!$B$5))^3</f>
        <v>4.5516613563950848E-4</v>
      </c>
      <c r="G35" s="34">
        <f>(1/(9+Rules!$B$5))^3</f>
        <v>4.5516613563950848E-4</v>
      </c>
      <c r="H35" s="34">
        <f>(1/(9+Rules!$B$5))^3</f>
        <v>4.5516613563950848E-4</v>
      </c>
      <c r="I35" s="34">
        <f>(1/(9+Rules!$B$5))^3</f>
        <v>4.5516613563950848E-4</v>
      </c>
      <c r="J35" s="34">
        <f>(1/(9+Rules!$B$5))^3</f>
        <v>4.5516613563950848E-4</v>
      </c>
      <c r="K35" s="34">
        <f>(1/(9+Rules!$B$5))^2*(Rules!$B$5/(9+Rules!$B$5))*((9+Rules!$B$5-1)/(9+Rules!$B$5))</f>
        <v>1.6806134238997238E-3</v>
      </c>
    </row>
    <row r="36" spans="1:13" x14ac:dyDescent="0.2">
      <c r="A36" s="32">
        <v>9</v>
      </c>
      <c r="B36" s="34">
        <f>(1/(9+Rules!$B$5))^3*(9/(9+Rules!$B$5))</f>
        <v>3.1511501698119817E-4</v>
      </c>
      <c r="C36" s="34">
        <f>(1/(9+Rules!$B$5))^3</f>
        <v>4.5516613563950848E-4</v>
      </c>
      <c r="D36" s="34">
        <f>(1/(9+Rules!$B$5))^3</f>
        <v>4.5516613563950848E-4</v>
      </c>
      <c r="E36" s="34">
        <f>(1/(9+Rules!$B$5))^3</f>
        <v>4.5516613563950848E-4</v>
      </c>
      <c r="F36" s="34">
        <f>(1/(9+Rules!$B$5))^3</f>
        <v>4.5516613563950848E-4</v>
      </c>
      <c r="G36" s="34">
        <f>(1/(9+Rules!$B$5))^3</f>
        <v>4.5516613563950848E-4</v>
      </c>
      <c r="H36" s="34">
        <f>(1/(9+Rules!$B$5))^3</f>
        <v>4.5516613563950848E-4</v>
      </c>
      <c r="I36" s="34">
        <f>(1/(9+Rules!$B$5))^3</f>
        <v>4.5516613563950848E-4</v>
      </c>
      <c r="J36" s="34">
        <f>(1/(9+Rules!$B$5))^3</f>
        <v>4.5516613563950848E-4</v>
      </c>
      <c r="K36" s="34">
        <f>(1/(9+Rules!$B$5))^2*(Rules!$B$5/(9+Rules!$B$5))*((9+Rules!$B$5-1)/(9+Rules!$B$5))</f>
        <v>1.6806134238997238E-3</v>
      </c>
    </row>
    <row r="37" spans="1:13" x14ac:dyDescent="0.2">
      <c r="A37" s="32">
        <v>10</v>
      </c>
      <c r="B37" s="34">
        <f>(Rules!$B$5/(9+Rules!$B$5))^2*(1/(9+Rules!$B$5))*(9/(9+Rules!$B$5))</f>
        <v>5.0418402716991707E-3</v>
      </c>
      <c r="C37" s="34">
        <f>(Rules!$B$5/(9+Rules!$B$5))^2*(1/(9+Rules!$B$5))</f>
        <v>7.2826581702321357E-3</v>
      </c>
      <c r="D37" s="34">
        <f>(Rules!$B$5/(9+Rules!$B$5))^2*(1/(9+Rules!$B$5))</f>
        <v>7.2826581702321357E-3</v>
      </c>
      <c r="E37" s="34">
        <f>(Rules!$B$5/(9+Rules!$B$5))^2*(1/(9+Rules!$B$5))</f>
        <v>7.2826581702321357E-3</v>
      </c>
      <c r="F37" s="34">
        <f>(Rules!$B$5/(9+Rules!$B$5))^2*(1/(9+Rules!$B$5))</f>
        <v>7.2826581702321357E-3</v>
      </c>
      <c r="G37" s="34">
        <f>(Rules!$B$5/(9+Rules!$B$5))^2*(1/(9+Rules!$B$5))</f>
        <v>7.2826581702321357E-3</v>
      </c>
      <c r="H37" s="34">
        <f>(Rules!$B$5/(9+Rules!$B$5))^2*(1/(9+Rules!$B$5))</f>
        <v>7.2826581702321357E-3</v>
      </c>
      <c r="I37" s="34">
        <f>(Rules!$B$5/(9+Rules!$B$5))^2*(1/(9+Rules!$B$5))</f>
        <v>7.2826581702321357E-3</v>
      </c>
      <c r="J37" s="34">
        <f>(Rules!$B$5/(9+Rules!$B$5))^2*(1/(9+Rules!$B$5))</f>
        <v>7.2826581702321357E-3</v>
      </c>
      <c r="K37" s="34">
        <f>(Rules!$B$5/(9+Rules!$B$5))^3*((9+Rules!$B$5-1)/(9+Rules!$B$5))</f>
        <v>2.688981478239558E-2</v>
      </c>
      <c r="M37" s="33">
        <f>SUM(B28:K37)</f>
        <v>0.1409264381499247</v>
      </c>
    </row>
    <row r="38" spans="1:13" x14ac:dyDescent="0.2">
      <c r="B38" s="36"/>
      <c r="C38" s="36"/>
      <c r="D38" s="36"/>
      <c r="E38" s="36"/>
      <c r="F38" s="36"/>
      <c r="G38" s="36"/>
      <c r="H38" s="36"/>
      <c r="I38" s="36"/>
      <c r="J38" s="36"/>
      <c r="K38" s="36"/>
    </row>
    <row r="39" spans="1:13" x14ac:dyDescent="0.2">
      <c r="A39" s="37" t="s">
        <v>11</v>
      </c>
      <c r="B39" s="38"/>
      <c r="C39" s="39">
        <f>2*(1/(9+Rules!$B$5))*(Rules!$B$5/(9+Rules!$B$5))</f>
        <v>4.7337278106508882E-2</v>
      </c>
      <c r="M39" s="33">
        <f>SUM(B2:K16,B18:K26,B28:K37)</f>
        <v>0.95266272189349366</v>
      </c>
    </row>
    <row r="40" spans="1:13" x14ac:dyDescent="0.2">
      <c r="M40" s="33">
        <f>M39+C39</f>
        <v>1.0000000000000024</v>
      </c>
    </row>
    <row r="42" spans="1:13" x14ac:dyDescent="0.2">
      <c r="C42" s="40" t="s">
        <v>12</v>
      </c>
    </row>
    <row r="43" spans="1:13" x14ac:dyDescent="0.2">
      <c r="A43" s="41" t="s">
        <v>13</v>
      </c>
      <c r="B43" s="41"/>
      <c r="C43" s="41">
        <v>2</v>
      </c>
      <c r="D43" s="41">
        <v>3</v>
      </c>
      <c r="E43" s="41">
        <v>4</v>
      </c>
      <c r="F43" s="41">
        <v>5</v>
      </c>
      <c r="G43" s="41">
        <v>6</v>
      </c>
      <c r="H43" s="41">
        <v>7</v>
      </c>
      <c r="I43" s="41">
        <v>8</v>
      </c>
      <c r="J43" s="41">
        <v>9</v>
      </c>
      <c r="K43" s="41">
        <v>10</v>
      </c>
    </row>
    <row r="44" spans="1:13" x14ac:dyDescent="0.2">
      <c r="A44" s="41">
        <v>2</v>
      </c>
      <c r="B44" s="41"/>
      <c r="D44" s="33">
        <f t="shared" ref="D44:K46" si="0">SUM(D$43,$A44)</f>
        <v>5</v>
      </c>
      <c r="E44" s="33">
        <f t="shared" si="0"/>
        <v>6</v>
      </c>
      <c r="F44" s="33">
        <f t="shared" si="0"/>
        <v>7</v>
      </c>
      <c r="G44" s="33">
        <f t="shared" si="0"/>
        <v>8</v>
      </c>
      <c r="H44" s="33">
        <f t="shared" si="0"/>
        <v>9</v>
      </c>
      <c r="I44" s="33">
        <f t="shared" si="0"/>
        <v>10</v>
      </c>
      <c r="J44" s="33">
        <f t="shared" si="0"/>
        <v>11</v>
      </c>
      <c r="K44" s="33">
        <f t="shared" si="0"/>
        <v>12</v>
      </c>
    </row>
    <row r="45" spans="1:13" x14ac:dyDescent="0.2">
      <c r="A45" s="41">
        <v>3</v>
      </c>
      <c r="B45" s="41"/>
      <c r="C45" s="33">
        <f t="shared" ref="C45:E52" si="1">SUM(C$43,$A45)</f>
        <v>5</v>
      </c>
      <c r="E45" s="33">
        <f t="shared" si="0"/>
        <v>7</v>
      </c>
      <c r="F45" s="33">
        <f t="shared" si="0"/>
        <v>8</v>
      </c>
      <c r="G45" s="33">
        <f t="shared" si="0"/>
        <v>9</v>
      </c>
      <c r="H45" s="33">
        <f t="shared" si="0"/>
        <v>10</v>
      </c>
      <c r="I45" s="33">
        <f t="shared" si="0"/>
        <v>11</v>
      </c>
      <c r="J45" s="33">
        <f t="shared" si="0"/>
        <v>12</v>
      </c>
      <c r="K45" s="33">
        <f t="shared" si="0"/>
        <v>13</v>
      </c>
    </row>
    <row r="46" spans="1:13" x14ac:dyDescent="0.2">
      <c r="A46" s="41">
        <v>4</v>
      </c>
      <c r="B46" s="41"/>
      <c r="C46" s="33">
        <f t="shared" si="1"/>
        <v>6</v>
      </c>
      <c r="D46" s="33">
        <f t="shared" si="1"/>
        <v>7</v>
      </c>
      <c r="F46" s="33">
        <f t="shared" si="0"/>
        <v>9</v>
      </c>
      <c r="G46" s="33">
        <f t="shared" si="0"/>
        <v>10</v>
      </c>
      <c r="H46" s="33">
        <f t="shared" si="0"/>
        <v>11</v>
      </c>
      <c r="I46" s="33">
        <f t="shared" si="0"/>
        <v>12</v>
      </c>
      <c r="J46" s="33">
        <f t="shared" si="0"/>
        <v>13</v>
      </c>
      <c r="K46" s="33">
        <f t="shared" si="0"/>
        <v>14</v>
      </c>
    </row>
    <row r="47" spans="1:13" x14ac:dyDescent="0.2">
      <c r="A47" s="41">
        <v>5</v>
      </c>
      <c r="B47" s="41"/>
      <c r="C47" s="33">
        <f t="shared" si="1"/>
        <v>7</v>
      </c>
      <c r="D47" s="33">
        <f t="shared" si="1"/>
        <v>8</v>
      </c>
      <c r="E47" s="33">
        <f t="shared" si="1"/>
        <v>9</v>
      </c>
      <c r="G47" s="33">
        <f>SUM(G$43,$A47)</f>
        <v>11</v>
      </c>
      <c r="H47" s="33">
        <f>SUM(H$43,$A47)</f>
        <v>12</v>
      </c>
      <c r="I47" s="33">
        <f>SUM(I$43,$A47)</f>
        <v>13</v>
      </c>
      <c r="J47" s="33">
        <f>SUM(J$43,$A47)</f>
        <v>14</v>
      </c>
      <c r="K47" s="33">
        <f>SUM(K$43,$A47)</f>
        <v>15</v>
      </c>
    </row>
    <row r="48" spans="1:13" x14ac:dyDescent="0.2">
      <c r="A48" s="41">
        <v>6</v>
      </c>
      <c r="B48" s="41"/>
      <c r="C48" s="33">
        <f t="shared" si="1"/>
        <v>8</v>
      </c>
      <c r="D48" s="33">
        <f t="shared" si="1"/>
        <v>9</v>
      </c>
      <c r="E48" s="33">
        <f t="shared" si="1"/>
        <v>10</v>
      </c>
      <c r="F48" s="33">
        <f>SUM(F$43,$A48)</f>
        <v>11</v>
      </c>
      <c r="H48" s="33">
        <f>SUM(H$43,$A48)</f>
        <v>13</v>
      </c>
      <c r="I48" s="33">
        <f>SUM(I$43,$A48)</f>
        <v>14</v>
      </c>
      <c r="J48" s="33">
        <f>SUM(J$43,$A48)</f>
        <v>15</v>
      </c>
      <c r="K48" s="33">
        <f>SUM(K$43,$A48)</f>
        <v>16</v>
      </c>
    </row>
    <row r="49" spans="1:11" x14ac:dyDescent="0.2">
      <c r="A49" s="41">
        <v>7</v>
      </c>
      <c r="B49" s="41"/>
      <c r="C49" s="33">
        <f t="shared" si="1"/>
        <v>9</v>
      </c>
      <c r="D49" s="33">
        <f t="shared" si="1"/>
        <v>10</v>
      </c>
      <c r="E49" s="33">
        <f t="shared" si="1"/>
        <v>11</v>
      </c>
      <c r="F49" s="33">
        <f>SUM(F$43,$A49)</f>
        <v>12</v>
      </c>
      <c r="G49" s="33">
        <f>SUM(G$43,$A49)</f>
        <v>13</v>
      </c>
      <c r="I49" s="33">
        <f>SUM(I$43,$A49)</f>
        <v>15</v>
      </c>
      <c r="J49" s="33">
        <f>SUM(J$43,$A49)</f>
        <v>16</v>
      </c>
      <c r="K49" s="33">
        <f>SUM(K$43,$A49)</f>
        <v>17</v>
      </c>
    </row>
    <row r="50" spans="1:11" x14ac:dyDescent="0.2">
      <c r="A50" s="41">
        <v>8</v>
      </c>
      <c r="B50" s="41"/>
      <c r="C50" s="33">
        <f t="shared" si="1"/>
        <v>10</v>
      </c>
      <c r="D50" s="33">
        <f t="shared" si="1"/>
        <v>11</v>
      </c>
      <c r="E50" s="33">
        <f t="shared" si="1"/>
        <v>12</v>
      </c>
      <c r="F50" s="33">
        <f>SUM(F$43,$A50)</f>
        <v>13</v>
      </c>
      <c r="G50" s="33">
        <f>SUM(G$43,$A50)</f>
        <v>14</v>
      </c>
      <c r="H50" s="33">
        <f>SUM(H$43,$A50)</f>
        <v>15</v>
      </c>
      <c r="J50" s="33">
        <f>SUM(J$43,$A50)</f>
        <v>17</v>
      </c>
      <c r="K50" s="33">
        <f>SUM(K$43,$A50)</f>
        <v>18</v>
      </c>
    </row>
    <row r="51" spans="1:11" x14ac:dyDescent="0.2">
      <c r="A51" s="41">
        <v>9</v>
      </c>
      <c r="B51" s="41"/>
      <c r="C51" s="33">
        <f t="shared" si="1"/>
        <v>11</v>
      </c>
      <c r="D51" s="33">
        <f t="shared" si="1"/>
        <v>12</v>
      </c>
      <c r="E51" s="33">
        <f t="shared" si="1"/>
        <v>13</v>
      </c>
      <c r="F51" s="33">
        <f>SUM(F$43,$A51)</f>
        <v>14</v>
      </c>
      <c r="G51" s="33">
        <f>SUM(G$43,$A51)</f>
        <v>15</v>
      </c>
      <c r="H51" s="33">
        <f>SUM(H$43,$A51)</f>
        <v>16</v>
      </c>
      <c r="I51" s="33">
        <f>SUM(I$43,$A51)</f>
        <v>17</v>
      </c>
      <c r="K51" s="33">
        <f>SUM(K$43,$A51)</f>
        <v>19</v>
      </c>
    </row>
    <row r="52" spans="1:11" x14ac:dyDescent="0.2">
      <c r="A52" s="41">
        <v>10</v>
      </c>
      <c r="B52" s="41"/>
      <c r="C52" s="33">
        <f t="shared" si="1"/>
        <v>12</v>
      </c>
      <c r="D52" s="33">
        <f t="shared" si="1"/>
        <v>13</v>
      </c>
      <c r="E52" s="33">
        <f t="shared" si="1"/>
        <v>14</v>
      </c>
      <c r="F52" s="33">
        <f>SUM(F$43,$A52)</f>
        <v>15</v>
      </c>
      <c r="G52" s="33">
        <f>SUM(G$43,$A52)</f>
        <v>16</v>
      </c>
      <c r="H52" s="33">
        <f>SUM(H$43,$A52)</f>
        <v>17</v>
      </c>
      <c r="I52" s="33">
        <f>SUM(I$43,$A52)</f>
        <v>18</v>
      </c>
      <c r="J52" s="33">
        <f>SUM(J$43,$A52)</f>
        <v>19</v>
      </c>
    </row>
    <row r="53" spans="1:11" x14ac:dyDescent="0.2">
      <c r="A53" s="41" t="s">
        <v>1</v>
      </c>
      <c r="B53" s="41"/>
    </row>
    <row r="55" spans="1:11" x14ac:dyDescent="0.2">
      <c r="C55" s="40" t="s">
        <v>12</v>
      </c>
    </row>
    <row r="56" spans="1:11" x14ac:dyDescent="0.2">
      <c r="A56" s="41" t="s">
        <v>13</v>
      </c>
      <c r="B56" s="41"/>
      <c r="C56" s="41">
        <v>2</v>
      </c>
      <c r="D56" s="41">
        <v>3</v>
      </c>
      <c r="E56" s="41">
        <v>4</v>
      </c>
      <c r="F56" s="41">
        <v>5</v>
      </c>
      <c r="G56" s="41">
        <v>6</v>
      </c>
      <c r="H56" s="41">
        <v>7</v>
      </c>
      <c r="I56" s="41">
        <v>8</v>
      </c>
      <c r="J56" s="41">
        <v>9</v>
      </c>
      <c r="K56" s="41">
        <v>10</v>
      </c>
    </row>
    <row r="57" spans="1:11" x14ac:dyDescent="0.2">
      <c r="A57" s="41">
        <v>2</v>
      </c>
      <c r="B57" s="41"/>
      <c r="D57" s="33">
        <f>(1/(9+Rules!$B$5))^2</f>
        <v>5.9171597633136102E-3</v>
      </c>
      <c r="E57" s="33">
        <f>(1/(9+Rules!$B$5))^2</f>
        <v>5.9171597633136102E-3</v>
      </c>
      <c r="F57" s="33">
        <f>(1/(9+Rules!$B$5))^2</f>
        <v>5.9171597633136102E-3</v>
      </c>
      <c r="G57" s="33">
        <f>(1/(9+Rules!$B$5))^2</f>
        <v>5.9171597633136102E-3</v>
      </c>
      <c r="H57" s="33">
        <f>(1/(9+Rules!$B$5))^2</f>
        <v>5.9171597633136102E-3</v>
      </c>
      <c r="I57" s="33">
        <f>(1/(9+Rules!$B$5))^2</f>
        <v>5.9171597633136102E-3</v>
      </c>
      <c r="J57" s="33">
        <f>(1/(9+Rules!$B$5))^2</f>
        <v>5.9171597633136102E-3</v>
      </c>
      <c r="K57" s="33">
        <f>(1/(9+Rules!$B$5))*(Rules!$B$5/(9+Rules!$B$5))</f>
        <v>2.3668639053254441E-2</v>
      </c>
    </row>
    <row r="58" spans="1:11" x14ac:dyDescent="0.2">
      <c r="A58" s="41">
        <v>3</v>
      </c>
      <c r="B58" s="41"/>
      <c r="C58" s="33">
        <f>(1/(9+Rules!$B$5))^2</f>
        <v>5.9171597633136102E-3</v>
      </c>
      <c r="E58" s="33">
        <f>(1/(9+Rules!$B$5))^2</f>
        <v>5.9171597633136102E-3</v>
      </c>
      <c r="F58" s="33">
        <f>(1/(9+Rules!$B$5))^2</f>
        <v>5.9171597633136102E-3</v>
      </c>
      <c r="G58" s="33">
        <f>(1/(9+Rules!$B$5))^2</f>
        <v>5.9171597633136102E-3</v>
      </c>
      <c r="H58" s="33">
        <f>(1/(9+Rules!$B$5))^2</f>
        <v>5.9171597633136102E-3</v>
      </c>
      <c r="I58" s="33">
        <f>(1/(9+Rules!$B$5))^2</f>
        <v>5.9171597633136102E-3</v>
      </c>
      <c r="J58" s="33">
        <f>(1/(9+Rules!$B$5))^2</f>
        <v>5.9171597633136102E-3</v>
      </c>
      <c r="K58" s="33">
        <f>(1/(9+Rules!$B$5))*(Rules!$B$5/(9+Rules!$B$5))</f>
        <v>2.3668639053254441E-2</v>
      </c>
    </row>
    <row r="59" spans="1:11" x14ac:dyDescent="0.2">
      <c r="A59" s="41">
        <v>4</v>
      </c>
      <c r="B59" s="41"/>
      <c r="C59" s="33">
        <f>(1/(9+Rules!$B$5))^2</f>
        <v>5.9171597633136102E-3</v>
      </c>
      <c r="D59" s="33">
        <f>(1/(9+Rules!$B$5))^2</f>
        <v>5.9171597633136102E-3</v>
      </c>
      <c r="F59" s="33">
        <f>(1/(9+Rules!$B$5))^2</f>
        <v>5.9171597633136102E-3</v>
      </c>
      <c r="G59" s="33">
        <f>(1/(9+Rules!$B$5))^2</f>
        <v>5.9171597633136102E-3</v>
      </c>
      <c r="H59" s="33">
        <f>(1/(9+Rules!$B$5))^2</f>
        <v>5.9171597633136102E-3</v>
      </c>
      <c r="I59" s="33">
        <f>(1/(9+Rules!$B$5))^2</f>
        <v>5.9171597633136102E-3</v>
      </c>
      <c r="J59" s="33">
        <f>(1/(9+Rules!$B$5))^2</f>
        <v>5.9171597633136102E-3</v>
      </c>
      <c r="K59" s="33">
        <f>(1/(9+Rules!$B$5))*(Rules!$B$5/(9+Rules!$B$5))</f>
        <v>2.3668639053254441E-2</v>
      </c>
    </row>
    <row r="60" spans="1:11" x14ac:dyDescent="0.2">
      <c r="A60" s="41">
        <v>5</v>
      </c>
      <c r="B60" s="41"/>
      <c r="C60" s="33">
        <f>(1/(9+Rules!$B$5))^2</f>
        <v>5.9171597633136102E-3</v>
      </c>
      <c r="D60" s="33">
        <f>(1/(9+Rules!$B$5))^2</f>
        <v>5.9171597633136102E-3</v>
      </c>
      <c r="E60" s="33">
        <f>(1/(9+Rules!$B$5))^2</f>
        <v>5.9171597633136102E-3</v>
      </c>
      <c r="G60" s="33">
        <f>(1/(9+Rules!$B$5))^2</f>
        <v>5.9171597633136102E-3</v>
      </c>
      <c r="H60" s="33">
        <f>(1/(9+Rules!$B$5))^2</f>
        <v>5.9171597633136102E-3</v>
      </c>
      <c r="I60" s="33">
        <f>(1/(9+Rules!$B$5))^2</f>
        <v>5.9171597633136102E-3</v>
      </c>
      <c r="J60" s="33">
        <f>(1/(9+Rules!$B$5))^2</f>
        <v>5.9171597633136102E-3</v>
      </c>
      <c r="K60" s="33">
        <f>(1/(9+Rules!$B$5))*(Rules!$B$5/(9+Rules!$B$5))</f>
        <v>2.3668639053254441E-2</v>
      </c>
    </row>
    <row r="61" spans="1:11" x14ac:dyDescent="0.2">
      <c r="A61" s="41">
        <v>6</v>
      </c>
      <c r="B61" s="41"/>
      <c r="C61" s="33">
        <f>(1/(9+Rules!$B$5))^2</f>
        <v>5.9171597633136102E-3</v>
      </c>
      <c r="D61" s="33">
        <f>(1/(9+Rules!$B$5))^2</f>
        <v>5.9171597633136102E-3</v>
      </c>
      <c r="E61" s="33">
        <f>(1/(9+Rules!$B$5))^2</f>
        <v>5.9171597633136102E-3</v>
      </c>
      <c r="F61" s="33">
        <f>(1/(9+Rules!$B$5))^2</f>
        <v>5.9171597633136102E-3</v>
      </c>
      <c r="H61" s="33">
        <f>(1/(9+Rules!$B$5))^2</f>
        <v>5.9171597633136102E-3</v>
      </c>
      <c r="I61" s="33">
        <f>(1/(9+Rules!$B$5))^2</f>
        <v>5.9171597633136102E-3</v>
      </c>
      <c r="J61" s="33">
        <f>(1/(9+Rules!$B$5))^2</f>
        <v>5.9171597633136102E-3</v>
      </c>
      <c r="K61" s="33">
        <f>(1/(9+Rules!$B$5))*(Rules!$B$5/(9+Rules!$B$5))</f>
        <v>2.3668639053254441E-2</v>
      </c>
    </row>
    <row r="62" spans="1:11" x14ac:dyDescent="0.2">
      <c r="A62" s="41">
        <v>7</v>
      </c>
      <c r="B62" s="41"/>
      <c r="C62" s="33">
        <f>(1/(9+Rules!$B$5))^2</f>
        <v>5.9171597633136102E-3</v>
      </c>
      <c r="D62" s="33">
        <f>(1/(9+Rules!$B$5))^2</f>
        <v>5.9171597633136102E-3</v>
      </c>
      <c r="E62" s="33">
        <f>(1/(9+Rules!$B$5))^2</f>
        <v>5.9171597633136102E-3</v>
      </c>
      <c r="F62" s="33">
        <f>(1/(9+Rules!$B$5))^2</f>
        <v>5.9171597633136102E-3</v>
      </c>
      <c r="G62" s="33">
        <f>(1/(9+Rules!$B$5))^2</f>
        <v>5.9171597633136102E-3</v>
      </c>
      <c r="I62" s="33">
        <f>(1/(9+Rules!$B$5))^2</f>
        <v>5.9171597633136102E-3</v>
      </c>
      <c r="J62" s="33">
        <f>(1/(9+Rules!$B$5))^2</f>
        <v>5.9171597633136102E-3</v>
      </c>
      <c r="K62" s="33">
        <f>(1/(9+Rules!$B$5))*(Rules!$B$5/(9+Rules!$B$5))</f>
        <v>2.3668639053254441E-2</v>
      </c>
    </row>
    <row r="63" spans="1:11" x14ac:dyDescent="0.2">
      <c r="A63" s="41">
        <v>8</v>
      </c>
      <c r="B63" s="41"/>
      <c r="C63" s="33">
        <f>(1/(9+Rules!$B$5))^2</f>
        <v>5.9171597633136102E-3</v>
      </c>
      <c r="D63" s="33">
        <f>(1/(9+Rules!$B$5))^2</f>
        <v>5.9171597633136102E-3</v>
      </c>
      <c r="E63" s="33">
        <f>(1/(9+Rules!$B$5))^2</f>
        <v>5.9171597633136102E-3</v>
      </c>
      <c r="F63" s="33">
        <f>(1/(9+Rules!$B$5))^2</f>
        <v>5.9171597633136102E-3</v>
      </c>
      <c r="G63" s="33">
        <f>(1/(9+Rules!$B$5))^2</f>
        <v>5.9171597633136102E-3</v>
      </c>
      <c r="H63" s="33">
        <f>(1/(9+Rules!$B$5))^2</f>
        <v>5.9171597633136102E-3</v>
      </c>
      <c r="J63" s="33">
        <f>(1/(9+Rules!$B$5))^2</f>
        <v>5.9171597633136102E-3</v>
      </c>
      <c r="K63" s="33">
        <f>(1/(9+Rules!$B$5))*(Rules!$B$5/(9+Rules!$B$5))</f>
        <v>2.3668639053254441E-2</v>
      </c>
    </row>
    <row r="64" spans="1:11" x14ac:dyDescent="0.2">
      <c r="A64" s="41">
        <v>9</v>
      </c>
      <c r="B64" s="41"/>
      <c r="C64" s="33">
        <f>(1/(9+Rules!$B$5))^2</f>
        <v>5.9171597633136102E-3</v>
      </c>
      <c r="D64" s="33">
        <f>(1/(9+Rules!$B$5))^2</f>
        <v>5.9171597633136102E-3</v>
      </c>
      <c r="E64" s="33">
        <f>(1/(9+Rules!$B$5))^2</f>
        <v>5.9171597633136102E-3</v>
      </c>
      <c r="F64" s="33">
        <f>(1/(9+Rules!$B$5))^2</f>
        <v>5.9171597633136102E-3</v>
      </c>
      <c r="G64" s="33">
        <f>(1/(9+Rules!$B$5))^2</f>
        <v>5.9171597633136102E-3</v>
      </c>
      <c r="H64" s="33">
        <f>(1/(9+Rules!$B$5))^2</f>
        <v>5.9171597633136102E-3</v>
      </c>
      <c r="I64" s="33">
        <f>(1/(9+Rules!$B$5))^2</f>
        <v>5.9171597633136102E-3</v>
      </c>
      <c r="K64" s="33">
        <f>(1/(9+Rules!$B$5))*(Rules!$B$5/(9+Rules!$B$5))</f>
        <v>2.3668639053254441E-2</v>
      </c>
    </row>
    <row r="65" spans="1:10" x14ac:dyDescent="0.2">
      <c r="A65" s="41">
        <v>10</v>
      </c>
      <c r="B65" s="41"/>
      <c r="C65" s="33">
        <f>(1/(9+Rules!$B$5))*(Rules!$B$5/(9+Rules!$B$5))</f>
        <v>2.3668639053254441E-2</v>
      </c>
      <c r="D65" s="33">
        <f>(1/(9+Rules!$B$5))*(Rules!$B$5/(9+Rules!$B$5))</f>
        <v>2.3668639053254441E-2</v>
      </c>
      <c r="E65" s="33">
        <f>(1/(9+Rules!$B$5))*(Rules!$B$5/(9+Rules!$B$5))</f>
        <v>2.3668639053254441E-2</v>
      </c>
      <c r="F65" s="33">
        <f>(1/(9+Rules!$B$5))*(Rules!$B$5/(9+Rules!$B$5))</f>
        <v>2.3668639053254441E-2</v>
      </c>
      <c r="G65" s="33">
        <f>(1/(9+Rules!$B$5))*(Rules!$B$5/(9+Rules!$B$5))</f>
        <v>2.3668639053254441E-2</v>
      </c>
      <c r="H65" s="33">
        <f>(1/(9+Rules!$B$5))*(Rules!$B$5/(9+Rules!$B$5))</f>
        <v>2.3668639053254441E-2</v>
      </c>
      <c r="I65" s="33">
        <f>(1/(9+Rules!$B$5))*(Rules!$B$5/(9+Rules!$B$5))</f>
        <v>2.3668639053254441E-2</v>
      </c>
      <c r="J65" s="33">
        <f>(1/(9+Rules!$B$5))*(Rules!$B$5/(9+Rules!$B$5))</f>
        <v>2.3668639053254441E-2</v>
      </c>
    </row>
    <row r="66" spans="1:10" x14ac:dyDescent="0.2">
      <c r="A66" s="41" t="s">
        <v>1</v>
      </c>
      <c r="B66" s="41"/>
    </row>
    <row r="68" spans="1:10" x14ac:dyDescent="0.2">
      <c r="A68" s="41"/>
      <c r="B68" s="41"/>
    </row>
    <row r="69" spans="1:10" x14ac:dyDescent="0.2">
      <c r="A69" s="33" t="s">
        <v>9</v>
      </c>
      <c r="C69" s="33" t="s">
        <v>14</v>
      </c>
      <c r="E69" s="33" t="s">
        <v>15</v>
      </c>
    </row>
    <row r="70" spans="1:10" ht="16" x14ac:dyDescent="0.2">
      <c r="A70" s="33">
        <v>5</v>
      </c>
      <c r="C70" s="33">
        <f t="shared" ref="C70:C84" si="2">SUMIF($C$44:$K$52,A70,$C$57:$K$65)</f>
        <v>1.183431952662722E-2</v>
      </c>
      <c r="E70" s="42">
        <f>C70</f>
        <v>1.183431952662722E-2</v>
      </c>
    </row>
    <row r="71" spans="1:10" ht="16" x14ac:dyDescent="0.2">
      <c r="A71" s="33">
        <v>6</v>
      </c>
      <c r="C71" s="33">
        <f t="shared" si="2"/>
        <v>1.183431952662722E-2</v>
      </c>
      <c r="E71" s="42">
        <f t="shared" ref="E71:E84" si="3">C71</f>
        <v>1.183431952662722E-2</v>
      </c>
    </row>
    <row r="72" spans="1:10" ht="16" x14ac:dyDescent="0.2">
      <c r="A72" s="33">
        <v>7</v>
      </c>
      <c r="C72" s="33">
        <f t="shared" si="2"/>
        <v>2.3668639053254441E-2</v>
      </c>
      <c r="E72" s="42">
        <f t="shared" si="3"/>
        <v>2.3668639053254441E-2</v>
      </c>
    </row>
    <row r="73" spans="1:10" ht="16" x14ac:dyDescent="0.2">
      <c r="A73" s="33">
        <v>8</v>
      </c>
      <c r="C73" s="33">
        <f t="shared" si="2"/>
        <v>2.3668639053254441E-2</v>
      </c>
      <c r="E73" s="42">
        <f t="shared" si="3"/>
        <v>2.3668639053254441E-2</v>
      </c>
    </row>
    <row r="74" spans="1:10" ht="16" x14ac:dyDescent="0.2">
      <c r="A74" s="33">
        <v>9</v>
      </c>
      <c r="C74" s="33">
        <f t="shared" si="2"/>
        <v>3.5502958579881665E-2</v>
      </c>
      <c r="E74" s="42">
        <f t="shared" si="3"/>
        <v>3.5502958579881665E-2</v>
      </c>
    </row>
    <row r="75" spans="1:10" ht="16" x14ac:dyDescent="0.2">
      <c r="A75" s="33">
        <v>10</v>
      </c>
      <c r="C75" s="33">
        <f t="shared" si="2"/>
        <v>3.5502958579881665E-2</v>
      </c>
      <c r="E75" s="42">
        <f t="shared" si="3"/>
        <v>3.5502958579881665E-2</v>
      </c>
    </row>
    <row r="76" spans="1:10" ht="16" x14ac:dyDescent="0.2">
      <c r="A76" s="33">
        <v>11</v>
      </c>
      <c r="C76" s="33">
        <f t="shared" si="2"/>
        <v>4.7337278106508889E-2</v>
      </c>
      <c r="E76" s="42">
        <f t="shared" si="3"/>
        <v>4.7337278106508889E-2</v>
      </c>
    </row>
    <row r="77" spans="1:10" ht="16" x14ac:dyDescent="0.2">
      <c r="A77" s="33">
        <v>12</v>
      </c>
      <c r="C77" s="33">
        <f t="shared" si="2"/>
        <v>8.2840236686390553E-2</v>
      </c>
      <c r="E77" s="42">
        <f t="shared" si="3"/>
        <v>8.2840236686390553E-2</v>
      </c>
    </row>
    <row r="78" spans="1:10" ht="16" x14ac:dyDescent="0.2">
      <c r="A78" s="33">
        <v>13</v>
      </c>
      <c r="C78" s="33">
        <f t="shared" si="2"/>
        <v>8.2840236686390553E-2</v>
      </c>
      <c r="E78" s="42">
        <f t="shared" si="3"/>
        <v>8.2840236686390553E-2</v>
      </c>
    </row>
    <row r="79" spans="1:10" ht="16" x14ac:dyDescent="0.2">
      <c r="A79" s="33">
        <v>14</v>
      </c>
      <c r="C79" s="33">
        <f t="shared" si="2"/>
        <v>7.1005917159763329E-2</v>
      </c>
      <c r="E79" s="42">
        <f t="shared" si="3"/>
        <v>7.1005917159763329E-2</v>
      </c>
    </row>
    <row r="80" spans="1:10" ht="16" x14ac:dyDescent="0.2">
      <c r="A80" s="33">
        <v>15</v>
      </c>
      <c r="C80" s="33">
        <f t="shared" si="2"/>
        <v>7.1005917159763329E-2</v>
      </c>
      <c r="E80" s="42">
        <f t="shared" si="3"/>
        <v>7.1005917159763329E-2</v>
      </c>
    </row>
    <row r="81" spans="1:5" ht="16" x14ac:dyDescent="0.2">
      <c r="A81" s="33">
        <v>16</v>
      </c>
      <c r="C81" s="33">
        <f t="shared" si="2"/>
        <v>5.9171597633136105E-2</v>
      </c>
      <c r="E81" s="42">
        <f t="shared" si="3"/>
        <v>5.9171597633136105E-2</v>
      </c>
    </row>
    <row r="82" spans="1:5" ht="16" x14ac:dyDescent="0.2">
      <c r="A82" s="33">
        <v>17</v>
      </c>
      <c r="C82" s="33">
        <f t="shared" si="2"/>
        <v>5.9171597633136105E-2</v>
      </c>
      <c r="E82" s="42">
        <f t="shared" si="3"/>
        <v>5.9171597633136105E-2</v>
      </c>
    </row>
    <row r="83" spans="1:5" ht="16" x14ac:dyDescent="0.2">
      <c r="A83" s="33">
        <v>18</v>
      </c>
      <c r="C83" s="33">
        <f t="shared" si="2"/>
        <v>4.7337278106508882E-2</v>
      </c>
      <c r="E83" s="42">
        <f t="shared" si="3"/>
        <v>4.7337278106508882E-2</v>
      </c>
    </row>
    <row r="84" spans="1:5" ht="16" x14ac:dyDescent="0.2">
      <c r="A84" s="33">
        <v>19</v>
      </c>
      <c r="C84" s="33">
        <f t="shared" si="2"/>
        <v>4.7337278106508882E-2</v>
      </c>
      <c r="E84" s="42">
        <f t="shared" si="3"/>
        <v>4.7337278106508882E-2</v>
      </c>
    </row>
    <row r="86" spans="1:5" x14ac:dyDescent="0.2">
      <c r="C86" s="33">
        <f>SUM(C70:C85)</f>
        <v>0.71005917159763332</v>
      </c>
    </row>
  </sheetData>
  <sheetProtection sheet="1" objects="1" scenarios="1"/>
  <phoneticPr fontId="14" type="noConversion"/>
  <conditionalFormatting sqref="B18:K26 B28:K38 B2:K16">
    <cfRule type="containsText" dxfId="66" priority="15" operator="containsText" text="R">
      <formula>NOT(ISERROR(SEARCH("R",B2)))</formula>
    </cfRule>
    <cfRule type="containsText" dxfId="65" priority="16" operator="containsText" text="D">
      <formula>NOT(ISERROR(SEARCH("D",B2)))</formula>
    </cfRule>
    <cfRule type="containsText" dxfId="64" priority="17" operator="containsText" text="S">
      <formula>NOT(ISERROR(SEARCH("S",B2)))</formula>
    </cfRule>
    <cfRule type="containsText" dxfId="63" priority="18" operator="containsText" text="H">
      <formula>NOT(ISERROR(SEARCH("H",B2)))</formula>
    </cfRule>
  </conditionalFormatting>
  <conditionalFormatting sqref="B18:K26 B28:K38 B2:K16">
    <cfRule type="containsText" dxfId="62" priority="14" operator="containsText" text="P">
      <formula>NOT(ISERROR(SEARCH("P",B2)))</formula>
    </cfRule>
  </conditionalFormatting>
  <conditionalFormatting sqref="C42">
    <cfRule type="containsText" dxfId="61" priority="10" operator="containsText" text="R">
      <formula>NOT(ISERROR(SEARCH("R",C42)))</formula>
    </cfRule>
    <cfRule type="containsText" dxfId="60" priority="11" operator="containsText" text="D">
      <formula>NOT(ISERROR(SEARCH("D",C42)))</formula>
    </cfRule>
    <cfRule type="containsText" dxfId="59" priority="12" operator="containsText" text="S">
      <formula>NOT(ISERROR(SEARCH("S",C42)))</formula>
    </cfRule>
    <cfRule type="containsText" dxfId="58" priority="13" operator="containsText" text="H">
      <formula>NOT(ISERROR(SEARCH("H",C42)))</formula>
    </cfRule>
  </conditionalFormatting>
  <conditionalFormatting sqref="C42">
    <cfRule type="containsText" dxfId="57" priority="9" operator="containsText" text="P">
      <formula>NOT(ISERROR(SEARCH("P",C42)))</formula>
    </cfRule>
  </conditionalFormatting>
  <conditionalFormatting sqref="C55">
    <cfRule type="containsText" dxfId="56" priority="5" operator="containsText" text="R">
      <formula>NOT(ISERROR(SEARCH("R",C55)))</formula>
    </cfRule>
    <cfRule type="containsText" dxfId="55" priority="6" operator="containsText" text="D">
      <formula>NOT(ISERROR(SEARCH("D",C55)))</formula>
    </cfRule>
    <cfRule type="containsText" dxfId="54" priority="7" operator="containsText" text="S">
      <formula>NOT(ISERROR(SEARCH("S",C55)))</formula>
    </cfRule>
    <cfRule type="containsText" dxfId="53" priority="8" operator="containsText" text="H">
      <formula>NOT(ISERROR(SEARCH("H",C55)))</formula>
    </cfRule>
  </conditionalFormatting>
  <conditionalFormatting sqref="C55">
    <cfRule type="containsText" dxfId="52" priority="4" operator="containsText" text="P">
      <formula>NOT(ISERROR(SEARCH("P",C55)))</formula>
    </cfRule>
  </conditionalFormatting>
  <conditionalFormatting sqref="B2:K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K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K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22"/>
  <sheetViews>
    <sheetView topLeftCell="C93" zoomScale="85" workbookViewId="0">
      <selection activeCell="K9" sqref="K9"/>
    </sheetView>
  </sheetViews>
  <sheetFormatPr baseColWidth="10" defaultRowHeight="16" x14ac:dyDescent="0.2"/>
  <cols>
    <col min="2" max="3" width="12" bestFit="1" customWidth="1"/>
  </cols>
  <sheetData>
    <row r="2" spans="1:18" x14ac:dyDescent="0.2">
      <c r="A2" s="33"/>
      <c r="B2" s="33"/>
      <c r="C2" s="40" t="s">
        <v>12</v>
      </c>
      <c r="D2" s="33"/>
      <c r="E2" s="33"/>
      <c r="F2" s="33"/>
      <c r="G2" s="33"/>
      <c r="H2" s="33"/>
      <c r="I2" s="33"/>
      <c r="J2" s="33"/>
      <c r="K2" s="33"/>
      <c r="N2" t="s">
        <v>123</v>
      </c>
      <c r="O2" t="s">
        <v>14</v>
      </c>
      <c r="Q2" t="s">
        <v>124</v>
      </c>
      <c r="R2" t="s">
        <v>14</v>
      </c>
    </row>
    <row r="3" spans="1:18" x14ac:dyDescent="0.2">
      <c r="A3" s="41" t="s">
        <v>13</v>
      </c>
      <c r="B3" s="41"/>
      <c r="C3" s="41">
        <v>2</v>
      </c>
      <c r="D3" s="41">
        <v>3</v>
      </c>
      <c r="E3" s="41">
        <v>4</v>
      </c>
      <c r="F3" s="41">
        <v>5</v>
      </c>
      <c r="G3" s="41">
        <v>6</v>
      </c>
      <c r="H3" s="41">
        <v>7</v>
      </c>
      <c r="I3" s="41">
        <v>8</v>
      </c>
      <c r="J3" s="41">
        <v>9</v>
      </c>
      <c r="K3" s="41">
        <v>10</v>
      </c>
      <c r="L3" s="244">
        <v>1</v>
      </c>
      <c r="N3" s="242">
        <v>4</v>
      </c>
      <c r="O3">
        <f>SUMIF($C$4:$K$12,N3,$C$17:$K$25)</f>
        <v>5.9171597633136093E-3</v>
      </c>
      <c r="Q3">
        <v>12</v>
      </c>
      <c r="R3">
        <f>SUMIF($L$4:$L$13,Q3,$L$17:$L$26)+SUMIF($C$13:$K$13,Q3,$C$26:$K$26)</f>
        <v>5.9171597633136093E-3</v>
      </c>
    </row>
    <row r="4" spans="1:18" x14ac:dyDescent="0.2">
      <c r="A4" s="41">
        <v>2</v>
      </c>
      <c r="B4" s="41"/>
      <c r="C4" s="33">
        <f>SUM(C$3,$A4)</f>
        <v>4</v>
      </c>
      <c r="D4" s="33">
        <f t="shared" ref="D4:K4" si="0">SUM(D$3,$A4)</f>
        <v>5</v>
      </c>
      <c r="E4" s="33">
        <f t="shared" si="0"/>
        <v>6</v>
      </c>
      <c r="F4" s="33">
        <f t="shared" si="0"/>
        <v>7</v>
      </c>
      <c r="G4" s="33">
        <f t="shared" si="0"/>
        <v>8</v>
      </c>
      <c r="H4" s="33">
        <f t="shared" si="0"/>
        <v>9</v>
      </c>
      <c r="I4" s="33">
        <f t="shared" si="0"/>
        <v>10</v>
      </c>
      <c r="J4" s="33">
        <f t="shared" si="0"/>
        <v>11</v>
      </c>
      <c r="K4" s="33">
        <f t="shared" si="0"/>
        <v>12</v>
      </c>
      <c r="L4" s="33">
        <f>SUM(L$3,$A4)+10</f>
        <v>13</v>
      </c>
      <c r="N4" s="243">
        <v>5</v>
      </c>
      <c r="O4">
        <f t="shared" ref="O4:O19" si="1">SUMIF($C$4:$K$12,N4,$C$17:$K$25)</f>
        <v>1.183431952662722E-2</v>
      </c>
      <c r="Q4">
        <v>13</v>
      </c>
      <c r="R4">
        <f>SUMIF($L$4:$L$13,Q4,$L$17:$L$26)+SUMIF($C$13:$K$13,Q4,$C$26:$K$26)</f>
        <v>1.183431952662722E-2</v>
      </c>
    </row>
    <row r="5" spans="1:18" x14ac:dyDescent="0.2">
      <c r="A5" s="41">
        <v>3</v>
      </c>
      <c r="B5" s="41"/>
      <c r="C5" s="33">
        <f t="shared" ref="C5:K12" si="2">SUM(C$3,$A5)</f>
        <v>5</v>
      </c>
      <c r="D5" s="33">
        <f t="shared" si="2"/>
        <v>6</v>
      </c>
      <c r="E5" s="33">
        <f t="shared" si="2"/>
        <v>7</v>
      </c>
      <c r="F5" s="33">
        <f t="shared" si="2"/>
        <v>8</v>
      </c>
      <c r="G5" s="33">
        <f t="shared" si="2"/>
        <v>9</v>
      </c>
      <c r="H5" s="33">
        <f t="shared" si="2"/>
        <v>10</v>
      </c>
      <c r="I5" s="33">
        <f t="shared" si="2"/>
        <v>11</v>
      </c>
      <c r="J5" s="33">
        <f t="shared" si="2"/>
        <v>12</v>
      </c>
      <c r="K5" s="33">
        <f t="shared" si="2"/>
        <v>13</v>
      </c>
      <c r="L5" s="33">
        <f t="shared" ref="L5:L13" si="3">SUM(L$3,$A5)+10</f>
        <v>14</v>
      </c>
      <c r="N5" s="242">
        <v>6</v>
      </c>
      <c r="O5">
        <f t="shared" si="1"/>
        <v>1.7751479289940829E-2</v>
      </c>
      <c r="Q5">
        <v>14</v>
      </c>
      <c r="R5">
        <f t="shared" ref="R5:R12" si="4">SUMIF($L$4:$L$13,Q5,$L$17:$L$26)+SUMIF($C$13:$K$13,Q5,$C$26:$K$26)</f>
        <v>1.183431952662722E-2</v>
      </c>
    </row>
    <row r="6" spans="1:18" x14ac:dyDescent="0.2">
      <c r="A6" s="41">
        <v>4</v>
      </c>
      <c r="B6" s="41"/>
      <c r="C6" s="33">
        <f t="shared" si="2"/>
        <v>6</v>
      </c>
      <c r="D6" s="33">
        <f t="shared" si="2"/>
        <v>7</v>
      </c>
      <c r="E6" s="33">
        <f t="shared" si="2"/>
        <v>8</v>
      </c>
      <c r="F6" s="33">
        <f t="shared" si="2"/>
        <v>9</v>
      </c>
      <c r="G6" s="33">
        <f t="shared" si="2"/>
        <v>10</v>
      </c>
      <c r="H6" s="33">
        <f t="shared" si="2"/>
        <v>11</v>
      </c>
      <c r="I6" s="33">
        <f t="shared" si="2"/>
        <v>12</v>
      </c>
      <c r="J6" s="33">
        <f t="shared" si="2"/>
        <v>13</v>
      </c>
      <c r="K6" s="33">
        <f t="shared" si="2"/>
        <v>14</v>
      </c>
      <c r="L6" s="33">
        <f t="shared" si="3"/>
        <v>15</v>
      </c>
      <c r="N6" s="243">
        <v>7</v>
      </c>
      <c r="O6">
        <f t="shared" si="1"/>
        <v>2.3668639053254441E-2</v>
      </c>
      <c r="Q6">
        <v>15</v>
      </c>
      <c r="R6">
        <f t="shared" si="4"/>
        <v>1.183431952662722E-2</v>
      </c>
    </row>
    <row r="7" spans="1:18" x14ac:dyDescent="0.2">
      <c r="A7" s="41">
        <v>5</v>
      </c>
      <c r="B7" s="41"/>
      <c r="C7" s="33">
        <f t="shared" si="2"/>
        <v>7</v>
      </c>
      <c r="D7" s="33">
        <f t="shared" si="2"/>
        <v>8</v>
      </c>
      <c r="E7" s="33">
        <f t="shared" si="2"/>
        <v>9</v>
      </c>
      <c r="F7" s="33">
        <f t="shared" si="2"/>
        <v>10</v>
      </c>
      <c r="G7" s="33">
        <f t="shared" si="2"/>
        <v>11</v>
      </c>
      <c r="H7" s="33">
        <f t="shared" si="2"/>
        <v>12</v>
      </c>
      <c r="I7" s="33">
        <f t="shared" si="2"/>
        <v>13</v>
      </c>
      <c r="J7" s="33">
        <f t="shared" si="2"/>
        <v>14</v>
      </c>
      <c r="K7" s="33">
        <f t="shared" si="2"/>
        <v>15</v>
      </c>
      <c r="L7" s="33">
        <f t="shared" si="3"/>
        <v>16</v>
      </c>
      <c r="N7" s="242">
        <v>8</v>
      </c>
      <c r="O7">
        <f t="shared" si="1"/>
        <v>2.9585798816568053E-2</v>
      </c>
      <c r="Q7">
        <v>16</v>
      </c>
      <c r="R7">
        <f t="shared" si="4"/>
        <v>1.183431952662722E-2</v>
      </c>
    </row>
    <row r="8" spans="1:18" x14ac:dyDescent="0.2">
      <c r="A8" s="41">
        <v>6</v>
      </c>
      <c r="B8" s="41"/>
      <c r="C8" s="33">
        <f t="shared" si="2"/>
        <v>8</v>
      </c>
      <c r="D8" s="33">
        <f t="shared" si="2"/>
        <v>9</v>
      </c>
      <c r="E8" s="33">
        <f t="shared" si="2"/>
        <v>10</v>
      </c>
      <c r="F8" s="33">
        <f t="shared" si="2"/>
        <v>11</v>
      </c>
      <c r="G8" s="33">
        <f t="shared" si="2"/>
        <v>12</v>
      </c>
      <c r="H8" s="33">
        <f t="shared" si="2"/>
        <v>13</v>
      </c>
      <c r="I8" s="33">
        <f t="shared" si="2"/>
        <v>14</v>
      </c>
      <c r="J8" s="33">
        <f t="shared" si="2"/>
        <v>15</v>
      </c>
      <c r="K8" s="33">
        <f t="shared" si="2"/>
        <v>16</v>
      </c>
      <c r="L8" s="33">
        <f t="shared" si="3"/>
        <v>17</v>
      </c>
      <c r="N8" s="243">
        <v>9</v>
      </c>
      <c r="O8">
        <f t="shared" si="1"/>
        <v>3.5502958579881665E-2</v>
      </c>
      <c r="Q8">
        <v>17</v>
      </c>
      <c r="R8">
        <f t="shared" si="4"/>
        <v>1.183431952662722E-2</v>
      </c>
    </row>
    <row r="9" spans="1:18" x14ac:dyDescent="0.2">
      <c r="A9" s="41">
        <v>7</v>
      </c>
      <c r="B9" s="41"/>
      <c r="C9" s="33">
        <f t="shared" si="2"/>
        <v>9</v>
      </c>
      <c r="D9" s="33">
        <f t="shared" si="2"/>
        <v>10</v>
      </c>
      <c r="E9" s="33">
        <f t="shared" si="2"/>
        <v>11</v>
      </c>
      <c r="F9" s="33">
        <f t="shared" si="2"/>
        <v>12</v>
      </c>
      <c r="G9" s="33">
        <f t="shared" si="2"/>
        <v>13</v>
      </c>
      <c r="H9" s="33">
        <f t="shared" si="2"/>
        <v>14</v>
      </c>
      <c r="I9" s="33">
        <f t="shared" si="2"/>
        <v>15</v>
      </c>
      <c r="J9" s="33">
        <f t="shared" si="2"/>
        <v>16</v>
      </c>
      <c r="K9" s="33">
        <f t="shared" si="2"/>
        <v>17</v>
      </c>
      <c r="L9" s="33">
        <f t="shared" si="3"/>
        <v>18</v>
      </c>
      <c r="N9" s="242">
        <v>10</v>
      </c>
      <c r="O9">
        <f t="shared" si="1"/>
        <v>4.142011834319527E-2</v>
      </c>
      <c r="Q9">
        <v>18</v>
      </c>
      <c r="R9">
        <f t="shared" si="4"/>
        <v>1.183431952662722E-2</v>
      </c>
    </row>
    <row r="10" spans="1:18" x14ac:dyDescent="0.2">
      <c r="A10" s="41">
        <v>8</v>
      </c>
      <c r="B10" s="41"/>
      <c r="C10" s="33">
        <f t="shared" si="2"/>
        <v>10</v>
      </c>
      <c r="D10" s="33">
        <f t="shared" si="2"/>
        <v>11</v>
      </c>
      <c r="E10" s="33">
        <f t="shared" si="2"/>
        <v>12</v>
      </c>
      <c r="F10" s="33">
        <f t="shared" si="2"/>
        <v>13</v>
      </c>
      <c r="G10" s="33">
        <f t="shared" si="2"/>
        <v>14</v>
      </c>
      <c r="H10" s="33">
        <f t="shared" si="2"/>
        <v>15</v>
      </c>
      <c r="I10" s="33">
        <f t="shared" si="2"/>
        <v>16</v>
      </c>
      <c r="J10" s="33">
        <f t="shared" si="2"/>
        <v>17</v>
      </c>
      <c r="K10" s="33">
        <f t="shared" si="2"/>
        <v>18</v>
      </c>
      <c r="L10" s="33">
        <f t="shared" si="3"/>
        <v>19</v>
      </c>
      <c r="N10" s="243">
        <v>11</v>
      </c>
      <c r="O10">
        <f t="shared" si="1"/>
        <v>4.7337278106508889E-2</v>
      </c>
      <c r="Q10">
        <v>19</v>
      </c>
      <c r="R10">
        <f t="shared" si="4"/>
        <v>1.183431952662722E-2</v>
      </c>
    </row>
    <row r="11" spans="1:18" x14ac:dyDescent="0.2">
      <c r="A11" s="41">
        <v>9</v>
      </c>
      <c r="B11" s="41"/>
      <c r="C11" s="33">
        <f t="shared" si="2"/>
        <v>11</v>
      </c>
      <c r="D11" s="33">
        <f t="shared" si="2"/>
        <v>12</v>
      </c>
      <c r="E11" s="33">
        <f t="shared" si="2"/>
        <v>13</v>
      </c>
      <c r="F11" s="33">
        <f t="shared" si="2"/>
        <v>14</v>
      </c>
      <c r="G11" s="33">
        <f t="shared" si="2"/>
        <v>15</v>
      </c>
      <c r="H11" s="33">
        <f t="shared" si="2"/>
        <v>16</v>
      </c>
      <c r="I11" s="33">
        <f t="shared" si="2"/>
        <v>17</v>
      </c>
      <c r="J11" s="33">
        <f t="shared" si="2"/>
        <v>18</v>
      </c>
      <c r="K11" s="33">
        <f t="shared" si="2"/>
        <v>19</v>
      </c>
      <c r="L11" s="33">
        <f t="shared" si="3"/>
        <v>20</v>
      </c>
      <c r="N11" s="242">
        <v>12</v>
      </c>
      <c r="O11">
        <f t="shared" si="1"/>
        <v>8.8757396449704151E-2</v>
      </c>
      <c r="Q11">
        <v>20</v>
      </c>
      <c r="R11">
        <f t="shared" si="4"/>
        <v>1.183431952662722E-2</v>
      </c>
    </row>
    <row r="12" spans="1:18" x14ac:dyDescent="0.2">
      <c r="A12" s="41">
        <v>10</v>
      </c>
      <c r="B12" s="41"/>
      <c r="C12" s="33">
        <f t="shared" si="2"/>
        <v>12</v>
      </c>
      <c r="D12" s="33">
        <f t="shared" si="2"/>
        <v>13</v>
      </c>
      <c r="E12" s="33">
        <f t="shared" si="2"/>
        <v>14</v>
      </c>
      <c r="F12" s="33">
        <f t="shared" si="2"/>
        <v>15</v>
      </c>
      <c r="G12" s="33">
        <f t="shared" si="2"/>
        <v>16</v>
      </c>
      <c r="H12" s="33">
        <f t="shared" si="2"/>
        <v>17</v>
      </c>
      <c r="I12" s="33">
        <f t="shared" si="2"/>
        <v>18</v>
      </c>
      <c r="J12" s="33">
        <f t="shared" si="2"/>
        <v>19</v>
      </c>
      <c r="K12" s="33">
        <f t="shared" si="2"/>
        <v>20</v>
      </c>
      <c r="L12" s="33">
        <f t="shared" si="3"/>
        <v>21</v>
      </c>
      <c r="N12" s="243">
        <v>13</v>
      </c>
      <c r="O12">
        <f t="shared" si="1"/>
        <v>8.2840236686390553E-2</v>
      </c>
      <c r="Q12">
        <v>21</v>
      </c>
      <c r="R12">
        <f t="shared" si="4"/>
        <v>4.7337278106508882E-2</v>
      </c>
    </row>
    <row r="13" spans="1:18" x14ac:dyDescent="0.2">
      <c r="A13" s="41">
        <v>1</v>
      </c>
      <c r="B13" s="41"/>
      <c r="C13" s="33">
        <f t="shared" ref="C13:K13" si="5">SUM(C$3,$A13)+10</f>
        <v>13</v>
      </c>
      <c r="D13" s="33">
        <f t="shared" si="5"/>
        <v>14</v>
      </c>
      <c r="E13" s="33">
        <f t="shared" si="5"/>
        <v>15</v>
      </c>
      <c r="F13" s="33">
        <f t="shared" si="5"/>
        <v>16</v>
      </c>
      <c r="G13" s="33">
        <f t="shared" si="5"/>
        <v>17</v>
      </c>
      <c r="H13" s="33">
        <f t="shared" si="5"/>
        <v>18</v>
      </c>
      <c r="I13" s="33">
        <f t="shared" si="5"/>
        <v>19</v>
      </c>
      <c r="J13" s="33">
        <f t="shared" si="5"/>
        <v>20</v>
      </c>
      <c r="K13" s="33">
        <f t="shared" si="5"/>
        <v>21</v>
      </c>
      <c r="L13" s="33">
        <f t="shared" si="3"/>
        <v>12</v>
      </c>
      <c r="N13" s="242">
        <v>14</v>
      </c>
      <c r="O13">
        <f t="shared" si="1"/>
        <v>7.6923076923076941E-2</v>
      </c>
    </row>
    <row r="14" spans="1:18" x14ac:dyDescent="0.2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N14" s="243">
        <v>15</v>
      </c>
      <c r="O14">
        <f t="shared" si="1"/>
        <v>7.1005917159763329E-2</v>
      </c>
      <c r="R14">
        <f>SUM(R3:R13)</f>
        <v>0.14792899408284027</v>
      </c>
    </row>
    <row r="15" spans="1:18" x14ac:dyDescent="0.2">
      <c r="A15" s="33"/>
      <c r="B15" s="33"/>
      <c r="C15" s="40" t="s">
        <v>12</v>
      </c>
      <c r="D15" s="33"/>
      <c r="E15" s="33"/>
      <c r="F15" s="33"/>
      <c r="G15" s="33"/>
      <c r="H15" s="33"/>
      <c r="I15" s="33"/>
      <c r="J15" s="33"/>
      <c r="K15" s="33"/>
      <c r="N15" s="242">
        <v>16</v>
      </c>
      <c r="O15">
        <f t="shared" si="1"/>
        <v>6.5088757396449717E-2</v>
      </c>
      <c r="R15">
        <f>R14+O23</f>
        <v>1.0000000000000002</v>
      </c>
    </row>
    <row r="16" spans="1:18" x14ac:dyDescent="0.2">
      <c r="A16" s="41" t="s">
        <v>13</v>
      </c>
      <c r="B16" s="41"/>
      <c r="C16" s="41">
        <v>2</v>
      </c>
      <c r="D16" s="41">
        <v>3</v>
      </c>
      <c r="E16" s="41">
        <v>4</v>
      </c>
      <c r="F16" s="41">
        <v>5</v>
      </c>
      <c r="G16" s="41">
        <v>6</v>
      </c>
      <c r="H16" s="41">
        <v>7</v>
      </c>
      <c r="I16" s="41">
        <v>8</v>
      </c>
      <c r="J16" s="41">
        <v>9</v>
      </c>
      <c r="K16" s="41">
        <v>10</v>
      </c>
      <c r="L16" s="244">
        <v>1</v>
      </c>
      <c r="N16" s="243">
        <v>17</v>
      </c>
      <c r="O16">
        <f t="shared" si="1"/>
        <v>5.9171597633136105E-2</v>
      </c>
    </row>
    <row r="17" spans="1:32" x14ac:dyDescent="0.2">
      <c r="A17" s="41">
        <v>2</v>
      </c>
      <c r="B17" s="41"/>
      <c r="C17" s="33">
        <f>1/(9+Rules!$B$5)^2</f>
        <v>5.9171597633136093E-3</v>
      </c>
      <c r="D17" s="33">
        <f>(1/(9+Rules!$B$5))^2</f>
        <v>5.9171597633136102E-3</v>
      </c>
      <c r="E17" s="33">
        <f>(1/(9+Rules!$B$5))^2</f>
        <v>5.9171597633136102E-3</v>
      </c>
      <c r="F17" s="33">
        <f>(1/(9+Rules!$B$5))^2</f>
        <v>5.9171597633136102E-3</v>
      </c>
      <c r="G17" s="33">
        <f>(1/(9+Rules!$B$5))^2</f>
        <v>5.9171597633136102E-3</v>
      </c>
      <c r="H17" s="33">
        <f>(1/(9+Rules!$B$5))^2</f>
        <v>5.9171597633136102E-3</v>
      </c>
      <c r="I17" s="33">
        <f>(1/(9+Rules!$B$5))^2</f>
        <v>5.9171597633136102E-3</v>
      </c>
      <c r="J17" s="33">
        <f>(1/(9+Rules!$B$5))^2</f>
        <v>5.9171597633136102E-3</v>
      </c>
      <c r="K17" s="33">
        <f>(1/(9+Rules!$B$5))*(Rules!$B$5/(9+Rules!$B$5))</f>
        <v>2.3668639053254441E-2</v>
      </c>
      <c r="L17" s="33">
        <f>(1/(9+Rules!$B$5))^2</f>
        <v>5.9171597633136102E-3</v>
      </c>
      <c r="N17" s="242">
        <v>18</v>
      </c>
      <c r="O17">
        <f t="shared" si="1"/>
        <v>5.3254437869822494E-2</v>
      </c>
    </row>
    <row r="18" spans="1:32" x14ac:dyDescent="0.2">
      <c r="A18" s="41">
        <v>3</v>
      </c>
      <c r="B18" s="41"/>
      <c r="C18" s="33">
        <f>(1/(9+Rules!$B$5))^2</f>
        <v>5.9171597633136102E-3</v>
      </c>
      <c r="D18" s="33">
        <f>1/(9+Rules!$B$5)^2</f>
        <v>5.9171597633136093E-3</v>
      </c>
      <c r="E18" s="33">
        <f>(1/(9+Rules!$B$5))^2</f>
        <v>5.9171597633136102E-3</v>
      </c>
      <c r="F18" s="33">
        <f>(1/(9+Rules!$B$5))^2</f>
        <v>5.9171597633136102E-3</v>
      </c>
      <c r="G18" s="33">
        <f>(1/(9+Rules!$B$5))^2</f>
        <v>5.9171597633136102E-3</v>
      </c>
      <c r="H18" s="33">
        <f>(1/(9+Rules!$B$5))^2</f>
        <v>5.9171597633136102E-3</v>
      </c>
      <c r="I18" s="33">
        <f>(1/(9+Rules!$B$5))^2</f>
        <v>5.9171597633136102E-3</v>
      </c>
      <c r="J18" s="33">
        <f>(1/(9+Rules!$B$5))^2</f>
        <v>5.9171597633136102E-3</v>
      </c>
      <c r="K18" s="33">
        <f>(1/(9+Rules!$B$5))*(Rules!$B$5/(9+Rules!$B$5))</f>
        <v>2.3668639053254441E-2</v>
      </c>
      <c r="L18" s="33">
        <f>(1/(9+Rules!$B$5))^2</f>
        <v>5.9171597633136102E-3</v>
      </c>
      <c r="N18" s="243">
        <v>19</v>
      </c>
      <c r="O18">
        <f t="shared" si="1"/>
        <v>4.7337278106508882E-2</v>
      </c>
    </row>
    <row r="19" spans="1:32" x14ac:dyDescent="0.2">
      <c r="A19" s="41">
        <v>4</v>
      </c>
      <c r="B19" s="41"/>
      <c r="C19" s="33">
        <f>(1/(9+Rules!$B$5))^2</f>
        <v>5.9171597633136102E-3</v>
      </c>
      <c r="D19" s="33">
        <f>(1/(9+Rules!$B$5))^2</f>
        <v>5.9171597633136102E-3</v>
      </c>
      <c r="E19" s="33">
        <f>1/(9+Rules!$B$5)^2</f>
        <v>5.9171597633136093E-3</v>
      </c>
      <c r="F19" s="33">
        <f>(1/(9+Rules!$B$5))^2</f>
        <v>5.9171597633136102E-3</v>
      </c>
      <c r="G19" s="33">
        <f>(1/(9+Rules!$B$5))^2</f>
        <v>5.9171597633136102E-3</v>
      </c>
      <c r="H19" s="33">
        <f>(1/(9+Rules!$B$5))^2</f>
        <v>5.9171597633136102E-3</v>
      </c>
      <c r="I19" s="33">
        <f>(1/(9+Rules!$B$5))^2</f>
        <v>5.9171597633136102E-3</v>
      </c>
      <c r="J19" s="33">
        <f>(1/(9+Rules!$B$5))^2</f>
        <v>5.9171597633136102E-3</v>
      </c>
      <c r="K19" s="33">
        <f>(1/(9+Rules!$B$5))*(Rules!$B$5/(9+Rules!$B$5))</f>
        <v>2.3668639053254441E-2</v>
      </c>
      <c r="L19" s="33">
        <f>(1/(9+Rules!$B$5))^2</f>
        <v>5.9171597633136102E-3</v>
      </c>
      <c r="N19" s="242">
        <v>20</v>
      </c>
      <c r="O19">
        <f t="shared" si="1"/>
        <v>9.4674556213017763E-2</v>
      </c>
    </row>
    <row r="20" spans="1:32" x14ac:dyDescent="0.2">
      <c r="A20" s="41">
        <v>5</v>
      </c>
      <c r="B20" s="41"/>
      <c r="C20" s="33">
        <f>(1/(9+Rules!$B$5))^2</f>
        <v>5.9171597633136102E-3</v>
      </c>
      <c r="D20" s="33">
        <f>(1/(9+Rules!$B$5))^2</f>
        <v>5.9171597633136102E-3</v>
      </c>
      <c r="E20" s="33">
        <f>(1/(9+Rules!$B$5))^2</f>
        <v>5.9171597633136102E-3</v>
      </c>
      <c r="F20" s="33">
        <f>1/(9+Rules!$B$5)^2</f>
        <v>5.9171597633136093E-3</v>
      </c>
      <c r="G20" s="33">
        <f>(1/(9+Rules!$B$5))^2</f>
        <v>5.9171597633136102E-3</v>
      </c>
      <c r="H20" s="33">
        <f>(1/(9+Rules!$B$5))^2</f>
        <v>5.9171597633136102E-3</v>
      </c>
      <c r="I20" s="33">
        <f>(1/(9+Rules!$B$5))^2</f>
        <v>5.9171597633136102E-3</v>
      </c>
      <c r="J20" s="33">
        <f>(1/(9+Rules!$B$5))^2</f>
        <v>5.9171597633136102E-3</v>
      </c>
      <c r="K20" s="33">
        <f>(1/(9+Rules!$B$5))*(Rules!$B$5/(9+Rules!$B$5))</f>
        <v>2.3668639053254441E-2</v>
      </c>
      <c r="L20" s="33">
        <f>(1/(9+Rules!$B$5))^2</f>
        <v>5.9171597633136102E-3</v>
      </c>
    </row>
    <row r="21" spans="1:32" x14ac:dyDescent="0.2">
      <c r="A21" s="41">
        <v>6</v>
      </c>
      <c r="B21" s="41"/>
      <c r="C21" s="33">
        <f>(1/(9+Rules!$B$5))^2</f>
        <v>5.9171597633136102E-3</v>
      </c>
      <c r="D21" s="33">
        <f>(1/(9+Rules!$B$5))^2</f>
        <v>5.9171597633136102E-3</v>
      </c>
      <c r="E21" s="33">
        <f>(1/(9+Rules!$B$5))^2</f>
        <v>5.9171597633136102E-3</v>
      </c>
      <c r="F21" s="33">
        <f>(1/(9+Rules!$B$5))^2</f>
        <v>5.9171597633136102E-3</v>
      </c>
      <c r="G21" s="33">
        <f>1/(9+Rules!$B$5)^2</f>
        <v>5.9171597633136093E-3</v>
      </c>
      <c r="H21" s="33">
        <f>(1/(9+Rules!$B$5))^2</f>
        <v>5.9171597633136102E-3</v>
      </c>
      <c r="I21" s="33">
        <f>(1/(9+Rules!$B$5))^2</f>
        <v>5.9171597633136102E-3</v>
      </c>
      <c r="J21" s="33">
        <f>(1/(9+Rules!$B$5))^2</f>
        <v>5.9171597633136102E-3</v>
      </c>
      <c r="K21" s="33">
        <f>(1/(9+Rules!$B$5))*(Rules!$B$5/(9+Rules!$B$5))</f>
        <v>2.3668639053254441E-2</v>
      </c>
      <c r="L21" s="33">
        <f>(1/(9+Rules!$B$5))^2</f>
        <v>5.9171597633136102E-3</v>
      </c>
    </row>
    <row r="22" spans="1:32" x14ac:dyDescent="0.2">
      <c r="A22" s="41">
        <v>7</v>
      </c>
      <c r="B22" s="41"/>
      <c r="C22" s="33">
        <f>(1/(9+Rules!$B$5))^2</f>
        <v>5.9171597633136102E-3</v>
      </c>
      <c r="D22" s="33">
        <f>(1/(9+Rules!$B$5))^2</f>
        <v>5.9171597633136102E-3</v>
      </c>
      <c r="E22" s="33">
        <f>(1/(9+Rules!$B$5))^2</f>
        <v>5.9171597633136102E-3</v>
      </c>
      <c r="F22" s="33">
        <f>(1/(9+Rules!$B$5))^2</f>
        <v>5.9171597633136102E-3</v>
      </c>
      <c r="G22" s="33">
        <f>(1/(9+Rules!$B$5))^2</f>
        <v>5.9171597633136102E-3</v>
      </c>
      <c r="H22" s="33">
        <f>1/(9+Rules!$B$5)^2</f>
        <v>5.9171597633136093E-3</v>
      </c>
      <c r="I22" s="33">
        <f>(1/(9+Rules!$B$5))^2</f>
        <v>5.9171597633136102E-3</v>
      </c>
      <c r="J22" s="33">
        <f>(1/(9+Rules!$B$5))^2</f>
        <v>5.9171597633136102E-3</v>
      </c>
      <c r="K22" s="33">
        <f>(1/(9+Rules!$B$5))*(Rules!$B$5/(9+Rules!$B$5))</f>
        <v>2.3668639053254441E-2</v>
      </c>
      <c r="L22" s="33">
        <f>(1/(9+Rules!$B$5))^2</f>
        <v>5.9171597633136102E-3</v>
      </c>
    </row>
    <row r="23" spans="1:32" x14ac:dyDescent="0.2">
      <c r="A23" s="41">
        <v>8</v>
      </c>
      <c r="B23" s="41"/>
      <c r="C23" s="33">
        <f>(1/(9+Rules!$B$5))^2</f>
        <v>5.9171597633136102E-3</v>
      </c>
      <c r="D23" s="33">
        <f>(1/(9+Rules!$B$5))^2</f>
        <v>5.9171597633136102E-3</v>
      </c>
      <c r="E23" s="33">
        <f>(1/(9+Rules!$B$5))^2</f>
        <v>5.9171597633136102E-3</v>
      </c>
      <c r="F23" s="33">
        <f>(1/(9+Rules!$B$5))^2</f>
        <v>5.9171597633136102E-3</v>
      </c>
      <c r="G23" s="33">
        <f>(1/(9+Rules!$B$5))^2</f>
        <v>5.9171597633136102E-3</v>
      </c>
      <c r="H23" s="33">
        <f>(1/(9+Rules!$B$5))^2</f>
        <v>5.9171597633136102E-3</v>
      </c>
      <c r="I23" s="33">
        <f>1/(9+Rules!$B$5)^2</f>
        <v>5.9171597633136093E-3</v>
      </c>
      <c r="J23" s="33">
        <f>(1/(9+Rules!$B$5))^2</f>
        <v>5.9171597633136102E-3</v>
      </c>
      <c r="K23" s="33">
        <f>(1/(9+Rules!$B$5))*(Rules!$B$5/(9+Rules!$B$5))</f>
        <v>2.3668639053254441E-2</v>
      </c>
      <c r="L23" s="33">
        <f>(1/(9+Rules!$B$5))^2</f>
        <v>5.9171597633136102E-3</v>
      </c>
      <c r="O23">
        <f>SUM(O3:O22)</f>
        <v>0.8520710059171599</v>
      </c>
      <c r="S23" t="s">
        <v>130</v>
      </c>
      <c r="T23">
        <f>SUM(O16:O19,R10:R12)</f>
        <v>0.32544378698224863</v>
      </c>
    </row>
    <row r="24" spans="1:32" x14ac:dyDescent="0.2">
      <c r="A24" s="41">
        <v>9</v>
      </c>
      <c r="B24" s="41"/>
      <c r="C24" s="33">
        <f>(1/(9+Rules!$B$5))^2</f>
        <v>5.9171597633136102E-3</v>
      </c>
      <c r="D24" s="33">
        <f>(1/(9+Rules!$B$5))^2</f>
        <v>5.9171597633136102E-3</v>
      </c>
      <c r="E24" s="33">
        <f>(1/(9+Rules!$B$5))^2</f>
        <v>5.9171597633136102E-3</v>
      </c>
      <c r="F24" s="33">
        <f>(1/(9+Rules!$B$5))^2</f>
        <v>5.9171597633136102E-3</v>
      </c>
      <c r="G24" s="33">
        <f>(1/(9+Rules!$B$5))^2</f>
        <v>5.9171597633136102E-3</v>
      </c>
      <c r="H24" s="33">
        <f>(1/(9+Rules!$B$5))^2</f>
        <v>5.9171597633136102E-3</v>
      </c>
      <c r="I24" s="33">
        <f>(1/(9+Rules!$B$5))^2</f>
        <v>5.9171597633136102E-3</v>
      </c>
      <c r="J24" s="33">
        <f>1/(9+Rules!$B$5)^2</f>
        <v>5.9171597633136093E-3</v>
      </c>
      <c r="K24" s="33">
        <f>(1/(9+Rules!$B$5))*(Rules!$B$5/(9+Rules!$B$5))</f>
        <v>2.3668639053254441E-2</v>
      </c>
      <c r="L24" s="33">
        <f>(1/(9+Rules!$B$5))^2</f>
        <v>5.9171597633136102E-3</v>
      </c>
    </row>
    <row r="25" spans="1:32" x14ac:dyDescent="0.2">
      <c r="A25" s="41">
        <v>10</v>
      </c>
      <c r="B25" s="41"/>
      <c r="C25" s="33">
        <f>(1/(9+Rules!$B$5))*(Rules!$B$5/(9+Rules!$B$5))</f>
        <v>2.3668639053254441E-2</v>
      </c>
      <c r="D25" s="33">
        <f>(1/(9+Rules!$B$5))*(Rules!$B$5/(9+Rules!$B$5))</f>
        <v>2.3668639053254441E-2</v>
      </c>
      <c r="E25" s="33">
        <f>(1/(9+Rules!$B$5))*(Rules!$B$5/(9+Rules!$B$5))</f>
        <v>2.3668639053254441E-2</v>
      </c>
      <c r="F25" s="33">
        <f>(1/(9+Rules!$B$5))*(Rules!$B$5/(9+Rules!$B$5))</f>
        <v>2.3668639053254441E-2</v>
      </c>
      <c r="G25" s="33">
        <f>(1/(9+Rules!$B$5))*(Rules!$B$5/(9+Rules!$B$5))</f>
        <v>2.3668639053254441E-2</v>
      </c>
      <c r="H25" s="33">
        <f>(1/(9+Rules!$B$5))*(Rules!$B$5/(9+Rules!$B$5))</f>
        <v>2.3668639053254441E-2</v>
      </c>
      <c r="I25" s="33">
        <f>(1/(9+Rules!$B$5))*(Rules!$B$5/(9+Rules!$B$5))</f>
        <v>2.3668639053254441E-2</v>
      </c>
      <c r="J25" s="33">
        <f>(1/(9+Rules!$B$5))*(Rules!$B$5/(9+Rules!$B$5))</f>
        <v>2.3668639053254441E-2</v>
      </c>
      <c r="K25" s="33">
        <f>(Rules!$B$5/(9+Rules!$B$5))^2</f>
        <v>9.4674556213017763E-2</v>
      </c>
      <c r="L25" s="33">
        <f>(1/(9+Rules!$B$5))*(Rules!$B$5/(9+Rules!$B$5))</f>
        <v>2.3668639053254441E-2</v>
      </c>
    </row>
    <row r="26" spans="1:32" x14ac:dyDescent="0.2">
      <c r="A26" s="244">
        <v>1</v>
      </c>
      <c r="C26" s="33">
        <f>(1/(9+Rules!$B$5))^2</f>
        <v>5.9171597633136102E-3</v>
      </c>
      <c r="D26" s="33">
        <f>(1/(9+Rules!$B$5))^2</f>
        <v>5.9171597633136102E-3</v>
      </c>
      <c r="E26" s="33">
        <f>(1/(9+Rules!$B$5))^2</f>
        <v>5.9171597633136102E-3</v>
      </c>
      <c r="F26" s="33">
        <f>(1/(9+Rules!$B$5))^2</f>
        <v>5.9171597633136102E-3</v>
      </c>
      <c r="G26" s="33">
        <f>(1/(9+Rules!$B$5))^2</f>
        <v>5.9171597633136102E-3</v>
      </c>
      <c r="H26" s="33">
        <f>(1/(9+Rules!$B$5))^2</f>
        <v>5.9171597633136102E-3</v>
      </c>
      <c r="I26" s="33">
        <f>(1/(9+Rules!$B$5))^2</f>
        <v>5.9171597633136102E-3</v>
      </c>
      <c r="J26" s="33">
        <f>(1/(9+Rules!$B$5))^2</f>
        <v>5.9171597633136102E-3</v>
      </c>
      <c r="K26" s="33">
        <f>(1/(9+Rules!$B$5))*(Rules!$B$5/(9+Rules!$B$5))</f>
        <v>2.3668639053254441E-2</v>
      </c>
      <c r="L26" s="33">
        <f>1/(9+Rules!$B$5)^2</f>
        <v>5.9171597633136093E-3</v>
      </c>
    </row>
    <row r="29" spans="1:32" x14ac:dyDescent="0.2">
      <c r="B29" t="s">
        <v>14</v>
      </c>
      <c r="C29">
        <v>5</v>
      </c>
      <c r="D29">
        <v>6</v>
      </c>
      <c r="E29">
        <v>7</v>
      </c>
      <c r="F29">
        <v>8</v>
      </c>
      <c r="G29">
        <v>9</v>
      </c>
      <c r="H29">
        <v>10</v>
      </c>
      <c r="I29">
        <v>11</v>
      </c>
      <c r="J29">
        <v>12</v>
      </c>
      <c r="K29">
        <v>13</v>
      </c>
      <c r="L29">
        <v>14</v>
      </c>
      <c r="M29">
        <v>15</v>
      </c>
      <c r="N29">
        <v>16</v>
      </c>
      <c r="O29">
        <v>17</v>
      </c>
      <c r="P29">
        <v>18</v>
      </c>
      <c r="Q29">
        <v>19</v>
      </c>
      <c r="R29">
        <v>20</v>
      </c>
      <c r="S29">
        <v>21</v>
      </c>
      <c r="T29">
        <v>22</v>
      </c>
      <c r="U29">
        <v>23</v>
      </c>
      <c r="V29">
        <v>24</v>
      </c>
      <c r="W29">
        <v>25</v>
      </c>
      <c r="X29">
        <v>26</v>
      </c>
      <c r="Y29">
        <v>27</v>
      </c>
      <c r="Z29">
        <v>28</v>
      </c>
      <c r="AA29">
        <v>29</v>
      </c>
      <c r="AB29">
        <v>30</v>
      </c>
      <c r="AC29">
        <v>31</v>
      </c>
      <c r="AD29">
        <v>32</v>
      </c>
      <c r="AE29">
        <v>33</v>
      </c>
      <c r="AF29">
        <v>34</v>
      </c>
    </row>
    <row r="30" spans="1:32" x14ac:dyDescent="0.2">
      <c r="A30">
        <v>4</v>
      </c>
      <c r="B30">
        <f>O3</f>
        <v>5.9171597633136093E-3</v>
      </c>
      <c r="C30">
        <f>$B30*1/(9+Rules!$B$5)</f>
        <v>4.5516613563950843E-4</v>
      </c>
      <c r="D30">
        <f>$B30*1/(9+Rules!$B$5)</f>
        <v>4.5516613563950843E-4</v>
      </c>
      <c r="E30">
        <f>$B30*1/(9+Rules!$B$5)</f>
        <v>4.5516613563950843E-4</v>
      </c>
      <c r="F30">
        <f>$B30*1/(9+Rules!$B$5)</f>
        <v>4.5516613563950843E-4</v>
      </c>
      <c r="G30">
        <f>$B30*1/(9+Rules!$B$5)</f>
        <v>4.5516613563950843E-4</v>
      </c>
      <c r="H30">
        <f>$B30*1/(9+Rules!$B$5)</f>
        <v>4.5516613563950843E-4</v>
      </c>
      <c r="I30">
        <f>$B30*1/(9+Rules!$B$5)</f>
        <v>4.5516613563950843E-4</v>
      </c>
      <c r="J30">
        <f>$B30*1/(9+Rules!$B$5)</f>
        <v>4.5516613563950843E-4</v>
      </c>
      <c r="K30">
        <f>$B30*1/(9+Rules!$B$5)</f>
        <v>4.5516613563950843E-4</v>
      </c>
      <c r="L30">
        <f>$B30*Rules!$B$5/(9+Rules!$B$5)</f>
        <v>1.8206645425580337E-3</v>
      </c>
    </row>
    <row r="31" spans="1:32" x14ac:dyDescent="0.2">
      <c r="A31">
        <v>5</v>
      </c>
      <c r="B31">
        <f t="shared" ref="B31:B42" si="6">O4</f>
        <v>1.183431952662722E-2</v>
      </c>
      <c r="D31">
        <f>$B31*1/(9+Rules!$B$5)</f>
        <v>9.1033227127901696E-4</v>
      </c>
      <c r="E31">
        <f>$B31*1/(9+Rules!$B$5)</f>
        <v>9.1033227127901696E-4</v>
      </c>
      <c r="F31">
        <f>$B31*1/(9+Rules!$B$5)</f>
        <v>9.1033227127901696E-4</v>
      </c>
      <c r="G31">
        <f>$B31*1/(9+Rules!$B$5)</f>
        <v>9.1033227127901696E-4</v>
      </c>
      <c r="H31">
        <f>$B31*1/(9+Rules!$B$5)</f>
        <v>9.1033227127901696E-4</v>
      </c>
      <c r="I31">
        <f>$B31*1/(9+Rules!$B$5)</f>
        <v>9.1033227127901696E-4</v>
      </c>
      <c r="J31">
        <f>$B31*1/(9+Rules!$B$5)</f>
        <v>9.1033227127901696E-4</v>
      </c>
      <c r="K31">
        <f>$B31*1/(9+Rules!$B$5)</f>
        <v>9.1033227127901696E-4</v>
      </c>
      <c r="L31">
        <f>$B31*1/(9+Rules!$B$5)</f>
        <v>9.1033227127901696E-4</v>
      </c>
      <c r="M31">
        <f>$B31*Rules!$B$5/(9+Rules!$B$5)</f>
        <v>3.6413290851160678E-3</v>
      </c>
    </row>
    <row r="32" spans="1:32" x14ac:dyDescent="0.2">
      <c r="A32">
        <v>6</v>
      </c>
      <c r="B32">
        <f t="shared" si="6"/>
        <v>1.7751479289940829E-2</v>
      </c>
      <c r="E32">
        <f>$B32*1/(9+Rules!$B$5)</f>
        <v>1.3654984069185253E-3</v>
      </c>
      <c r="F32">
        <f>$B$32*1/(9+Rules!$B$5)</f>
        <v>1.3654984069185253E-3</v>
      </c>
      <c r="G32">
        <f>$B$32*1/(9+Rules!$B$5)</f>
        <v>1.3654984069185253E-3</v>
      </c>
      <c r="H32">
        <f>$B$32*1/(9+Rules!$B$5)</f>
        <v>1.3654984069185253E-3</v>
      </c>
      <c r="I32">
        <f>$B$32*1/(9+Rules!$B$5)</f>
        <v>1.3654984069185253E-3</v>
      </c>
      <c r="J32">
        <f>$B$32*1/(9+Rules!$B$5)</f>
        <v>1.3654984069185253E-3</v>
      </c>
      <c r="K32">
        <f>$B$32*1/(9+Rules!$B$5)</f>
        <v>1.3654984069185253E-3</v>
      </c>
      <c r="L32">
        <f>$B$32*1/(9+Rules!$B$5)</f>
        <v>1.3654984069185253E-3</v>
      </c>
      <c r="M32">
        <f>$B$32*1/(9+Rules!$B$5)</f>
        <v>1.3654984069185253E-3</v>
      </c>
      <c r="N32">
        <f>$B32*Rules!$B$5/(9+Rules!$B$5)</f>
        <v>5.4619936276741011E-3</v>
      </c>
    </row>
    <row r="33" spans="1:28" x14ac:dyDescent="0.2">
      <c r="A33">
        <v>7</v>
      </c>
      <c r="B33">
        <f t="shared" si="6"/>
        <v>2.3668639053254441E-2</v>
      </c>
      <c r="F33">
        <f>$B33*1/(9+Rules!$B$5)</f>
        <v>1.8206645425580339E-3</v>
      </c>
      <c r="G33">
        <f>$B33*1/(9+Rules!$B$5)</f>
        <v>1.8206645425580339E-3</v>
      </c>
      <c r="H33">
        <f>$B33*1/(9+Rules!$B$5)</f>
        <v>1.8206645425580339E-3</v>
      </c>
      <c r="I33">
        <f>$B33*1/(9+Rules!$B$5)</f>
        <v>1.8206645425580339E-3</v>
      </c>
      <c r="J33">
        <f>$B33*1/(9+Rules!$B$5)</f>
        <v>1.8206645425580339E-3</v>
      </c>
      <c r="K33">
        <f>$B33*1/(9+Rules!$B$5)</f>
        <v>1.8206645425580339E-3</v>
      </c>
      <c r="L33">
        <f>$B33*1/(9+Rules!$B$5)</f>
        <v>1.8206645425580339E-3</v>
      </c>
      <c r="M33">
        <f>$B33*1/(9+Rules!$B$5)</f>
        <v>1.8206645425580339E-3</v>
      </c>
      <c r="N33">
        <f>$B33*1/(9+Rules!$B$5)</f>
        <v>1.8206645425580339E-3</v>
      </c>
      <c r="O33">
        <f>$B33*Rules!$B$5/(9+Rules!$B$5)</f>
        <v>7.2826581702321357E-3</v>
      </c>
    </row>
    <row r="34" spans="1:28" x14ac:dyDescent="0.2">
      <c r="A34">
        <v>8</v>
      </c>
      <c r="B34">
        <f t="shared" si="6"/>
        <v>2.9585798816568053E-2</v>
      </c>
      <c r="G34">
        <f>$B34*1/(9+Rules!$B$5)</f>
        <v>2.2758306781975423E-3</v>
      </c>
      <c r="H34">
        <f>$B34*1/(9+Rules!$B$5)</f>
        <v>2.2758306781975423E-3</v>
      </c>
      <c r="I34">
        <f>$B34*1/(9+Rules!$B$5)</f>
        <v>2.2758306781975423E-3</v>
      </c>
      <c r="J34">
        <f>$B34*1/(9+Rules!$B$5)</f>
        <v>2.2758306781975423E-3</v>
      </c>
      <c r="K34">
        <f>$B34*1/(9+Rules!$B$5)</f>
        <v>2.2758306781975423E-3</v>
      </c>
      <c r="L34">
        <f>$B34*1/(9+Rules!$B$5)</f>
        <v>2.2758306781975423E-3</v>
      </c>
      <c r="M34">
        <f>$B34*1/(9+Rules!$B$5)</f>
        <v>2.2758306781975423E-3</v>
      </c>
      <c r="N34">
        <f>$B34*1/(9+Rules!$B$5)</f>
        <v>2.2758306781975423E-3</v>
      </c>
      <c r="O34">
        <f>$B34*1/(9+Rules!$B$5)</f>
        <v>2.2758306781975423E-3</v>
      </c>
      <c r="P34">
        <f>$B34*Rules!$B$5/(9+Rules!$B$5)</f>
        <v>9.1033227127901694E-3</v>
      </c>
    </row>
    <row r="35" spans="1:28" x14ac:dyDescent="0.2">
      <c r="A35">
        <v>9</v>
      </c>
      <c r="B35">
        <f t="shared" si="6"/>
        <v>3.5502958579881665E-2</v>
      </c>
      <c r="H35">
        <f>$B35*1/(9+Rules!$B$5)</f>
        <v>2.730996813837051E-3</v>
      </c>
      <c r="I35">
        <f>$B35*1/(9+Rules!$B$5)</f>
        <v>2.730996813837051E-3</v>
      </c>
      <c r="J35">
        <f>$B35*1/(9+Rules!$B$5)</f>
        <v>2.730996813837051E-3</v>
      </c>
      <c r="K35">
        <f>$B35*1/(9+Rules!$B$5)</f>
        <v>2.730996813837051E-3</v>
      </c>
      <c r="L35">
        <f>$B35*1/(9+Rules!$B$5)</f>
        <v>2.730996813837051E-3</v>
      </c>
      <c r="M35">
        <f>$B35*1/(9+Rules!$B$5)</f>
        <v>2.730996813837051E-3</v>
      </c>
      <c r="N35">
        <f>$B35*1/(9+Rules!$B$5)</f>
        <v>2.730996813837051E-3</v>
      </c>
      <c r="O35">
        <f>$B35*1/(9+Rules!$B$5)</f>
        <v>2.730996813837051E-3</v>
      </c>
      <c r="P35">
        <f>$B35*1/(9+Rules!$B$5)</f>
        <v>2.730996813837051E-3</v>
      </c>
      <c r="Q35">
        <f>$B35*Rules!$B$5/(9+Rules!$B$5)</f>
        <v>1.0923987255348204E-2</v>
      </c>
    </row>
    <row r="36" spans="1:28" x14ac:dyDescent="0.2">
      <c r="A36">
        <v>10</v>
      </c>
      <c r="B36">
        <f t="shared" si="6"/>
        <v>4.142011834319527E-2</v>
      </c>
      <c r="I36">
        <f>$B36*1/(9+Rules!$B$5)</f>
        <v>3.1861629494765592E-3</v>
      </c>
      <c r="J36">
        <f>$B36*1/(9+Rules!$B$5)</f>
        <v>3.1861629494765592E-3</v>
      </c>
      <c r="K36">
        <f>$B36*1/(9+Rules!$B$5)</f>
        <v>3.1861629494765592E-3</v>
      </c>
      <c r="L36">
        <f>$B36*1/(9+Rules!$B$5)</f>
        <v>3.1861629494765592E-3</v>
      </c>
      <c r="M36">
        <f>$B36*1/(9+Rules!$B$5)</f>
        <v>3.1861629494765592E-3</v>
      </c>
      <c r="N36">
        <f>$B36*1/(9+Rules!$B$5)</f>
        <v>3.1861629494765592E-3</v>
      </c>
      <c r="O36">
        <f>$B36*1/(9+Rules!$B$5)</f>
        <v>3.1861629494765592E-3</v>
      </c>
      <c r="P36">
        <f>$B36*1/(9+Rules!$B$5)</f>
        <v>3.1861629494765592E-3</v>
      </c>
      <c r="Q36">
        <f>$B36*1/(9+Rules!$B$5)</f>
        <v>3.1861629494765592E-3</v>
      </c>
      <c r="R36">
        <f>$B36*Rules!$B$5/(9+Rules!$B$5)</f>
        <v>1.2744651797906237E-2</v>
      </c>
    </row>
    <row r="37" spans="1:28" x14ac:dyDescent="0.2">
      <c r="A37">
        <v>11</v>
      </c>
      <c r="B37">
        <f t="shared" si="6"/>
        <v>4.7337278106508889E-2</v>
      </c>
      <c r="J37">
        <f>$B37*1/(9+Rules!$B$5)</f>
        <v>3.6413290851160683E-3</v>
      </c>
      <c r="K37">
        <f>$B37*1/(9+Rules!$B$5)</f>
        <v>3.6413290851160683E-3</v>
      </c>
      <c r="L37">
        <f>$B37*1/(9+Rules!$B$5)</f>
        <v>3.6413290851160683E-3</v>
      </c>
      <c r="M37">
        <f>$B37*1/(9+Rules!$B$5)</f>
        <v>3.6413290851160683E-3</v>
      </c>
      <c r="N37">
        <f>$B37*1/(9+Rules!$B$5)</f>
        <v>3.6413290851160683E-3</v>
      </c>
      <c r="O37">
        <f>$B37*1/(9+Rules!$B$5)</f>
        <v>3.6413290851160683E-3</v>
      </c>
      <c r="P37">
        <f>$B37*1/(9+Rules!$B$5)</f>
        <v>3.6413290851160683E-3</v>
      </c>
      <c r="Q37">
        <f>$B37*1/(9+Rules!$B$5)</f>
        <v>3.6413290851160683E-3</v>
      </c>
      <c r="R37">
        <f>$B37*1/(9+Rules!$B$5)</f>
        <v>3.6413290851160683E-3</v>
      </c>
      <c r="S37">
        <f>$B37*Rules!$B$5/(9+Rules!$B$5)</f>
        <v>1.4565316340464273E-2</v>
      </c>
    </row>
    <row r="38" spans="1:28" x14ac:dyDescent="0.2">
      <c r="A38">
        <v>12</v>
      </c>
      <c r="B38">
        <f t="shared" si="6"/>
        <v>8.8757396449704151E-2</v>
      </c>
      <c r="K38">
        <f>$B38*1/(9+Rules!$B$5)</f>
        <v>6.8274920345926266E-3</v>
      </c>
      <c r="L38">
        <f>$B38*1/(9+Rules!$B$5)</f>
        <v>6.8274920345926266E-3</v>
      </c>
      <c r="M38">
        <f>$B38*1/(9+Rules!$B$5)</f>
        <v>6.8274920345926266E-3</v>
      </c>
      <c r="N38">
        <f>$B38*1/(9+Rules!$B$5)</f>
        <v>6.8274920345926266E-3</v>
      </c>
      <c r="O38">
        <f>$B38*1/(9+Rules!$B$5)</f>
        <v>6.8274920345926266E-3</v>
      </c>
      <c r="P38">
        <f>$B38*1/(9+Rules!$B$5)</f>
        <v>6.8274920345926266E-3</v>
      </c>
      <c r="Q38">
        <f>$B38*1/(9+Rules!$B$5)</f>
        <v>6.8274920345926266E-3</v>
      </c>
      <c r="R38">
        <f>$B38*1/(9+Rules!$B$5)</f>
        <v>6.8274920345926266E-3</v>
      </c>
      <c r="S38">
        <f>$B38*1/(9+Rules!$B$5)</f>
        <v>6.8274920345926266E-3</v>
      </c>
      <c r="T38">
        <f>$B38*Rules!$B$5/(9+Rules!$B$5)</f>
        <v>2.7309968138370506E-2</v>
      </c>
    </row>
    <row r="39" spans="1:28" x14ac:dyDescent="0.2">
      <c r="A39">
        <v>13</v>
      </c>
      <c r="B39">
        <f t="shared" si="6"/>
        <v>8.2840236686390553E-2</v>
      </c>
      <c r="L39">
        <f>$B39*1/(9+Rules!$B$5)</f>
        <v>6.3723258989531193E-3</v>
      </c>
      <c r="M39">
        <f>$B39*1/(9+Rules!$B$5)</f>
        <v>6.3723258989531193E-3</v>
      </c>
      <c r="N39">
        <f>$B39*1/(9+Rules!$B$5)</f>
        <v>6.3723258989531193E-3</v>
      </c>
      <c r="O39">
        <f>$B39*1/(9+Rules!$B$5)</f>
        <v>6.3723258989531193E-3</v>
      </c>
      <c r="P39">
        <f>$B39*1/(9+Rules!$B$5)</f>
        <v>6.3723258989531193E-3</v>
      </c>
      <c r="Q39">
        <f>$B39*1/(9+Rules!$B$5)</f>
        <v>6.3723258989531193E-3</v>
      </c>
      <c r="R39">
        <f>$B39*1/(9+Rules!$B$5)</f>
        <v>6.3723258989531193E-3</v>
      </c>
      <c r="S39">
        <f>$B39*1/(9+Rules!$B$5)</f>
        <v>6.3723258989531193E-3</v>
      </c>
      <c r="T39">
        <f>$B39*1/(9+Rules!$B$5)</f>
        <v>6.3723258989531193E-3</v>
      </c>
      <c r="U39">
        <f>$B39*Rules!$B$5/(9+Rules!$B$5)</f>
        <v>2.5489303595812477E-2</v>
      </c>
    </row>
    <row r="40" spans="1:28" x14ac:dyDescent="0.2">
      <c r="A40">
        <v>14</v>
      </c>
      <c r="B40">
        <f t="shared" si="6"/>
        <v>7.6923076923076941E-2</v>
      </c>
      <c r="M40">
        <f>$B40*1/(9+Rules!$B$5)</f>
        <v>5.9171597633136111E-3</v>
      </c>
      <c r="N40">
        <f>$B40*1/(9+Rules!$B$5)</f>
        <v>5.9171597633136111E-3</v>
      </c>
      <c r="O40">
        <f>$B40*1/(9+Rules!$B$5)</f>
        <v>5.9171597633136111E-3</v>
      </c>
      <c r="P40">
        <f>$B40*1/(9+Rules!$B$5)</f>
        <v>5.9171597633136111E-3</v>
      </c>
      <c r="Q40">
        <f>$B40*1/(9+Rules!$B$5)</f>
        <v>5.9171597633136111E-3</v>
      </c>
      <c r="R40">
        <f>$B40*1/(9+Rules!$B$5)</f>
        <v>5.9171597633136111E-3</v>
      </c>
      <c r="S40">
        <f>$B40*1/(9+Rules!$B$5)</f>
        <v>5.9171597633136111E-3</v>
      </c>
      <c r="T40">
        <f>$B40*1/(9+Rules!$B$5)</f>
        <v>5.9171597633136111E-3</v>
      </c>
      <c r="U40">
        <f>$B40*1/(9+Rules!$B$5)</f>
        <v>5.9171597633136111E-3</v>
      </c>
      <c r="V40">
        <f>$B40*Rules!$B$5/(9+Rules!$B$5)</f>
        <v>2.3668639053254444E-2</v>
      </c>
    </row>
    <row r="41" spans="1:28" x14ac:dyDescent="0.2">
      <c r="A41">
        <v>15</v>
      </c>
      <c r="B41">
        <f t="shared" si="6"/>
        <v>7.1005917159763329E-2</v>
      </c>
      <c r="N41">
        <f>$B41*1/(9+Rules!$B$5)</f>
        <v>5.461993627674102E-3</v>
      </c>
      <c r="O41">
        <f>$B41*1/(9+Rules!$B$5)</f>
        <v>5.461993627674102E-3</v>
      </c>
      <c r="P41">
        <f>$B41*1/(9+Rules!$B$5)</f>
        <v>5.461993627674102E-3</v>
      </c>
      <c r="Q41">
        <f>$B41*1/(9+Rules!$B$5)</f>
        <v>5.461993627674102E-3</v>
      </c>
      <c r="R41">
        <f>$B41*1/(9+Rules!$B$5)</f>
        <v>5.461993627674102E-3</v>
      </c>
      <c r="S41">
        <f>$B41*1/(9+Rules!$B$5)</f>
        <v>5.461993627674102E-3</v>
      </c>
      <c r="T41">
        <f>$B41*1/(9+Rules!$B$5)</f>
        <v>5.461993627674102E-3</v>
      </c>
      <c r="U41">
        <f>$B41*1/(9+Rules!$B$5)</f>
        <v>5.461993627674102E-3</v>
      </c>
      <c r="V41">
        <f>$B41*1/(9+Rules!$B$5)</f>
        <v>5.461993627674102E-3</v>
      </c>
      <c r="W41">
        <f>$B41*Rules!$B$5/(9+Rules!$B$5)</f>
        <v>2.1847974510696408E-2</v>
      </c>
    </row>
    <row r="42" spans="1:28" x14ac:dyDescent="0.2">
      <c r="A42">
        <v>16</v>
      </c>
      <c r="B42">
        <f t="shared" si="6"/>
        <v>6.5088757396449717E-2</v>
      </c>
      <c r="O42">
        <f>$B42*1/(9+Rules!$B$5)</f>
        <v>5.0068274920345938E-3</v>
      </c>
      <c r="P42">
        <f>$B42*1/(9+Rules!$B$5)</f>
        <v>5.0068274920345938E-3</v>
      </c>
      <c r="Q42">
        <f>$B42*1/(9+Rules!$B$5)</f>
        <v>5.0068274920345938E-3</v>
      </c>
      <c r="R42">
        <f>$B42*1/(9+Rules!$B$5)</f>
        <v>5.0068274920345938E-3</v>
      </c>
      <c r="S42">
        <f>$B42*1/(9+Rules!$B$5)</f>
        <v>5.0068274920345938E-3</v>
      </c>
      <c r="T42">
        <f>$B42*1/(9+Rules!$B$5)</f>
        <v>5.0068274920345938E-3</v>
      </c>
      <c r="U42">
        <f>$B42*1/(9+Rules!$B$5)</f>
        <v>5.0068274920345938E-3</v>
      </c>
      <c r="V42">
        <f>$B42*1/(9+Rules!$B$5)</f>
        <v>5.0068274920345938E-3</v>
      </c>
      <c r="W42">
        <f>$B42*1/(9+Rules!$B$5)</f>
        <v>5.0068274920345938E-3</v>
      </c>
      <c r="X42">
        <f>$B42*Rules!$B$5/(9+Rules!$B$5)</f>
        <v>2.0027309968138375E-2</v>
      </c>
    </row>
    <row r="43" spans="1:28" x14ac:dyDescent="0.2">
      <c r="B43" t="s">
        <v>2</v>
      </c>
      <c r="C43">
        <f t="shared" ref="C43:AB43" si="7">SUM(C30:C42)</f>
        <v>4.5516613563950843E-4</v>
      </c>
      <c r="D43">
        <f t="shared" si="7"/>
        <v>1.3654984069185255E-3</v>
      </c>
      <c r="E43">
        <f t="shared" si="7"/>
        <v>2.730996813837051E-3</v>
      </c>
      <c r="F43">
        <f t="shared" si="7"/>
        <v>4.5516613563950847E-3</v>
      </c>
      <c r="G43">
        <f t="shared" si="7"/>
        <v>6.8274920345926266E-3</v>
      </c>
      <c r="H43">
        <f t="shared" si="7"/>
        <v>9.5584888484296776E-3</v>
      </c>
      <c r="I43">
        <f t="shared" si="7"/>
        <v>1.2744651797906237E-2</v>
      </c>
      <c r="J43">
        <f t="shared" si="7"/>
        <v>1.6385980883022306E-2</v>
      </c>
      <c r="K43">
        <f t="shared" si="7"/>
        <v>2.3213472917614934E-2</v>
      </c>
      <c r="L43">
        <f t="shared" si="7"/>
        <v>3.0951297223486572E-2</v>
      </c>
      <c r="M43">
        <f t="shared" si="7"/>
        <v>3.7778789258079204E-2</v>
      </c>
      <c r="N43">
        <f t="shared" si="7"/>
        <v>4.3695949021392816E-2</v>
      </c>
      <c r="O43">
        <f t="shared" si="7"/>
        <v>4.8702776513427408E-2</v>
      </c>
      <c r="P43">
        <f t="shared" si="7"/>
        <v>4.8247610377787901E-2</v>
      </c>
      <c r="Q43">
        <f t="shared" si="7"/>
        <v>4.7337278106508889E-2</v>
      </c>
      <c r="R43">
        <f t="shared" si="7"/>
        <v>4.5971779699590355E-2</v>
      </c>
      <c r="S43">
        <f t="shared" si="7"/>
        <v>4.4151115157032329E-2</v>
      </c>
      <c r="T43">
        <f t="shared" si="7"/>
        <v>5.0068274920345927E-2</v>
      </c>
      <c r="U43">
        <f t="shared" si="7"/>
        <v>4.1875284478834783E-2</v>
      </c>
      <c r="V43">
        <f t="shared" si="7"/>
        <v>3.4137460172963138E-2</v>
      </c>
      <c r="W43">
        <f t="shared" si="7"/>
        <v>2.6854802002731E-2</v>
      </c>
      <c r="X43">
        <f t="shared" si="7"/>
        <v>2.0027309968138375E-2</v>
      </c>
      <c r="Y43">
        <f t="shared" si="7"/>
        <v>0</v>
      </c>
      <c r="Z43">
        <f t="shared" si="7"/>
        <v>0</v>
      </c>
      <c r="AA43">
        <f t="shared" si="7"/>
        <v>0</v>
      </c>
      <c r="AB43">
        <f t="shared" si="7"/>
        <v>0</v>
      </c>
    </row>
    <row r="45" spans="1:28" x14ac:dyDescent="0.2">
      <c r="A45" t="s">
        <v>129</v>
      </c>
      <c r="C45">
        <v>13</v>
      </c>
      <c r="D45">
        <v>14</v>
      </c>
      <c r="E45">
        <v>15</v>
      </c>
      <c r="F45">
        <v>16</v>
      </c>
      <c r="G45">
        <v>17</v>
      </c>
      <c r="H45">
        <v>18</v>
      </c>
      <c r="I45">
        <v>19</v>
      </c>
      <c r="J45">
        <v>20</v>
      </c>
      <c r="K45">
        <v>21</v>
      </c>
      <c r="L45">
        <v>22</v>
      </c>
      <c r="M45">
        <v>23</v>
      </c>
      <c r="N45">
        <v>24</v>
      </c>
      <c r="O45">
        <v>25</v>
      </c>
      <c r="P45">
        <v>26</v>
      </c>
      <c r="Q45">
        <v>27</v>
      </c>
      <c r="R45">
        <v>28</v>
      </c>
      <c r="S45">
        <v>29</v>
      </c>
      <c r="T45">
        <v>30</v>
      </c>
      <c r="U45">
        <v>31</v>
      </c>
      <c r="V45">
        <v>32</v>
      </c>
    </row>
    <row r="46" spans="1:28" x14ac:dyDescent="0.2">
      <c r="A46">
        <v>12</v>
      </c>
      <c r="B46">
        <f t="shared" ref="B46:B52" si="8">R3</f>
        <v>5.9171597633136093E-3</v>
      </c>
      <c r="C46">
        <f>$B46*1/(9+Rules!$B$5)</f>
        <v>4.5516613563950843E-4</v>
      </c>
      <c r="D46">
        <f>$B46*1/(9+Rules!$B$5)</f>
        <v>4.5516613563950843E-4</v>
      </c>
      <c r="E46">
        <f>$B46*1/(9+Rules!$B$5)</f>
        <v>4.5516613563950843E-4</v>
      </c>
      <c r="F46">
        <f>$B46*1/(9+Rules!$B$5)</f>
        <v>4.5516613563950843E-4</v>
      </c>
      <c r="G46">
        <f>$B46*1/(9+Rules!$B$5)</f>
        <v>4.5516613563950843E-4</v>
      </c>
      <c r="H46">
        <f>$B46*1/(9+Rules!$B$5)</f>
        <v>4.5516613563950843E-4</v>
      </c>
      <c r="I46">
        <f>$B46*1/(9+Rules!$B$5)</f>
        <v>4.5516613563950843E-4</v>
      </c>
      <c r="J46">
        <f>$B46*1/(9+Rules!$B$5)</f>
        <v>4.5516613563950843E-4</v>
      </c>
      <c r="K46">
        <f>$B46*1/(9+Rules!$B$5)</f>
        <v>4.5516613563950843E-4</v>
      </c>
      <c r="L46">
        <f>$B46*Rules!$B$5/(9+Rules!$B$5)</f>
        <v>1.8206645425580337E-3</v>
      </c>
    </row>
    <row r="47" spans="1:28" x14ac:dyDescent="0.2">
      <c r="A47">
        <v>13</v>
      </c>
      <c r="B47">
        <f t="shared" si="8"/>
        <v>1.183431952662722E-2</v>
      </c>
      <c r="D47">
        <f>$B47*1/(9+Rules!$B$5)</f>
        <v>9.1033227127901696E-4</v>
      </c>
      <c r="E47">
        <f>$B47*1/(9+Rules!$B$5)</f>
        <v>9.1033227127901696E-4</v>
      </c>
      <c r="F47">
        <f>$B47*1/(9+Rules!$B$5)</f>
        <v>9.1033227127901696E-4</v>
      </c>
      <c r="G47">
        <f>$B47*1/(9+Rules!$B$5)</f>
        <v>9.1033227127901696E-4</v>
      </c>
      <c r="H47">
        <f>$B47*1/(9+Rules!$B$5)</f>
        <v>9.1033227127901696E-4</v>
      </c>
      <c r="I47">
        <f>$B47*1/(9+Rules!$B$5)</f>
        <v>9.1033227127901696E-4</v>
      </c>
      <c r="J47">
        <f>$B47*1/(9+Rules!$B$5)</f>
        <v>9.1033227127901696E-4</v>
      </c>
      <c r="K47">
        <f>$B47*1/(9+Rules!$B$5)</f>
        <v>9.1033227127901696E-4</v>
      </c>
      <c r="L47">
        <f>$B47*1/(9+Rules!$B$5)</f>
        <v>9.1033227127901696E-4</v>
      </c>
      <c r="M47">
        <f>$B47*Rules!$B$5/(9+Rules!$B$5)</f>
        <v>3.6413290851160678E-3</v>
      </c>
    </row>
    <row r="48" spans="1:28" x14ac:dyDescent="0.2">
      <c r="A48">
        <v>14</v>
      </c>
      <c r="B48">
        <f t="shared" si="8"/>
        <v>1.183431952662722E-2</v>
      </c>
      <c r="E48">
        <f>$B48*1/(9+Rules!$B$5)</f>
        <v>9.1033227127901696E-4</v>
      </c>
      <c r="F48">
        <f>$B48*1/(9+Rules!$B$5)</f>
        <v>9.1033227127901696E-4</v>
      </c>
      <c r="G48">
        <f>$B48*1/(9+Rules!$B$5)</f>
        <v>9.1033227127901696E-4</v>
      </c>
      <c r="H48">
        <f>$B48*1/(9+Rules!$B$5)</f>
        <v>9.1033227127901696E-4</v>
      </c>
      <c r="I48">
        <f>$B48*1/(9+Rules!$B$5)</f>
        <v>9.1033227127901696E-4</v>
      </c>
      <c r="J48">
        <f>$B48*1/(9+Rules!$B$5)</f>
        <v>9.1033227127901696E-4</v>
      </c>
      <c r="K48">
        <f>$B48*1/(9+Rules!$B$5)</f>
        <v>9.1033227127901696E-4</v>
      </c>
      <c r="L48">
        <f>$B48*1/(9+Rules!$B$5)</f>
        <v>9.1033227127901696E-4</v>
      </c>
      <c r="M48">
        <f>$B48*1/(9+Rules!$B$5)</f>
        <v>9.1033227127901696E-4</v>
      </c>
      <c r="N48">
        <f>$B48*Rules!$B$5/(9+Rules!$B$5)</f>
        <v>3.6413290851160678E-3</v>
      </c>
    </row>
    <row r="49" spans="1:30" x14ac:dyDescent="0.2">
      <c r="A49">
        <v>15</v>
      </c>
      <c r="B49">
        <f t="shared" si="8"/>
        <v>1.183431952662722E-2</v>
      </c>
      <c r="F49">
        <f>$B49*1/(9+Rules!$B$5)</f>
        <v>9.1033227127901696E-4</v>
      </c>
      <c r="G49">
        <f>$B49*1/(9+Rules!$B$5)</f>
        <v>9.1033227127901696E-4</v>
      </c>
      <c r="H49">
        <f>$B49*1/(9+Rules!$B$5)</f>
        <v>9.1033227127901696E-4</v>
      </c>
      <c r="I49">
        <f>$B49*1/(9+Rules!$B$5)</f>
        <v>9.1033227127901696E-4</v>
      </c>
      <c r="J49">
        <f>$B49*1/(9+Rules!$B$5)</f>
        <v>9.1033227127901696E-4</v>
      </c>
      <c r="K49">
        <f>$B49*1/(9+Rules!$B$5)</f>
        <v>9.1033227127901696E-4</v>
      </c>
      <c r="L49">
        <f>$B49*1/(9+Rules!$B$5)</f>
        <v>9.1033227127901696E-4</v>
      </c>
      <c r="M49">
        <f>$B49*1/(9+Rules!$B$5)</f>
        <v>9.1033227127901696E-4</v>
      </c>
      <c r="N49">
        <f>$B49*1/(9+Rules!$B$5)</f>
        <v>9.1033227127901696E-4</v>
      </c>
      <c r="O49">
        <f>$B49*Rules!$B$5/(9+Rules!$B$5)</f>
        <v>3.6413290851160678E-3</v>
      </c>
    </row>
    <row r="50" spans="1:30" x14ac:dyDescent="0.2">
      <c r="A50">
        <v>16</v>
      </c>
      <c r="B50">
        <f t="shared" si="8"/>
        <v>1.183431952662722E-2</v>
      </c>
      <c r="G50">
        <f>$B50*1/(9+Rules!$B$5)</f>
        <v>9.1033227127901696E-4</v>
      </c>
      <c r="H50">
        <f>$B50*1/(9+Rules!$B$5)</f>
        <v>9.1033227127901696E-4</v>
      </c>
      <c r="I50">
        <f>$B50*1/(9+Rules!$B$5)</f>
        <v>9.1033227127901696E-4</v>
      </c>
      <c r="J50">
        <f>$B50*1/(9+Rules!$B$5)</f>
        <v>9.1033227127901696E-4</v>
      </c>
      <c r="K50">
        <f>$B50*1/(9+Rules!$B$5)</f>
        <v>9.1033227127901696E-4</v>
      </c>
      <c r="L50">
        <f>$B50*1/(9+Rules!$B$5)</f>
        <v>9.1033227127901696E-4</v>
      </c>
      <c r="M50">
        <f>$B50*1/(9+Rules!$B$5)</f>
        <v>9.1033227127901696E-4</v>
      </c>
      <c r="N50">
        <f>$B50*1/(9+Rules!$B$5)</f>
        <v>9.1033227127901696E-4</v>
      </c>
      <c r="O50">
        <f>$B50*1/(9+Rules!$B$5)</f>
        <v>9.1033227127901696E-4</v>
      </c>
      <c r="P50">
        <f>$B50*Rules!$B$5/(9+Rules!$B$5)</f>
        <v>3.6413290851160678E-3</v>
      </c>
    </row>
    <row r="51" spans="1:30" x14ac:dyDescent="0.2">
      <c r="A51">
        <v>17</v>
      </c>
      <c r="B51">
        <f t="shared" si="8"/>
        <v>1.183431952662722E-2</v>
      </c>
      <c r="H51">
        <f>$B51*1/(9+Rules!$B$5)</f>
        <v>9.1033227127901696E-4</v>
      </c>
      <c r="I51">
        <f>$B51*1/(9+Rules!$B$5)</f>
        <v>9.1033227127901696E-4</v>
      </c>
      <c r="J51">
        <f>$B51*1/(9+Rules!$B$5)</f>
        <v>9.1033227127901696E-4</v>
      </c>
      <c r="K51">
        <f>$B51*1/(9+Rules!$B$5)</f>
        <v>9.1033227127901696E-4</v>
      </c>
      <c r="L51">
        <f>$B51*1/(9+Rules!$B$5)</f>
        <v>9.1033227127901696E-4</v>
      </c>
      <c r="M51">
        <f>$B51*1/(9+Rules!$B$5)</f>
        <v>9.1033227127901696E-4</v>
      </c>
      <c r="N51">
        <f>$B51*1/(9+Rules!$B$5)</f>
        <v>9.1033227127901696E-4</v>
      </c>
      <c r="O51">
        <f>$B51*1/(9+Rules!$B$5)</f>
        <v>9.1033227127901696E-4</v>
      </c>
      <c r="P51">
        <f>$B51*1/(9+Rules!$B$5)</f>
        <v>9.1033227127901696E-4</v>
      </c>
      <c r="Q51">
        <f>$B51*Rules!$B$5/(9+Rules!$B$5)</f>
        <v>3.6413290851160678E-3</v>
      </c>
    </row>
    <row r="52" spans="1:30" x14ac:dyDescent="0.2">
      <c r="A52">
        <v>18</v>
      </c>
      <c r="B52">
        <f t="shared" si="8"/>
        <v>1.183431952662722E-2</v>
      </c>
      <c r="I52">
        <f>$B52*1/(9+Rules!$B$5)</f>
        <v>9.1033227127901696E-4</v>
      </c>
      <c r="J52">
        <f>$B52*1/(9+Rules!$B$5)</f>
        <v>9.1033227127901696E-4</v>
      </c>
      <c r="K52">
        <f>$B52*1/(9+Rules!$B$5)</f>
        <v>9.1033227127901696E-4</v>
      </c>
      <c r="L52">
        <f>$B52*1/(9+Rules!$B$5)</f>
        <v>9.1033227127901696E-4</v>
      </c>
      <c r="M52">
        <f>$B52*1/(9+Rules!$B$5)</f>
        <v>9.1033227127901696E-4</v>
      </c>
      <c r="N52">
        <f>$B52*1/(9+Rules!$B$5)</f>
        <v>9.1033227127901696E-4</v>
      </c>
      <c r="O52">
        <f>$B52*1/(9+Rules!$B$5)</f>
        <v>9.1033227127901696E-4</v>
      </c>
      <c r="P52">
        <f>$B52*1/(9+Rules!$B$5)</f>
        <v>9.1033227127901696E-4</v>
      </c>
      <c r="Q52">
        <f>$B52*1/(9+Rules!$B$5)</f>
        <v>9.1033227127901696E-4</v>
      </c>
      <c r="R52">
        <f>$B52*Rules!$B$5/(9+Rules!$B$5)</f>
        <v>3.6413290851160678E-3</v>
      </c>
    </row>
    <row r="53" spans="1:30" x14ac:dyDescent="0.2">
      <c r="B53" t="s">
        <v>2</v>
      </c>
      <c r="C53">
        <f t="shared" ref="C53:U53" si="9">SUM(C46:C52)</f>
        <v>4.5516613563950843E-4</v>
      </c>
      <c r="D53">
        <f t="shared" si="9"/>
        <v>1.3654984069185255E-3</v>
      </c>
      <c r="E53">
        <f t="shared" si="9"/>
        <v>2.2758306781975423E-3</v>
      </c>
      <c r="F53">
        <f t="shared" si="9"/>
        <v>3.1861629494765592E-3</v>
      </c>
      <c r="G53">
        <f t="shared" si="9"/>
        <v>4.0964952207555765E-3</v>
      </c>
      <c r="H53">
        <f t="shared" si="9"/>
        <v>5.0068274920345938E-3</v>
      </c>
      <c r="I53">
        <f t="shared" si="9"/>
        <v>5.9171597633136111E-3</v>
      </c>
      <c r="J53">
        <f t="shared" si="9"/>
        <v>5.9171597633136111E-3</v>
      </c>
      <c r="K53">
        <f t="shared" si="9"/>
        <v>5.9171597633136111E-3</v>
      </c>
      <c r="L53">
        <f t="shared" si="9"/>
        <v>7.2826581702321366E-3</v>
      </c>
      <c r="M53">
        <f t="shared" si="9"/>
        <v>8.192990441511153E-3</v>
      </c>
      <c r="N53">
        <f t="shared" si="9"/>
        <v>7.2826581702321366E-3</v>
      </c>
      <c r="O53">
        <f t="shared" si="9"/>
        <v>6.3723258989531193E-3</v>
      </c>
      <c r="P53">
        <f t="shared" si="9"/>
        <v>5.461993627674102E-3</v>
      </c>
      <c r="Q53">
        <f t="shared" si="9"/>
        <v>4.5516613563950847E-3</v>
      </c>
      <c r="R53">
        <f t="shared" si="9"/>
        <v>3.6413290851160678E-3</v>
      </c>
      <c r="S53">
        <f t="shared" si="9"/>
        <v>0</v>
      </c>
      <c r="T53">
        <f t="shared" si="9"/>
        <v>0</v>
      </c>
      <c r="U53">
        <f t="shared" si="9"/>
        <v>0</v>
      </c>
    </row>
    <row r="55" spans="1:30" x14ac:dyDescent="0.2">
      <c r="B55" t="s">
        <v>125</v>
      </c>
      <c r="C55">
        <v>5</v>
      </c>
      <c r="D55">
        <v>6</v>
      </c>
      <c r="E55">
        <v>7</v>
      </c>
      <c r="F55">
        <v>8</v>
      </c>
      <c r="G55">
        <v>9</v>
      </c>
      <c r="H55">
        <v>10</v>
      </c>
      <c r="I55">
        <v>11</v>
      </c>
      <c r="J55">
        <v>12</v>
      </c>
      <c r="K55">
        <v>13</v>
      </c>
      <c r="L55">
        <v>14</v>
      </c>
      <c r="M55">
        <v>15</v>
      </c>
      <c r="N55">
        <v>16</v>
      </c>
      <c r="O55">
        <v>17</v>
      </c>
      <c r="P55">
        <v>18</v>
      </c>
      <c r="Q55">
        <v>19</v>
      </c>
      <c r="R55">
        <v>20</v>
      </c>
      <c r="S55">
        <v>21</v>
      </c>
      <c r="T55" t="s">
        <v>121</v>
      </c>
      <c r="U55" t="s">
        <v>2</v>
      </c>
      <c r="V55" t="s">
        <v>130</v>
      </c>
      <c r="W55" t="s">
        <v>143</v>
      </c>
    </row>
    <row r="56" spans="1:30" x14ac:dyDescent="0.2">
      <c r="B56" t="s">
        <v>131</v>
      </c>
      <c r="C56">
        <f t="shared" ref="C56:S56" ca="1" si="10">SUMIF($C$29:$AF$29,C55,$C$43:$AB$43)+SUMIF($L$45:$V$45,C55+10,$L$53:$V$53)</f>
        <v>4.5516613563950843E-4</v>
      </c>
      <c r="D56">
        <f t="shared" ca="1" si="10"/>
        <v>1.3654984069185255E-3</v>
      </c>
      <c r="E56">
        <f t="shared" ca="1" si="10"/>
        <v>2.730996813837051E-3</v>
      </c>
      <c r="F56">
        <f t="shared" ca="1" si="10"/>
        <v>4.5516613563950847E-3</v>
      </c>
      <c r="G56">
        <f t="shared" ca="1" si="10"/>
        <v>6.8274920345926266E-3</v>
      </c>
      <c r="H56">
        <f t="shared" ca="1" si="10"/>
        <v>9.5584888484296776E-3</v>
      </c>
      <c r="I56">
        <f t="shared" ca="1" si="10"/>
        <v>1.2744651797906237E-2</v>
      </c>
      <c r="J56">
        <f t="shared" ca="1" si="10"/>
        <v>2.3668639053254441E-2</v>
      </c>
      <c r="K56">
        <f t="shared" ca="1" si="10"/>
        <v>3.1406463359126086E-2</v>
      </c>
      <c r="L56">
        <f t="shared" ca="1" si="10"/>
        <v>3.823395539371871E-2</v>
      </c>
      <c r="M56">
        <f t="shared" ca="1" si="10"/>
        <v>4.4151115157032322E-2</v>
      </c>
      <c r="N56">
        <f t="shared" ca="1" si="10"/>
        <v>4.9157942649066921E-2</v>
      </c>
      <c r="O56">
        <f t="shared" ca="1" si="10"/>
        <v>5.3254437869822494E-2</v>
      </c>
      <c r="P56">
        <f t="shared" ca="1" si="10"/>
        <v>5.1888939462903967E-2</v>
      </c>
      <c r="Q56">
        <f t="shared" ca="1" si="10"/>
        <v>4.7337278106508889E-2</v>
      </c>
      <c r="R56">
        <f t="shared" ca="1" si="10"/>
        <v>4.5971779699590355E-2</v>
      </c>
      <c r="S56">
        <f t="shared" ca="1" si="10"/>
        <v>4.4151115157032329E-2</v>
      </c>
      <c r="T56">
        <f ca="1">SUMIF($C$29:$AF$29,"&gt;21",$C$43:$AB$43)</f>
        <v>0.17296313154301321</v>
      </c>
      <c r="U56">
        <f ca="1">SUM(C56:T56)</f>
        <v>0.64041875284478844</v>
      </c>
      <c r="V56">
        <f ca="1">T56+SUM(O56:S56,Q57:S57)</f>
        <v>0.43331816112881205</v>
      </c>
      <c r="W56">
        <f>T23</f>
        <v>0.32544378698224863</v>
      </c>
    </row>
    <row r="57" spans="1:30" x14ac:dyDescent="0.2">
      <c r="B57" t="s">
        <v>132</v>
      </c>
      <c r="C57">
        <f t="shared" ref="C57:S57" si="11">SUMIF($C$45:$K$45,C55,$C$53:$K$53)</f>
        <v>0</v>
      </c>
      <c r="D57">
        <f t="shared" si="11"/>
        <v>0</v>
      </c>
      <c r="E57">
        <f t="shared" si="11"/>
        <v>0</v>
      </c>
      <c r="F57">
        <f t="shared" si="11"/>
        <v>0</v>
      </c>
      <c r="G57">
        <f t="shared" si="11"/>
        <v>0</v>
      </c>
      <c r="H57">
        <f t="shared" si="11"/>
        <v>0</v>
      </c>
      <c r="I57">
        <f t="shared" si="11"/>
        <v>0</v>
      </c>
      <c r="J57">
        <f t="shared" si="11"/>
        <v>0</v>
      </c>
      <c r="K57">
        <f t="shared" si="11"/>
        <v>4.5516613563950843E-4</v>
      </c>
      <c r="L57">
        <f t="shared" si="11"/>
        <v>1.3654984069185255E-3</v>
      </c>
      <c r="M57">
        <f t="shared" si="11"/>
        <v>2.2758306781975423E-3</v>
      </c>
      <c r="N57">
        <f t="shared" si="11"/>
        <v>3.1861629494765592E-3</v>
      </c>
      <c r="O57">
        <f t="shared" si="11"/>
        <v>4.0964952207555765E-3</v>
      </c>
      <c r="P57">
        <f t="shared" si="11"/>
        <v>5.0068274920345938E-3</v>
      </c>
      <c r="Q57">
        <f t="shared" si="11"/>
        <v>5.9171597633136111E-3</v>
      </c>
      <c r="R57">
        <f t="shared" si="11"/>
        <v>5.9171597633136111E-3</v>
      </c>
      <c r="S57">
        <f t="shared" si="11"/>
        <v>5.9171597633136111E-3</v>
      </c>
      <c r="U57">
        <f>SUM(C57:S57)</f>
        <v>3.4137460172963138E-2</v>
      </c>
    </row>
    <row r="58" spans="1:30" x14ac:dyDescent="0.2">
      <c r="U58">
        <f ca="1">SUM(U56:U57)+W56</f>
        <v>1.0000000000000002</v>
      </c>
    </row>
    <row r="60" spans="1:30" x14ac:dyDescent="0.2">
      <c r="B60" t="s">
        <v>14</v>
      </c>
      <c r="C60">
        <v>6</v>
      </c>
      <c r="D60">
        <v>7</v>
      </c>
      <c r="E60">
        <v>8</v>
      </c>
      <c r="F60">
        <v>9</v>
      </c>
      <c r="G60">
        <v>10</v>
      </c>
      <c r="H60">
        <v>11</v>
      </c>
      <c r="I60">
        <v>12</v>
      </c>
      <c r="J60">
        <v>13</v>
      </c>
      <c r="K60">
        <v>14</v>
      </c>
      <c r="L60">
        <v>15</v>
      </c>
      <c r="M60">
        <v>16</v>
      </c>
      <c r="N60">
        <v>17</v>
      </c>
      <c r="O60">
        <v>18</v>
      </c>
      <c r="P60">
        <v>19</v>
      </c>
      <c r="Q60">
        <v>20</v>
      </c>
      <c r="R60">
        <v>21</v>
      </c>
      <c r="S60">
        <v>22</v>
      </c>
      <c r="T60">
        <v>23</v>
      </c>
      <c r="U60">
        <v>24</v>
      </c>
      <c r="V60">
        <v>25</v>
      </c>
      <c r="W60">
        <v>26</v>
      </c>
      <c r="X60">
        <v>27</v>
      </c>
      <c r="Y60">
        <v>28</v>
      </c>
      <c r="Z60">
        <v>29</v>
      </c>
      <c r="AA60">
        <v>30</v>
      </c>
      <c r="AB60">
        <v>31</v>
      </c>
      <c r="AC60">
        <v>32</v>
      </c>
      <c r="AD60">
        <v>33</v>
      </c>
    </row>
    <row r="61" spans="1:30" x14ac:dyDescent="0.2">
      <c r="A61">
        <v>5</v>
      </c>
      <c r="B61">
        <f ca="1">C56</f>
        <v>4.5516613563950843E-4</v>
      </c>
      <c r="C61">
        <f ca="1">$B61*1/(9+Rules!$B$5)</f>
        <v>3.5012779664577572E-5</v>
      </c>
      <c r="D61">
        <f ca="1">$B61*1/(9+Rules!$B$5)</f>
        <v>3.5012779664577572E-5</v>
      </c>
      <c r="E61">
        <f ca="1">$B61*1/(9+Rules!$B$5)</f>
        <v>3.5012779664577572E-5</v>
      </c>
      <c r="F61">
        <f ca="1">$B61*1/(9+Rules!$B$5)</f>
        <v>3.5012779664577572E-5</v>
      </c>
      <c r="G61">
        <f ca="1">$B61*1/(9+Rules!$B$5)</f>
        <v>3.5012779664577572E-5</v>
      </c>
      <c r="H61">
        <f ca="1">$B61*1/(9+Rules!$B$5)</f>
        <v>3.5012779664577572E-5</v>
      </c>
      <c r="I61">
        <f ca="1">$B61*1/(9+Rules!$B$5)</f>
        <v>3.5012779664577572E-5</v>
      </c>
      <c r="J61">
        <f ca="1">$B61*1/(9+Rules!$B$5)</f>
        <v>3.5012779664577572E-5</v>
      </c>
      <c r="K61">
        <f ca="1">$B61*1/(9+Rules!$B$5)</f>
        <v>3.5012779664577572E-5</v>
      </c>
      <c r="L61">
        <f ca="1">$B61*Rules!$B$5/(9+Rules!$B$5)</f>
        <v>1.4005111865831029E-4</v>
      </c>
    </row>
    <row r="62" spans="1:30" x14ac:dyDescent="0.2">
      <c r="A62">
        <v>6</v>
      </c>
      <c r="B62">
        <f ca="1">D56</f>
        <v>1.3654984069185255E-3</v>
      </c>
      <c r="D62">
        <f ca="1">$B62*1/(9+Rules!$B$5)</f>
        <v>1.0503833899373274E-4</v>
      </c>
      <c r="E62">
        <f ca="1">$B62*1/(9+Rules!$B$5)</f>
        <v>1.0503833899373274E-4</v>
      </c>
      <c r="F62">
        <f ca="1">$B62*1/(9+Rules!$B$5)</f>
        <v>1.0503833899373274E-4</v>
      </c>
      <c r="G62">
        <f ca="1">$B62*1/(9+Rules!$B$5)</f>
        <v>1.0503833899373274E-4</v>
      </c>
      <c r="H62">
        <f ca="1">$B62*1/(9+Rules!$B$5)</f>
        <v>1.0503833899373274E-4</v>
      </c>
      <c r="I62">
        <f ca="1">$B62*1/(9+Rules!$B$5)</f>
        <v>1.0503833899373274E-4</v>
      </c>
      <c r="J62">
        <f ca="1">$B62*1/(9+Rules!$B$5)</f>
        <v>1.0503833899373274E-4</v>
      </c>
      <c r="K62">
        <f ca="1">$B62*1/(9+Rules!$B$5)</f>
        <v>1.0503833899373274E-4</v>
      </c>
      <c r="L62">
        <f ca="1">$B62*1/(9+Rules!$B$5)</f>
        <v>1.0503833899373274E-4</v>
      </c>
      <c r="M62">
        <f ca="1">$B62*Rules!$B$5/(9+Rules!$B$5)</f>
        <v>4.2015335597493094E-4</v>
      </c>
    </row>
    <row r="63" spans="1:30" x14ac:dyDescent="0.2">
      <c r="A63">
        <v>7</v>
      </c>
      <c r="B63">
        <f ca="1">E56</f>
        <v>2.730996813837051E-3</v>
      </c>
      <c r="E63">
        <f ca="1">$B63*1/(9+Rules!$B$5)</f>
        <v>2.1007667798746547E-4</v>
      </c>
      <c r="F63">
        <f ca="1">$B63*1/(9+Rules!$B$5)</f>
        <v>2.1007667798746547E-4</v>
      </c>
      <c r="G63">
        <f ca="1">$B63*1/(9+Rules!$B$5)</f>
        <v>2.1007667798746547E-4</v>
      </c>
      <c r="H63">
        <f ca="1">$B63*1/(9+Rules!$B$5)</f>
        <v>2.1007667798746547E-4</v>
      </c>
      <c r="I63">
        <f ca="1">$B63*1/(9+Rules!$B$5)</f>
        <v>2.1007667798746547E-4</v>
      </c>
      <c r="J63">
        <f ca="1">$B63*1/(9+Rules!$B$5)</f>
        <v>2.1007667798746547E-4</v>
      </c>
      <c r="K63">
        <f ca="1">$B63*1/(9+Rules!$B$5)</f>
        <v>2.1007667798746547E-4</v>
      </c>
      <c r="L63">
        <f ca="1">$B63*1/(9+Rules!$B$5)</f>
        <v>2.1007667798746547E-4</v>
      </c>
      <c r="M63">
        <f ca="1">$B63*1/(9+Rules!$B$5)</f>
        <v>2.1007667798746547E-4</v>
      </c>
      <c r="N63">
        <f ca="1">$B63*Rules!$B$5/(9+Rules!$B$5)</f>
        <v>8.4030671194986189E-4</v>
      </c>
    </row>
    <row r="64" spans="1:30" x14ac:dyDescent="0.2">
      <c r="A64">
        <v>8</v>
      </c>
      <c r="B64">
        <f ca="1">F56</f>
        <v>4.5516613563950847E-3</v>
      </c>
      <c r="F64">
        <f ca="1">$B64*1/(9+Rules!$B$5)</f>
        <v>3.5012779664577576E-4</v>
      </c>
      <c r="G64">
        <f ca="1">$B64*1/(9+Rules!$B$5)</f>
        <v>3.5012779664577576E-4</v>
      </c>
      <c r="H64">
        <f ca="1">$B64*1/(9+Rules!$B$5)</f>
        <v>3.5012779664577576E-4</v>
      </c>
      <c r="I64">
        <f ca="1">$B64*1/(9+Rules!$B$5)</f>
        <v>3.5012779664577576E-4</v>
      </c>
      <c r="J64">
        <f ca="1">$B64*1/(9+Rules!$B$5)</f>
        <v>3.5012779664577576E-4</v>
      </c>
      <c r="K64">
        <f ca="1">$B64*1/(9+Rules!$B$5)</f>
        <v>3.5012779664577576E-4</v>
      </c>
      <c r="L64">
        <f ca="1">$B64*1/(9+Rules!$B$5)</f>
        <v>3.5012779664577576E-4</v>
      </c>
      <c r="M64">
        <f ca="1">$B64*1/(9+Rules!$B$5)</f>
        <v>3.5012779664577576E-4</v>
      </c>
      <c r="N64">
        <f ca="1">$B64*1/(9+Rules!$B$5)</f>
        <v>3.5012779664577576E-4</v>
      </c>
      <c r="O64">
        <f ca="1">$B64*Rules!$B$5/(9+Rules!$B$5)</f>
        <v>1.400511186583103E-3</v>
      </c>
    </row>
    <row r="65" spans="1:28" x14ac:dyDescent="0.2">
      <c r="A65">
        <v>9</v>
      </c>
      <c r="B65">
        <f ca="1">G56</f>
        <v>6.8274920345926266E-3</v>
      </c>
      <c r="G65">
        <f ca="1">$B65*1/(9+Rules!$B$5)</f>
        <v>5.2519169496866361E-4</v>
      </c>
      <c r="H65">
        <f ca="1">$B65*1/(9+Rules!$B$5)</f>
        <v>5.2519169496866361E-4</v>
      </c>
      <c r="I65">
        <f ca="1">$B65*1/(9+Rules!$B$5)</f>
        <v>5.2519169496866361E-4</v>
      </c>
      <c r="J65">
        <f ca="1">$B65*1/(9+Rules!$B$5)</f>
        <v>5.2519169496866361E-4</v>
      </c>
      <c r="K65">
        <f ca="1">$B65*1/(9+Rules!$B$5)</f>
        <v>5.2519169496866361E-4</v>
      </c>
      <c r="L65">
        <f ca="1">$B65*1/(9+Rules!$B$5)</f>
        <v>5.2519169496866361E-4</v>
      </c>
      <c r="M65">
        <f ca="1">$B65*1/(9+Rules!$B$5)</f>
        <v>5.2519169496866361E-4</v>
      </c>
      <c r="N65">
        <f ca="1">$B65*1/(9+Rules!$B$5)</f>
        <v>5.2519169496866361E-4</v>
      </c>
      <c r="O65">
        <f ca="1">$B65*1/(9+Rules!$B$5)</f>
        <v>5.2519169496866361E-4</v>
      </c>
      <c r="P65">
        <f ca="1">$B65*Rules!$B$5/(9+Rules!$B$5)</f>
        <v>2.1007667798746544E-3</v>
      </c>
    </row>
    <row r="66" spans="1:28" x14ac:dyDescent="0.2">
      <c r="A66">
        <v>10</v>
      </c>
      <c r="B66">
        <f ca="1">H56</f>
        <v>9.5584888484296776E-3</v>
      </c>
      <c r="H66">
        <f ca="1">$B66*1/(9+Rules!$B$5)</f>
        <v>7.3526837295612906E-4</v>
      </c>
      <c r="I66">
        <f ca="1">$B66*1/(9+Rules!$B$5)</f>
        <v>7.3526837295612906E-4</v>
      </c>
      <c r="J66">
        <f ca="1">$B66*1/(9+Rules!$B$5)</f>
        <v>7.3526837295612906E-4</v>
      </c>
      <c r="K66">
        <f ca="1">$B66*1/(9+Rules!$B$5)</f>
        <v>7.3526837295612906E-4</v>
      </c>
      <c r="L66">
        <f ca="1">$B66*1/(9+Rules!$B$5)</f>
        <v>7.3526837295612906E-4</v>
      </c>
      <c r="M66">
        <f ca="1">$B66*1/(9+Rules!$B$5)</f>
        <v>7.3526837295612906E-4</v>
      </c>
      <c r="N66">
        <f ca="1">$B66*1/(9+Rules!$B$5)</f>
        <v>7.3526837295612906E-4</v>
      </c>
      <c r="O66">
        <f ca="1">$B66*1/(9+Rules!$B$5)</f>
        <v>7.3526837295612906E-4</v>
      </c>
      <c r="P66">
        <f ca="1">$B66*1/(9+Rules!$B$5)</f>
        <v>7.3526837295612906E-4</v>
      </c>
      <c r="Q66">
        <f ca="1">$B66*Rules!$B$5/(9+Rules!$B$5)</f>
        <v>2.9410734918245162E-3</v>
      </c>
    </row>
    <row r="67" spans="1:28" x14ac:dyDescent="0.2">
      <c r="A67">
        <v>11</v>
      </c>
      <c r="B67">
        <f ca="1">I56</f>
        <v>1.2744651797906237E-2</v>
      </c>
      <c r="I67">
        <f ca="1">$B67*1/(9+Rules!$B$5)</f>
        <v>9.8035783060817215E-4</v>
      </c>
      <c r="J67">
        <f ca="1">$B67*1/(9+Rules!$B$5)</f>
        <v>9.8035783060817215E-4</v>
      </c>
      <c r="K67">
        <f ca="1">$B67*1/(9+Rules!$B$5)</f>
        <v>9.8035783060817215E-4</v>
      </c>
      <c r="L67">
        <f ca="1">$B67*1/(9+Rules!$B$5)</f>
        <v>9.8035783060817215E-4</v>
      </c>
      <c r="M67">
        <f ca="1">$B67*1/(9+Rules!$B$5)</f>
        <v>9.8035783060817215E-4</v>
      </c>
      <c r="N67">
        <f ca="1">$B67*1/(9+Rules!$B$5)</f>
        <v>9.8035783060817215E-4</v>
      </c>
      <c r="O67">
        <f ca="1">$B67*1/(9+Rules!$B$5)</f>
        <v>9.8035783060817215E-4</v>
      </c>
      <c r="P67">
        <f ca="1">$B67*1/(9+Rules!$B$5)</f>
        <v>9.8035783060817215E-4</v>
      </c>
      <c r="Q67">
        <f ca="1">$B67*1/(9+Rules!$B$5)</f>
        <v>9.8035783060817215E-4</v>
      </c>
      <c r="R67">
        <f ca="1">$B67*Rules!$B$5/(9+Rules!$B$5)</f>
        <v>3.9214313224326886E-3</v>
      </c>
    </row>
    <row r="68" spans="1:28" x14ac:dyDescent="0.2">
      <c r="A68">
        <v>12</v>
      </c>
      <c r="B68">
        <f ca="1">J56</f>
        <v>2.3668639053254441E-2</v>
      </c>
      <c r="J68">
        <f ca="1">$B68*1/(9+Rules!$B$5)</f>
        <v>1.8206645425580339E-3</v>
      </c>
      <c r="K68">
        <f ca="1">$B68*1/(9+Rules!$B$5)</f>
        <v>1.8206645425580339E-3</v>
      </c>
      <c r="L68">
        <f ca="1">$B68*1/(9+Rules!$B$5)</f>
        <v>1.8206645425580339E-3</v>
      </c>
      <c r="M68">
        <f ca="1">$B68*1/(9+Rules!$B$5)</f>
        <v>1.8206645425580339E-3</v>
      </c>
      <c r="N68">
        <f ca="1">$B68*1/(9+Rules!$B$5)</f>
        <v>1.8206645425580339E-3</v>
      </c>
      <c r="O68">
        <f ca="1">$B68*1/(9+Rules!$B$5)</f>
        <v>1.8206645425580339E-3</v>
      </c>
      <c r="P68">
        <f ca="1">$B68*1/(9+Rules!$B$5)</f>
        <v>1.8206645425580339E-3</v>
      </c>
      <c r="Q68">
        <f ca="1">$B68*1/(9+Rules!$B$5)</f>
        <v>1.8206645425580339E-3</v>
      </c>
      <c r="R68">
        <f ca="1">$B68*1/(9+Rules!$B$5)</f>
        <v>1.8206645425580339E-3</v>
      </c>
      <c r="S68">
        <f ca="1">$B68*Rules!$B$5/(9+Rules!$B$5)</f>
        <v>7.2826581702321357E-3</v>
      </c>
    </row>
    <row r="69" spans="1:28" x14ac:dyDescent="0.2">
      <c r="A69">
        <v>13</v>
      </c>
      <c r="B69">
        <f ca="1">K56</f>
        <v>3.1406463359126086E-2</v>
      </c>
      <c r="K69">
        <f ca="1">$B69*1/(9+Rules!$B$5)</f>
        <v>2.4158817968558529E-3</v>
      </c>
      <c r="L69">
        <f ca="1">$B69*1/(9+Rules!$B$5)</f>
        <v>2.4158817968558529E-3</v>
      </c>
      <c r="M69">
        <f ca="1">$B69*1/(9+Rules!$B$5)</f>
        <v>2.4158817968558529E-3</v>
      </c>
      <c r="N69">
        <f ca="1">$B69*1/(9+Rules!$B$5)</f>
        <v>2.4158817968558529E-3</v>
      </c>
      <c r="O69">
        <f ca="1">$B69*1/(9+Rules!$B$5)</f>
        <v>2.4158817968558529E-3</v>
      </c>
      <c r="P69">
        <f ca="1">$B69*1/(9+Rules!$B$5)</f>
        <v>2.4158817968558529E-3</v>
      </c>
      <c r="Q69">
        <f ca="1">$B69*1/(9+Rules!$B$5)</f>
        <v>2.4158817968558529E-3</v>
      </c>
      <c r="R69">
        <f ca="1">$B69*1/(9+Rules!$B$5)</f>
        <v>2.4158817968558529E-3</v>
      </c>
      <c r="S69">
        <f ca="1">$B69*1/(9+Rules!$B$5)</f>
        <v>2.4158817968558529E-3</v>
      </c>
      <c r="T69">
        <f ca="1">$B69*Rules!$B$5/(9+Rules!$B$5)</f>
        <v>9.6635271874234117E-3</v>
      </c>
    </row>
    <row r="70" spans="1:28" x14ac:dyDescent="0.2">
      <c r="A70">
        <v>14</v>
      </c>
      <c r="B70">
        <f ca="1">L56</f>
        <v>3.823395539371871E-2</v>
      </c>
      <c r="L70">
        <f ca="1">$B70*1/(9+Rules!$B$5)</f>
        <v>2.9410734918245162E-3</v>
      </c>
      <c r="M70">
        <f ca="1">$B70*1/(9+Rules!$B$5)</f>
        <v>2.9410734918245162E-3</v>
      </c>
      <c r="N70">
        <f ca="1">$B70*1/(9+Rules!$B$5)</f>
        <v>2.9410734918245162E-3</v>
      </c>
      <c r="O70">
        <f ca="1">$B70*1/(9+Rules!$B$5)</f>
        <v>2.9410734918245162E-3</v>
      </c>
      <c r="P70">
        <f ca="1">$B70*1/(9+Rules!$B$5)</f>
        <v>2.9410734918245162E-3</v>
      </c>
      <c r="Q70">
        <f ca="1">$B70*1/(9+Rules!$B$5)</f>
        <v>2.9410734918245162E-3</v>
      </c>
      <c r="R70">
        <f ca="1">$B70*1/(9+Rules!$B$5)</f>
        <v>2.9410734918245162E-3</v>
      </c>
      <c r="S70">
        <f ca="1">$B70*1/(9+Rules!$B$5)</f>
        <v>2.9410734918245162E-3</v>
      </c>
      <c r="T70">
        <f ca="1">$B70*1/(9+Rules!$B$5)</f>
        <v>2.9410734918245162E-3</v>
      </c>
      <c r="U70">
        <f ca="1">$B70*Rules!$B$5/(9+Rules!$B$5)</f>
        <v>1.1764293967298065E-2</v>
      </c>
    </row>
    <row r="71" spans="1:28" x14ac:dyDescent="0.2">
      <c r="A71">
        <v>15</v>
      </c>
      <c r="B71">
        <f ca="1">M56</f>
        <v>4.4151115157032322E-2</v>
      </c>
      <c r="M71">
        <f ca="1">$B71*1/(9+Rules!$B$5)</f>
        <v>3.3962396274640249E-3</v>
      </c>
      <c r="N71">
        <f ca="1">$B71*1/(9+Rules!$B$5)</f>
        <v>3.3962396274640249E-3</v>
      </c>
      <c r="O71">
        <f ca="1">$B71*1/(9+Rules!$B$5)</f>
        <v>3.3962396274640249E-3</v>
      </c>
      <c r="P71">
        <f ca="1">$B71*1/(9+Rules!$B$5)</f>
        <v>3.3962396274640249E-3</v>
      </c>
      <c r="Q71">
        <f ca="1">$B71*1/(9+Rules!$B$5)</f>
        <v>3.3962396274640249E-3</v>
      </c>
      <c r="R71">
        <f ca="1">$B71*1/(9+Rules!$B$5)</f>
        <v>3.3962396274640249E-3</v>
      </c>
      <c r="S71">
        <f ca="1">$B71*1/(9+Rules!$B$5)</f>
        <v>3.3962396274640249E-3</v>
      </c>
      <c r="T71">
        <f ca="1">$B71*1/(9+Rules!$B$5)</f>
        <v>3.3962396274640249E-3</v>
      </c>
      <c r="U71">
        <f ca="1">$B71*1/(9+Rules!$B$5)</f>
        <v>3.3962396274640249E-3</v>
      </c>
      <c r="V71">
        <f ca="1">$B71*Rules!$B$5/(9+Rules!$B$5)</f>
        <v>1.3584958509856099E-2</v>
      </c>
    </row>
    <row r="72" spans="1:28" x14ac:dyDescent="0.2">
      <c r="A72">
        <v>16</v>
      </c>
      <c r="B72">
        <f ca="1">N56</f>
        <v>4.9157942649066921E-2</v>
      </c>
      <c r="N72">
        <f ca="1">$B72*1/(9+Rules!$B$5)</f>
        <v>3.7813802037743784E-3</v>
      </c>
      <c r="O72">
        <f ca="1">$B72*1/(9+Rules!$B$5)</f>
        <v>3.7813802037743784E-3</v>
      </c>
      <c r="P72">
        <f ca="1">$B72*1/(9+Rules!$B$5)</f>
        <v>3.7813802037743784E-3</v>
      </c>
      <c r="Q72">
        <f ca="1">$B72*1/(9+Rules!$B$5)</f>
        <v>3.7813802037743784E-3</v>
      </c>
      <c r="R72">
        <f ca="1">$B72*1/(9+Rules!$B$5)</f>
        <v>3.7813802037743784E-3</v>
      </c>
      <c r="S72">
        <f ca="1">$B72*1/(9+Rules!$B$5)</f>
        <v>3.7813802037743784E-3</v>
      </c>
      <c r="T72">
        <f ca="1">$B72*1/(9+Rules!$B$5)</f>
        <v>3.7813802037743784E-3</v>
      </c>
      <c r="U72">
        <f ca="1">$B72*1/(9+Rules!$B$5)</f>
        <v>3.7813802037743784E-3</v>
      </c>
      <c r="V72">
        <f ca="1">$B72*1/(9+Rules!$B$5)</f>
        <v>3.7813802037743784E-3</v>
      </c>
      <c r="W72">
        <f ca="1">$B72*Rules!$B$5/(9+Rules!$B$5)</f>
        <v>1.5125520815097514E-2</v>
      </c>
    </row>
    <row r="73" spans="1:28" x14ac:dyDescent="0.2">
      <c r="B73" t="s">
        <v>2</v>
      </c>
      <c r="C73">
        <f t="shared" ref="C73:AB73" ca="1" si="12">SUM(C61:C72)</f>
        <v>3.5012779664577572E-5</v>
      </c>
      <c r="D73">
        <f t="shared" ca="1" si="12"/>
        <v>1.4005111865831031E-4</v>
      </c>
      <c r="E73">
        <f t="shared" ca="1" si="12"/>
        <v>3.5012779664577581E-4</v>
      </c>
      <c r="F73">
        <f t="shared" ca="1" si="12"/>
        <v>7.0025559329155163E-4</v>
      </c>
      <c r="G73">
        <f t="shared" ca="1" si="12"/>
        <v>1.2254472882602153E-3</v>
      </c>
      <c r="H73">
        <f t="shared" ca="1" si="12"/>
        <v>1.9607156612163443E-3</v>
      </c>
      <c r="I73">
        <f t="shared" ca="1" si="12"/>
        <v>2.9410734918245167E-3</v>
      </c>
      <c r="J73">
        <f t="shared" ca="1" si="12"/>
        <v>4.7617380343825504E-3</v>
      </c>
      <c r="K73">
        <f t="shared" ca="1" si="12"/>
        <v>7.1776198312384033E-3</v>
      </c>
      <c r="L73">
        <f t="shared" ca="1" si="12"/>
        <v>1.0223731662056652E-2</v>
      </c>
      <c r="M73">
        <f t="shared" ca="1" si="12"/>
        <v>1.3795035187843564E-2</v>
      </c>
      <c r="N73">
        <f t="shared" ca="1" si="12"/>
        <v>1.7786492069605406E-2</v>
      </c>
      <c r="O73">
        <f t="shared" ca="1" si="12"/>
        <v>1.7996568747592874E-2</v>
      </c>
      <c r="P73">
        <f t="shared" ca="1" si="12"/>
        <v>1.8171632645915758E-2</v>
      </c>
      <c r="Q73">
        <f t="shared" ca="1" si="12"/>
        <v>1.8276670984909496E-2</v>
      </c>
      <c r="R73">
        <f t="shared" ca="1" si="12"/>
        <v>1.8276670984909496E-2</v>
      </c>
      <c r="S73">
        <f t="shared" ca="1" si="12"/>
        <v>1.9817233290150907E-2</v>
      </c>
      <c r="T73">
        <f t="shared" ca="1" si="12"/>
        <v>1.978222051048633E-2</v>
      </c>
      <c r="U73">
        <f t="shared" ca="1" si="12"/>
        <v>1.8941913798536471E-2</v>
      </c>
      <c r="V73">
        <f t="shared" ca="1" si="12"/>
        <v>1.7366338713630476E-2</v>
      </c>
      <c r="W73">
        <f t="shared" ca="1" si="12"/>
        <v>1.5125520815097514E-2</v>
      </c>
      <c r="X73">
        <f t="shared" si="12"/>
        <v>0</v>
      </c>
      <c r="Y73">
        <f t="shared" si="12"/>
        <v>0</v>
      </c>
      <c r="Z73">
        <f t="shared" si="12"/>
        <v>0</v>
      </c>
      <c r="AA73">
        <f t="shared" si="12"/>
        <v>0</v>
      </c>
      <c r="AB73">
        <f t="shared" si="12"/>
        <v>0</v>
      </c>
    </row>
    <row r="75" spans="1:28" x14ac:dyDescent="0.2">
      <c r="A75" t="s">
        <v>128</v>
      </c>
      <c r="C75">
        <v>14</v>
      </c>
      <c r="D75">
        <v>15</v>
      </c>
      <c r="E75">
        <v>16</v>
      </c>
      <c r="F75">
        <v>17</v>
      </c>
      <c r="G75">
        <v>18</v>
      </c>
      <c r="H75">
        <v>19</v>
      </c>
      <c r="I75">
        <v>20</v>
      </c>
      <c r="J75">
        <v>21</v>
      </c>
      <c r="K75">
        <v>22</v>
      </c>
      <c r="L75">
        <v>23</v>
      </c>
      <c r="M75">
        <v>24</v>
      </c>
      <c r="N75">
        <v>25</v>
      </c>
      <c r="O75">
        <v>26</v>
      </c>
      <c r="P75">
        <v>27</v>
      </c>
      <c r="Q75">
        <v>28</v>
      </c>
      <c r="R75">
        <v>29</v>
      </c>
      <c r="S75">
        <v>30</v>
      </c>
      <c r="T75">
        <v>31</v>
      </c>
      <c r="U75">
        <v>32</v>
      </c>
    </row>
    <row r="76" spans="1:28" x14ac:dyDescent="0.2">
      <c r="A76">
        <v>13</v>
      </c>
      <c r="B76">
        <f>K57</f>
        <v>4.5516613563950843E-4</v>
      </c>
      <c r="C76">
        <f>$B76*1/(9+Rules!$B$5)</f>
        <v>3.5012779664577572E-5</v>
      </c>
      <c r="D76">
        <f>$B76*1/(9+Rules!$B$5)</f>
        <v>3.5012779664577572E-5</v>
      </c>
      <c r="E76">
        <f>$B76*1/(9+Rules!$B$5)</f>
        <v>3.5012779664577572E-5</v>
      </c>
      <c r="F76">
        <f>$B76*1/(9+Rules!$B$5)</f>
        <v>3.5012779664577572E-5</v>
      </c>
      <c r="G76">
        <f>$B76*1/(9+Rules!$B$5)</f>
        <v>3.5012779664577572E-5</v>
      </c>
      <c r="H76">
        <f>$B76*1/(9+Rules!$B$5)</f>
        <v>3.5012779664577572E-5</v>
      </c>
      <c r="I76">
        <f>$B76*1/(9+Rules!$B$5)</f>
        <v>3.5012779664577572E-5</v>
      </c>
      <c r="J76">
        <f>$B76*1/(9+Rules!$B$5)</f>
        <v>3.5012779664577572E-5</v>
      </c>
      <c r="K76">
        <f>$B76*1/(9+Rules!$B$5)</f>
        <v>3.5012779664577572E-5</v>
      </c>
      <c r="L76">
        <f>$B76*Rules!$B$5/(9+Rules!$B$5)</f>
        <v>1.4005111865831029E-4</v>
      </c>
    </row>
    <row r="77" spans="1:28" x14ac:dyDescent="0.2">
      <c r="A77">
        <v>14</v>
      </c>
      <c r="B77">
        <f>L57</f>
        <v>1.3654984069185255E-3</v>
      </c>
      <c r="D77">
        <f>$B77*1/(9+Rules!$B$5)</f>
        <v>1.0503833899373274E-4</v>
      </c>
      <c r="E77">
        <f>$B77*1/(9+Rules!$B$5)</f>
        <v>1.0503833899373274E-4</v>
      </c>
      <c r="F77">
        <f>$B77*1/(9+Rules!$B$5)</f>
        <v>1.0503833899373274E-4</v>
      </c>
      <c r="G77">
        <f>$B77*1/(9+Rules!$B$5)</f>
        <v>1.0503833899373274E-4</v>
      </c>
      <c r="H77">
        <f>$B77*1/(9+Rules!$B$5)</f>
        <v>1.0503833899373274E-4</v>
      </c>
      <c r="I77">
        <f>$B77*1/(9+Rules!$B$5)</f>
        <v>1.0503833899373274E-4</v>
      </c>
      <c r="J77">
        <f>$B77*1/(9+Rules!$B$5)</f>
        <v>1.0503833899373274E-4</v>
      </c>
      <c r="K77">
        <f>$B77*1/(9+Rules!$B$5)</f>
        <v>1.0503833899373274E-4</v>
      </c>
      <c r="L77">
        <f>$B77*1/(9+Rules!$B$5)</f>
        <v>1.0503833899373274E-4</v>
      </c>
      <c r="M77">
        <f>$B77*Rules!$B$5/(9+Rules!$B$5)</f>
        <v>4.2015335597493094E-4</v>
      </c>
    </row>
    <row r="78" spans="1:28" x14ac:dyDescent="0.2">
      <c r="A78">
        <v>15</v>
      </c>
      <c r="B78">
        <f>M57</f>
        <v>2.2758306781975423E-3</v>
      </c>
      <c r="E78">
        <f>$B78*1/(9+Rules!$B$5)</f>
        <v>1.7506389832288788E-4</v>
      </c>
      <c r="F78">
        <f>$B78*1/(9+Rules!$B$5)</f>
        <v>1.7506389832288788E-4</v>
      </c>
      <c r="G78">
        <f>$B78*1/(9+Rules!$B$5)</f>
        <v>1.7506389832288788E-4</v>
      </c>
      <c r="H78">
        <f>$B78*1/(9+Rules!$B$5)</f>
        <v>1.7506389832288788E-4</v>
      </c>
      <c r="I78">
        <f>$B78*1/(9+Rules!$B$5)</f>
        <v>1.7506389832288788E-4</v>
      </c>
      <c r="J78">
        <f>$B78*1/(9+Rules!$B$5)</f>
        <v>1.7506389832288788E-4</v>
      </c>
      <c r="K78">
        <f>$B78*1/(9+Rules!$B$5)</f>
        <v>1.7506389832288788E-4</v>
      </c>
      <c r="L78">
        <f>$B78*1/(9+Rules!$B$5)</f>
        <v>1.7506389832288788E-4</v>
      </c>
      <c r="M78">
        <f>$B78*1/(9+Rules!$B$5)</f>
        <v>1.7506389832288788E-4</v>
      </c>
      <c r="N78">
        <f>$B78*Rules!$B$5/(9+Rules!$B$5)</f>
        <v>7.0025559329155152E-4</v>
      </c>
    </row>
    <row r="79" spans="1:28" x14ac:dyDescent="0.2">
      <c r="A79">
        <v>16</v>
      </c>
      <c r="B79">
        <f>N57</f>
        <v>3.1861629494765592E-3</v>
      </c>
      <c r="F79">
        <f>$B79*1/(9+Rules!$B$5)</f>
        <v>2.4508945765204304E-4</v>
      </c>
      <c r="G79">
        <f>$B79*1/(9+Rules!$B$5)</f>
        <v>2.4508945765204304E-4</v>
      </c>
      <c r="H79">
        <f>$B79*1/(9+Rules!$B$5)</f>
        <v>2.4508945765204304E-4</v>
      </c>
      <c r="I79">
        <f>$B79*1/(9+Rules!$B$5)</f>
        <v>2.4508945765204304E-4</v>
      </c>
      <c r="J79">
        <f>$B79*1/(9+Rules!$B$5)</f>
        <v>2.4508945765204304E-4</v>
      </c>
      <c r="K79">
        <f>$B79*1/(9+Rules!$B$5)</f>
        <v>2.4508945765204304E-4</v>
      </c>
      <c r="L79">
        <f>$B79*1/(9+Rules!$B$5)</f>
        <v>2.4508945765204304E-4</v>
      </c>
      <c r="M79">
        <f>$B79*1/(9+Rules!$B$5)</f>
        <v>2.4508945765204304E-4</v>
      </c>
      <c r="N79">
        <f>$B79*1/(9+Rules!$B$5)</f>
        <v>2.4508945765204304E-4</v>
      </c>
      <c r="O79">
        <f>$B79*Rules!$B$5/(9+Rules!$B$5)</f>
        <v>9.8035783060817215E-4</v>
      </c>
    </row>
    <row r="80" spans="1:28" x14ac:dyDescent="0.2">
      <c r="A80">
        <v>17</v>
      </c>
      <c r="B80">
        <f>O57</f>
        <v>4.0964952207555765E-3</v>
      </c>
      <c r="G80">
        <f>$B80*1/(9+Rules!$B$5)</f>
        <v>3.1511501698119817E-4</v>
      </c>
      <c r="H80">
        <f>$B80*1/(9+Rules!$B$5)</f>
        <v>3.1511501698119817E-4</v>
      </c>
      <c r="I80">
        <f>$B80*1/(9+Rules!$B$5)</f>
        <v>3.1511501698119817E-4</v>
      </c>
      <c r="J80">
        <f>$B80*1/(9+Rules!$B$5)</f>
        <v>3.1511501698119817E-4</v>
      </c>
      <c r="K80">
        <f>$B80*1/(9+Rules!$B$5)</f>
        <v>3.1511501698119817E-4</v>
      </c>
      <c r="L80">
        <f>$B80*1/(9+Rules!$B$5)</f>
        <v>3.1511501698119817E-4</v>
      </c>
      <c r="M80">
        <f>$B80*1/(9+Rules!$B$5)</f>
        <v>3.1511501698119817E-4</v>
      </c>
      <c r="N80">
        <f>$B80*1/(9+Rules!$B$5)</f>
        <v>3.1511501698119817E-4</v>
      </c>
      <c r="O80">
        <f>$B80*1/(9+Rules!$B$5)</f>
        <v>3.1511501698119817E-4</v>
      </c>
      <c r="P80">
        <f>$B80*Rules!$B$5/(9+Rules!$B$5)</f>
        <v>1.2604600679247927E-3</v>
      </c>
    </row>
    <row r="81" spans="1:30" x14ac:dyDescent="0.2">
      <c r="A81">
        <v>18</v>
      </c>
      <c r="B81">
        <f>P57</f>
        <v>5.0068274920345938E-3</v>
      </c>
      <c r="H81">
        <f>$B81*1/(9+Rules!$B$5)</f>
        <v>3.8514057631035335E-4</v>
      </c>
      <c r="I81">
        <f>$B81*1/(9+Rules!$B$5)</f>
        <v>3.8514057631035335E-4</v>
      </c>
      <c r="J81">
        <f>$B81*1/(9+Rules!$B$5)</f>
        <v>3.8514057631035335E-4</v>
      </c>
      <c r="K81">
        <f>$B81*1/(9+Rules!$B$5)</f>
        <v>3.8514057631035335E-4</v>
      </c>
      <c r="L81">
        <f>$B81*1/(9+Rules!$B$5)</f>
        <v>3.8514057631035335E-4</v>
      </c>
      <c r="M81">
        <f>$B81*1/(9+Rules!$B$5)</f>
        <v>3.8514057631035335E-4</v>
      </c>
      <c r="N81">
        <f>$B81*1/(9+Rules!$B$5)</f>
        <v>3.8514057631035335E-4</v>
      </c>
      <c r="O81">
        <f>$B81*1/(9+Rules!$B$5)</f>
        <v>3.8514057631035335E-4</v>
      </c>
      <c r="P81">
        <f>$B81*1/(9+Rules!$B$5)</f>
        <v>3.8514057631035335E-4</v>
      </c>
      <c r="Q81">
        <f>$B81*Rules!$B$5/(9+Rules!$B$5)</f>
        <v>1.5405623052414134E-3</v>
      </c>
    </row>
    <row r="82" spans="1:30" x14ac:dyDescent="0.2">
      <c r="B82" t="s">
        <v>2</v>
      </c>
      <c r="C82">
        <f t="shared" ref="C82:T82" si="13">SUM(C76:C81)</f>
        <v>3.5012779664577572E-5</v>
      </c>
      <c r="D82">
        <f t="shared" si="13"/>
        <v>1.4005111865831031E-4</v>
      </c>
      <c r="E82">
        <f t="shared" si="13"/>
        <v>3.1511501698119817E-4</v>
      </c>
      <c r="F82">
        <f t="shared" si="13"/>
        <v>5.6020447463324126E-4</v>
      </c>
      <c r="G82">
        <f t="shared" si="13"/>
        <v>8.7531949161443942E-4</v>
      </c>
      <c r="H82">
        <f t="shared" si="13"/>
        <v>1.2604600679247927E-3</v>
      </c>
      <c r="I82">
        <f t="shared" si="13"/>
        <v>1.2604600679247927E-3</v>
      </c>
      <c r="J82">
        <f t="shared" si="13"/>
        <v>1.2604600679247927E-3</v>
      </c>
      <c r="K82">
        <f t="shared" si="13"/>
        <v>1.2604600679247927E-3</v>
      </c>
      <c r="L82">
        <f t="shared" si="13"/>
        <v>1.3654984069185253E-3</v>
      </c>
      <c r="M82">
        <f t="shared" si="13"/>
        <v>1.5405623052414132E-3</v>
      </c>
      <c r="N82">
        <f t="shared" si="13"/>
        <v>1.645600644235146E-3</v>
      </c>
      <c r="O82">
        <f t="shared" si="13"/>
        <v>1.6806134238997238E-3</v>
      </c>
      <c r="P82">
        <f t="shared" si="13"/>
        <v>1.645600644235146E-3</v>
      </c>
      <c r="Q82">
        <f t="shared" si="13"/>
        <v>1.5405623052414134E-3</v>
      </c>
      <c r="R82">
        <f t="shared" si="13"/>
        <v>0</v>
      </c>
      <c r="S82">
        <f t="shared" si="13"/>
        <v>0</v>
      </c>
      <c r="T82">
        <f t="shared" si="13"/>
        <v>0</v>
      </c>
    </row>
    <row r="84" spans="1:30" x14ac:dyDescent="0.2">
      <c r="B84" t="s">
        <v>126</v>
      </c>
      <c r="C84">
        <v>6</v>
      </c>
      <c r="D84">
        <v>7</v>
      </c>
      <c r="E84">
        <v>8</v>
      </c>
      <c r="F84">
        <v>9</v>
      </c>
      <c r="G84">
        <v>10</v>
      </c>
      <c r="H84">
        <v>11</v>
      </c>
      <c r="I84">
        <v>12</v>
      </c>
      <c r="J84">
        <v>13</v>
      </c>
      <c r="K84">
        <v>14</v>
      </c>
      <c r="L84">
        <v>15</v>
      </c>
      <c r="M84">
        <v>16</v>
      </c>
      <c r="N84">
        <v>17</v>
      </c>
      <c r="O84">
        <v>18</v>
      </c>
      <c r="P84">
        <v>19</v>
      </c>
      <c r="Q84">
        <v>20</v>
      </c>
      <c r="R84">
        <v>21</v>
      </c>
      <c r="S84" t="s">
        <v>121</v>
      </c>
      <c r="T84" t="s">
        <v>2</v>
      </c>
      <c r="U84" t="s">
        <v>130</v>
      </c>
      <c r="V84" t="s">
        <v>143</v>
      </c>
      <c r="W84" t="s">
        <v>133</v>
      </c>
    </row>
    <row r="85" spans="1:30" x14ac:dyDescent="0.2">
      <c r="B85" t="s">
        <v>131</v>
      </c>
      <c r="C85">
        <f t="shared" ref="C85:R85" ca="1" si="14">SUMIF($C$60:$AD$60,C84,$C$73:$AD$73)+SUMIF($K$75:$U$75,C84+10,$K$82:$U$82)</f>
        <v>3.5012779664577572E-5</v>
      </c>
      <c r="D85">
        <f t="shared" ca="1" si="14"/>
        <v>1.4005111865831031E-4</v>
      </c>
      <c r="E85">
        <f t="shared" ca="1" si="14"/>
        <v>3.5012779664577581E-4</v>
      </c>
      <c r="F85">
        <f t="shared" ca="1" si="14"/>
        <v>7.0025559329155163E-4</v>
      </c>
      <c r="G85">
        <f t="shared" ca="1" si="14"/>
        <v>1.2254472882602153E-3</v>
      </c>
      <c r="H85">
        <f t="shared" ca="1" si="14"/>
        <v>1.9607156612163443E-3</v>
      </c>
      <c r="I85">
        <f t="shared" ca="1" si="14"/>
        <v>4.2015335597493098E-3</v>
      </c>
      <c r="J85">
        <f t="shared" ca="1" si="14"/>
        <v>6.1272364413010759E-3</v>
      </c>
      <c r="K85">
        <f t="shared" ca="1" si="14"/>
        <v>8.7181821364798167E-3</v>
      </c>
      <c r="L85">
        <f t="shared" ca="1" si="14"/>
        <v>1.1869332306291799E-2</v>
      </c>
      <c r="M85">
        <f t="shared" ca="1" si="14"/>
        <v>1.5475648611743288E-2</v>
      </c>
      <c r="N85">
        <f t="shared" ca="1" si="14"/>
        <v>1.9432092713840551E-2</v>
      </c>
      <c r="O85">
        <f t="shared" ca="1" si="14"/>
        <v>1.9537131052834288E-2</v>
      </c>
      <c r="P85">
        <f t="shared" ca="1" si="14"/>
        <v>1.8171632645915758E-2</v>
      </c>
      <c r="Q85">
        <f t="shared" ca="1" si="14"/>
        <v>1.8276670984909496E-2</v>
      </c>
      <c r="R85">
        <f t="shared" ca="1" si="14"/>
        <v>1.8276670984909496E-2</v>
      </c>
      <c r="S85">
        <f ca="1">SUMIF($C$60:$AD$60,"&gt;21",$C$73:$AD$73)</f>
        <v>9.1033227127901711E-2</v>
      </c>
      <c r="T85">
        <f ca="1">SUM(C85:S85)</f>
        <v>0.23553096880361338</v>
      </c>
      <c r="U85">
        <f ca="1">S85+SUM(N85:R85,P86:R86)</f>
        <v>0.18850880571408568</v>
      </c>
      <c r="V85">
        <f>W56</f>
        <v>0.32544378698224863</v>
      </c>
      <c r="W85">
        <f ca="1">V56</f>
        <v>0.43331816112881205</v>
      </c>
    </row>
    <row r="86" spans="1:30" x14ac:dyDescent="0.2">
      <c r="B86" t="s">
        <v>132</v>
      </c>
      <c r="C86">
        <f t="shared" ref="C86:R86" si="15">SUMIF($C$75:$J$75,C84,$C$82:$J$82)</f>
        <v>0</v>
      </c>
      <c r="D86">
        <f t="shared" si="15"/>
        <v>0</v>
      </c>
      <c r="E86">
        <f t="shared" si="15"/>
        <v>0</v>
      </c>
      <c r="F86">
        <f t="shared" si="15"/>
        <v>0</v>
      </c>
      <c r="G86">
        <f t="shared" si="15"/>
        <v>0</v>
      </c>
      <c r="H86">
        <f t="shared" si="15"/>
        <v>0</v>
      </c>
      <c r="I86">
        <f t="shared" si="15"/>
        <v>0</v>
      </c>
      <c r="J86">
        <f t="shared" si="15"/>
        <v>0</v>
      </c>
      <c r="K86">
        <f t="shared" si="15"/>
        <v>3.5012779664577572E-5</v>
      </c>
      <c r="L86">
        <f t="shared" si="15"/>
        <v>1.4005111865831031E-4</v>
      </c>
      <c r="M86">
        <f t="shared" si="15"/>
        <v>3.1511501698119817E-4</v>
      </c>
      <c r="N86">
        <f t="shared" si="15"/>
        <v>5.6020447463324126E-4</v>
      </c>
      <c r="O86">
        <f t="shared" si="15"/>
        <v>8.7531949161443942E-4</v>
      </c>
      <c r="P86">
        <f t="shared" si="15"/>
        <v>1.2604600679247927E-3</v>
      </c>
      <c r="Q86">
        <f t="shared" si="15"/>
        <v>1.2604600679247927E-3</v>
      </c>
      <c r="R86">
        <f t="shared" si="15"/>
        <v>1.2604600679247927E-3</v>
      </c>
      <c r="S86">
        <f>SUMIF($C$60:$AD$60,S84,$C$73:$AD$73)+SUMIF($C$75:$J$75,S84,$C$82:$J$82)+SUMIF($K$75:$U$75,S84+10,$K$82:$U$82)</f>
        <v>0</v>
      </c>
      <c r="T86">
        <f>SUM(C86:S86)</f>
        <v>5.7070830853261454E-3</v>
      </c>
      <c r="W86" t="s">
        <v>127</v>
      </c>
    </row>
    <row r="87" spans="1:30" x14ac:dyDescent="0.2">
      <c r="S87" t="s">
        <v>2</v>
      </c>
      <c r="T87">
        <f ca="1">SUM(T85:T86)</f>
        <v>0.24123805188893951</v>
      </c>
      <c r="W87">
        <f ca="1">T87+W85+V85</f>
        <v>1.0000000000000002</v>
      </c>
    </row>
    <row r="90" spans="1:30" x14ac:dyDescent="0.2">
      <c r="B90" t="s">
        <v>14</v>
      </c>
      <c r="C90">
        <v>7</v>
      </c>
      <c r="D90">
        <v>8</v>
      </c>
      <c r="E90">
        <v>9</v>
      </c>
      <c r="F90">
        <v>10</v>
      </c>
      <c r="G90">
        <v>11</v>
      </c>
      <c r="H90">
        <v>12</v>
      </c>
      <c r="I90">
        <v>13</v>
      </c>
      <c r="J90">
        <v>14</v>
      </c>
      <c r="K90">
        <v>15</v>
      </c>
      <c r="L90">
        <v>16</v>
      </c>
      <c r="M90">
        <v>17</v>
      </c>
      <c r="N90">
        <v>18</v>
      </c>
      <c r="O90">
        <v>19</v>
      </c>
      <c r="P90">
        <v>20</v>
      </c>
      <c r="Q90">
        <v>21</v>
      </c>
      <c r="R90">
        <v>22</v>
      </c>
      <c r="S90">
        <v>23</v>
      </c>
      <c r="T90">
        <v>24</v>
      </c>
      <c r="U90">
        <v>25</v>
      </c>
      <c r="V90">
        <v>26</v>
      </c>
      <c r="W90">
        <v>27</v>
      </c>
      <c r="X90">
        <v>28</v>
      </c>
      <c r="Y90">
        <v>29</v>
      </c>
      <c r="Z90">
        <v>30</v>
      </c>
      <c r="AA90">
        <v>31</v>
      </c>
      <c r="AB90">
        <v>32</v>
      </c>
      <c r="AC90">
        <v>33</v>
      </c>
      <c r="AD90">
        <v>34</v>
      </c>
    </row>
    <row r="91" spans="1:30" x14ac:dyDescent="0.2">
      <c r="A91">
        <v>6</v>
      </c>
      <c r="B91">
        <f ca="1">C85</f>
        <v>3.5012779664577572E-5</v>
      </c>
      <c r="C91">
        <f ca="1">$B91*1/(9+Rules!$B$5)</f>
        <v>2.6932907434290439E-6</v>
      </c>
      <c r="D91">
        <f ca="1">$B91*1/(9+Rules!$B$5)</f>
        <v>2.6932907434290439E-6</v>
      </c>
      <c r="E91">
        <f ca="1">$B91*1/(9+Rules!$B$5)</f>
        <v>2.6932907434290439E-6</v>
      </c>
      <c r="F91">
        <f ca="1">$B91*1/(9+Rules!$B$5)</f>
        <v>2.6932907434290439E-6</v>
      </c>
      <c r="G91">
        <f ca="1">$B91*1/(9+Rules!$B$5)</f>
        <v>2.6932907434290439E-6</v>
      </c>
      <c r="H91">
        <f ca="1">$B91*1/(9+Rules!$B$5)</f>
        <v>2.6932907434290439E-6</v>
      </c>
      <c r="I91">
        <f ca="1">$B91*1/(9+Rules!$B$5)</f>
        <v>2.6932907434290439E-6</v>
      </c>
      <c r="J91">
        <f ca="1">$B91*1/(9+Rules!$B$5)</f>
        <v>2.6932907434290439E-6</v>
      </c>
      <c r="K91">
        <f ca="1">$B91*1/(9+Rules!$B$5)</f>
        <v>2.6932907434290439E-6</v>
      </c>
      <c r="L91">
        <f ca="1">$B91*Rules!$B$5/(9+Rules!$B$5)</f>
        <v>1.0773162973716176E-5</v>
      </c>
    </row>
    <row r="92" spans="1:30" x14ac:dyDescent="0.2">
      <c r="A92">
        <v>7</v>
      </c>
      <c r="B92">
        <f ca="1">D85</f>
        <v>1.4005111865831031E-4</v>
      </c>
      <c r="D92">
        <f ca="1">$B92*1/(9+Rules!$B$5)</f>
        <v>1.0773162973716177E-5</v>
      </c>
      <c r="E92">
        <f ca="1">$B92*1/(9+Rules!$B$5)</f>
        <v>1.0773162973716177E-5</v>
      </c>
      <c r="F92">
        <f ca="1">$B92*1/(9+Rules!$B$5)</f>
        <v>1.0773162973716177E-5</v>
      </c>
      <c r="G92">
        <f ca="1">$B92*1/(9+Rules!$B$5)</f>
        <v>1.0773162973716177E-5</v>
      </c>
      <c r="H92">
        <f ca="1">$B92*1/(9+Rules!$B$5)</f>
        <v>1.0773162973716177E-5</v>
      </c>
      <c r="I92">
        <f ca="1">$B92*1/(9+Rules!$B$5)</f>
        <v>1.0773162973716177E-5</v>
      </c>
      <c r="J92">
        <f ca="1">$B92*1/(9+Rules!$B$5)</f>
        <v>1.0773162973716177E-5</v>
      </c>
      <c r="K92">
        <f ca="1">$B92*1/(9+Rules!$B$5)</f>
        <v>1.0773162973716177E-5</v>
      </c>
      <c r="L92">
        <f ca="1">$B92*1/(9+Rules!$B$5)</f>
        <v>1.0773162973716177E-5</v>
      </c>
      <c r="M92">
        <f ca="1">$B92*Rules!$B$5/(9+Rules!$B$5)</f>
        <v>4.3092651894864709E-5</v>
      </c>
    </row>
    <row r="93" spans="1:30" x14ac:dyDescent="0.2">
      <c r="A93">
        <v>8</v>
      </c>
      <c r="B93">
        <f ca="1">E85</f>
        <v>3.5012779664577581E-4</v>
      </c>
      <c r="E93">
        <f ca="1">$B93*1/(9+Rules!$B$5)</f>
        <v>2.6932907434290448E-5</v>
      </c>
      <c r="F93">
        <f ca="1">$B93*1/(9+Rules!$B$5)</f>
        <v>2.6932907434290448E-5</v>
      </c>
      <c r="G93">
        <f ca="1">$B93*1/(9+Rules!$B$5)</f>
        <v>2.6932907434290448E-5</v>
      </c>
      <c r="H93">
        <f ca="1">$B93*1/(9+Rules!$B$5)</f>
        <v>2.6932907434290448E-5</v>
      </c>
      <c r="I93">
        <f ca="1">$B93*1/(9+Rules!$B$5)</f>
        <v>2.6932907434290448E-5</v>
      </c>
      <c r="J93">
        <f ca="1">$B93*1/(9+Rules!$B$5)</f>
        <v>2.6932907434290448E-5</v>
      </c>
      <c r="K93">
        <f ca="1">$B93*1/(9+Rules!$B$5)</f>
        <v>2.6932907434290448E-5</v>
      </c>
      <c r="L93">
        <f ca="1">$B93*1/(9+Rules!$B$5)</f>
        <v>2.6932907434290448E-5</v>
      </c>
      <c r="M93">
        <f ca="1">$B93*1/(9+Rules!$B$5)</f>
        <v>2.6932907434290448E-5</v>
      </c>
      <c r="N93">
        <f ca="1">$B93*Rules!$B$5/(9+Rules!$B$5)</f>
        <v>1.0773162973716179E-4</v>
      </c>
    </row>
    <row r="94" spans="1:30" x14ac:dyDescent="0.2">
      <c r="A94">
        <v>9</v>
      </c>
      <c r="B94">
        <f ca="1">F$85</f>
        <v>7.0025559329155163E-4</v>
      </c>
      <c r="F94">
        <f ca="1">$B94*1/(9+Rules!$B$5)</f>
        <v>5.3865814868580896E-5</v>
      </c>
      <c r="G94">
        <f ca="1">$B94*1/(9+Rules!$B$5)</f>
        <v>5.3865814868580896E-5</v>
      </c>
      <c r="H94">
        <f ca="1">$B94*1/(9+Rules!$B$5)</f>
        <v>5.3865814868580896E-5</v>
      </c>
      <c r="I94">
        <f ca="1">$B94*1/(9+Rules!$B$5)</f>
        <v>5.3865814868580896E-5</v>
      </c>
      <c r="J94">
        <f ca="1">$B94*1/(9+Rules!$B$5)</f>
        <v>5.3865814868580896E-5</v>
      </c>
      <c r="K94">
        <f ca="1">$B94*1/(9+Rules!$B$5)</f>
        <v>5.3865814868580896E-5</v>
      </c>
      <c r="L94">
        <f ca="1">$B94*1/(9+Rules!$B$5)</f>
        <v>5.3865814868580896E-5</v>
      </c>
      <c r="M94">
        <f ca="1">$B94*1/(9+Rules!$B$5)</f>
        <v>5.3865814868580896E-5</v>
      </c>
      <c r="N94">
        <f ca="1">$B94*1/(9+Rules!$B$5)</f>
        <v>5.3865814868580896E-5</v>
      </c>
      <c r="O94">
        <f ca="1">$B94*Rules!$B$5/(9+Rules!$B$5)</f>
        <v>2.1546325947432359E-4</v>
      </c>
    </row>
    <row r="95" spans="1:30" x14ac:dyDescent="0.2">
      <c r="A95">
        <v>10</v>
      </c>
      <c r="B95">
        <f ca="1">G$85</f>
        <v>1.2254472882602153E-3</v>
      </c>
      <c r="G95">
        <f ca="1">$B95*1/(9+Rules!$B$5)</f>
        <v>9.4265176020016562E-5</v>
      </c>
      <c r="H95">
        <f ca="1">$B95*1/(9+Rules!$B$5)</f>
        <v>9.4265176020016562E-5</v>
      </c>
      <c r="I95">
        <f ca="1">$B95*1/(9+Rules!$B$5)</f>
        <v>9.4265176020016562E-5</v>
      </c>
      <c r="J95">
        <f ca="1">$B95*1/(9+Rules!$B$5)</f>
        <v>9.4265176020016562E-5</v>
      </c>
      <c r="K95">
        <f ca="1">$B95*1/(9+Rules!$B$5)</f>
        <v>9.4265176020016562E-5</v>
      </c>
      <c r="L95">
        <f ca="1">$B95*1/(9+Rules!$B$5)</f>
        <v>9.4265176020016562E-5</v>
      </c>
      <c r="M95">
        <f ca="1">$B95*1/(9+Rules!$B$5)</f>
        <v>9.4265176020016562E-5</v>
      </c>
      <c r="N95">
        <f ca="1">$B95*1/(9+Rules!$B$5)</f>
        <v>9.4265176020016562E-5</v>
      </c>
      <c r="O95">
        <f ca="1">$B95*1/(9+Rules!$B$5)</f>
        <v>9.4265176020016562E-5</v>
      </c>
      <c r="P95">
        <f ca="1">$B95*Rules!$B$5/(9+Rules!$B$5)</f>
        <v>3.7706070408006625E-4</v>
      </c>
    </row>
    <row r="96" spans="1:30" x14ac:dyDescent="0.2">
      <c r="A96">
        <v>11</v>
      </c>
      <c r="B96">
        <f ca="1">H$85</f>
        <v>1.9607156612163443E-3</v>
      </c>
      <c r="H96">
        <f ca="1">$B96*1/(9+Rules!$B$5)</f>
        <v>1.5082428163202649E-4</v>
      </c>
      <c r="I96">
        <f ca="1">$B96*1/(9+Rules!$B$5)</f>
        <v>1.5082428163202649E-4</v>
      </c>
      <c r="J96">
        <f ca="1">$B96*1/(9+Rules!$B$5)</f>
        <v>1.5082428163202649E-4</v>
      </c>
      <c r="K96">
        <f ca="1">$B96*1/(9+Rules!$B$5)</f>
        <v>1.5082428163202649E-4</v>
      </c>
      <c r="L96">
        <f ca="1">$B96*1/(9+Rules!$B$5)</f>
        <v>1.5082428163202649E-4</v>
      </c>
      <c r="M96">
        <f ca="1">$B96*1/(9+Rules!$B$5)</f>
        <v>1.5082428163202649E-4</v>
      </c>
      <c r="N96">
        <f ca="1">$B96*1/(9+Rules!$B$5)</f>
        <v>1.5082428163202649E-4</v>
      </c>
      <c r="O96">
        <f ca="1">$B96*1/(9+Rules!$B$5)</f>
        <v>1.5082428163202649E-4</v>
      </c>
      <c r="P96">
        <f ca="1">$B96*1/(9+Rules!$B$5)</f>
        <v>1.5082428163202649E-4</v>
      </c>
      <c r="Q96">
        <f ca="1">$B96*Rules!$B$5/(9+Rules!$B$5)</f>
        <v>6.0329712652810595E-4</v>
      </c>
    </row>
    <row r="97" spans="1:28" x14ac:dyDescent="0.2">
      <c r="A97">
        <v>12</v>
      </c>
      <c r="B97">
        <f ca="1">I$85</f>
        <v>4.2015335597493098E-3</v>
      </c>
      <c r="I97">
        <f ca="1">$B97*1/(9+Rules!$B$5)</f>
        <v>3.2319488921148538E-4</v>
      </c>
      <c r="J97">
        <f ca="1">$B97*1/(9+Rules!$B$5)</f>
        <v>3.2319488921148538E-4</v>
      </c>
      <c r="K97">
        <f ca="1">$B97*1/(9+Rules!$B$5)</f>
        <v>3.2319488921148538E-4</v>
      </c>
      <c r="L97">
        <f ca="1">$B97*1/(9+Rules!$B$5)</f>
        <v>3.2319488921148538E-4</v>
      </c>
      <c r="M97">
        <f ca="1">$B97*1/(9+Rules!$B$5)</f>
        <v>3.2319488921148538E-4</v>
      </c>
      <c r="N97">
        <f ca="1">$B97*1/(9+Rules!$B$5)</f>
        <v>3.2319488921148538E-4</v>
      </c>
      <c r="O97">
        <f ca="1">$B97*1/(9+Rules!$B$5)</f>
        <v>3.2319488921148538E-4</v>
      </c>
      <c r="P97">
        <f ca="1">$B97*1/(9+Rules!$B$5)</f>
        <v>3.2319488921148538E-4</v>
      </c>
      <c r="Q97">
        <f ca="1">$B97*1/(9+Rules!$B$5)</f>
        <v>3.2319488921148538E-4</v>
      </c>
      <c r="R97">
        <f ca="1">$B97*Rules!$B$5/(9+Rules!$B$5)</f>
        <v>1.2927795568459415E-3</v>
      </c>
    </row>
    <row r="98" spans="1:28" x14ac:dyDescent="0.2">
      <c r="A98">
        <v>13</v>
      </c>
      <c r="B98">
        <f ca="1">J$85</f>
        <v>6.1272364413010759E-3</v>
      </c>
      <c r="J98">
        <f ca="1">$B98*1/(9+Rules!$B$5)</f>
        <v>4.7132588010008274E-4</v>
      </c>
      <c r="K98">
        <f ca="1">$B98*1/(9+Rules!$B$5)</f>
        <v>4.7132588010008274E-4</v>
      </c>
      <c r="L98">
        <f ca="1">$B98*1/(9+Rules!$B$5)</f>
        <v>4.7132588010008274E-4</v>
      </c>
      <c r="M98">
        <f ca="1">$B98*1/(9+Rules!$B$5)</f>
        <v>4.7132588010008274E-4</v>
      </c>
      <c r="N98">
        <f ca="1">$B98*1/(9+Rules!$B$5)</f>
        <v>4.7132588010008274E-4</v>
      </c>
      <c r="O98">
        <f ca="1">$B98*1/(9+Rules!$B$5)</f>
        <v>4.7132588010008274E-4</v>
      </c>
      <c r="P98">
        <f ca="1">$B98*1/(9+Rules!$B$5)</f>
        <v>4.7132588010008274E-4</v>
      </c>
      <c r="Q98">
        <f ca="1">$B98*1/(9+Rules!$B$5)</f>
        <v>4.7132588010008274E-4</v>
      </c>
      <c r="R98">
        <f ca="1">$B98*1/(9+Rules!$B$5)</f>
        <v>4.7132588010008274E-4</v>
      </c>
      <c r="S98">
        <f ca="1">$B98*Rules!$B$5/(9+Rules!$B$5)</f>
        <v>1.885303520400331E-3</v>
      </c>
    </row>
    <row r="99" spans="1:28" x14ac:dyDescent="0.2">
      <c r="A99">
        <v>14</v>
      </c>
      <c r="B99">
        <f ca="1">K$85</f>
        <v>8.7181821364798167E-3</v>
      </c>
      <c r="K99">
        <f ca="1">$B99*1/(9+Rules!$B$5)</f>
        <v>6.7062939511383201E-4</v>
      </c>
      <c r="L99">
        <f ca="1">$B99*1/(9+Rules!$B$5)</f>
        <v>6.7062939511383201E-4</v>
      </c>
      <c r="M99">
        <f ca="1">$B99*1/(9+Rules!$B$5)</f>
        <v>6.7062939511383201E-4</v>
      </c>
      <c r="N99">
        <f ca="1">$B99*1/(9+Rules!$B$5)</f>
        <v>6.7062939511383201E-4</v>
      </c>
      <c r="O99">
        <f ca="1">$B99*1/(9+Rules!$B$5)</f>
        <v>6.7062939511383201E-4</v>
      </c>
      <c r="P99">
        <f ca="1">$B99*1/(9+Rules!$B$5)</f>
        <v>6.7062939511383201E-4</v>
      </c>
      <c r="Q99">
        <f ca="1">$B99*1/(9+Rules!$B$5)</f>
        <v>6.7062939511383201E-4</v>
      </c>
      <c r="R99">
        <f ca="1">$B99*1/(9+Rules!$B$5)</f>
        <v>6.7062939511383201E-4</v>
      </c>
      <c r="S99">
        <f ca="1">$B99*1/(9+Rules!$B$5)</f>
        <v>6.7062939511383201E-4</v>
      </c>
      <c r="T99">
        <f ca="1">$B99*Rules!$B$5/(9+Rules!$B$5)</f>
        <v>2.682517580455328E-3</v>
      </c>
    </row>
    <row r="100" spans="1:28" x14ac:dyDescent="0.2">
      <c r="A100">
        <v>15</v>
      </c>
      <c r="B100">
        <f ca="1">L$85</f>
        <v>1.1869332306291799E-2</v>
      </c>
      <c r="L100">
        <f ca="1">$B100*1/(9+Rules!$B$5)</f>
        <v>9.1302556202244609E-4</v>
      </c>
      <c r="M100">
        <f ca="1">$B100*1/(9+Rules!$B$5)</f>
        <v>9.1302556202244609E-4</v>
      </c>
      <c r="N100">
        <f ca="1">$B100*1/(9+Rules!$B$5)</f>
        <v>9.1302556202244609E-4</v>
      </c>
      <c r="O100">
        <f ca="1">$B100*1/(9+Rules!$B$5)</f>
        <v>9.1302556202244609E-4</v>
      </c>
      <c r="P100">
        <f ca="1">$B100*1/(9+Rules!$B$5)</f>
        <v>9.1302556202244609E-4</v>
      </c>
      <c r="Q100">
        <f ca="1">$B100*1/(9+Rules!$B$5)</f>
        <v>9.1302556202244609E-4</v>
      </c>
      <c r="R100">
        <f ca="1">$B100*1/(9+Rules!$B$5)</f>
        <v>9.1302556202244609E-4</v>
      </c>
      <c r="S100">
        <f ca="1">$B100*1/(9+Rules!$B$5)</f>
        <v>9.1302556202244609E-4</v>
      </c>
      <c r="T100">
        <f ca="1">$B100*1/(9+Rules!$B$5)</f>
        <v>9.1302556202244609E-4</v>
      </c>
      <c r="U100">
        <f ca="1">$B100*Rules!$B$5/(9+Rules!$B$5)</f>
        <v>3.6521022480897843E-3</v>
      </c>
    </row>
    <row r="101" spans="1:28" x14ac:dyDescent="0.2">
      <c r="A101">
        <v>16</v>
      </c>
      <c r="B101">
        <f ca="1">M$85</f>
        <v>1.5475648611743288E-2</v>
      </c>
      <c r="M101">
        <f ca="1">$B101*1/(9+Rules!$B$5)</f>
        <v>1.1904345085956376E-3</v>
      </c>
      <c r="N101">
        <f ca="1">$B101*1/(9+Rules!$B$5)</f>
        <v>1.1904345085956376E-3</v>
      </c>
      <c r="O101">
        <f ca="1">$B101*1/(9+Rules!$B$5)</f>
        <v>1.1904345085956376E-3</v>
      </c>
      <c r="P101">
        <f ca="1">$B101*1/(9+Rules!$B$5)</f>
        <v>1.1904345085956376E-3</v>
      </c>
      <c r="Q101">
        <f ca="1">$B101*1/(9+Rules!$B$5)</f>
        <v>1.1904345085956376E-3</v>
      </c>
      <c r="R101">
        <f ca="1">$B101*1/(9+Rules!$B$5)</f>
        <v>1.1904345085956376E-3</v>
      </c>
      <c r="S101">
        <f ca="1">$B101*1/(9+Rules!$B$5)</f>
        <v>1.1904345085956376E-3</v>
      </c>
      <c r="T101">
        <f ca="1">$B101*1/(9+Rules!$B$5)</f>
        <v>1.1904345085956376E-3</v>
      </c>
      <c r="U101">
        <f ca="1">$B101*1/(9+Rules!$B$5)</f>
        <v>1.1904345085956376E-3</v>
      </c>
      <c r="V101">
        <f ca="1">$B101*Rules!$B$5/(9+Rules!$B$5)</f>
        <v>4.7617380343825504E-3</v>
      </c>
    </row>
    <row r="102" spans="1:28" x14ac:dyDescent="0.2">
      <c r="B102" t="s">
        <v>2</v>
      </c>
      <c r="C102">
        <f t="shared" ref="C102:AB102" ca="1" si="16">SUM(C91:C101)</f>
        <v>2.6932907434290439E-6</v>
      </c>
      <c r="D102">
        <f t="shared" ca="1" si="16"/>
        <v>1.3466453717145221E-5</v>
      </c>
      <c r="E102">
        <f t="shared" ca="1" si="16"/>
        <v>4.0399361151435666E-5</v>
      </c>
      <c r="F102">
        <f t="shared" ca="1" si="16"/>
        <v>9.4265176020016562E-5</v>
      </c>
      <c r="G102">
        <f t="shared" ca="1" si="16"/>
        <v>1.8853035204003312E-4</v>
      </c>
      <c r="H102">
        <f t="shared" ca="1" si="16"/>
        <v>3.3935463367205964E-4</v>
      </c>
      <c r="I102">
        <f t="shared" ca="1" si="16"/>
        <v>6.6254952288354496E-4</v>
      </c>
      <c r="J102">
        <f t="shared" ca="1" si="16"/>
        <v>1.1338754029836277E-3</v>
      </c>
      <c r="K102">
        <f t="shared" ca="1" si="16"/>
        <v>1.8045047980974598E-3</v>
      </c>
      <c r="L102">
        <f t="shared" ca="1" si="16"/>
        <v>2.7256102323501927E-3</v>
      </c>
      <c r="M102">
        <f t="shared" ca="1" si="16"/>
        <v>3.9375910668932625E-3</v>
      </c>
      <c r="N102">
        <f t="shared" ca="1" si="16"/>
        <v>3.9752971373012693E-3</v>
      </c>
      <c r="O102">
        <f t="shared" ca="1" si="16"/>
        <v>4.029162952169851E-3</v>
      </c>
      <c r="P102">
        <f t="shared" ca="1" si="16"/>
        <v>4.0964952207555765E-3</v>
      </c>
      <c r="Q102">
        <f t="shared" ca="1" si="16"/>
        <v>4.1719073615715894E-3</v>
      </c>
      <c r="R102">
        <f t="shared" ca="1" si="16"/>
        <v>4.5381949026779399E-3</v>
      </c>
      <c r="S102">
        <f t="shared" ca="1" si="16"/>
        <v>4.6593929861322471E-3</v>
      </c>
      <c r="T102">
        <f t="shared" ca="1" si="16"/>
        <v>4.7859776510734116E-3</v>
      </c>
      <c r="U102">
        <f t="shared" ca="1" si="16"/>
        <v>4.8425367566854224E-3</v>
      </c>
      <c r="V102">
        <f t="shared" ca="1" si="16"/>
        <v>4.7617380343825504E-3</v>
      </c>
      <c r="W102">
        <f t="shared" si="16"/>
        <v>0</v>
      </c>
      <c r="X102">
        <f t="shared" si="16"/>
        <v>0</v>
      </c>
      <c r="Y102">
        <f t="shared" si="16"/>
        <v>0</v>
      </c>
      <c r="Z102">
        <f t="shared" si="16"/>
        <v>0</v>
      </c>
      <c r="AA102">
        <f t="shared" si="16"/>
        <v>0</v>
      </c>
      <c r="AB102">
        <f t="shared" si="16"/>
        <v>0</v>
      </c>
    </row>
    <row r="104" spans="1:28" x14ac:dyDescent="0.2">
      <c r="A104" t="s">
        <v>128</v>
      </c>
      <c r="C104">
        <v>15</v>
      </c>
      <c r="D104">
        <v>16</v>
      </c>
      <c r="E104">
        <v>17</v>
      </c>
      <c r="F104">
        <v>18</v>
      </c>
      <c r="G104">
        <v>19</v>
      </c>
      <c r="H104">
        <v>20</v>
      </c>
      <c r="I104">
        <v>21</v>
      </c>
      <c r="J104">
        <v>22</v>
      </c>
      <c r="K104">
        <v>23</v>
      </c>
      <c r="L104">
        <v>24</v>
      </c>
      <c r="M104">
        <v>25</v>
      </c>
      <c r="N104">
        <v>26</v>
      </c>
      <c r="O104">
        <v>27</v>
      </c>
      <c r="P104">
        <v>28</v>
      </c>
      <c r="Q104">
        <v>29</v>
      </c>
      <c r="R104">
        <v>30</v>
      </c>
      <c r="S104">
        <v>31</v>
      </c>
      <c r="T104">
        <v>32</v>
      </c>
      <c r="U104">
        <v>33</v>
      </c>
    </row>
    <row r="105" spans="1:28" x14ac:dyDescent="0.2">
      <c r="A105">
        <v>14</v>
      </c>
      <c r="B105">
        <f>K$86</f>
        <v>3.5012779664577572E-5</v>
      </c>
      <c r="C105">
        <f>$B105*1/(9+Rules!$B$5)</f>
        <v>2.6932907434290439E-6</v>
      </c>
      <c r="D105">
        <f>$B105*1/(9+Rules!$B$5)</f>
        <v>2.6932907434290439E-6</v>
      </c>
      <c r="E105">
        <f>$B105*1/(9+Rules!$B$5)</f>
        <v>2.6932907434290439E-6</v>
      </c>
      <c r="F105">
        <f>$B105*1/(9+Rules!$B$5)</f>
        <v>2.6932907434290439E-6</v>
      </c>
      <c r="G105">
        <f>$B105*1/(9+Rules!$B$5)</f>
        <v>2.6932907434290439E-6</v>
      </c>
      <c r="H105">
        <f>$B105*1/(9+Rules!$B$5)</f>
        <v>2.6932907434290439E-6</v>
      </c>
      <c r="I105">
        <f>$B105*1/(9+Rules!$B$5)</f>
        <v>2.6932907434290439E-6</v>
      </c>
      <c r="J105">
        <f>$B105*1/(9+Rules!$B$5)</f>
        <v>2.6932907434290439E-6</v>
      </c>
      <c r="K105">
        <f>$B105*1/(9+Rules!$B$5)</f>
        <v>2.6932907434290439E-6</v>
      </c>
      <c r="L105">
        <f>$B105*Rules!$B$5/(9+Rules!$B$5)</f>
        <v>1.0773162973716176E-5</v>
      </c>
    </row>
    <row r="106" spans="1:28" x14ac:dyDescent="0.2">
      <c r="A106">
        <v>15</v>
      </c>
      <c r="B106">
        <f>L$86</f>
        <v>1.4005111865831031E-4</v>
      </c>
      <c r="D106">
        <f>$B106*1/(9+Rules!$B$5)</f>
        <v>1.0773162973716177E-5</v>
      </c>
      <c r="E106">
        <f>$B106*1/(9+Rules!$B$5)</f>
        <v>1.0773162973716177E-5</v>
      </c>
      <c r="F106">
        <f>$B106*1/(9+Rules!$B$5)</f>
        <v>1.0773162973716177E-5</v>
      </c>
      <c r="G106">
        <f>$B106*1/(9+Rules!$B$5)</f>
        <v>1.0773162973716177E-5</v>
      </c>
      <c r="H106">
        <f>$B106*1/(9+Rules!$B$5)</f>
        <v>1.0773162973716177E-5</v>
      </c>
      <c r="I106">
        <f>$B106*1/(9+Rules!$B$5)</f>
        <v>1.0773162973716177E-5</v>
      </c>
      <c r="J106">
        <f>$B106*1/(9+Rules!$B$5)</f>
        <v>1.0773162973716177E-5</v>
      </c>
      <c r="K106">
        <f>$B106*1/(9+Rules!$B$5)</f>
        <v>1.0773162973716177E-5</v>
      </c>
      <c r="L106">
        <f>$B106*1/(9+Rules!$B$5)</f>
        <v>1.0773162973716177E-5</v>
      </c>
      <c r="M106">
        <f>$B106*Rules!$B$5/(9+Rules!$B$5)</f>
        <v>4.3092651894864709E-5</v>
      </c>
    </row>
    <row r="107" spans="1:28" x14ac:dyDescent="0.2">
      <c r="A107">
        <v>16</v>
      </c>
      <c r="B107">
        <f>M$86</f>
        <v>3.1511501698119817E-4</v>
      </c>
      <c r="E107">
        <f>$B107*1/(9+Rules!$B$5)</f>
        <v>2.4239616690861398E-5</v>
      </c>
      <c r="F107">
        <f>$B107*1/(9+Rules!$B$5)</f>
        <v>2.4239616690861398E-5</v>
      </c>
      <c r="G107">
        <f>$B107*1/(9+Rules!$B$5)</f>
        <v>2.4239616690861398E-5</v>
      </c>
      <c r="H107">
        <f>$B107*1/(9+Rules!$B$5)</f>
        <v>2.4239616690861398E-5</v>
      </c>
      <c r="I107">
        <f>$B107*1/(9+Rules!$B$5)</f>
        <v>2.4239616690861398E-5</v>
      </c>
      <c r="J107">
        <f>$B107*1/(9+Rules!$B$5)</f>
        <v>2.4239616690861398E-5</v>
      </c>
      <c r="K107">
        <f>$B107*1/(9+Rules!$B$5)</f>
        <v>2.4239616690861398E-5</v>
      </c>
      <c r="L107">
        <f>$B107*1/(9+Rules!$B$5)</f>
        <v>2.4239616690861398E-5</v>
      </c>
      <c r="M107">
        <f>$B107*1/(9+Rules!$B$5)</f>
        <v>2.4239616690861398E-5</v>
      </c>
      <c r="N107">
        <f>$B107*Rules!$B$5/(9+Rules!$B$5)</f>
        <v>9.6958466763445592E-5</v>
      </c>
    </row>
    <row r="108" spans="1:28" x14ac:dyDescent="0.2">
      <c r="A108">
        <v>17</v>
      </c>
      <c r="B108">
        <f>N$86</f>
        <v>5.6020447463324126E-4</v>
      </c>
      <c r="F108">
        <f>$B108*1/(9+Rules!$B$5)</f>
        <v>4.3092651894864709E-5</v>
      </c>
      <c r="G108">
        <f>$B108*1/(9+Rules!$B$5)</f>
        <v>4.3092651894864709E-5</v>
      </c>
      <c r="H108">
        <f>$B108*1/(9+Rules!$B$5)</f>
        <v>4.3092651894864709E-5</v>
      </c>
      <c r="I108">
        <f>$B108*1/(9+Rules!$B$5)</f>
        <v>4.3092651894864709E-5</v>
      </c>
      <c r="J108">
        <f>$B108*1/(9+Rules!$B$5)</f>
        <v>4.3092651894864709E-5</v>
      </c>
      <c r="K108">
        <f>$B108*1/(9+Rules!$B$5)</f>
        <v>4.3092651894864709E-5</v>
      </c>
      <c r="L108">
        <f>$B108*1/(9+Rules!$B$5)</f>
        <v>4.3092651894864709E-5</v>
      </c>
      <c r="M108">
        <f>$B108*1/(9+Rules!$B$5)</f>
        <v>4.3092651894864709E-5</v>
      </c>
      <c r="N108">
        <f>$B108*1/(9+Rules!$B$5)</f>
        <v>4.3092651894864709E-5</v>
      </c>
      <c r="O108">
        <f>$B108*Rules!$B$5/(9+Rules!$B$5)</f>
        <v>1.7237060757945884E-4</v>
      </c>
    </row>
    <row r="109" spans="1:28" x14ac:dyDescent="0.2">
      <c r="A109">
        <v>18</v>
      </c>
      <c r="B109">
        <f>O$86</f>
        <v>8.7531949161443942E-4</v>
      </c>
      <c r="G109">
        <f>$B109*1/(9+Rules!$B$5)</f>
        <v>6.7332268585726114E-5</v>
      </c>
      <c r="H109">
        <f>$B109*1/(9+Rules!$B$5)</f>
        <v>6.7332268585726114E-5</v>
      </c>
      <c r="I109">
        <f>$B109*1/(9+Rules!$B$5)</f>
        <v>6.7332268585726114E-5</v>
      </c>
      <c r="J109">
        <f>$B109*1/(9+Rules!$B$5)</f>
        <v>6.7332268585726114E-5</v>
      </c>
      <c r="K109">
        <f>$B109*1/(9+Rules!$B$5)</f>
        <v>6.7332268585726114E-5</v>
      </c>
      <c r="L109">
        <f>$B109*1/(9+Rules!$B$5)</f>
        <v>6.7332268585726114E-5</v>
      </c>
      <c r="M109">
        <f>$B109*1/(9+Rules!$B$5)</f>
        <v>6.7332268585726114E-5</v>
      </c>
      <c r="N109">
        <f>$B109*1/(9+Rules!$B$5)</f>
        <v>6.7332268585726114E-5</v>
      </c>
      <c r="O109">
        <f>$B109*1/(9+Rules!$B$5)</f>
        <v>6.7332268585726114E-5</v>
      </c>
      <c r="P109">
        <f>$B109*Rules!$B$5/(9+Rules!$B$5)</f>
        <v>2.6932907434290445E-4</v>
      </c>
    </row>
    <row r="110" spans="1:28" x14ac:dyDescent="0.2">
      <c r="B110" t="s">
        <v>2</v>
      </c>
      <c r="C110">
        <f t="shared" ref="C110:T110" si="17">SUM(C105:C109)</f>
        <v>2.6932907434290439E-6</v>
      </c>
      <c r="D110">
        <f t="shared" si="17"/>
        <v>1.3466453717145221E-5</v>
      </c>
      <c r="E110">
        <f t="shared" si="17"/>
        <v>3.7706070408006622E-5</v>
      </c>
      <c r="F110">
        <f t="shared" si="17"/>
        <v>8.0798722302871331E-5</v>
      </c>
      <c r="G110">
        <f t="shared" si="17"/>
        <v>1.4813099088859744E-4</v>
      </c>
      <c r="H110">
        <f t="shared" si="17"/>
        <v>1.4813099088859744E-4</v>
      </c>
      <c r="I110">
        <f t="shared" si="17"/>
        <v>1.4813099088859744E-4</v>
      </c>
      <c r="J110">
        <f t="shared" si="17"/>
        <v>1.4813099088859744E-4</v>
      </c>
      <c r="K110">
        <f t="shared" si="17"/>
        <v>1.4813099088859744E-4</v>
      </c>
      <c r="L110">
        <f t="shared" si="17"/>
        <v>1.5621086311888458E-4</v>
      </c>
      <c r="M110">
        <f t="shared" si="17"/>
        <v>1.7775718906631692E-4</v>
      </c>
      <c r="N110">
        <f t="shared" si="17"/>
        <v>2.0738338724403643E-4</v>
      </c>
      <c r="O110">
        <f t="shared" si="17"/>
        <v>2.3970287616518495E-4</v>
      </c>
      <c r="P110">
        <f t="shared" si="17"/>
        <v>2.6932907434290445E-4</v>
      </c>
      <c r="Q110">
        <f t="shared" si="17"/>
        <v>0</v>
      </c>
      <c r="R110">
        <f t="shared" si="17"/>
        <v>0</v>
      </c>
      <c r="S110">
        <f t="shared" si="17"/>
        <v>0</v>
      </c>
      <c r="T110">
        <f t="shared" si="17"/>
        <v>0</v>
      </c>
    </row>
    <row r="112" spans="1:28" x14ac:dyDescent="0.2">
      <c r="B112" t="s">
        <v>135</v>
      </c>
      <c r="C112">
        <v>7</v>
      </c>
      <c r="D112">
        <v>8</v>
      </c>
      <c r="E112">
        <v>9</v>
      </c>
      <c r="F112">
        <v>10</v>
      </c>
      <c r="G112">
        <v>11</v>
      </c>
      <c r="H112">
        <v>12</v>
      </c>
      <c r="I112">
        <v>13</v>
      </c>
      <c r="J112">
        <v>14</v>
      </c>
      <c r="K112">
        <v>15</v>
      </c>
      <c r="L112">
        <v>16</v>
      </c>
      <c r="M112">
        <v>17</v>
      </c>
      <c r="N112">
        <v>18</v>
      </c>
      <c r="O112">
        <v>19</v>
      </c>
      <c r="P112">
        <v>20</v>
      </c>
      <c r="Q112">
        <v>21</v>
      </c>
      <c r="R112" t="s">
        <v>121</v>
      </c>
      <c r="S112" t="s">
        <v>2</v>
      </c>
      <c r="T112" t="s">
        <v>130</v>
      </c>
      <c r="U112" t="s">
        <v>143</v>
      </c>
      <c r="V112" t="s">
        <v>133</v>
      </c>
      <c r="W112" t="s">
        <v>134</v>
      </c>
    </row>
    <row r="113" spans="2:24" x14ac:dyDescent="0.2">
      <c r="B113" t="s">
        <v>131</v>
      </c>
      <c r="C113">
        <f t="shared" ref="C113:Q113" ca="1" si="18">SUMIF($C$90:$AD$90,C112,$C$102:$AD$102)+SUMIF($J$104:$U$104,C112+10,$J$110:$U$110)</f>
        <v>2.6932907434290439E-6</v>
      </c>
      <c r="D113">
        <f t="shared" ca="1" si="18"/>
        <v>1.3466453717145221E-5</v>
      </c>
      <c r="E113">
        <f t="shared" ca="1" si="18"/>
        <v>4.0399361151435666E-5</v>
      </c>
      <c r="F113">
        <f t="shared" ca="1" si="18"/>
        <v>9.4265176020016562E-5</v>
      </c>
      <c r="G113">
        <f t="shared" ca="1" si="18"/>
        <v>1.8853035204003312E-4</v>
      </c>
      <c r="H113">
        <f t="shared" ca="1" si="18"/>
        <v>4.8748562456065706E-4</v>
      </c>
      <c r="I113">
        <f t="shared" ca="1" si="18"/>
        <v>8.1068051377214238E-4</v>
      </c>
      <c r="J113">
        <f t="shared" ca="1" si="18"/>
        <v>1.2900862661025122E-3</v>
      </c>
      <c r="K113">
        <f t="shared" ca="1" si="18"/>
        <v>1.9822619871637769E-3</v>
      </c>
      <c r="L113">
        <f t="shared" ca="1" si="18"/>
        <v>2.9329936195942293E-3</v>
      </c>
      <c r="M113">
        <f t="shared" ca="1" si="18"/>
        <v>4.1772939430584476E-3</v>
      </c>
      <c r="N113">
        <f t="shared" ca="1" si="18"/>
        <v>4.244626211644174E-3</v>
      </c>
      <c r="O113">
        <f t="shared" ca="1" si="18"/>
        <v>4.029162952169851E-3</v>
      </c>
      <c r="P113">
        <f t="shared" ca="1" si="18"/>
        <v>4.0964952207555765E-3</v>
      </c>
      <c r="Q113">
        <f t="shared" ca="1" si="18"/>
        <v>4.1719073615715894E-3</v>
      </c>
      <c r="R113">
        <f ca="1">SUMIF($C$90:$AD$90,"&gt;21",$C$102:$AD$102)</f>
        <v>2.3587840330951574E-2</v>
      </c>
      <c r="S113">
        <f ca="1">SUM(C113:R113)</f>
        <v>5.2150188665016597E-2</v>
      </c>
      <c r="T113">
        <f ca="1">R113</f>
        <v>2.3587840330951574E-2</v>
      </c>
      <c r="U113">
        <f>V85</f>
        <v>0.32544378698224863</v>
      </c>
      <c r="V113">
        <f ca="1">W85</f>
        <v>0.43331816112881205</v>
      </c>
      <c r="W113">
        <f ca="1">U85</f>
        <v>0.18850880571408568</v>
      </c>
    </row>
    <row r="114" spans="2:24" x14ac:dyDescent="0.2">
      <c r="B114" t="s">
        <v>132</v>
      </c>
      <c r="C114">
        <f t="shared" ref="C114:Q114" si="19">SUMIF($C$104:$I$104,C112,$C$110:$I$110)</f>
        <v>0</v>
      </c>
      <c r="D114">
        <f t="shared" si="19"/>
        <v>0</v>
      </c>
      <c r="E114">
        <f t="shared" si="19"/>
        <v>0</v>
      </c>
      <c r="F114">
        <f t="shared" si="19"/>
        <v>0</v>
      </c>
      <c r="G114">
        <f t="shared" si="19"/>
        <v>0</v>
      </c>
      <c r="H114">
        <f t="shared" si="19"/>
        <v>0</v>
      </c>
      <c r="I114">
        <f t="shared" si="19"/>
        <v>0</v>
      </c>
      <c r="J114">
        <f t="shared" si="19"/>
        <v>0</v>
      </c>
      <c r="K114">
        <f t="shared" si="19"/>
        <v>2.6932907434290439E-6</v>
      </c>
      <c r="L114">
        <f t="shared" si="19"/>
        <v>1.3466453717145221E-5</v>
      </c>
      <c r="M114">
        <f t="shared" si="19"/>
        <v>3.7706070408006622E-5</v>
      </c>
      <c r="N114">
        <f t="shared" si="19"/>
        <v>8.0798722302871331E-5</v>
      </c>
      <c r="O114">
        <f t="shared" si="19"/>
        <v>1.4813099088859744E-4</v>
      </c>
      <c r="P114">
        <f t="shared" si="19"/>
        <v>1.4813099088859744E-4</v>
      </c>
      <c r="Q114">
        <f t="shared" si="19"/>
        <v>1.4813099088859744E-4</v>
      </c>
      <c r="R114">
        <f>SUMIF($C$60:$AD$60,R112,$C$73:$AD$73)+SUMIF($C$75:$J$75,R112,$C$82:$J$82)+SUMIF($K$75:$U$75,R112+10,$K$82:$U$82)</f>
        <v>0</v>
      </c>
      <c r="S114">
        <f>SUM(C114:R114)</f>
        <v>5.7905750983724448E-4</v>
      </c>
      <c r="X114" t="s">
        <v>127</v>
      </c>
    </row>
    <row r="115" spans="2:24" x14ac:dyDescent="0.2">
      <c r="R115" t="s">
        <v>2</v>
      </c>
      <c r="S115">
        <f ca="1">SUM(S113:S114)</f>
        <v>5.272924617485384E-2</v>
      </c>
      <c r="X115">
        <f ca="1">S115+W113+V113+U113</f>
        <v>1.0000000000000002</v>
      </c>
    </row>
    <row r="116" spans="2:24" ht="17" thickBot="1" x14ac:dyDescent="0.25"/>
    <row r="117" spans="2:24" ht="17" thickBot="1" x14ac:dyDescent="0.25">
      <c r="D117" s="141"/>
      <c r="E117" s="21" t="s">
        <v>141</v>
      </c>
      <c r="F117" s="19" t="s">
        <v>140</v>
      </c>
      <c r="G117" s="19" t="s">
        <v>142</v>
      </c>
      <c r="H117" s="20" t="s">
        <v>127</v>
      </c>
    </row>
    <row r="118" spans="2:24" x14ac:dyDescent="0.2">
      <c r="D118" s="120" t="s">
        <v>136</v>
      </c>
      <c r="E118" s="22">
        <f>U113</f>
        <v>0.32544378698224863</v>
      </c>
      <c r="F118" s="2">
        <v>0</v>
      </c>
      <c r="G118" s="2">
        <f>1-E118-F118</f>
        <v>0.67455621301775137</v>
      </c>
      <c r="H118" s="8">
        <f>SUM(E118:G118)</f>
        <v>1</v>
      </c>
    </row>
    <row r="119" spans="2:24" x14ac:dyDescent="0.2">
      <c r="D119" s="121" t="s">
        <v>137</v>
      </c>
      <c r="E119" s="247">
        <f ca="1">V56-T56</f>
        <v>0.26035502958579881</v>
      </c>
      <c r="F119" s="1">
        <f ca="1">T56</f>
        <v>0.17296313154301321</v>
      </c>
      <c r="G119" s="1">
        <f ca="1">G118-F119-E119</f>
        <v>0.24123805188893932</v>
      </c>
      <c r="H119" s="9">
        <f ca="1">SUM(E119:G119)</f>
        <v>0.67455621301775137</v>
      </c>
    </row>
    <row r="120" spans="2:24" x14ac:dyDescent="0.2">
      <c r="D120" s="121" t="s">
        <v>138</v>
      </c>
      <c r="E120" s="247">
        <f ca="1">U85-S85</f>
        <v>9.747557858618397E-2</v>
      </c>
      <c r="F120" s="1">
        <f ca="1">S85</f>
        <v>9.1033227127901711E-2</v>
      </c>
      <c r="G120" s="1">
        <f ca="1">G119-F120-E120</f>
        <v>5.2729246174853639E-2</v>
      </c>
      <c r="H120" s="9">
        <f ca="1">SUM(E120:G120)</f>
        <v>0.24123805188893932</v>
      </c>
    </row>
    <row r="121" spans="2:24" x14ac:dyDescent="0.2">
      <c r="D121" s="121" t="s">
        <v>139</v>
      </c>
      <c r="E121" s="247"/>
      <c r="F121" s="1">
        <f ca="1">R113</f>
        <v>2.3587840330951574E-2</v>
      </c>
      <c r="G121" s="1">
        <f ca="1">G120-F121</f>
        <v>2.9141405843902065E-2</v>
      </c>
      <c r="H121" s="9">
        <f ca="1">SUM(E121:G121)</f>
        <v>5.2729246174853639E-2</v>
      </c>
    </row>
    <row r="122" spans="2:24" ht="17" thickBot="1" x14ac:dyDescent="0.25">
      <c r="D122" s="248" t="s">
        <v>2</v>
      </c>
      <c r="E122" s="249">
        <f ca="1">SUM(E118:E121)</f>
        <v>0.68327439515423138</v>
      </c>
      <c r="F122" s="171">
        <f ca="1">SUM(F118:F121)</f>
        <v>0.28758419900186649</v>
      </c>
      <c r="G122" s="171">
        <f ca="1">G121</f>
        <v>2.9141405843902065E-2</v>
      </c>
      <c r="H122" s="10">
        <f ca="1">SUM(E122:G122)</f>
        <v>0.99999999999999989</v>
      </c>
    </row>
  </sheetData>
  <sheetProtection sheet="1" objects="1" scenarios="1"/>
  <conditionalFormatting sqref="C2">
    <cfRule type="containsText" dxfId="51" priority="7" operator="containsText" text="R">
      <formula>NOT(ISERROR(SEARCH("R",C2)))</formula>
    </cfRule>
    <cfRule type="containsText" dxfId="50" priority="8" operator="containsText" text="D">
      <formula>NOT(ISERROR(SEARCH("D",C2)))</formula>
    </cfRule>
    <cfRule type="containsText" dxfId="49" priority="9" operator="containsText" text="S">
      <formula>NOT(ISERROR(SEARCH("S",C2)))</formula>
    </cfRule>
    <cfRule type="containsText" dxfId="48" priority="10" operator="containsText" text="H">
      <formula>NOT(ISERROR(SEARCH("H",C2)))</formula>
    </cfRule>
  </conditionalFormatting>
  <conditionalFormatting sqref="C2">
    <cfRule type="containsText" dxfId="47" priority="6" operator="containsText" text="P">
      <formula>NOT(ISERROR(SEARCH("P",C2)))</formula>
    </cfRule>
  </conditionalFormatting>
  <conditionalFormatting sqref="C15">
    <cfRule type="containsText" dxfId="46" priority="2" operator="containsText" text="R">
      <formula>NOT(ISERROR(SEARCH("R",C15)))</formula>
    </cfRule>
    <cfRule type="containsText" dxfId="45" priority="3" operator="containsText" text="D">
      <formula>NOT(ISERROR(SEARCH("D",C15)))</formula>
    </cfRule>
    <cfRule type="containsText" dxfId="44" priority="4" operator="containsText" text="S">
      <formula>NOT(ISERROR(SEARCH("S",C15)))</formula>
    </cfRule>
    <cfRule type="containsText" dxfId="43" priority="5" operator="containsText" text="H">
      <formula>NOT(ISERROR(SEARCH("H",C15)))</formula>
    </cfRule>
  </conditionalFormatting>
  <conditionalFormatting sqref="C15">
    <cfRule type="containsText" dxfId="42" priority="1" operator="containsText" text="P">
      <formula>NOT(ISERROR(SEARCH("P",C15)))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cols>
    <col min="1" max="1" width="9.1640625" customWidth="1"/>
  </cols>
  <sheetData>
    <row r="1" spans="1:4" x14ac:dyDescent="0.2">
      <c r="B1" t="s">
        <v>151</v>
      </c>
      <c r="C1" t="s">
        <v>148</v>
      </c>
      <c r="D1" t="s">
        <v>149</v>
      </c>
    </row>
    <row r="2" spans="1:4" x14ac:dyDescent="0.2">
      <c r="A2" t="s">
        <v>150</v>
      </c>
      <c r="B2">
        <f>1/13</f>
        <v>7.6923076923076927E-2</v>
      </c>
      <c r="C2">
        <f>2*B2^2</f>
        <v>1.183431952662722E-2</v>
      </c>
      <c r="D2">
        <f>3*B2^3</f>
        <v>1.3654984069185255E-3</v>
      </c>
    </row>
  </sheetData>
  <sheetProtection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D2" sqref="D2"/>
    </sheetView>
  </sheetViews>
  <sheetFormatPr baseColWidth="10" defaultColWidth="8.83203125" defaultRowHeight="15" x14ac:dyDescent="0.2"/>
  <cols>
    <col min="1" max="2" width="8.83203125" style="33"/>
    <col min="3" max="3" width="8" style="33" customWidth="1"/>
    <col min="4" max="16384" width="8.83203125" style="33"/>
  </cols>
  <sheetData>
    <row r="1" spans="1:11" x14ac:dyDescent="0.2">
      <c r="A1" s="32" t="s">
        <v>9</v>
      </c>
      <c r="B1" s="32" t="s">
        <v>1</v>
      </c>
      <c r="C1" s="32">
        <v>2</v>
      </c>
      <c r="D1" s="32">
        <v>3</v>
      </c>
      <c r="E1" s="32">
        <v>4</v>
      </c>
      <c r="F1" s="32">
        <v>5</v>
      </c>
      <c r="G1" s="32">
        <v>6</v>
      </c>
      <c r="H1" s="32">
        <v>7</v>
      </c>
      <c r="I1" s="32">
        <v>8</v>
      </c>
      <c r="J1" s="32">
        <v>9</v>
      </c>
      <c r="K1" s="32">
        <v>10</v>
      </c>
    </row>
    <row r="2" spans="1:11" x14ac:dyDescent="0.2">
      <c r="A2" s="32">
        <v>5</v>
      </c>
      <c r="B2" s="34">
        <f>HSDR!B5</f>
        <v>-0.27857459755181968</v>
      </c>
      <c r="C2" s="34">
        <f>HSDR!C5</f>
        <v>-0.12821556706374745</v>
      </c>
      <c r="D2" s="34">
        <f>HSDR!D5</f>
        <v>-9.5310227261489883E-2</v>
      </c>
      <c r="E2" s="34">
        <f>HSDR!E5</f>
        <v>-6.1479464199694238E-2</v>
      </c>
      <c r="F2" s="34">
        <f>HSDR!F5</f>
        <v>-2.397897039185962E-2</v>
      </c>
      <c r="G2" s="34">
        <f>HSDR!G5</f>
        <v>-1.1863378384401623E-3</v>
      </c>
      <c r="H2" s="34">
        <f>HSDR!H5</f>
        <v>-0.11944744188414852</v>
      </c>
      <c r="I2" s="34">
        <f>HSDR!I5</f>
        <v>-0.18809330390318524</v>
      </c>
      <c r="J2" s="34">
        <f>HSDR!J5</f>
        <v>-0.26661505335795899</v>
      </c>
      <c r="K2" s="34">
        <f>HSDR!K5</f>
        <v>-0.31341164336497107</v>
      </c>
    </row>
    <row r="3" spans="1:11" x14ac:dyDescent="0.2">
      <c r="A3" s="32">
        <v>6</v>
      </c>
      <c r="B3" s="34">
        <f>HSDR!B6</f>
        <v>-0.30414663097569933</v>
      </c>
      <c r="C3" s="34">
        <f>HSDR!C6</f>
        <v>-0.14075911746001987</v>
      </c>
      <c r="D3" s="34">
        <f>HSDR!D6</f>
        <v>-0.10729107800860836</v>
      </c>
      <c r="E3" s="34">
        <f>HSDR!E6</f>
        <v>-7.2917141926387305E-2</v>
      </c>
      <c r="F3" s="34">
        <f>HSDR!F6</f>
        <v>-3.4915973330102178E-2</v>
      </c>
      <c r="G3" s="34">
        <f>HSDR!G6</f>
        <v>-1.3005835529874294E-2</v>
      </c>
      <c r="H3" s="34">
        <f>HSDR!H6</f>
        <v>-0.15193270723669944</v>
      </c>
      <c r="I3" s="34">
        <f>HSDR!I6</f>
        <v>-0.21724188132078476</v>
      </c>
      <c r="J3" s="34">
        <f>HSDR!J6</f>
        <v>-0.29264070019772598</v>
      </c>
      <c r="K3" s="34">
        <f>HSDR!K6</f>
        <v>-0.33774944037840804</v>
      </c>
    </row>
    <row r="4" spans="1:11" x14ac:dyDescent="0.2">
      <c r="A4" s="32">
        <v>7</v>
      </c>
      <c r="B4" s="34">
        <f>HSDR!B7</f>
        <v>-0.31007165033163697</v>
      </c>
      <c r="C4" s="34">
        <f>HSDR!C7</f>
        <v>-0.10918342786661633</v>
      </c>
      <c r="D4" s="34">
        <f>HSDR!D7</f>
        <v>-7.658298190446361E-2</v>
      </c>
      <c r="E4" s="34">
        <f>HSDR!E7</f>
        <v>-4.3021794004341876E-2</v>
      </c>
      <c r="F4" s="34">
        <f>HSDR!F7</f>
        <v>-7.2713609029408845E-3</v>
      </c>
      <c r="G4" s="34">
        <f>HSDR!G7</f>
        <v>2.9185342353860864E-2</v>
      </c>
      <c r="H4" s="34">
        <f>HSDR!H7</f>
        <v>-6.8807799580427764E-2</v>
      </c>
      <c r="I4" s="34">
        <f>HSDR!I7</f>
        <v>-0.21060476872434969</v>
      </c>
      <c r="J4" s="34">
        <f>HSDR!J7</f>
        <v>-0.28536544048687656</v>
      </c>
      <c r="K4" s="34">
        <f>HSDR!K7</f>
        <v>-0.31905479139833842</v>
      </c>
    </row>
    <row r="5" spans="1:11" x14ac:dyDescent="0.2">
      <c r="A5" s="32">
        <v>8</v>
      </c>
      <c r="B5" s="34">
        <f>HSDR!B8</f>
        <v>-0.1970288105741636</v>
      </c>
      <c r="C5" s="34">
        <f>HSDR!C8</f>
        <v>-2.1798188008805668E-2</v>
      </c>
      <c r="D5" s="34">
        <f>HSDR!D8</f>
        <v>8.0052625306546825E-3</v>
      </c>
      <c r="E5" s="34">
        <f>HSDR!E8</f>
        <v>3.8784473277208811E-2</v>
      </c>
      <c r="F5" s="34">
        <f>HSDR!F8</f>
        <v>7.0804635983033826E-2</v>
      </c>
      <c r="G5" s="34">
        <f>HSDR!G8</f>
        <v>0.11496015009622321</v>
      </c>
      <c r="H5" s="34">
        <f>HSDR!H8</f>
        <v>8.2207439363742862E-2</v>
      </c>
      <c r="I5" s="34">
        <f>HSDR!I8</f>
        <v>-5.9898275658656304E-2</v>
      </c>
      <c r="J5" s="34">
        <f>HSDR!J8</f>
        <v>-0.21018633199821757</v>
      </c>
      <c r="K5" s="34">
        <f>HSDR!K8</f>
        <v>-0.24937508055334259</v>
      </c>
    </row>
    <row r="6" spans="1:11" x14ac:dyDescent="0.2">
      <c r="A6" s="32">
        <v>9</v>
      </c>
      <c r="B6" s="34">
        <f>HSDR!B9</f>
        <v>-6.5680778778066204E-2</v>
      </c>
      <c r="C6" s="34">
        <f>HSDR!C9</f>
        <v>7.4446037576340524E-2</v>
      </c>
      <c r="D6" s="34">
        <f>HSDR!D9</f>
        <v>0.12081635332999649</v>
      </c>
      <c r="E6" s="34">
        <f>HSDR!E9</f>
        <v>0.18194893405242166</v>
      </c>
      <c r="F6" s="34">
        <f>HSDR!F9</f>
        <v>0.24305722487303633</v>
      </c>
      <c r="G6" s="34">
        <f>HSDR!G9</f>
        <v>0.31705474570166692</v>
      </c>
      <c r="H6" s="34">
        <f>HSDR!H9</f>
        <v>0.17186785993695267</v>
      </c>
      <c r="I6" s="34">
        <f>HSDR!I9</f>
        <v>9.8376217435392516E-2</v>
      </c>
      <c r="J6" s="34">
        <f>HSDR!J9</f>
        <v>-5.2178053462651669E-2</v>
      </c>
      <c r="K6" s="34">
        <f>HSDR!K9</f>
        <v>-0.15295298487455075</v>
      </c>
    </row>
    <row r="7" spans="1:11" x14ac:dyDescent="0.2">
      <c r="A7" s="32">
        <v>10</v>
      </c>
      <c r="B7" s="34">
        <f>HSDR!B10</f>
        <v>8.1449707945275923E-2</v>
      </c>
      <c r="C7" s="34">
        <f>HSDR!C10</f>
        <v>0.3589394124422991</v>
      </c>
      <c r="D7" s="34">
        <f>HSDR!D10</f>
        <v>0.40932067017593915</v>
      </c>
      <c r="E7" s="34">
        <f>HSDR!E10</f>
        <v>0.460940243794354</v>
      </c>
      <c r="F7" s="34">
        <f>HSDR!F10</f>
        <v>0.51251710900326775</v>
      </c>
      <c r="G7" s="34">
        <f>HSDR!G10</f>
        <v>0.57559016859776857</v>
      </c>
      <c r="H7" s="34">
        <f>HSDR!H10</f>
        <v>0.39241245528243773</v>
      </c>
      <c r="I7" s="34">
        <f>HSDR!I10</f>
        <v>0.28663571688628381</v>
      </c>
      <c r="J7" s="34">
        <f>HSDR!J10</f>
        <v>0.1443283683807712</v>
      </c>
      <c r="K7" s="34">
        <f>HSDR!K10</f>
        <v>2.5308523040868145E-2</v>
      </c>
    </row>
    <row r="8" spans="1:11" x14ac:dyDescent="0.2">
      <c r="A8" s="32">
        <v>11</v>
      </c>
      <c r="B8" s="34">
        <f>HSDR!B11</f>
        <v>0.14300128216153027</v>
      </c>
      <c r="C8" s="34">
        <f>HSDR!C11</f>
        <v>0.47064092333946889</v>
      </c>
      <c r="D8" s="34">
        <f>HSDR!D11</f>
        <v>0.51779525312221675</v>
      </c>
      <c r="E8" s="34">
        <f>HSDR!E11</f>
        <v>0.56604055041797607</v>
      </c>
      <c r="F8" s="34">
        <f>HSDR!F11</f>
        <v>0.61469901790902803</v>
      </c>
      <c r="G8" s="34">
        <f>HSDR!G11</f>
        <v>0.66738009490756944</v>
      </c>
      <c r="H8" s="34">
        <f>HSDR!H11</f>
        <v>0.46288894886429077</v>
      </c>
      <c r="I8" s="34">
        <f>HSDR!I11</f>
        <v>0.35069259087031501</v>
      </c>
      <c r="J8" s="34">
        <f>HSDR!J11</f>
        <v>0.22778342315245487</v>
      </c>
      <c r="K8" s="34">
        <f>HSDR!K11</f>
        <v>0.1796887274111463</v>
      </c>
    </row>
    <row r="9" spans="1:11" x14ac:dyDescent="0.2">
      <c r="A9" s="32">
        <v>12</v>
      </c>
      <c r="B9" s="34">
        <f>HSDR!B12</f>
        <v>-0.35054034044008009</v>
      </c>
      <c r="C9" s="34">
        <f>HSDR!C12</f>
        <v>-0.25338998596663809</v>
      </c>
      <c r="D9" s="34">
        <f>HSDR!D12</f>
        <v>-0.2336908997980866</v>
      </c>
      <c r="E9" s="34">
        <f>HSDR!E12</f>
        <v>-0.21106310899491437</v>
      </c>
      <c r="F9" s="34">
        <f>HSDR!F12</f>
        <v>-0.16719266083547524</v>
      </c>
      <c r="G9" s="34">
        <f>HSDR!G12</f>
        <v>-0.1536990158300045</v>
      </c>
      <c r="H9" s="34">
        <f>HSDR!H12</f>
        <v>-0.21284771451731424</v>
      </c>
      <c r="I9" s="34">
        <f>HSDR!I12</f>
        <v>-0.27157480502428616</v>
      </c>
      <c r="J9" s="34">
        <f>HSDR!J12</f>
        <v>-0.3400132806089356</v>
      </c>
      <c r="K9" s="34">
        <f>HSDR!K12</f>
        <v>-0.38104299284808768</v>
      </c>
    </row>
    <row r="10" spans="1:11" x14ac:dyDescent="0.2">
      <c r="A10" s="32">
        <v>13</v>
      </c>
      <c r="B10" s="34">
        <f>HSDR!B13</f>
        <v>-0.3969303161229315</v>
      </c>
      <c r="C10" s="34">
        <f>HSDR!C13</f>
        <v>-0.29278372720927726</v>
      </c>
      <c r="D10" s="34">
        <f>HSDR!D13</f>
        <v>-0.2522502292357135</v>
      </c>
      <c r="E10" s="34">
        <f>HSDR!E13</f>
        <v>-0.21106310899491437</v>
      </c>
      <c r="F10" s="34">
        <f>HSDR!F13</f>
        <v>-0.16719266083547524</v>
      </c>
      <c r="G10" s="34">
        <f>HSDR!G13</f>
        <v>-0.1536990158300045</v>
      </c>
      <c r="H10" s="34">
        <f>HSDR!H13</f>
        <v>-0.26907287776607752</v>
      </c>
      <c r="I10" s="34">
        <f>HSDR!I13</f>
        <v>-0.32360517609397998</v>
      </c>
      <c r="J10" s="34">
        <f>HSDR!J13</f>
        <v>-0.38715518913686875</v>
      </c>
      <c r="K10" s="34">
        <f>HSDR!K13</f>
        <v>-0.42525420764465277</v>
      </c>
    </row>
    <row r="11" spans="1:11" x14ac:dyDescent="0.2">
      <c r="A11" s="32">
        <v>14</v>
      </c>
      <c r="B11" s="34">
        <f>HSDR!B14</f>
        <v>-0.44000672211415065</v>
      </c>
      <c r="C11" s="34">
        <f>HSDR!C14</f>
        <v>-0.29278372720927726</v>
      </c>
      <c r="D11" s="34">
        <f>HSDR!D14</f>
        <v>-0.2522502292357135</v>
      </c>
      <c r="E11" s="34">
        <f>HSDR!E14</f>
        <v>-0.21106310899491437</v>
      </c>
      <c r="F11" s="34">
        <f>HSDR!F14</f>
        <v>-0.16719266083547524</v>
      </c>
      <c r="G11" s="34">
        <f>HSDR!G14</f>
        <v>-0.1536990158300045</v>
      </c>
      <c r="H11" s="34">
        <f>HSDR!H14</f>
        <v>-0.3212819579256434</v>
      </c>
      <c r="I11" s="34">
        <f>HSDR!I14</f>
        <v>-0.37191909208726714</v>
      </c>
      <c r="J11" s="34">
        <f>HSDR!J14</f>
        <v>-0.43092981848423528</v>
      </c>
      <c r="K11" s="34">
        <f>HSDR!K14</f>
        <v>-0.46630747852717758</v>
      </c>
    </row>
    <row r="12" spans="1:11" x14ac:dyDescent="0.2">
      <c r="A12" s="32">
        <v>15</v>
      </c>
      <c r="B12" s="34">
        <f>HSDR!B15</f>
        <v>-0.4800062419631399</v>
      </c>
      <c r="C12" s="34">
        <f>HSDR!C15</f>
        <v>-0.29278372720927726</v>
      </c>
      <c r="D12" s="34">
        <f>HSDR!D15</f>
        <v>-0.2522502292357135</v>
      </c>
      <c r="E12" s="34">
        <f>HSDR!E15</f>
        <v>-0.21106310899491437</v>
      </c>
      <c r="F12" s="34">
        <f>HSDR!F15</f>
        <v>-0.16719266083547524</v>
      </c>
      <c r="G12" s="34">
        <f>HSDR!G15</f>
        <v>-0.1536990158300045</v>
      </c>
      <c r="H12" s="34">
        <f>HSDR!H15</f>
        <v>-0.36976181807381175</v>
      </c>
      <c r="I12" s="34">
        <f>HSDR!I15</f>
        <v>-0.41678201408103371</v>
      </c>
      <c r="J12" s="34">
        <f>HSDR!J15</f>
        <v>-0.47157768859250415</v>
      </c>
      <c r="K12" s="34">
        <f>HSDR!K15</f>
        <v>-0.5</v>
      </c>
    </row>
    <row r="13" spans="1:11" x14ac:dyDescent="0.2">
      <c r="A13" s="32">
        <v>16</v>
      </c>
      <c r="B13" s="34">
        <f>HSDR!B16</f>
        <v>-0.51714865325148707</v>
      </c>
      <c r="C13" s="34">
        <f>HSDR!C16</f>
        <v>-0.29278372720927726</v>
      </c>
      <c r="D13" s="34">
        <f>HSDR!D16</f>
        <v>-0.2522502292357135</v>
      </c>
      <c r="E13" s="34">
        <f>HSDR!E16</f>
        <v>-0.21106310899491437</v>
      </c>
      <c r="F13" s="34">
        <f>HSDR!F16</f>
        <v>-0.16719266083547524</v>
      </c>
      <c r="G13" s="34">
        <f>HSDR!G16</f>
        <v>-0.1536990158300045</v>
      </c>
      <c r="H13" s="34">
        <f>HSDR!H16</f>
        <v>-0.41477883106853947</v>
      </c>
      <c r="I13" s="34">
        <f>HSDR!I16</f>
        <v>-0.45844044164667419</v>
      </c>
      <c r="J13" s="34">
        <f>HSDR!J16</f>
        <v>-0.5</v>
      </c>
      <c r="K13" s="34">
        <f>HSDR!K16</f>
        <v>-0.5</v>
      </c>
    </row>
    <row r="14" spans="1:11" x14ac:dyDescent="0.2">
      <c r="A14" s="32">
        <v>17</v>
      </c>
      <c r="B14" s="34">
        <f>HSDR!B17</f>
        <v>-0.47803347499473703</v>
      </c>
      <c r="C14" s="34">
        <f>HSDR!C17</f>
        <v>-0.15297458768154204</v>
      </c>
      <c r="D14" s="34">
        <f>HSDR!D17</f>
        <v>-0.11721624142457365</v>
      </c>
      <c r="E14" s="34">
        <f>HSDR!E17</f>
        <v>-8.0573373145316152E-2</v>
      </c>
      <c r="F14" s="34">
        <f>HSDR!F17</f>
        <v>-4.4941375564924446E-2</v>
      </c>
      <c r="G14" s="34">
        <f>HSDR!G17</f>
        <v>1.1739160673341853E-2</v>
      </c>
      <c r="H14" s="34">
        <f>HSDR!H17</f>
        <v>-0.10680898948269468</v>
      </c>
      <c r="I14" s="34">
        <f>HSDR!I17</f>
        <v>-0.38195097104844711</v>
      </c>
      <c r="J14" s="34">
        <f>HSDR!J17</f>
        <v>-0.42315423964521737</v>
      </c>
      <c r="K14" s="34">
        <f>HSDR!K17</f>
        <v>-0.41972063392881986</v>
      </c>
    </row>
    <row r="15" spans="1:11" x14ac:dyDescent="0.2">
      <c r="A15" s="32">
        <v>18</v>
      </c>
      <c r="B15" s="34">
        <f>HSDR!B18</f>
        <v>-0.10019887561319057</v>
      </c>
      <c r="C15" s="34">
        <f>HSDR!C18</f>
        <v>0.12174190222088771</v>
      </c>
      <c r="D15" s="34">
        <f>HSDR!D18</f>
        <v>0.14830007284131119</v>
      </c>
      <c r="E15" s="34">
        <f>HSDR!E18</f>
        <v>0.17585443719748528</v>
      </c>
      <c r="F15" s="34">
        <f>HSDR!F18</f>
        <v>0.19956119497617719</v>
      </c>
      <c r="G15" s="34">
        <f>HSDR!G18</f>
        <v>0.28344391604689856</v>
      </c>
      <c r="H15" s="34">
        <f>HSDR!H18</f>
        <v>0.3995541673365518</v>
      </c>
      <c r="I15" s="34">
        <f>HSDR!I18</f>
        <v>0.10595134861912359</v>
      </c>
      <c r="J15" s="34">
        <f>HSDR!J18</f>
        <v>-0.18316335667343331</v>
      </c>
      <c r="K15" s="34">
        <f>HSDR!K18</f>
        <v>-0.17830123379648949</v>
      </c>
    </row>
    <row r="16" spans="1:11" x14ac:dyDescent="0.2">
      <c r="A16" s="32">
        <v>19</v>
      </c>
      <c r="B16" s="34">
        <f>HSDR!B19</f>
        <v>0.27763572376835594</v>
      </c>
      <c r="C16" s="34">
        <f>HSDR!C19</f>
        <v>0.38630468602058993</v>
      </c>
      <c r="D16" s="34">
        <f>HSDR!D19</f>
        <v>0.4043629365977599</v>
      </c>
      <c r="E16" s="34">
        <f>HSDR!E19</f>
        <v>0.42317892482749653</v>
      </c>
      <c r="F16" s="34">
        <f>HSDR!F19</f>
        <v>0.43951210416088371</v>
      </c>
      <c r="G16" s="34">
        <f>HSDR!G19</f>
        <v>0.49597707378731914</v>
      </c>
      <c r="H16" s="34">
        <f>HSDR!H19</f>
        <v>0.6159764957534315</v>
      </c>
      <c r="I16" s="34">
        <f>HSDR!I19</f>
        <v>0.59385366828669439</v>
      </c>
      <c r="J16" s="34">
        <f>HSDR!J19</f>
        <v>0.28759675706758148</v>
      </c>
      <c r="K16" s="34">
        <f>HSDR!K19</f>
        <v>6.3118166335840831E-2</v>
      </c>
    </row>
    <row r="17" spans="1:11" x14ac:dyDescent="0.2">
      <c r="A17" s="32" t="s">
        <v>4</v>
      </c>
      <c r="B17" s="32" t="s">
        <v>1</v>
      </c>
      <c r="C17" s="35">
        <v>2</v>
      </c>
      <c r="D17" s="35">
        <v>3</v>
      </c>
      <c r="E17" s="35">
        <v>4</v>
      </c>
      <c r="F17" s="35">
        <v>5</v>
      </c>
      <c r="G17" s="35">
        <v>6</v>
      </c>
      <c r="H17" s="35">
        <v>7</v>
      </c>
      <c r="I17" s="35">
        <v>8</v>
      </c>
      <c r="J17" s="35">
        <v>9</v>
      </c>
      <c r="K17" s="35">
        <v>10</v>
      </c>
    </row>
    <row r="18" spans="1:11" x14ac:dyDescent="0.2">
      <c r="A18" s="32">
        <v>13</v>
      </c>
      <c r="B18" s="34">
        <f>HSDR!B36</f>
        <v>-5.7308046666810254E-2</v>
      </c>
      <c r="C18" s="34">
        <f>HSDR!C36</f>
        <v>4.6636132695309578E-2</v>
      </c>
      <c r="D18" s="34">
        <f>HSDR!D36</f>
        <v>7.4118813392744051E-2</v>
      </c>
      <c r="E18" s="34">
        <f>HSDR!E36</f>
        <v>0.10247714687203523</v>
      </c>
      <c r="F18" s="34">
        <f>HSDR!F36</f>
        <v>0.13336273848321728</v>
      </c>
      <c r="G18" s="34">
        <f>HSDR!G36</f>
        <v>0.17974820582791512</v>
      </c>
      <c r="H18" s="34">
        <f>HSDR!H36</f>
        <v>0.12238569517899196</v>
      </c>
      <c r="I18" s="34">
        <f>HSDR!I36</f>
        <v>5.4057070196311299E-2</v>
      </c>
      <c r="J18" s="34">
        <f>HSDR!J36</f>
        <v>-3.7694688127479885E-2</v>
      </c>
      <c r="K18" s="34">
        <f>HSDR!K36</f>
        <v>-0.10485135840627779</v>
      </c>
    </row>
    <row r="19" spans="1:11" x14ac:dyDescent="0.2">
      <c r="A19" s="32">
        <v>14</v>
      </c>
      <c r="B19" s="34">
        <f>HSDR!B37</f>
        <v>-9.3874324768310105E-2</v>
      </c>
      <c r="C19" s="34">
        <f>HSDR!C37</f>
        <v>2.2391856987839083E-2</v>
      </c>
      <c r="D19" s="34">
        <f>HSDR!D37</f>
        <v>5.0806738919282814E-2</v>
      </c>
      <c r="E19" s="34">
        <f>HSDR!E37</f>
        <v>8.0081414310110233E-2</v>
      </c>
      <c r="F19" s="34">
        <f>HSDR!F37</f>
        <v>0.12595448524867925</v>
      </c>
      <c r="G19" s="34">
        <f>HSDR!G37</f>
        <v>0.17974820582791512</v>
      </c>
      <c r="H19" s="34">
        <f>HSDR!H37</f>
        <v>7.9507488494468148E-2</v>
      </c>
      <c r="I19" s="34">
        <f>HSDR!I37</f>
        <v>1.3277219463208444E-2</v>
      </c>
      <c r="J19" s="34">
        <f>HSDR!J37</f>
        <v>-7.516318944168382E-2</v>
      </c>
      <c r="K19" s="34">
        <f>HSDR!K37</f>
        <v>-0.13946678217545452</v>
      </c>
    </row>
    <row r="20" spans="1:11" x14ac:dyDescent="0.2">
      <c r="A20" s="32">
        <v>15</v>
      </c>
      <c r="B20" s="34">
        <f>HSDR!B38</f>
        <v>-0.13002650167843849</v>
      </c>
      <c r="C20" s="34">
        <f>HSDR!C38</f>
        <v>-1.2068474052636583E-4</v>
      </c>
      <c r="D20" s="34">
        <f>HSDR!D38</f>
        <v>2.9159812622497363E-2</v>
      </c>
      <c r="E20" s="34">
        <f>HSDR!E38</f>
        <v>5.9285376931179926E-2</v>
      </c>
      <c r="F20" s="34">
        <f>HSDR!F38</f>
        <v>0.12595448524867925</v>
      </c>
      <c r="G20" s="34">
        <f>HSDR!G38</f>
        <v>0.17974820582791512</v>
      </c>
      <c r="H20" s="34">
        <f>HSDR!H38</f>
        <v>3.7028282279269235E-2</v>
      </c>
      <c r="I20" s="34">
        <f>HSDR!I38</f>
        <v>-2.7054780502901672E-2</v>
      </c>
      <c r="J20" s="34">
        <f>HSDR!J38</f>
        <v>-0.11218876868994289</v>
      </c>
      <c r="K20" s="34">
        <f>HSDR!K38</f>
        <v>-0.17370423031226784</v>
      </c>
    </row>
    <row r="21" spans="1:11" x14ac:dyDescent="0.2">
      <c r="A21" s="32">
        <v>16</v>
      </c>
      <c r="B21" s="34">
        <f>HSDR!B39</f>
        <v>-0.16563717206687348</v>
      </c>
      <c r="C21" s="34">
        <f>HSDR!C39</f>
        <v>-2.1025187774008566E-2</v>
      </c>
      <c r="D21" s="34">
        <f>HSDR!D39</f>
        <v>9.0590953469108244E-3</v>
      </c>
      <c r="E21" s="34">
        <f>HSDR!E39</f>
        <v>5.8426518743744951E-2</v>
      </c>
      <c r="F21" s="34">
        <f>HSDR!F39</f>
        <v>0.12595448524867925</v>
      </c>
      <c r="G21" s="34">
        <f>HSDR!G39</f>
        <v>0.17974820582791512</v>
      </c>
      <c r="H21" s="34">
        <f>HSDR!H39</f>
        <v>-4.8901571730158942E-3</v>
      </c>
      <c r="I21" s="34">
        <f>HSDR!I39</f>
        <v>-6.6794847920094103E-2</v>
      </c>
      <c r="J21" s="34">
        <f>HSDR!J39</f>
        <v>-0.14864353463007471</v>
      </c>
      <c r="K21" s="34">
        <f>HSDR!K39</f>
        <v>-0.20744109003068206</v>
      </c>
    </row>
    <row r="22" spans="1:11" x14ac:dyDescent="0.2">
      <c r="A22" s="32">
        <v>17</v>
      </c>
      <c r="B22" s="34">
        <f>HSDR!B40</f>
        <v>-0.17956936979241733</v>
      </c>
      <c r="C22" s="34">
        <f>HSDR!C40</f>
        <v>-4.9104358288912882E-4</v>
      </c>
      <c r="D22" s="34">
        <f>HSDR!D40</f>
        <v>5.5095284479298338E-2</v>
      </c>
      <c r="E22" s="34">
        <f>HSDR!E40</f>
        <v>0.11865255067432869</v>
      </c>
      <c r="F22" s="34">
        <f>HSDR!F40</f>
        <v>0.18237815537354879</v>
      </c>
      <c r="G22" s="34">
        <f>HSDR!G40</f>
        <v>0.2561042872909981</v>
      </c>
      <c r="H22" s="34">
        <f>HSDR!H40</f>
        <v>5.3823463716116654E-2</v>
      </c>
      <c r="I22" s="34">
        <f>HSDR!I40</f>
        <v>-7.2915398729642075E-2</v>
      </c>
      <c r="J22" s="34">
        <f>HSDR!J40</f>
        <v>-0.1497868921821332</v>
      </c>
      <c r="K22" s="34">
        <f>HSDR!K40</f>
        <v>-0.19686697623363469</v>
      </c>
    </row>
    <row r="23" spans="1:11" x14ac:dyDescent="0.2">
      <c r="A23" s="32">
        <v>18</v>
      </c>
      <c r="B23" s="34">
        <f>HSDR!B41</f>
        <v>-9.2935491769284034E-2</v>
      </c>
      <c r="C23" s="34">
        <f>HSDR!C41</f>
        <v>0.12174190222088771</v>
      </c>
      <c r="D23" s="34">
        <f>HSDR!D41</f>
        <v>0.17764127567893753</v>
      </c>
      <c r="E23" s="34">
        <f>HSDR!E41</f>
        <v>0.23700384775562167</v>
      </c>
      <c r="F23" s="34">
        <f>HSDR!F41</f>
        <v>0.29522549562328804</v>
      </c>
      <c r="G23" s="34">
        <f>HSDR!G41</f>
        <v>0.38150648207879345</v>
      </c>
      <c r="H23" s="34">
        <f>HSDR!H41</f>
        <v>0.3995541673365518</v>
      </c>
      <c r="I23" s="34">
        <f>HSDR!I41</f>
        <v>0.10595134861912359</v>
      </c>
      <c r="J23" s="34">
        <f>HSDR!J41</f>
        <v>-0.10074430758041522</v>
      </c>
      <c r="K23" s="34">
        <f>HSDR!K41</f>
        <v>-0.14380812317405353</v>
      </c>
    </row>
    <row r="24" spans="1:11" x14ac:dyDescent="0.2">
      <c r="A24" s="32">
        <v>19</v>
      </c>
      <c r="B24" s="34">
        <f>HSDR!B42</f>
        <v>0.27763572376835594</v>
      </c>
      <c r="C24" s="34">
        <f>HSDR!C42</f>
        <v>0.38630468602058993</v>
      </c>
      <c r="D24" s="34">
        <f>HSDR!D42</f>
        <v>0.4043629365977599</v>
      </c>
      <c r="E24" s="34">
        <f>HSDR!E42</f>
        <v>0.42317892482749653</v>
      </c>
      <c r="F24" s="34">
        <f>HSDR!F42</f>
        <v>0.43951210416088371</v>
      </c>
      <c r="G24" s="34">
        <f>HSDR!G42</f>
        <v>0.49597707378731914</v>
      </c>
      <c r="H24" s="34">
        <f>HSDR!H42</f>
        <v>0.6159764957534315</v>
      </c>
      <c r="I24" s="34">
        <f>HSDR!I42</f>
        <v>0.59385366828669439</v>
      </c>
      <c r="J24" s="34">
        <f>HSDR!J42</f>
        <v>0.28759675706758148</v>
      </c>
      <c r="K24" s="34">
        <f>HSDR!K42</f>
        <v>6.3118166335840831E-2</v>
      </c>
    </row>
    <row r="25" spans="1:11" x14ac:dyDescent="0.2">
      <c r="A25" s="32">
        <v>20</v>
      </c>
      <c r="B25" s="34">
        <f>HSDR!B43</f>
        <v>0.65547032314990239</v>
      </c>
      <c r="C25" s="34">
        <f>HSDR!C43</f>
        <v>0.63998657521683877</v>
      </c>
      <c r="D25" s="34">
        <f>HSDR!D43</f>
        <v>0.65027209425148136</v>
      </c>
      <c r="E25" s="34">
        <f>HSDR!E43</f>
        <v>0.66104996194807186</v>
      </c>
      <c r="F25" s="34">
        <f>HSDR!F43</f>
        <v>0.67035969063279999</v>
      </c>
      <c r="G25" s="34">
        <f>HSDR!G43</f>
        <v>0.70395857017134467</v>
      </c>
      <c r="H25" s="34">
        <f>HSDR!H43</f>
        <v>0.77322722653717491</v>
      </c>
      <c r="I25" s="34">
        <f>HSDR!I43</f>
        <v>0.79181515955189841</v>
      </c>
      <c r="J25" s="34">
        <f>HSDR!J43</f>
        <v>0.75835687080859626</v>
      </c>
      <c r="K25" s="34">
        <f>HSDR!K43</f>
        <v>0.55453756646817121</v>
      </c>
    </row>
    <row r="26" spans="1:11" x14ac:dyDescent="0.2">
      <c r="A26" s="32">
        <v>21</v>
      </c>
      <c r="B26" s="34">
        <f>IF(Rules!$B$3=Rules!$E$3,1.5,IF(Rules!$B$3=Rules!$F$3,1.2,1))</f>
        <v>1.5</v>
      </c>
      <c r="C26" s="34">
        <f>IF(Rules!$B$3=Rules!$E$3,1.5,IF(Rules!$B$3=Rules!$F$3,1.2,1))</f>
        <v>1.5</v>
      </c>
      <c r="D26" s="34">
        <f>IF(Rules!$B$3=Rules!$E$3,1.5,IF(Rules!$B$3=Rules!$F$3,1.2,1))</f>
        <v>1.5</v>
      </c>
      <c r="E26" s="34">
        <f>IF(Rules!$B$3=Rules!$E$3,1.5,IF(Rules!$B$3=Rules!$F$3,1.2,1))</f>
        <v>1.5</v>
      </c>
      <c r="F26" s="34">
        <f>IF(Rules!$B$3=Rules!$E$3,1.5,IF(Rules!$B$3=Rules!$F$3,1.2,1))</f>
        <v>1.5</v>
      </c>
      <c r="G26" s="34">
        <f>IF(Rules!$B$3=Rules!$E$3,1.5,IF(Rules!$B$3=Rules!$F$3,1.2,1))</f>
        <v>1.5</v>
      </c>
      <c r="H26" s="34">
        <f>IF(Rules!$B$3=Rules!$E$3,1.5,IF(Rules!$B$3=Rules!$F$3,1.2,1))</f>
        <v>1.5</v>
      </c>
      <c r="I26" s="34">
        <f>IF(Rules!$B$3=Rules!$E$3,1.5,IF(Rules!$B$3=Rules!$F$3,1.2,1))</f>
        <v>1.5</v>
      </c>
      <c r="J26" s="34">
        <f>IF(Rules!$B$3=Rules!$E$3,1.5,IF(Rules!$B$3=Rules!$F$3,1.2,1))</f>
        <v>1.5</v>
      </c>
      <c r="K26" s="34">
        <f>IF(Rules!$B$3=Rules!$E$3,1.5,IF(Rules!$B$3=Rules!$F$3,1.2,1))</f>
        <v>1.5</v>
      </c>
    </row>
    <row r="27" spans="1:11" x14ac:dyDescent="0.2">
      <c r="A27" s="32" t="s">
        <v>10</v>
      </c>
      <c r="B27" s="32" t="s">
        <v>1</v>
      </c>
      <c r="C27" s="35">
        <v>2</v>
      </c>
      <c r="D27" s="35">
        <v>3</v>
      </c>
      <c r="E27" s="35">
        <v>4</v>
      </c>
      <c r="F27" s="35">
        <v>5</v>
      </c>
      <c r="G27" s="35">
        <v>6</v>
      </c>
      <c r="H27" s="35">
        <v>7</v>
      </c>
      <c r="I27" s="35">
        <v>8</v>
      </c>
      <c r="J27" s="35">
        <v>9</v>
      </c>
      <c r="K27" s="35">
        <v>10</v>
      </c>
    </row>
    <row r="28" spans="1:11" x14ac:dyDescent="0.2">
      <c r="A28" s="32" t="s">
        <v>1</v>
      </c>
      <c r="B28" s="34">
        <f>Pair!B54</f>
        <v>0.10906077977909699</v>
      </c>
      <c r="C28" s="34">
        <f>Pair!C54</f>
        <v>0.47064092333946894</v>
      </c>
      <c r="D28" s="34">
        <f>Pair!D54</f>
        <v>0.51779525312221664</v>
      </c>
      <c r="E28" s="34">
        <f>Pair!E54</f>
        <v>0.56604055041797596</v>
      </c>
      <c r="F28" s="34">
        <f>Pair!F54</f>
        <v>0.61469901790902803</v>
      </c>
      <c r="G28" s="34">
        <f>Pair!G54</f>
        <v>0.66738009490756944</v>
      </c>
      <c r="H28" s="34">
        <f>Pair!H54</f>
        <v>0.46288894886429088</v>
      </c>
      <c r="I28" s="34">
        <f>Pair!I54</f>
        <v>0.35069259087031512</v>
      </c>
      <c r="J28" s="34">
        <f>Pair!J54</f>
        <v>0.22778342315245487</v>
      </c>
      <c r="K28" s="34">
        <f>Pair!K54</f>
        <v>0.17968872741114625</v>
      </c>
    </row>
    <row r="29" spans="1:11" x14ac:dyDescent="0.2">
      <c r="A29" s="32">
        <v>2</v>
      </c>
      <c r="B29" s="34">
        <f>Pair!B55</f>
        <v>-0.25307699440390863</v>
      </c>
      <c r="C29" s="34">
        <f>Pair!C55</f>
        <v>-8.4267225502711041E-2</v>
      </c>
      <c r="D29" s="34">
        <f>Pair!D55</f>
        <v>-1.5498287197501173E-2</v>
      </c>
      <c r="E29" s="34">
        <f>Pair!E55</f>
        <v>5.9333738978653974E-2</v>
      </c>
      <c r="F29" s="34">
        <f>Pair!F55</f>
        <v>0.15203616947891799</v>
      </c>
      <c r="G29" s="34">
        <f>Pair!G55</f>
        <v>0.22737886696191317</v>
      </c>
      <c r="H29" s="34">
        <f>Pair!H55</f>
        <v>6.958050045595748E-3</v>
      </c>
      <c r="I29" s="34">
        <f>Pair!I55</f>
        <v>-0.15933415266020512</v>
      </c>
      <c r="J29" s="34">
        <f>Pair!J55</f>
        <v>-0.24066617915336547</v>
      </c>
      <c r="K29" s="34">
        <f>Pair!K55</f>
        <v>-0.28919791448567511</v>
      </c>
    </row>
    <row r="30" spans="1:11" x14ac:dyDescent="0.2">
      <c r="A30" s="32">
        <v>3</v>
      </c>
      <c r="B30" s="34">
        <f>Pair!B56</f>
        <v>-0.30414663097569933</v>
      </c>
      <c r="C30" s="34">
        <f>Pair!C56</f>
        <v>-0.13992944417761496</v>
      </c>
      <c r="D30" s="34">
        <f>Pair!D56</f>
        <v>-5.8284696427541714E-2</v>
      </c>
      <c r="E30" s="34">
        <f>Pair!E56</f>
        <v>2.8134517976885209E-2</v>
      </c>
      <c r="F30" s="34">
        <f>Pair!F56</f>
        <v>0.12470784634060185</v>
      </c>
      <c r="G30" s="34">
        <f>Pair!G56</f>
        <v>0.19970541230483627</v>
      </c>
      <c r="H30" s="34">
        <f>Pair!H56</f>
        <v>-5.8585254727766593E-2</v>
      </c>
      <c r="I30" s="34">
        <f>Pair!I56</f>
        <v>-0.21724188132078476</v>
      </c>
      <c r="J30" s="34">
        <f>Pair!J56</f>
        <v>-0.29264070019772598</v>
      </c>
      <c r="K30" s="34">
        <f>Pair!K56</f>
        <v>-0.33774944037840804</v>
      </c>
    </row>
    <row r="31" spans="1:11" x14ac:dyDescent="0.2">
      <c r="A31" s="32">
        <v>4</v>
      </c>
      <c r="B31" s="34">
        <f>Pair!B57</f>
        <v>-0.1970288105741636</v>
      </c>
      <c r="C31" s="34">
        <f>Pair!C57</f>
        <v>-2.1798188008805668E-2</v>
      </c>
      <c r="D31" s="34">
        <f>Pair!D57</f>
        <v>8.0052625306546825E-3</v>
      </c>
      <c r="E31" s="34">
        <f>Pair!E57</f>
        <v>3.8784473277208811E-2</v>
      </c>
      <c r="F31" s="34">
        <f>Pair!F57</f>
        <v>0.10070528937626665</v>
      </c>
      <c r="G31" s="34">
        <f>Pair!G57</f>
        <v>0.17417494269127992</v>
      </c>
      <c r="H31" s="34">
        <f>Pair!H57</f>
        <v>8.2207439363742862E-2</v>
      </c>
      <c r="I31" s="34">
        <f>Pair!I57</f>
        <v>-5.9898275658656304E-2</v>
      </c>
      <c r="J31" s="34">
        <f>Pair!J57</f>
        <v>-0.21018633199821757</v>
      </c>
      <c r="K31" s="34">
        <f>Pair!K57</f>
        <v>-0.24937508055334259</v>
      </c>
    </row>
    <row r="32" spans="1:11" x14ac:dyDescent="0.2">
      <c r="A32" s="32">
        <v>5</v>
      </c>
      <c r="B32" s="34">
        <f>Pair!B58</f>
        <v>8.1449707945275923E-2</v>
      </c>
      <c r="C32" s="34">
        <f>Pair!C58</f>
        <v>0.3589394124422991</v>
      </c>
      <c r="D32" s="34">
        <f>Pair!D58</f>
        <v>0.40932067017593915</v>
      </c>
      <c r="E32" s="34">
        <f>Pair!E58</f>
        <v>0.460940243794354</v>
      </c>
      <c r="F32" s="34">
        <f>Pair!F58</f>
        <v>0.51251710900326775</v>
      </c>
      <c r="G32" s="34">
        <f>Pair!G58</f>
        <v>0.57559016859776857</v>
      </c>
      <c r="H32" s="34">
        <f>Pair!H58</f>
        <v>0.39241245528243773</v>
      </c>
      <c r="I32" s="34">
        <f>Pair!I58</f>
        <v>0.28663571688628381</v>
      </c>
      <c r="J32" s="34">
        <f>Pair!J58</f>
        <v>0.1443283683807712</v>
      </c>
      <c r="K32" s="34">
        <f>Pair!K58</f>
        <v>2.5308523040868145E-2</v>
      </c>
    </row>
    <row r="33" spans="1:11" x14ac:dyDescent="0.2">
      <c r="A33" s="32">
        <v>6</v>
      </c>
      <c r="B33" s="34">
        <f>Pair!B59</f>
        <v>-0.35054034044008009</v>
      </c>
      <c r="C33" s="34">
        <f>Pair!C59</f>
        <v>-0.25338998596663809</v>
      </c>
      <c r="D33" s="34">
        <f>Pair!D59</f>
        <v>-0.16236190502927889</v>
      </c>
      <c r="E33" s="34">
        <f>Pair!E59</f>
        <v>-6.5242110257549266E-2</v>
      </c>
      <c r="F33" s="34">
        <f>Pair!F59</f>
        <v>3.9226356320867399E-2</v>
      </c>
      <c r="G33" s="34">
        <f>Pair!G59</f>
        <v>0.10667340682942227</v>
      </c>
      <c r="H33" s="34">
        <f>Pair!H59</f>
        <v>-0.21284771451731424</v>
      </c>
      <c r="I33" s="34">
        <f>Pair!I59</f>
        <v>-0.27157480502428616</v>
      </c>
      <c r="J33" s="34">
        <f>Pair!J59</f>
        <v>-0.3400132806089356</v>
      </c>
      <c r="K33" s="34">
        <f>Pair!K59</f>
        <v>-0.38104299284808768</v>
      </c>
    </row>
    <row r="34" spans="1:11" x14ac:dyDescent="0.2">
      <c r="A34" s="32">
        <v>7</v>
      </c>
      <c r="B34" s="34">
        <f>Pair!B60</f>
        <v>-0.44000672211415065</v>
      </c>
      <c r="C34" s="34">
        <f>Pair!C60</f>
        <v>-0.1963016079632402</v>
      </c>
      <c r="D34" s="34">
        <f>Pair!D60</f>
        <v>-0.10948552726048816</v>
      </c>
      <c r="E34" s="34">
        <f>Pair!E60</f>
        <v>-1.9921218921965758E-2</v>
      </c>
      <c r="F34" s="34">
        <f>Pair!F60</f>
        <v>7.4563567868088848E-2</v>
      </c>
      <c r="G34" s="34">
        <f>Pair!G60</f>
        <v>0.16472730313989489</v>
      </c>
      <c r="H34" s="34">
        <f>Pair!H60</f>
        <v>-0.13707521359511174</v>
      </c>
      <c r="I34" s="34">
        <f>Pair!I60</f>
        <v>-0.37191909208726714</v>
      </c>
      <c r="J34" s="34">
        <f>Pair!J60</f>
        <v>-0.43092981848423528</v>
      </c>
      <c r="K34" s="34">
        <f>Pair!K60</f>
        <v>-0.46630747852717758</v>
      </c>
    </row>
    <row r="35" spans="1:11" x14ac:dyDescent="0.2">
      <c r="A35" s="32">
        <v>8</v>
      </c>
      <c r="B35" s="34">
        <f>Pair!B61</f>
        <v>-0.47846720619452893</v>
      </c>
      <c r="C35" s="34">
        <f>Pair!C61</f>
        <v>-4.10085652565544E-2</v>
      </c>
      <c r="D35" s="34">
        <f>Pair!D61</f>
        <v>2.9651267038439212E-2</v>
      </c>
      <c r="E35" s="34">
        <f>Pair!E61</f>
        <v>0.10253679913733912</v>
      </c>
      <c r="F35" s="34">
        <f>Pair!F61</f>
        <v>0.17786869518456505</v>
      </c>
      <c r="G35" s="34">
        <f>Pair!G61</f>
        <v>0.28114462143026464</v>
      </c>
      <c r="H35" s="34">
        <f>Pair!H61</f>
        <v>0.17942021385705018</v>
      </c>
      <c r="I35" s="34">
        <f>Pair!I61</f>
        <v>-0.15401156627741791</v>
      </c>
      <c r="J35" s="34">
        <f>Pair!J61</f>
        <v>-0.5</v>
      </c>
      <c r="K35" s="34">
        <f>Pair!K61</f>
        <v>-0.5</v>
      </c>
    </row>
    <row r="36" spans="1:11" x14ac:dyDescent="0.2">
      <c r="A36" s="32">
        <v>9</v>
      </c>
      <c r="B36" s="34">
        <f>Pair!B62</f>
        <v>-0.10019887561319057</v>
      </c>
      <c r="C36" s="34">
        <f>Pair!C62</f>
        <v>0.13385768207672508</v>
      </c>
      <c r="D36" s="34">
        <f>Pair!D62</f>
        <v>0.19320731563116447</v>
      </c>
      <c r="E36" s="34">
        <f>Pair!E62</f>
        <v>0.25454407563811315</v>
      </c>
      <c r="F36" s="34">
        <f>Pair!F62</f>
        <v>0.31872977328281132</v>
      </c>
      <c r="G36" s="34">
        <f>Pair!G62</f>
        <v>0.40361032143368897</v>
      </c>
      <c r="H36" s="34">
        <f>Pair!H62</f>
        <v>0.3995541673365518</v>
      </c>
      <c r="I36" s="34">
        <f>Pair!I62</f>
        <v>0.19129321615782191</v>
      </c>
      <c r="J36" s="34">
        <f>Pair!J62</f>
        <v>-0.15072067108588086</v>
      </c>
      <c r="K36" s="34">
        <f>Pair!K62</f>
        <v>-0.17830123379648949</v>
      </c>
    </row>
    <row r="37" spans="1:11" x14ac:dyDescent="0.2">
      <c r="A37" s="32">
        <v>10</v>
      </c>
      <c r="B37" s="34">
        <f>Pair!B63</f>
        <v>0.65547032314990239</v>
      </c>
      <c r="C37" s="34">
        <f>Pair!C63</f>
        <v>0.63998657521683877</v>
      </c>
      <c r="D37" s="34">
        <f>Pair!D63</f>
        <v>0.65027209425148136</v>
      </c>
      <c r="E37" s="34">
        <f>Pair!E63</f>
        <v>0.66104996194807186</v>
      </c>
      <c r="F37" s="34">
        <f>Pair!F63</f>
        <v>0.67035969063279999</v>
      </c>
      <c r="G37" s="34">
        <f>Pair!G63</f>
        <v>0.70504978713524302</v>
      </c>
      <c r="H37" s="34">
        <f>Pair!H63</f>
        <v>0.77322722653717491</v>
      </c>
      <c r="I37" s="34">
        <f>Pair!I63</f>
        <v>0.79181515955189841</v>
      </c>
      <c r="J37" s="34">
        <f>Pair!J63</f>
        <v>0.75835687080859626</v>
      </c>
      <c r="K37" s="34">
        <f>Pair!K63</f>
        <v>0.55453756646817121</v>
      </c>
    </row>
    <row r="38" spans="1:11" x14ac:dyDescent="0.2">
      <c r="B38" s="36"/>
      <c r="C38" s="36"/>
      <c r="D38" s="36"/>
      <c r="E38" s="36"/>
      <c r="F38" s="36"/>
      <c r="G38" s="36"/>
      <c r="H38" s="36"/>
      <c r="I38" s="36"/>
      <c r="J38" s="36"/>
      <c r="K38" s="36"/>
    </row>
    <row r="40" spans="1:11" x14ac:dyDescent="0.2">
      <c r="A40" s="37" t="s">
        <v>11</v>
      </c>
      <c r="B40" s="38"/>
      <c r="C40" s="39">
        <v>-1</v>
      </c>
    </row>
    <row r="42" spans="1:11" x14ac:dyDescent="0.2">
      <c r="B42" s="33" t="s">
        <v>46</v>
      </c>
      <c r="C42" s="33">
        <f>SUMIF($B$2:$K$16,"&gt;0")+SUMIF($B$18:$K$26,"&gt;0")+SUMIF($B$28:$K$37,"&gt;0")</f>
        <v>63.260355849610434</v>
      </c>
      <c r="D42" s="33">
        <f>COUNTIF($B$2:$K$16,"&gt;0")+COUNTIF($B$18:$K$26,"&gt;0")+COUNTIF($B$28:$K$37,"&gt;0")</f>
        <v>174</v>
      </c>
      <c r="E42" s="33">
        <f>AVERAGEIF($B$2:$K$16,"&gt;0")+AVERAGEIF($B$18:$K$26,"&gt;0")+AVERAGEIF($B$28:$K$37,"&gt;0")</f>
        <v>1.0685912896370811</v>
      </c>
    </row>
    <row r="43" spans="1:11" x14ac:dyDescent="0.2">
      <c r="B43" s="33" t="s">
        <v>47</v>
      </c>
      <c r="C43" s="33">
        <f>SUMIF($B$2:$K$16,"&lt;0")+SUMIF($B$18:$K$26,"&lt;0")+SUMIF($B$28:$K$37,"&lt;0")+C40</f>
        <v>-36.602557651576262</v>
      </c>
      <c r="D43" s="33">
        <f>COUNTIF($B$2:$K$16,"&lt;0")+COUNTIF($B$18:$K$26,"&lt;0")+COUNTIF($B$28:$K$37,"&lt;0")</f>
        <v>166</v>
      </c>
      <c r="E43" s="33">
        <f>AVERAGEIF($B$2:$K$16,"&lt;0")+AVERAGEIF($B$18:$K$26,"&lt;0")+AVERAGEIF($B$28:$K$37,"&lt;0")</f>
        <v>-0.56469779529476372</v>
      </c>
    </row>
    <row r="44" spans="1:11" x14ac:dyDescent="0.2">
      <c r="B44" s="33" t="s">
        <v>48</v>
      </c>
      <c r="C44" s="33">
        <f>C42-C43</f>
        <v>99.862913501186696</v>
      </c>
      <c r="D44" s="33">
        <f>COUNT($B$2:$K$16,$B$18:$K$26,$B$28:$K$37)</f>
        <v>340</v>
      </c>
      <c r="E44" s="33">
        <f>AVERAGE($B$2:$K$16,$B$18:$K$26,$B$28:$K$37)</f>
        <v>8.1346465288335848E-2</v>
      </c>
    </row>
    <row r="45" spans="1:11" x14ac:dyDescent="0.2">
      <c r="C45" s="33">
        <f>SUM($B$2:$K$16,$B$18:$K$26,$B$28:$K$37)</f>
        <v>27.65779819803419</v>
      </c>
    </row>
  </sheetData>
  <sheetProtection sheet="1" objects="1" scenarios="1"/>
  <phoneticPr fontId="14" type="noConversion"/>
  <conditionalFormatting sqref="B2:K16 B28:K38 B18:K26">
    <cfRule type="containsText" dxfId="41" priority="12" operator="containsText" text="R">
      <formula>NOT(ISERROR(SEARCH("R",B2)))</formula>
    </cfRule>
    <cfRule type="containsText" dxfId="40" priority="13" operator="containsText" text="D">
      <formula>NOT(ISERROR(SEARCH("D",B2)))</formula>
    </cfRule>
    <cfRule type="containsText" dxfId="39" priority="14" operator="containsText" text="S">
      <formula>NOT(ISERROR(SEARCH("S",B2)))</formula>
    </cfRule>
    <cfRule type="containsText" dxfId="38" priority="15" operator="containsText" text="H">
      <formula>NOT(ISERROR(SEARCH("H",B2)))</formula>
    </cfRule>
  </conditionalFormatting>
  <conditionalFormatting sqref="B2:K16 B28:K38 B18:K26">
    <cfRule type="containsText" dxfId="37" priority="11" operator="containsText" text="P">
      <formula>NOT(ISERROR(SEARCH("P",B2)))</formula>
    </cfRule>
  </conditionalFormatting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33" workbookViewId="0">
      <selection activeCell="D2" sqref="D2"/>
    </sheetView>
  </sheetViews>
  <sheetFormatPr baseColWidth="10" defaultColWidth="8.83203125" defaultRowHeight="15" x14ac:dyDescent="0.2"/>
  <cols>
    <col min="1" max="2" width="8.83203125" style="33"/>
    <col min="3" max="3" width="8" style="33" customWidth="1"/>
    <col min="4" max="16384" width="8.83203125" style="33"/>
  </cols>
  <sheetData>
    <row r="1" spans="1:11" x14ac:dyDescent="0.2">
      <c r="A1" s="43" t="s">
        <v>9</v>
      </c>
      <c r="B1" s="44" t="s">
        <v>1</v>
      </c>
      <c r="C1" s="44">
        <v>2</v>
      </c>
      <c r="D1" s="44">
        <v>3</v>
      </c>
      <c r="E1" s="44">
        <v>4</v>
      </c>
      <c r="F1" s="44">
        <v>5</v>
      </c>
      <c r="G1" s="44">
        <v>6</v>
      </c>
      <c r="H1" s="44">
        <v>7</v>
      </c>
      <c r="I1" s="44">
        <v>8</v>
      </c>
      <c r="J1" s="44">
        <v>9</v>
      </c>
      <c r="K1" s="45">
        <v>10</v>
      </c>
    </row>
    <row r="2" spans="1:11" x14ac:dyDescent="0.2">
      <c r="A2" s="46">
        <v>5</v>
      </c>
      <c r="B2" s="34">
        <f>Prob!B2*ER!B2</f>
        <v>-1.755660780761442E-4</v>
      </c>
      <c r="C2" s="34">
        <f>Prob!C2*ER!C2</f>
        <v>-1.1671876837846834E-4</v>
      </c>
      <c r="D2" s="34">
        <f>Prob!D2*ER!D2</f>
        <v>-8.6763975659071366E-5</v>
      </c>
      <c r="E2" s="34">
        <f>Prob!E2*ER!E2</f>
        <v>-5.5966740281924667E-5</v>
      </c>
      <c r="F2" s="34">
        <f>Prob!F2*ER!F2</f>
        <v>-2.1828830579753868E-5</v>
      </c>
      <c r="G2" s="34">
        <f>Prob!G2*ER!G2</f>
        <v>-1.0799616189714724E-6</v>
      </c>
      <c r="H2" s="34">
        <f>Prob!H2*ER!H2</f>
        <v>-1.0873686106886531E-4</v>
      </c>
      <c r="I2" s="34">
        <f>Prob!I2*ER!I2</f>
        <v>-1.71227404554561E-4</v>
      </c>
      <c r="J2" s="34">
        <f>Prob!J2*ER!J2</f>
        <v>-2.4270828708052711E-4</v>
      </c>
      <c r="K2" s="47">
        <f>Prob!K2*ER!K2</f>
        <v>-1.0534476300912863E-3</v>
      </c>
    </row>
    <row r="3" spans="1:11" x14ac:dyDescent="0.2">
      <c r="A3" s="46">
        <v>6</v>
      </c>
      <c r="B3" s="34">
        <f>Prob!B3*ER!B3</f>
        <v>-1.9168234156936341E-4</v>
      </c>
      <c r="C3" s="34">
        <f>Prob!C3*ER!C3</f>
        <v>-1.2813756710060984E-4</v>
      </c>
      <c r="D3" s="34">
        <f>Prob!D3*ER!D3</f>
        <v>-9.7670530731550645E-5</v>
      </c>
      <c r="E3" s="34">
        <f>Prob!E3*ER!E3</f>
        <v>-6.6378827425022589E-5</v>
      </c>
      <c r="F3" s="34">
        <f>Prob!F3*ER!F3</f>
        <v>-3.17851373055095E-5</v>
      </c>
      <c r="G3" s="34">
        <f>Prob!G3*ER!G3</f>
        <v>-1.1839631797791804E-5</v>
      </c>
      <c r="H3" s="34">
        <f>Prob!H3*ER!H3</f>
        <v>-1.3830924646035455E-4</v>
      </c>
      <c r="I3" s="34">
        <f>Prob!I3*ER!I3</f>
        <v>-1.9776229523967663E-4</v>
      </c>
      <c r="J3" s="34">
        <f>Prob!J3*ER!J3</f>
        <v>-2.6640027327967777E-4</v>
      </c>
      <c r="K3" s="47">
        <f>Prob!K3*ER!K3</f>
        <v>-1.1352524868291438E-3</v>
      </c>
    </row>
    <row r="4" spans="1:11" x14ac:dyDescent="0.2">
      <c r="A4" s="46">
        <v>7</v>
      </c>
      <c r="B4" s="34">
        <f>Prob!B4*ER!B4</f>
        <v>-3.9083293343856768E-4</v>
      </c>
      <c r="C4" s="34">
        <f>Prob!C4*ER!C4</f>
        <v>-1.9878639575169113E-4</v>
      </c>
      <c r="D4" s="34">
        <f>Prob!D4*ER!D4</f>
        <v>-1.3943191971682042E-4</v>
      </c>
      <c r="E4" s="34">
        <f>Prob!E4*ER!E4</f>
        <v>-7.8328254900941066E-5</v>
      </c>
      <c r="F4" s="34">
        <f>Prob!F4*ER!F4</f>
        <v>-1.3238708972127238E-5</v>
      </c>
      <c r="G4" s="34">
        <f>Prob!G4*ER!G4</f>
        <v>5.3136717986091704E-5</v>
      </c>
      <c r="H4" s="34">
        <f>Prob!H4*ER!H4</f>
        <v>-1.252759209475244E-4</v>
      </c>
      <c r="I4" s="34">
        <f>Prob!I4*ER!I4</f>
        <v>-3.8344063491005864E-4</v>
      </c>
      <c r="J4" s="34">
        <f>Prob!J4*ER!J4</f>
        <v>-5.1955473916591097E-4</v>
      </c>
      <c r="K4" s="47">
        <f>Prob!K4*ER!K4</f>
        <v>-2.1448310615342948E-3</v>
      </c>
    </row>
    <row r="5" spans="1:11" x14ac:dyDescent="0.2">
      <c r="A5" s="46">
        <v>8</v>
      </c>
      <c r="B5" s="34">
        <f>Prob!B5*ER!B5</f>
        <v>-2.4834694795945137E-4</v>
      </c>
      <c r="C5" s="34">
        <f>Prob!C5*ER!C5</f>
        <v>-3.9687187999646193E-5</v>
      </c>
      <c r="D5" s="34">
        <f>Prob!D5*ER!D5</f>
        <v>1.4574897643431377E-5</v>
      </c>
      <c r="E5" s="34">
        <f>Prob!E5*ER!E5</f>
        <v>7.0613515297603669E-5</v>
      </c>
      <c r="F5" s="34">
        <f>Prob!F5*ER!F5</f>
        <v>1.2891149018303839E-4</v>
      </c>
      <c r="G5" s="34">
        <f>Prob!G5*ER!G5</f>
        <v>2.0930386908734315E-4</v>
      </c>
      <c r="H5" s="34">
        <f>Prob!H5*ER!H5</f>
        <v>1.4967216998405621E-4</v>
      </c>
      <c r="I5" s="34">
        <f>Prob!I5*ER!I5</f>
        <v>-1.090546666520825E-4</v>
      </c>
      <c r="J5" s="34">
        <f>Prob!J5*ER!J5</f>
        <v>-3.8267880199948582E-4</v>
      </c>
      <c r="K5" s="47">
        <f>Prob!K5*ER!K5</f>
        <v>-1.6764124318560901E-3</v>
      </c>
    </row>
    <row r="6" spans="1:11" x14ac:dyDescent="0.2">
      <c r="A6" s="46">
        <v>9</v>
      </c>
      <c r="B6" s="34">
        <f>Prob!B6*ER!B6</f>
        <v>-1.2418199831993191E-4</v>
      </c>
      <c r="C6" s="34">
        <f>Prob!C6*ER!C6</f>
        <v>2.0331189142377935E-4</v>
      </c>
      <c r="D6" s="34">
        <f>Prob!D6*ER!D6</f>
        <v>3.2994907600363178E-4</v>
      </c>
      <c r="E6" s="34">
        <f>Prob!E6*ER!E6</f>
        <v>4.9690195917821125E-4</v>
      </c>
      <c r="F6" s="34">
        <f>Prob!F6*ER!F6</f>
        <v>6.6378850670833784E-4</v>
      </c>
      <c r="G6" s="34">
        <f>Prob!G6*ER!G6</f>
        <v>8.6587550032316875E-4</v>
      </c>
      <c r="H6" s="34">
        <f>Prob!H6*ER!H6</f>
        <v>4.6937057788881025E-4</v>
      </c>
      <c r="I6" s="34">
        <f>Prob!I6*ER!I6</f>
        <v>2.6866513637339789E-4</v>
      </c>
      <c r="J6" s="34">
        <f>Prob!J6*ER!J6</f>
        <v>-1.42498097758721E-4</v>
      </c>
      <c r="K6" s="47">
        <f>Prob!K6*ER!K6</f>
        <v>-1.5423290376342085E-3</v>
      </c>
    </row>
    <row r="7" spans="1:11" x14ac:dyDescent="0.2">
      <c r="A7" s="46">
        <v>10</v>
      </c>
      <c r="B7" s="34">
        <f>Prob!B7*ER!B7</f>
        <v>1.5399615661373551E-4</v>
      </c>
      <c r="C7" s="34">
        <f>Prob!C7*ER!C7</f>
        <v>9.8026239174046187E-4</v>
      </c>
      <c r="D7" s="34">
        <f>Prob!D7*ER!D7</f>
        <v>1.1178534460881363E-3</v>
      </c>
      <c r="E7" s="34">
        <f>Prob!E7*ER!E7</f>
        <v>1.2588263371716543E-3</v>
      </c>
      <c r="F7" s="34">
        <f>Prob!F7*ER!F7</f>
        <v>1.3996825917249008E-3</v>
      </c>
      <c r="G7" s="34">
        <f>Prob!G7*ER!G7</f>
        <v>1.5719349165164371E-3</v>
      </c>
      <c r="H7" s="34">
        <f>Prob!H7*ER!H7</f>
        <v>1.0716771650863116E-3</v>
      </c>
      <c r="I7" s="34">
        <f>Prob!I7*ER!I7</f>
        <v>7.8280122954834004E-4</v>
      </c>
      <c r="J7" s="34">
        <f>Prob!J7*ER!J7</f>
        <v>3.9416031419418635E-4</v>
      </c>
      <c r="K7" s="47">
        <f>Prob!K7*ER!K7</f>
        <v>2.5520306136935081E-4</v>
      </c>
    </row>
    <row r="8" spans="1:11" x14ac:dyDescent="0.2">
      <c r="A8" s="46">
        <v>11</v>
      </c>
      <c r="B8" s="34">
        <f>Prob!B8*ER!B8</f>
        <v>3.6049481165330982E-4</v>
      </c>
      <c r="C8" s="34">
        <f>Prob!C8*ER!C8</f>
        <v>1.71375848280189E-3</v>
      </c>
      <c r="D8" s="34">
        <f>Prob!D8*ER!D8</f>
        <v>1.8854629153289646E-3</v>
      </c>
      <c r="E8" s="34">
        <f>Prob!E8*ER!E8</f>
        <v>2.0611399195920844E-3</v>
      </c>
      <c r="F8" s="34">
        <f>Prob!F8*ER!F8</f>
        <v>2.2383214125044266E-3</v>
      </c>
      <c r="G8" s="34">
        <f>Prob!G8*ER!G8</f>
        <v>2.4301505504144547E-3</v>
      </c>
      <c r="H8" s="34">
        <f>Prob!H8*ER!H8</f>
        <v>1.6855309926783464E-3</v>
      </c>
      <c r="I8" s="34">
        <f>Prob!I8*ER!I8</f>
        <v>1.2769871310707877E-3</v>
      </c>
      <c r="J8" s="34">
        <f>Prob!J8*ER!J8</f>
        <v>8.2943440383233475E-4</v>
      </c>
      <c r="K8" s="47">
        <f>Prob!K8*ER!K8</f>
        <v>2.4158982992850461E-3</v>
      </c>
    </row>
    <row r="9" spans="1:11" x14ac:dyDescent="0.2">
      <c r="A9" s="46">
        <v>12</v>
      </c>
      <c r="B9" s="34">
        <f>Prob!B9*ER!B9</f>
        <v>-1.5464473546251917E-3</v>
      </c>
      <c r="C9" s="34">
        <f>Prob!C9*ER!C9</f>
        <v>-1.6146835701105753E-3</v>
      </c>
      <c r="D9" s="34">
        <f>Prob!D9*ER!D9</f>
        <v>-1.4891545731330056E-3</v>
      </c>
      <c r="E9" s="34">
        <f>Prob!E9*ER!E9</f>
        <v>-1.3449629157618579E-3</v>
      </c>
      <c r="F9" s="34">
        <f>Prob!F9*ER!F9</f>
        <v>-1.0654061227567838E-3</v>
      </c>
      <c r="G9" s="34">
        <f>Prob!G9*ER!G9</f>
        <v>-9.7942021921714308E-4</v>
      </c>
      <c r="H9" s="34">
        <f>Prob!H9*ER!H9</f>
        <v>-1.3563350037516613E-3</v>
      </c>
      <c r="I9" s="34">
        <f>Prob!I9*ER!I9</f>
        <v>-1.7305631635594024E-3</v>
      </c>
      <c r="J9" s="34">
        <f>Prob!J9*ER!J9</f>
        <v>-2.1666754340123346E-3</v>
      </c>
      <c r="K9" s="47">
        <f>Prob!K9*ER!K9</f>
        <v>-8.9654035640879173E-3</v>
      </c>
    </row>
    <row r="10" spans="1:11" x14ac:dyDescent="0.2">
      <c r="A10" s="46">
        <v>13</v>
      </c>
      <c r="B10" s="34">
        <f>Prob!B10*ER!B10</f>
        <v>-1.751101846276019E-3</v>
      </c>
      <c r="C10" s="34">
        <f>Prob!C10*ER!C10</f>
        <v>-1.8657133276877025E-3</v>
      </c>
      <c r="D10" s="34">
        <f>Prob!D10*ER!D10</f>
        <v>-1.6074206687755985E-3</v>
      </c>
      <c r="E10" s="34">
        <f>Prob!E10*ER!E10</f>
        <v>-1.3449629157618579E-3</v>
      </c>
      <c r="F10" s="34">
        <f>Prob!F10*ER!F10</f>
        <v>-1.0654061227567838E-3</v>
      </c>
      <c r="G10" s="34">
        <f>Prob!G10*ER!G10</f>
        <v>-9.7942021921714308E-4</v>
      </c>
      <c r="H10" s="34">
        <f>Prob!H10*ER!H10</f>
        <v>-1.7146200676946227E-3</v>
      </c>
      <c r="I10" s="34">
        <f>Prob!I10*ER!I10</f>
        <v>-2.0621176446589534E-3</v>
      </c>
      <c r="J10" s="34">
        <f>Prob!J10*ER!J10</f>
        <v>-2.4670790386509623E-3</v>
      </c>
      <c r="K10" s="47">
        <f>Prob!K10*ER!K10</f>
        <v>-1.0005631019124215E-2</v>
      </c>
    </row>
    <row r="11" spans="1:11" x14ac:dyDescent="0.2">
      <c r="A11" s="46">
        <v>14</v>
      </c>
      <c r="B11" s="34">
        <f>Prob!B11*ER!B11</f>
        <v>-1.6638327085301031E-3</v>
      </c>
      <c r="C11" s="34">
        <f>Prob!C11*ER!C11</f>
        <v>-1.5991828523037449E-3</v>
      </c>
      <c r="D11" s="34">
        <f>Prob!D11*ER!D11</f>
        <v>-1.3777891446647985E-3</v>
      </c>
      <c r="E11" s="34">
        <f>Prob!E11*ER!E11</f>
        <v>-1.1528253563673067E-3</v>
      </c>
      <c r="F11" s="34">
        <f>Prob!F11*ER!F11</f>
        <v>-9.1320524807724315E-4</v>
      </c>
      <c r="G11" s="34">
        <f>Prob!G11*ER!G11</f>
        <v>-8.3950304504326557E-4</v>
      </c>
      <c r="H11" s="34">
        <f>Prob!H11*ER!H11</f>
        <v>-1.7548400068765231E-3</v>
      </c>
      <c r="I11" s="34">
        <f>Prob!I11*ER!I11</f>
        <v>-2.0314197109909905E-3</v>
      </c>
      <c r="J11" s="34">
        <f>Prob!J11*ER!J11</f>
        <v>-2.3537359225356508E-3</v>
      </c>
      <c r="K11" s="47">
        <f>Prob!K11*ER!K11</f>
        <v>-9.4041912969312826E-3</v>
      </c>
    </row>
    <row r="12" spans="1:11" x14ac:dyDescent="0.2">
      <c r="A12" s="46">
        <v>15</v>
      </c>
      <c r="B12" s="34">
        <f>Prob!B12*ER!B12</f>
        <v>-1.8150861010475514E-3</v>
      </c>
      <c r="C12" s="34">
        <f>Prob!C12*ER!C12</f>
        <v>-1.5991828523037449E-3</v>
      </c>
      <c r="D12" s="34">
        <f>Prob!D12*ER!D12</f>
        <v>-1.3777891446647985E-3</v>
      </c>
      <c r="E12" s="34">
        <f>Prob!E12*ER!E12</f>
        <v>-1.1528253563673067E-3</v>
      </c>
      <c r="F12" s="34">
        <f>Prob!F12*ER!F12</f>
        <v>-9.1320524807724315E-4</v>
      </c>
      <c r="G12" s="34">
        <f>Prob!G12*ER!G12</f>
        <v>-8.3950304504326557E-4</v>
      </c>
      <c r="H12" s="34">
        <f>Prob!H12*ER!H12</f>
        <v>-2.0196366940763502E-3</v>
      </c>
      <c r="I12" s="34">
        <f>Prob!I12*ER!I12</f>
        <v>-2.276460705039784E-3</v>
      </c>
      <c r="J12" s="34">
        <f>Prob!J12*ER!J12</f>
        <v>-2.5757543300455399E-3</v>
      </c>
      <c r="K12" s="47">
        <f>Prob!K12*ER!K12</f>
        <v>-1.0083680543398343E-2</v>
      </c>
    </row>
    <row r="13" spans="1:11" x14ac:dyDescent="0.2">
      <c r="A13" s="46">
        <v>16</v>
      </c>
      <c r="B13" s="34">
        <f>Prob!B13*ER!B13</f>
        <v>-1.6296130665114611E-3</v>
      </c>
      <c r="C13" s="34">
        <f>Prob!C13*ER!C13</f>
        <v>-1.3326523769197874E-3</v>
      </c>
      <c r="D13" s="34">
        <f>Prob!D13*ER!D13</f>
        <v>-1.1481576205539987E-3</v>
      </c>
      <c r="E13" s="34">
        <f>Prob!E13*ER!E13</f>
        <v>-9.6068779697275558E-4</v>
      </c>
      <c r="F13" s="34">
        <f>Prob!F13*ER!F13</f>
        <v>-7.6100437339770254E-4</v>
      </c>
      <c r="G13" s="34">
        <f>Prob!G13*ER!G13</f>
        <v>-6.9958587086938785E-4</v>
      </c>
      <c r="H13" s="34">
        <f>Prob!H13*ER!H13</f>
        <v>-1.887932776825396E-3</v>
      </c>
      <c r="I13" s="34">
        <f>Prob!I13*ER!I13</f>
        <v>-2.0866656424518627E-3</v>
      </c>
      <c r="J13" s="34">
        <f>Prob!J13*ER!J13</f>
        <v>-2.2758306781975423E-3</v>
      </c>
      <c r="K13" s="47">
        <f>Prob!K13*ER!K13</f>
        <v>-8.4030671194986178E-3</v>
      </c>
    </row>
    <row r="14" spans="1:11" x14ac:dyDescent="0.2">
      <c r="A14" s="46">
        <v>17</v>
      </c>
      <c r="B14" s="34">
        <f>Prob!B14*ER!B14</f>
        <v>-1.5063552659054771E-3</v>
      </c>
      <c r="C14" s="34">
        <f>Prob!C14*ER!C14</f>
        <v>-6.9628851926054644E-4</v>
      </c>
      <c r="D14" s="34">
        <f>Prob!D14*ER!D14</f>
        <v>-5.3352863643410867E-4</v>
      </c>
      <c r="E14" s="34">
        <f>Prob!E14*ER!E14</f>
        <v>-3.66742708899937E-4</v>
      </c>
      <c r="F14" s="34">
        <f>Prob!F14*ER!F14</f>
        <v>-2.0455792246210493E-4</v>
      </c>
      <c r="G14" s="34">
        <f>Prob!G14*ER!G14</f>
        <v>5.3432683993363013E-5</v>
      </c>
      <c r="H14" s="34">
        <f>Prob!H14*ER!H14</f>
        <v>-4.8615834994399044E-4</v>
      </c>
      <c r="I14" s="34">
        <f>Prob!I14*ER!I14</f>
        <v>-1.7385114749587944E-3</v>
      </c>
      <c r="J14" s="34">
        <f>Prob!J14*ER!J14</f>
        <v>-1.9260548003878807E-3</v>
      </c>
      <c r="K14" s="47">
        <f>Prob!K14*ER!K14</f>
        <v>-7.053881316684764E-3</v>
      </c>
    </row>
    <row r="15" spans="1:11" x14ac:dyDescent="0.2">
      <c r="A15" s="46">
        <v>18</v>
      </c>
      <c r="B15" s="34">
        <f>Prob!B15*ER!B15</f>
        <v>-2.5259336312278007E-4</v>
      </c>
      <c r="C15" s="34">
        <f>Prob!C15*ER!C15</f>
        <v>4.4330232943427485E-4</v>
      </c>
      <c r="D15" s="34">
        <f>Prob!D15*ER!D15</f>
        <v>5.4000936856189795E-4</v>
      </c>
      <c r="E15" s="34">
        <f>Prob!E15*ER!E15</f>
        <v>6.4034387691392009E-4</v>
      </c>
      <c r="F15" s="34">
        <f>Prob!F15*ER!F15</f>
        <v>7.266679835272725E-4</v>
      </c>
      <c r="G15" s="34">
        <f>Prob!G15*ER!G15</f>
        <v>1.0321125755007687E-3</v>
      </c>
      <c r="H15" s="34">
        <f>Prob!H15*ER!H15</f>
        <v>1.4549082106019185E-3</v>
      </c>
      <c r="I15" s="34">
        <f>Prob!I15*ER!I15</f>
        <v>3.8580372733408683E-4</v>
      </c>
      <c r="J15" s="34">
        <f>Prob!J15*ER!J15</f>
        <v>-6.6695805798246089E-4</v>
      </c>
      <c r="K15" s="47">
        <f>Prob!K15*ER!K15</f>
        <v>-2.3972435761301066E-3</v>
      </c>
    </row>
    <row r="16" spans="1:11" x14ac:dyDescent="0.2">
      <c r="A16" s="46">
        <v>19</v>
      </c>
      <c r="B16" s="34">
        <f>Prob!B16*ER!B16</f>
        <v>6.9989748647882174E-4</v>
      </c>
      <c r="C16" s="34">
        <f>Prob!C16*ER!C16</f>
        <v>1.4066624889234045E-3</v>
      </c>
      <c r="D16" s="34">
        <f>Prob!D16*ER!D16</f>
        <v>1.4724185219763676E-3</v>
      </c>
      <c r="E16" s="34">
        <f>Prob!E16*ER!E16</f>
        <v>1.5409337271825093E-3</v>
      </c>
      <c r="F16" s="34">
        <f>Prob!F16*ER!F16</f>
        <v>1.6004082081415886E-3</v>
      </c>
      <c r="G16" s="34">
        <f>Prob!G16*ER!G16</f>
        <v>1.8060157443325234E-3</v>
      </c>
      <c r="H16" s="34">
        <f>Prob!H16*ER!H16</f>
        <v>2.2429731297348441E-3</v>
      </c>
      <c r="I16" s="34">
        <f>Prob!I16*ER!I16</f>
        <v>2.1624166346352097E-3</v>
      </c>
      <c r="J16" s="34">
        <f>Prob!J16*ER!J16</f>
        <v>1.0472344362952445E-3</v>
      </c>
      <c r="K16" s="47">
        <f>Prob!K16*ER!K16</f>
        <v>8.4861790108759795E-4</v>
      </c>
    </row>
    <row r="17" spans="1:11" x14ac:dyDescent="0.2">
      <c r="A17" s="46" t="s">
        <v>4</v>
      </c>
      <c r="B17" s="32" t="s">
        <v>1</v>
      </c>
      <c r="C17" s="35">
        <v>2</v>
      </c>
      <c r="D17" s="35">
        <v>3</v>
      </c>
      <c r="E17" s="35">
        <v>4</v>
      </c>
      <c r="F17" s="35">
        <v>5</v>
      </c>
      <c r="G17" s="35">
        <v>6</v>
      </c>
      <c r="H17" s="35">
        <v>7</v>
      </c>
      <c r="I17" s="35">
        <v>8</v>
      </c>
      <c r="J17" s="35">
        <v>9</v>
      </c>
      <c r="K17" s="48">
        <v>10</v>
      </c>
    </row>
    <row r="18" spans="1:11" x14ac:dyDescent="0.2">
      <c r="A18" s="46">
        <v>13</v>
      </c>
      <c r="B18" s="34">
        <f>Prob!B18*ER!B18</f>
        <v>-3.6117252197142422E-5</v>
      </c>
      <c r="C18" s="34">
        <f>Prob!C18*ER!C18</f>
        <v>4.2454376600190788E-5</v>
      </c>
      <c r="D18" s="34">
        <f>Prob!D18*ER!D18</f>
        <v>6.7472747740322317E-5</v>
      </c>
      <c r="E18" s="34">
        <f>Prob!E18*ER!E18</f>
        <v>9.328825386621324E-5</v>
      </c>
      <c r="F18" s="34">
        <f>Prob!F18*ER!F18</f>
        <v>1.2140440462741674E-4</v>
      </c>
      <c r="G18" s="34">
        <f>Prob!G18*ER!G18</f>
        <v>1.6363059246965421E-4</v>
      </c>
      <c r="H18" s="34">
        <f>Prob!H18*ER!H18</f>
        <v>1.114116478643532E-4</v>
      </c>
      <c r="I18" s="34">
        <f>Prob!I18*ER!I18</f>
        <v>4.9209895490497323E-5</v>
      </c>
      <c r="J18" s="34">
        <f>Prob!J18*ER!J18</f>
        <v>-3.4314691058242955E-5</v>
      </c>
      <c r="K18" s="47">
        <f>Prob!K18*ER!K18</f>
        <v>-3.5242920090342321E-4</v>
      </c>
    </row>
    <row r="19" spans="1:11" x14ac:dyDescent="0.2">
      <c r="A19" s="46">
        <v>14</v>
      </c>
      <c r="B19" s="34">
        <f>Prob!B19*ER!B19</f>
        <v>-5.9162418886929097E-5</v>
      </c>
      <c r="C19" s="34">
        <f>Prob!C19*ER!C19</f>
        <v>2.0384030029894478E-5</v>
      </c>
      <c r="D19" s="34">
        <f>Prob!D19*ER!D19</f>
        <v>4.6251014036670753E-5</v>
      </c>
      <c r="E19" s="34">
        <f>Prob!E19*ER!E19</f>
        <v>7.2900695776158622E-5</v>
      </c>
      <c r="F19" s="34">
        <f>Prob!F19*ER!F19</f>
        <v>1.1466043263420962E-4</v>
      </c>
      <c r="G19" s="34">
        <f>Prob!G19*ER!G19</f>
        <v>1.6363059246965421E-4</v>
      </c>
      <c r="H19" s="34">
        <f>Prob!H19*ER!H19</f>
        <v>7.2378232584859498E-5</v>
      </c>
      <c r="I19" s="34">
        <f>Prob!I19*ER!I19</f>
        <v>1.2086681350212513E-5</v>
      </c>
      <c r="J19" s="34">
        <f>Prob!J19*ER!J19</f>
        <v>-6.8423476961023064E-5</v>
      </c>
      <c r="K19" s="47">
        <f>Prob!K19*ER!K19</f>
        <v>-4.6877949262433521E-4</v>
      </c>
    </row>
    <row r="20" spans="1:11" x14ac:dyDescent="0.2">
      <c r="A20" s="46">
        <v>15</v>
      </c>
      <c r="B20" s="34">
        <f>Prob!B20*ER!B20</f>
        <v>-8.1946606568813872E-5</v>
      </c>
      <c r="C20" s="34">
        <f>Prob!C20*ER!C20</f>
        <v>-1.0986321395208543E-7</v>
      </c>
      <c r="D20" s="34">
        <f>Prob!D20*ER!D20</f>
        <v>2.6545118454708574E-5</v>
      </c>
      <c r="E20" s="34">
        <f>Prob!E20*ER!E20</f>
        <v>5.3969391835393658E-5</v>
      </c>
      <c r="F20" s="34">
        <f>Prob!F20*ER!F20</f>
        <v>1.1466043263420962E-4</v>
      </c>
      <c r="G20" s="34">
        <f>Prob!G20*ER!G20</f>
        <v>1.6363059246965421E-4</v>
      </c>
      <c r="H20" s="34">
        <f>Prob!H20*ER!H20</f>
        <v>3.3708040308847741E-5</v>
      </c>
      <c r="I20" s="34">
        <f>Prob!I20*ER!I20</f>
        <v>-2.4628839784161744E-5</v>
      </c>
      <c r="J20" s="34">
        <f>Prob!J20*ER!J20</f>
        <v>-1.0212905661351197E-4</v>
      </c>
      <c r="K20" s="47">
        <f>Prob!K20*ER!K20</f>
        <v>-5.838593225019333E-4</v>
      </c>
    </row>
    <row r="21" spans="1:11" x14ac:dyDescent="0.2">
      <c r="A21" s="46">
        <v>16</v>
      </c>
      <c r="B21" s="34">
        <f>Prob!B21*ER!B21</f>
        <v>-1.0438952057714096E-4</v>
      </c>
      <c r="C21" s="34">
        <f>Prob!C21*ER!C21</f>
        <v>-1.9139906940381036E-5</v>
      </c>
      <c r="D21" s="34">
        <f>Prob!D21*ER!D21</f>
        <v>8.2467868428865046E-6</v>
      </c>
      <c r="E21" s="34">
        <f>Prob!E21*ER!E21</f>
        <v>5.31875455109194E-5</v>
      </c>
      <c r="F21" s="34">
        <f>Prob!F21*ER!F21</f>
        <v>1.1466043263420962E-4</v>
      </c>
      <c r="G21" s="34">
        <f>Prob!G21*ER!G21</f>
        <v>1.6363059246965421E-4</v>
      </c>
      <c r="H21" s="34">
        <f>Prob!H21*ER!H21</f>
        <v>-4.4516678862229355E-6</v>
      </c>
      <c r="I21" s="34">
        <f>Prob!I21*ER!I21</f>
        <v>-6.0805505616835785E-5</v>
      </c>
      <c r="J21" s="34">
        <f>Prob!J21*ER!J21</f>
        <v>-1.3531500649073712E-4</v>
      </c>
      <c r="K21" s="47">
        <f>Prob!K21*ER!K21</f>
        <v>-6.9725656114791085E-4</v>
      </c>
    </row>
    <row r="22" spans="1:11" x14ac:dyDescent="0.2">
      <c r="A22" s="46">
        <v>17</v>
      </c>
      <c r="B22" s="34">
        <f>Prob!B22*ER!B22</f>
        <v>-1.1317001002288128E-4</v>
      </c>
      <c r="C22" s="34">
        <f>Prob!C22*ER!C22</f>
        <v>-4.4701282010844689E-7</v>
      </c>
      <c r="D22" s="34">
        <f>Prob!D22*ER!D22</f>
        <v>5.0155015456803226E-5</v>
      </c>
      <c r="E22" s="34">
        <f>Prob!E22*ER!E22</f>
        <v>1.0801324594841029E-4</v>
      </c>
      <c r="F22" s="34">
        <f>Prob!F22*ER!F22</f>
        <v>1.6602472041288012E-4</v>
      </c>
      <c r="G22" s="34">
        <f>Prob!G22*ER!G22</f>
        <v>2.3313999753390817E-4</v>
      </c>
      <c r="H22" s="34">
        <f>Prob!H22*ER!H22</f>
        <v>4.8997235972796233E-5</v>
      </c>
      <c r="I22" s="34">
        <f>Prob!I22*ER!I22</f>
        <v>-6.6377240536770221E-5</v>
      </c>
      <c r="J22" s="34">
        <f>Prob!J22*ER!J22</f>
        <v>-1.3635584176798654E-4</v>
      </c>
      <c r="K22" s="47">
        <f>Prob!K22*ER!K22</f>
        <v>-6.6171456596158867E-4</v>
      </c>
    </row>
    <row r="23" spans="1:11" x14ac:dyDescent="0.2">
      <c r="A23" s="46">
        <v>18</v>
      </c>
      <c r="B23" s="34">
        <f>Prob!B23*ER!B23</f>
        <v>-5.8570738134067882E-5</v>
      </c>
      <c r="C23" s="34">
        <f>Prob!C23*ER!C23</f>
        <v>1.1082558235856871E-4</v>
      </c>
      <c r="D23" s="34">
        <f>Prob!D23*ER!D23</f>
        <v>1.6171258596170919E-4</v>
      </c>
      <c r="E23" s="34">
        <f>Prob!E23*ER!E23</f>
        <v>2.1575225102924141E-4</v>
      </c>
      <c r="F23" s="34">
        <f>Prob!F23*ER!F23</f>
        <v>2.6875329597022131E-4</v>
      </c>
      <c r="G23" s="34">
        <f>Prob!G23*ER!G23</f>
        <v>3.4729766233845561E-4</v>
      </c>
      <c r="H23" s="34">
        <f>Prob!H23*ER!H23</f>
        <v>3.6372705265047962E-4</v>
      </c>
      <c r="I23" s="34">
        <f>Prob!I23*ER!I23</f>
        <v>9.6450931833521708E-5</v>
      </c>
      <c r="J23" s="34">
        <f>Prob!J23*ER!J23</f>
        <v>-9.171079433811128E-5</v>
      </c>
      <c r="K23" s="47">
        <f>Prob!K23*ER!K23</f>
        <v>-4.8337172454427865E-4</v>
      </c>
    </row>
    <row r="24" spans="1:11" x14ac:dyDescent="0.2">
      <c r="A24" s="46">
        <v>19</v>
      </c>
      <c r="B24" s="34">
        <f>Prob!B24*ER!B24</f>
        <v>1.7497437161970544E-4</v>
      </c>
      <c r="C24" s="34">
        <f>Prob!C24*ER!C24</f>
        <v>3.5166562223085113E-4</v>
      </c>
      <c r="D24" s="34">
        <f>Prob!D24*ER!D24</f>
        <v>3.681046304940919E-4</v>
      </c>
      <c r="E24" s="34">
        <f>Prob!E24*ER!E24</f>
        <v>3.8523343179562732E-4</v>
      </c>
      <c r="F24" s="34">
        <f>Prob!F24*ER!F24</f>
        <v>4.0010205203539715E-4</v>
      </c>
      <c r="G24" s="34">
        <f>Prob!G24*ER!G24</f>
        <v>4.5150393608313084E-4</v>
      </c>
      <c r="H24" s="34">
        <f>Prob!H24*ER!H24</f>
        <v>5.6074328243371102E-4</v>
      </c>
      <c r="I24" s="34">
        <f>Prob!I24*ER!I24</f>
        <v>5.4060415865880243E-4</v>
      </c>
      <c r="J24" s="34">
        <f>Prob!J24*ER!J24</f>
        <v>2.6180860907381112E-4</v>
      </c>
      <c r="K24" s="47">
        <f>Prob!K24*ER!K24</f>
        <v>2.1215447527189949E-4</v>
      </c>
    </row>
    <row r="25" spans="1:11" x14ac:dyDescent="0.2">
      <c r="A25" s="46">
        <v>20</v>
      </c>
      <c r="B25" s="34">
        <f>Prob!B25*ER!B25</f>
        <v>4.1309708402010589E-4</v>
      </c>
      <c r="C25" s="34">
        <f>Prob!C25*ER!C25</f>
        <v>5.8260043260522428E-4</v>
      </c>
      <c r="D25" s="34">
        <f>Prob!D25*ER!D25</f>
        <v>5.9196367250931401E-4</v>
      </c>
      <c r="E25" s="34">
        <f>Prob!E25*ER!E25</f>
        <v>6.0177511328909602E-4</v>
      </c>
      <c r="F25" s="34">
        <f>Prob!F25*ER!F25</f>
        <v>6.1025005974765594E-4</v>
      </c>
      <c r="G25" s="34">
        <f>Prob!G25*ER!G25</f>
        <v>6.4083620407040943E-4</v>
      </c>
      <c r="H25" s="34">
        <f>Prob!H25*ER!H25</f>
        <v>7.0389369734836138E-4</v>
      </c>
      <c r="I25" s="34">
        <f>Prob!I25*ER!I25</f>
        <v>7.2081489262803688E-4</v>
      </c>
      <c r="J25" s="34">
        <f>Prob!J25*ER!J25</f>
        <v>6.9035673264323746E-4</v>
      </c>
      <c r="K25" s="47">
        <f>Prob!K25*ER!K25</f>
        <v>1.8639265565261877E-3</v>
      </c>
    </row>
    <row r="26" spans="1:11" x14ac:dyDescent="0.2">
      <c r="A26" s="46">
        <v>21</v>
      </c>
      <c r="B26" s="34">
        <f>Prob!B26*ER!B26</f>
        <v>3.781380203774378E-3</v>
      </c>
      <c r="C26" s="34">
        <f>Prob!C26*ER!C26</f>
        <v>5.461993627674102E-3</v>
      </c>
      <c r="D26" s="34">
        <f>Prob!D26*ER!D26</f>
        <v>5.461993627674102E-3</v>
      </c>
      <c r="E26" s="34">
        <f>Prob!E26*ER!E26</f>
        <v>5.461993627674102E-3</v>
      </c>
      <c r="F26" s="34">
        <f>Prob!F26*ER!F26</f>
        <v>5.461993627674102E-3</v>
      </c>
      <c r="G26" s="34">
        <f>Prob!G26*ER!G26</f>
        <v>5.461993627674102E-3</v>
      </c>
      <c r="H26" s="34">
        <f>Prob!H26*ER!H26</f>
        <v>5.461993627674102E-3</v>
      </c>
      <c r="I26" s="34">
        <f>Prob!I26*ER!I26</f>
        <v>5.461993627674102E-3</v>
      </c>
      <c r="J26" s="34">
        <f>Prob!J26*ER!J26</f>
        <v>5.461993627674102E-3</v>
      </c>
      <c r="K26" s="47">
        <f>Prob!K26*ER!K26</f>
        <v>2.0167361086796686E-2</v>
      </c>
    </row>
    <row r="27" spans="1:11" x14ac:dyDescent="0.2">
      <c r="A27" s="46" t="s">
        <v>10</v>
      </c>
      <c r="B27" s="32" t="s">
        <v>1</v>
      </c>
      <c r="C27" s="35">
        <v>2</v>
      </c>
      <c r="D27" s="35">
        <v>3</v>
      </c>
      <c r="E27" s="35">
        <v>4</v>
      </c>
      <c r="F27" s="35">
        <v>5</v>
      </c>
      <c r="G27" s="35">
        <v>6</v>
      </c>
      <c r="H27" s="35">
        <v>7</v>
      </c>
      <c r="I27" s="35">
        <v>8</v>
      </c>
      <c r="J27" s="35">
        <v>9</v>
      </c>
      <c r="K27" s="48">
        <v>10</v>
      </c>
    </row>
    <row r="28" spans="1:11" x14ac:dyDescent="0.2">
      <c r="A28" s="46" t="s">
        <v>1</v>
      </c>
      <c r="B28" s="34">
        <f>Prob!B28*ER!B28</f>
        <v>3.4366689472072862E-5</v>
      </c>
      <c r="C28" s="34">
        <f>Prob!C28*ER!C28</f>
        <v>2.1421981035023624E-4</v>
      </c>
      <c r="D28" s="34">
        <f>Prob!D28*ER!D28</f>
        <v>2.3568286441612049E-4</v>
      </c>
      <c r="E28" s="34">
        <f>Prob!E28*ER!E28</f>
        <v>2.5764248994901049E-4</v>
      </c>
      <c r="F28" s="34">
        <f>Prob!F28*ER!F28</f>
        <v>2.7979017656305332E-4</v>
      </c>
      <c r="G28" s="34">
        <f>Prob!G28*ER!G28</f>
        <v>3.0376881880180679E-4</v>
      </c>
      <c r="H28" s="34">
        <f>Prob!H28*ER!H28</f>
        <v>2.1069137408479333E-4</v>
      </c>
      <c r="I28" s="34">
        <f>Prob!I28*ER!I28</f>
        <v>1.5962339138384852E-4</v>
      </c>
      <c r="J28" s="34">
        <f>Prob!J28*ER!J28</f>
        <v>1.0367930047904183E-4</v>
      </c>
      <c r="K28" s="47">
        <f>Prob!K28*ER!K28</f>
        <v>3.0198728741063065E-4</v>
      </c>
    </row>
    <row r="29" spans="1:11" x14ac:dyDescent="0.2">
      <c r="A29" s="46">
        <v>2</v>
      </c>
      <c r="B29" s="34">
        <f>Prob!B29*ER!B29</f>
        <v>-7.9748361389138256E-5</v>
      </c>
      <c r="C29" s="34">
        <f>Prob!C29*ER!C29</f>
        <v>-3.835558739313202E-5</v>
      </c>
      <c r="D29" s="34">
        <f>Prob!D29*ER!D29</f>
        <v>-7.0542954927178762E-6</v>
      </c>
      <c r="E29" s="34">
        <f>Prob!E29*ER!E29</f>
        <v>2.7006708683957206E-5</v>
      </c>
      <c r="F29" s="34">
        <f>Prob!F29*ER!F29</f>
        <v>6.9201715739152479E-5</v>
      </c>
      <c r="G29" s="34">
        <f>Prob!G29*ER!G29</f>
        <v>1.0349516020114392E-4</v>
      </c>
      <c r="H29" s="34">
        <f>Prob!H29*ER!H29</f>
        <v>3.1670687508401225E-6</v>
      </c>
      <c r="I29" s="34">
        <f>Prob!I29*ER!I29</f>
        <v>-7.2523510541741069E-5</v>
      </c>
      <c r="J29" s="34">
        <f>Prob!J29*ER!J29</f>
        <v>-1.0954309474436299E-4</v>
      </c>
      <c r="K29" s="47">
        <f>Prob!K29*ER!K29</f>
        <v>-4.8602989724842998E-4</v>
      </c>
    </row>
    <row r="30" spans="1:11" x14ac:dyDescent="0.2">
      <c r="A30" s="46">
        <v>3</v>
      </c>
      <c r="B30" s="34">
        <f>Prob!B30*ER!B30</f>
        <v>-9.5841170784681705E-5</v>
      </c>
      <c r="C30" s="34">
        <f>Prob!C30*ER!C30</f>
        <v>-6.3691144368509318E-5</v>
      </c>
      <c r="D30" s="34">
        <f>Prob!D30*ER!D30</f>
        <v>-2.6529220039846027E-5</v>
      </c>
      <c r="E30" s="34">
        <f>Prob!E30*ER!E30</f>
        <v>1.2805879825619122E-5</v>
      </c>
      <c r="F30" s="34">
        <f>Prob!F30*ER!F30</f>
        <v>5.6762788502777363E-5</v>
      </c>
      <c r="G30" s="34">
        <f>Prob!G30*ER!G30</f>
        <v>9.0899140785087064E-5</v>
      </c>
      <c r="H30" s="34">
        <f>Prob!H30*ER!H30</f>
        <v>-2.6666023999893766E-5</v>
      </c>
      <c r="I30" s="34">
        <f>Prob!I30*ER!I30</f>
        <v>-9.8881147619838314E-5</v>
      </c>
      <c r="J30" s="34">
        <f>Prob!J30*ER!J30</f>
        <v>-1.3320013663983889E-4</v>
      </c>
      <c r="K30" s="47">
        <f>Prob!K30*ER!K30</f>
        <v>-5.6762624341457192E-4</v>
      </c>
    </row>
    <row r="31" spans="1:11" x14ac:dyDescent="0.2">
      <c r="A31" s="46">
        <v>4</v>
      </c>
      <c r="B31" s="34">
        <f>Prob!B31*ER!B31</f>
        <v>-6.2086736989862843E-5</v>
      </c>
      <c r="C31" s="34">
        <f>Prob!C31*ER!C31</f>
        <v>-9.9217969999115483E-6</v>
      </c>
      <c r="D31" s="34">
        <f>Prob!D31*ER!D31</f>
        <v>3.6437244108578442E-6</v>
      </c>
      <c r="E31" s="34">
        <f>Prob!E31*ER!E31</f>
        <v>1.7653378824400917E-5</v>
      </c>
      <c r="F31" s="34">
        <f>Prob!F31*ER!F31</f>
        <v>4.583763740385374E-5</v>
      </c>
      <c r="G31" s="34">
        <f>Prob!G31*ER!G31</f>
        <v>7.9278535590022726E-5</v>
      </c>
      <c r="H31" s="34">
        <f>Prob!H31*ER!H31</f>
        <v>3.7418042496014052E-5</v>
      </c>
      <c r="I31" s="34">
        <f>Prob!I31*ER!I31</f>
        <v>-2.7263666663020625E-5</v>
      </c>
      <c r="J31" s="34">
        <f>Prob!J31*ER!J31</f>
        <v>-9.5669700499871456E-5</v>
      </c>
      <c r="K31" s="47">
        <f>Prob!K31*ER!K31</f>
        <v>-4.1910310796402253E-4</v>
      </c>
    </row>
    <row r="32" spans="1:11" x14ac:dyDescent="0.2">
      <c r="A32" s="46">
        <v>5</v>
      </c>
      <c r="B32" s="34">
        <f>Prob!B32*ER!B32</f>
        <v>2.5666026102289253E-5</v>
      </c>
      <c r="C32" s="34">
        <f>Prob!C32*ER!C32</f>
        <v>1.6337706529007698E-4</v>
      </c>
      <c r="D32" s="34">
        <f>Prob!D32*ER!D32</f>
        <v>1.8630890768135604E-4</v>
      </c>
      <c r="E32" s="34">
        <f>Prob!E32*ER!E32</f>
        <v>2.0980438952860903E-4</v>
      </c>
      <c r="F32" s="34">
        <f>Prob!F32*ER!F32</f>
        <v>2.3328043195415012E-4</v>
      </c>
      <c r="G32" s="34">
        <f>Prob!G32*ER!G32</f>
        <v>2.6198915275273951E-4</v>
      </c>
      <c r="H32" s="34">
        <f>Prob!H32*ER!H32</f>
        <v>1.7861286084771861E-4</v>
      </c>
      <c r="I32" s="34">
        <f>Prob!I32*ER!I32</f>
        <v>1.3046687159139E-4</v>
      </c>
      <c r="J32" s="34">
        <f>Prob!J32*ER!J32</f>
        <v>6.5693385699031059E-5</v>
      </c>
      <c r="K32" s="47">
        <f>Prob!K32*ER!K32</f>
        <v>4.2533843561558463E-5</v>
      </c>
    </row>
    <row r="33" spans="1:11" x14ac:dyDescent="0.2">
      <c r="A33" s="46">
        <v>6</v>
      </c>
      <c r="B33" s="34">
        <f>Prob!B33*ER!B33</f>
        <v>-1.1046052533037082E-4</v>
      </c>
      <c r="C33" s="34">
        <f>Prob!C33*ER!C33</f>
        <v>-1.1533454072218394E-4</v>
      </c>
      <c r="D33" s="34">
        <f>Prob!D33*ER!D33</f>
        <v>-7.3901640887245748E-5</v>
      </c>
      <c r="E33" s="34">
        <f>Prob!E33*ER!E33</f>
        <v>-2.9695999206895436E-5</v>
      </c>
      <c r="F33" s="34">
        <f>Prob!F33*ER!F33</f>
        <v>1.785450902178762E-5</v>
      </c>
      <c r="G33" s="34">
        <f>Prob!G33*ER!G33</f>
        <v>4.8554122362049288E-5</v>
      </c>
      <c r="H33" s="34">
        <f>Prob!H33*ER!H33</f>
        <v>-9.6881071696547228E-5</v>
      </c>
      <c r="I33" s="34">
        <f>Prob!I33*ER!I33</f>
        <v>-1.2361165453995732E-4</v>
      </c>
      <c r="J33" s="34">
        <f>Prob!J33*ER!J33</f>
        <v>-1.5476253100088104E-4</v>
      </c>
      <c r="K33" s="47">
        <f>Prob!K33*ER!K33</f>
        <v>-6.4038596886342258E-4</v>
      </c>
    </row>
    <row r="34" spans="1:11" x14ac:dyDescent="0.2">
      <c r="A34" s="46">
        <v>7</v>
      </c>
      <c r="B34" s="34">
        <f>Prob!B34*ER!B34</f>
        <v>-1.3865272571084194E-4</v>
      </c>
      <c r="C34" s="34">
        <f>Prob!C34*ER!C34</f>
        <v>-8.9349844316449805E-5</v>
      </c>
      <c r="D34" s="34">
        <f>Prob!D34*ER!D34</f>
        <v>-4.9834104351610453E-5</v>
      </c>
      <c r="E34" s="34">
        <f>Prob!E34*ER!E34</f>
        <v>-9.0674642339398095E-6</v>
      </c>
      <c r="F34" s="34">
        <f>Prob!F34*ER!F34</f>
        <v>3.3938811046012223E-5</v>
      </c>
      <c r="G34" s="34">
        <f>Prob!G34*ER!G34</f>
        <v>7.4978290004503836E-5</v>
      </c>
      <c r="H34" s="34">
        <f>Prob!H34*ER!H34</f>
        <v>-6.2391995264047222E-5</v>
      </c>
      <c r="I34" s="34">
        <f>Prob!I34*ER!I34</f>
        <v>-1.6928497591591588E-4</v>
      </c>
      <c r="J34" s="34">
        <f>Prob!J34*ER!J34</f>
        <v>-1.961446602113042E-4</v>
      </c>
      <c r="K34" s="47">
        <f>Prob!K34*ER!K34</f>
        <v>-7.8368260807760678E-4</v>
      </c>
    </row>
    <row r="35" spans="1:11" x14ac:dyDescent="0.2">
      <c r="A35" s="46">
        <v>8</v>
      </c>
      <c r="B35" s="34">
        <f>Prob!B35*ER!B35</f>
        <v>-1.5077220180493542E-4</v>
      </c>
      <c r="C35" s="34">
        <f>Prob!C35*ER!C35</f>
        <v>-1.8665710175946474E-5</v>
      </c>
      <c r="D35" s="34">
        <f>Prob!D35*ER!D35</f>
        <v>1.349625263470151E-5</v>
      </c>
      <c r="E35" s="34">
        <f>Prob!E35*ER!E35</f>
        <v>4.6671278624187139E-5</v>
      </c>
      <c r="F35" s="34">
        <f>Prob!F35*ER!F35</f>
        <v>8.0959806638400127E-5</v>
      </c>
      <c r="G35" s="34">
        <f>Prob!G35*ER!G35</f>
        <v>1.2796751089224609E-4</v>
      </c>
      <c r="H35" s="34">
        <f>Prob!H35*ER!H35</f>
        <v>8.1666005396927724E-5</v>
      </c>
      <c r="I35" s="34">
        <f>Prob!I35*ER!I35</f>
        <v>-7.0100849466280354E-5</v>
      </c>
      <c r="J35" s="34">
        <f>Prob!J35*ER!J35</f>
        <v>-2.2758306781975424E-4</v>
      </c>
      <c r="K35" s="47">
        <f>Prob!K35*ER!K35</f>
        <v>-8.4030671194986189E-4</v>
      </c>
    </row>
    <row r="36" spans="1:11" x14ac:dyDescent="0.2">
      <c r="A36" s="46">
        <v>9</v>
      </c>
      <c r="B36" s="34">
        <f>Prob!B36*ER!B36</f>
        <v>-3.1574170390347508E-5</v>
      </c>
      <c r="C36" s="34">
        <f>Prob!C36*ER!C36</f>
        <v>6.0927483876524848E-5</v>
      </c>
      <c r="D36" s="34">
        <f>Prob!D36*ER!D36</f>
        <v>8.7941427233119939E-5</v>
      </c>
      <c r="E36" s="34">
        <f>Prob!E36*ER!E36</f>
        <v>1.1585984325813071E-4</v>
      </c>
      <c r="F36" s="34">
        <f>Prob!F36*ER!F36</f>
        <v>1.4507499921839387E-4</v>
      </c>
      <c r="G36" s="34">
        <f>Prob!G36*ER!G36</f>
        <v>1.8370975031119208E-4</v>
      </c>
      <c r="H36" s="34">
        <f>Prob!H36*ER!H36</f>
        <v>1.8186352632523981E-4</v>
      </c>
      <c r="I36" s="34">
        <f>Prob!I36*ER!I36</f>
        <v>8.707019397260899E-5</v>
      </c>
      <c r="J36" s="34">
        <f>Prob!J36*ER!J36</f>
        <v>-6.860294541915379E-5</v>
      </c>
      <c r="K36" s="47">
        <f>Prob!K36*ER!K36</f>
        <v>-2.9965544701626332E-4</v>
      </c>
    </row>
    <row r="37" spans="1:11" ht="16" thickBot="1" x14ac:dyDescent="0.25">
      <c r="A37" s="49">
        <v>10</v>
      </c>
      <c r="B37" s="50">
        <f>Prob!B37*ER!B37</f>
        <v>3.3047766721608471E-3</v>
      </c>
      <c r="C37" s="50">
        <f>Prob!C37*ER!C37</f>
        <v>4.6608034608417942E-3</v>
      </c>
      <c r="D37" s="50">
        <f>Prob!D37*ER!D37</f>
        <v>4.7357093800745121E-3</v>
      </c>
      <c r="E37" s="50">
        <f>Prob!E37*ER!E37</f>
        <v>4.8142009063127681E-3</v>
      </c>
      <c r="F37" s="50">
        <f>Prob!F37*ER!F37</f>
        <v>4.8820004779812475E-3</v>
      </c>
      <c r="G37" s="50">
        <f>Prob!G37*ER!G37</f>
        <v>5.1346365927009054E-3</v>
      </c>
      <c r="H37" s="50">
        <f>Prob!H37*ER!H37</f>
        <v>5.631149578786891E-3</v>
      </c>
      <c r="I37" s="50">
        <f>Prob!I37*ER!I37</f>
        <v>5.766519141024295E-3</v>
      </c>
      <c r="J37" s="50">
        <f>Prob!J37*ER!J37</f>
        <v>5.5228538611458997E-3</v>
      </c>
      <c r="K37" s="51">
        <f>Prob!K37*ER!K37</f>
        <v>1.4911412452209501E-2</v>
      </c>
    </row>
    <row r="38" spans="1:11" x14ac:dyDescent="0.2">
      <c r="B38" s="36"/>
      <c r="C38" s="36"/>
      <c r="D38" s="36"/>
      <c r="E38" s="36"/>
      <c r="F38" s="36"/>
      <c r="G38" s="36"/>
      <c r="H38" s="36"/>
      <c r="I38" s="36"/>
      <c r="J38" s="36"/>
      <c r="K38" s="36"/>
    </row>
    <row r="39" spans="1:11" x14ac:dyDescent="0.2">
      <c r="A39" s="407" t="s">
        <v>11</v>
      </c>
      <c r="B39" s="408"/>
      <c r="C39" s="39">
        <f>Blackjack!C3*ER!C40</f>
        <v>-4.5096460207975919E-2</v>
      </c>
    </row>
    <row r="40" spans="1:11" ht="16" thickBot="1" x14ac:dyDescent="0.25"/>
    <row r="41" spans="1:11" x14ac:dyDescent="0.2">
      <c r="A41" s="414" t="s">
        <v>16</v>
      </c>
      <c r="B41" s="415"/>
      <c r="C41" s="55">
        <f>SUM(B2:K16)</f>
        <v>-9.6526607161070171E-2</v>
      </c>
      <c r="D41" s="411">
        <f>SUM(C41:C43)</f>
        <v>3.9782280952070467E-2</v>
      </c>
      <c r="F41" s="176" t="s">
        <v>81</v>
      </c>
      <c r="G41" s="180">
        <f>SUMIF($B$2:$K$16,"&gt;0")+SUMIF($B$18:$K$26,"&gt;0")+ SUMIF($B$28:$K$37,"&gt;0")</f>
        <v>0.19763611356035593</v>
      </c>
    </row>
    <row r="42" spans="1:11" ht="16" thickBot="1" x14ac:dyDescent="0.25">
      <c r="A42" s="416" t="s">
        <v>17</v>
      </c>
      <c r="B42" s="417"/>
      <c r="C42" s="56">
        <f>SUM(B18:K26)</f>
        <v>7.8380375117117845E-2</v>
      </c>
      <c r="D42" s="412"/>
      <c r="F42" s="177" t="s">
        <v>82</v>
      </c>
      <c r="G42" s="181">
        <f>SUMIF($B$2:$K$16,"&lt;0")+SUMIF($B$18:$K$26,"&lt;0")+ SUMIF($B$28:$K$37,"&lt;0")+C39</f>
        <v>-0.20295029281626137</v>
      </c>
    </row>
    <row r="43" spans="1:11" ht="16" thickBot="1" x14ac:dyDescent="0.25">
      <c r="A43" s="416" t="s">
        <v>18</v>
      </c>
      <c r="B43" s="417"/>
      <c r="C43" s="56">
        <f>SUM(B28:K37)</f>
        <v>5.7928512996022793E-2</v>
      </c>
      <c r="D43" s="413"/>
      <c r="F43" s="177" t="s">
        <v>2</v>
      </c>
      <c r="G43" s="181">
        <f>G41+G42</f>
        <v>-5.3141792559054379E-3</v>
      </c>
    </row>
    <row r="44" spans="1:11" x14ac:dyDescent="0.2">
      <c r="A44" s="409" t="s">
        <v>29</v>
      </c>
      <c r="B44" s="410"/>
      <c r="C44" s="54">
        <f>C39</f>
        <v>-4.5096460207975919E-2</v>
      </c>
    </row>
    <row r="45" spans="1:11" x14ac:dyDescent="0.2">
      <c r="A45" s="250" t="s">
        <v>147</v>
      </c>
      <c r="B45" s="251"/>
      <c r="C45" s="54">
        <f>IF(Rules!$B$15=Rules!$E$15,'Three 7 Cards'!$D$2,IF(Rules!$B$15=Rules!$F$15,2*'Three 7 Cards'!$D$2,0))</f>
        <v>0</v>
      </c>
    </row>
    <row r="46" spans="1:11" ht="16" thickBot="1" x14ac:dyDescent="0.25">
      <c r="A46" s="250" t="s">
        <v>144</v>
      </c>
      <c r="B46" s="251"/>
      <c r="C46" s="54">
        <f>IF(Rules!$B$16=Rules!$E$16,'5 Cards'!$G$122,IF(Rules!$B$16=Rules!$F$16,2*'5 Cards'!$G$122,0))</f>
        <v>0</v>
      </c>
    </row>
    <row r="47" spans="1:11" ht="16" thickBot="1" x14ac:dyDescent="0.25">
      <c r="A47" s="405" t="s">
        <v>19</v>
      </c>
      <c r="B47" s="406"/>
      <c r="C47" s="57">
        <f>SUM(C41:C46)</f>
        <v>-5.3141792559054518E-3</v>
      </c>
      <c r="D47" s="116">
        <f>C47</f>
        <v>-5.3141792559054518E-3</v>
      </c>
    </row>
  </sheetData>
  <sheetProtection sheet="1" objects="1" scenarios="1"/>
  <mergeCells count="7">
    <mergeCell ref="A47:B47"/>
    <mergeCell ref="A39:B39"/>
    <mergeCell ref="A44:B44"/>
    <mergeCell ref="D41:D43"/>
    <mergeCell ref="A41:B41"/>
    <mergeCell ref="A42:B42"/>
    <mergeCell ref="A43:B43"/>
  </mergeCells>
  <phoneticPr fontId="14" type="noConversion"/>
  <conditionalFormatting sqref="B2:K16 B18:K26 B28:K38">
    <cfRule type="containsText" dxfId="36" priority="15" operator="containsText" text="R">
      <formula>NOT(ISERROR(SEARCH("R",B2)))</formula>
    </cfRule>
    <cfRule type="containsText" dxfId="35" priority="16" operator="containsText" text="D">
      <formula>NOT(ISERROR(SEARCH("D",B2)))</formula>
    </cfRule>
    <cfRule type="containsText" dxfId="34" priority="17" operator="containsText" text="S">
      <formula>NOT(ISERROR(SEARCH("S",B2)))</formula>
    </cfRule>
    <cfRule type="containsText" dxfId="33" priority="18" operator="containsText" text="H">
      <formula>NOT(ISERROR(SEARCH("H",B2)))</formula>
    </cfRule>
  </conditionalFormatting>
  <conditionalFormatting sqref="B2:K16 B18:K26 B28:K38">
    <cfRule type="containsText" dxfId="32" priority="14" operator="containsText" text="P">
      <formula>NOT(ISERROR(SEARCH("P",B2)))</formula>
    </cfRule>
  </conditionalFormatting>
  <conditionalFormatting sqref="B2:K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K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K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workbookViewId="0">
      <selection activeCell="D2" sqref="D2"/>
    </sheetView>
  </sheetViews>
  <sheetFormatPr baseColWidth="10" defaultColWidth="8.83203125" defaultRowHeight="16" x14ac:dyDescent="0.2"/>
  <cols>
    <col min="2" max="2" width="5.5" style="31" bestFit="1" customWidth="1"/>
    <col min="3" max="12" width="4" style="31" customWidth="1"/>
    <col min="14" max="14" width="24.5" customWidth="1"/>
  </cols>
  <sheetData>
    <row r="1" spans="2:12" ht="21" x14ac:dyDescent="0.25">
      <c r="B1" s="418" t="s">
        <v>23</v>
      </c>
      <c r="C1" s="418"/>
      <c r="D1" s="418"/>
      <c r="E1" s="418"/>
      <c r="F1" s="418"/>
      <c r="G1" s="418"/>
      <c r="H1" s="418"/>
      <c r="I1" s="418"/>
      <c r="J1" s="418"/>
      <c r="K1" s="418"/>
      <c r="L1" s="418"/>
    </row>
    <row r="2" spans="2:12" x14ac:dyDescent="0.2">
      <c r="B2" s="52" t="s">
        <v>9</v>
      </c>
      <c r="C2" s="52" t="s">
        <v>22</v>
      </c>
      <c r="D2" s="52">
        <v>2</v>
      </c>
      <c r="E2" s="52">
        <v>3</v>
      </c>
      <c r="F2" s="52">
        <v>4</v>
      </c>
      <c r="G2" s="52">
        <v>5</v>
      </c>
      <c r="H2" s="52">
        <v>6</v>
      </c>
      <c r="I2" s="52">
        <v>7</v>
      </c>
      <c r="J2" s="52">
        <v>8</v>
      </c>
      <c r="K2" s="52">
        <v>9</v>
      </c>
      <c r="L2" s="52">
        <v>10</v>
      </c>
    </row>
    <row r="3" spans="2:12" x14ac:dyDescent="0.2">
      <c r="B3" s="52" t="s">
        <v>20</v>
      </c>
      <c r="C3" s="53" t="str">
        <f>HSDR!O8</f>
        <v>H</v>
      </c>
      <c r="D3" s="53" t="str">
        <f>HSDR!P8</f>
        <v>H</v>
      </c>
      <c r="E3" s="53" t="str">
        <f>HSDR!Q8</f>
        <v>H</v>
      </c>
      <c r="F3" s="53" t="str">
        <f>HSDR!R8</f>
        <v>H</v>
      </c>
      <c r="G3" s="53" t="str">
        <f>HSDR!S8</f>
        <v>H</v>
      </c>
      <c r="H3" s="53" t="str">
        <f>HSDR!T8</f>
        <v>H</v>
      </c>
      <c r="I3" s="53" t="str">
        <f>HSDR!U8</f>
        <v>H</v>
      </c>
      <c r="J3" s="53" t="str">
        <f>HSDR!V8</f>
        <v>H</v>
      </c>
      <c r="K3" s="53" t="str">
        <f>HSDR!W8</f>
        <v>H</v>
      </c>
      <c r="L3" s="53" t="str">
        <f>HSDR!X8</f>
        <v>H</v>
      </c>
    </row>
    <row r="4" spans="2:12" x14ac:dyDescent="0.2">
      <c r="B4" s="52">
        <v>9</v>
      </c>
      <c r="C4" s="53" t="str">
        <f>HSDR!O9</f>
        <v>H</v>
      </c>
      <c r="D4" s="53" t="str">
        <f>HSDR!P9</f>
        <v>H</v>
      </c>
      <c r="E4" s="53" t="str">
        <f>HSDR!Q9</f>
        <v>D</v>
      </c>
      <c r="F4" s="53" t="str">
        <f>HSDR!R9</f>
        <v>D</v>
      </c>
      <c r="G4" s="53" t="str">
        <f>HSDR!S9</f>
        <v>D</v>
      </c>
      <c r="H4" s="53" t="str">
        <f>HSDR!T9</f>
        <v>D</v>
      </c>
      <c r="I4" s="53" t="str">
        <f>HSDR!U9</f>
        <v>H</v>
      </c>
      <c r="J4" s="53" t="str">
        <f>HSDR!V9</f>
        <v>H</v>
      </c>
      <c r="K4" s="53" t="str">
        <f>HSDR!W9</f>
        <v>H</v>
      </c>
      <c r="L4" s="53" t="str">
        <f>HSDR!X9</f>
        <v>H</v>
      </c>
    </row>
    <row r="5" spans="2:12" x14ac:dyDescent="0.2">
      <c r="B5" s="52">
        <v>10</v>
      </c>
      <c r="C5" s="53" t="str">
        <f>HSDR!O10</f>
        <v>H</v>
      </c>
      <c r="D5" s="53" t="str">
        <f>HSDR!P10</f>
        <v>D</v>
      </c>
      <c r="E5" s="53" t="str">
        <f>HSDR!Q10</f>
        <v>D</v>
      </c>
      <c r="F5" s="53" t="str">
        <f>HSDR!R10</f>
        <v>D</v>
      </c>
      <c r="G5" s="53" t="str">
        <f>HSDR!S10</f>
        <v>D</v>
      </c>
      <c r="H5" s="53" t="str">
        <f>HSDR!T10</f>
        <v>D</v>
      </c>
      <c r="I5" s="53" t="str">
        <f>HSDR!U10</f>
        <v>D</v>
      </c>
      <c r="J5" s="53" t="str">
        <f>HSDR!V10</f>
        <v>D</v>
      </c>
      <c r="K5" s="53" t="str">
        <f>HSDR!W10</f>
        <v>D</v>
      </c>
      <c r="L5" s="53" t="str">
        <f>HSDR!X10</f>
        <v>H</v>
      </c>
    </row>
    <row r="6" spans="2:12" x14ac:dyDescent="0.2">
      <c r="B6" s="52">
        <v>11</v>
      </c>
      <c r="C6" s="53" t="str">
        <f>HSDR!O11</f>
        <v>H</v>
      </c>
      <c r="D6" s="53" t="str">
        <f>HSDR!P11</f>
        <v>D</v>
      </c>
      <c r="E6" s="53" t="str">
        <f>HSDR!Q11</f>
        <v>D</v>
      </c>
      <c r="F6" s="53" t="str">
        <f>HSDR!R11</f>
        <v>D</v>
      </c>
      <c r="G6" s="53" t="str">
        <f>HSDR!S11</f>
        <v>D</v>
      </c>
      <c r="H6" s="53" t="str">
        <f>HSDR!T11</f>
        <v>D</v>
      </c>
      <c r="I6" s="53" t="str">
        <f>HSDR!U11</f>
        <v>D</v>
      </c>
      <c r="J6" s="53" t="str">
        <f>HSDR!V11</f>
        <v>D</v>
      </c>
      <c r="K6" s="53" t="str">
        <f>HSDR!W11</f>
        <v>D</v>
      </c>
      <c r="L6" s="53" t="str">
        <f>HSDR!X11</f>
        <v>D</v>
      </c>
    </row>
    <row r="7" spans="2:12" x14ac:dyDescent="0.2">
      <c r="B7" s="52">
        <v>12</v>
      </c>
      <c r="C7" s="53" t="str">
        <f>HSDR!O12</f>
        <v>H</v>
      </c>
      <c r="D7" s="53" t="str">
        <f>HSDR!P12</f>
        <v>H</v>
      </c>
      <c r="E7" s="53" t="str">
        <f>HSDR!Q12</f>
        <v>H</v>
      </c>
      <c r="F7" s="53" t="str">
        <f>HSDR!R12</f>
        <v>S</v>
      </c>
      <c r="G7" s="53" t="str">
        <f>HSDR!S12</f>
        <v>S</v>
      </c>
      <c r="H7" s="53" t="str">
        <f>HSDR!T12</f>
        <v>S</v>
      </c>
      <c r="I7" s="53" t="str">
        <f>HSDR!U12</f>
        <v>H</v>
      </c>
      <c r="J7" s="53" t="str">
        <f>HSDR!V12</f>
        <v>H</v>
      </c>
      <c r="K7" s="53" t="str">
        <f>HSDR!W12</f>
        <v>H</v>
      </c>
      <c r="L7" s="53" t="str">
        <f>HSDR!X12</f>
        <v>H</v>
      </c>
    </row>
    <row r="8" spans="2:12" x14ac:dyDescent="0.2">
      <c r="B8" s="52">
        <v>13</v>
      </c>
      <c r="C8" s="53" t="str">
        <f>HSDR!O13</f>
        <v>H</v>
      </c>
      <c r="D8" s="53" t="str">
        <f>HSDR!P13</f>
        <v>S</v>
      </c>
      <c r="E8" s="53" t="str">
        <f>HSDR!Q13</f>
        <v>S</v>
      </c>
      <c r="F8" s="53" t="str">
        <f>HSDR!R13</f>
        <v>S</v>
      </c>
      <c r="G8" s="53" t="str">
        <f>HSDR!S13</f>
        <v>S</v>
      </c>
      <c r="H8" s="53" t="str">
        <f>HSDR!T13</f>
        <v>S</v>
      </c>
      <c r="I8" s="53" t="str">
        <f>HSDR!U13</f>
        <v>H</v>
      </c>
      <c r="J8" s="53" t="str">
        <f>HSDR!V13</f>
        <v>H</v>
      </c>
      <c r="K8" s="53" t="str">
        <f>HSDR!W13</f>
        <v>H</v>
      </c>
      <c r="L8" s="53" t="str">
        <f>HSDR!X13</f>
        <v>H</v>
      </c>
    </row>
    <row r="9" spans="2:12" x14ac:dyDescent="0.2">
      <c r="B9" s="52">
        <v>14</v>
      </c>
      <c r="C9" s="53" t="str">
        <f>HSDR!O14</f>
        <v>H</v>
      </c>
      <c r="D9" s="53" t="str">
        <f>HSDR!P14</f>
        <v>S</v>
      </c>
      <c r="E9" s="53" t="str">
        <f>HSDR!Q14</f>
        <v>S</v>
      </c>
      <c r="F9" s="53" t="str">
        <f>HSDR!R14</f>
        <v>S</v>
      </c>
      <c r="G9" s="53" t="str">
        <f>HSDR!S14</f>
        <v>S</v>
      </c>
      <c r="H9" s="53" t="str">
        <f>HSDR!T14</f>
        <v>S</v>
      </c>
      <c r="I9" s="53" t="str">
        <f>HSDR!U14</f>
        <v>H</v>
      </c>
      <c r="J9" s="53" t="str">
        <f>HSDR!V14</f>
        <v>H</v>
      </c>
      <c r="K9" s="53" t="str">
        <f>HSDR!W14</f>
        <v>H</v>
      </c>
      <c r="L9" s="53" t="str">
        <f>HSDR!X14</f>
        <v>H</v>
      </c>
    </row>
    <row r="10" spans="2:12" x14ac:dyDescent="0.2">
      <c r="B10" s="52">
        <v>15</v>
      </c>
      <c r="C10" s="53" t="str">
        <f>HSDR!O15</f>
        <v>H</v>
      </c>
      <c r="D10" s="53" t="str">
        <f>HSDR!P15</f>
        <v>S</v>
      </c>
      <c r="E10" s="53" t="str">
        <f>HSDR!Q15</f>
        <v>S</v>
      </c>
      <c r="F10" s="53" t="str">
        <f>HSDR!R15</f>
        <v>S</v>
      </c>
      <c r="G10" s="53" t="str">
        <f>HSDR!S15</f>
        <v>S</v>
      </c>
      <c r="H10" s="53" t="str">
        <f>HSDR!T15</f>
        <v>S</v>
      </c>
      <c r="I10" s="53" t="str">
        <f>HSDR!U15</f>
        <v>H</v>
      </c>
      <c r="J10" s="53" t="str">
        <f>HSDR!V15</f>
        <v>H</v>
      </c>
      <c r="K10" s="53" t="str">
        <f>HSDR!W15</f>
        <v>H</v>
      </c>
      <c r="L10" s="53" t="str">
        <f>HSDR!X15</f>
        <v>R</v>
      </c>
    </row>
    <row r="11" spans="2:12" x14ac:dyDescent="0.2">
      <c r="B11" s="52">
        <v>16</v>
      </c>
      <c r="C11" s="53" t="str">
        <f>HSDR!O16</f>
        <v>H</v>
      </c>
      <c r="D11" s="53" t="str">
        <f>HSDR!P16</f>
        <v>S</v>
      </c>
      <c r="E11" s="53" t="str">
        <f>HSDR!Q16</f>
        <v>S</v>
      </c>
      <c r="F11" s="53" t="str">
        <f>HSDR!R16</f>
        <v>S</v>
      </c>
      <c r="G11" s="53" t="str">
        <f>HSDR!S16</f>
        <v>S</v>
      </c>
      <c r="H11" s="53" t="str">
        <f>HSDR!T16</f>
        <v>S</v>
      </c>
      <c r="I11" s="53" t="str">
        <f>HSDR!U16</f>
        <v>H</v>
      </c>
      <c r="J11" s="53" t="str">
        <f>HSDR!V16</f>
        <v>H</v>
      </c>
      <c r="K11" s="53" t="str">
        <f>HSDR!W16</f>
        <v>R</v>
      </c>
      <c r="L11" s="53" t="str">
        <f>HSDR!X16</f>
        <v>R</v>
      </c>
    </row>
    <row r="12" spans="2:12" x14ac:dyDescent="0.2">
      <c r="B12" s="52" t="s">
        <v>21</v>
      </c>
      <c r="C12" s="53" t="str">
        <f>HSDR!O17</f>
        <v>S</v>
      </c>
      <c r="D12" s="53" t="str">
        <f>HSDR!P17</f>
        <v>S</v>
      </c>
      <c r="E12" s="53" t="str">
        <f>HSDR!Q17</f>
        <v>S</v>
      </c>
      <c r="F12" s="53" t="str">
        <f>HSDR!R17</f>
        <v>S</v>
      </c>
      <c r="G12" s="53" t="str">
        <f>HSDR!S17</f>
        <v>S</v>
      </c>
      <c r="H12" s="53" t="str">
        <f>HSDR!T17</f>
        <v>S</v>
      </c>
      <c r="I12" s="53" t="str">
        <f>HSDR!U17</f>
        <v>S</v>
      </c>
      <c r="J12" s="53" t="str">
        <f>HSDR!V17</f>
        <v>S</v>
      </c>
      <c r="K12" s="53" t="str">
        <f>HSDR!W17</f>
        <v>S</v>
      </c>
      <c r="L12" s="53" t="str">
        <f>HSDR!X17</f>
        <v>S</v>
      </c>
    </row>
    <row r="13" spans="2:12" x14ac:dyDescent="0.2">
      <c r="B13" s="52" t="s">
        <v>4</v>
      </c>
      <c r="C13" s="52" t="s">
        <v>22</v>
      </c>
      <c r="D13" s="52">
        <v>2</v>
      </c>
      <c r="E13" s="52">
        <v>3</v>
      </c>
      <c r="F13" s="52">
        <v>4</v>
      </c>
      <c r="G13" s="52">
        <v>5</v>
      </c>
      <c r="H13" s="52">
        <v>6</v>
      </c>
      <c r="I13" s="52">
        <v>7</v>
      </c>
      <c r="J13" s="52">
        <v>8</v>
      </c>
      <c r="K13" s="52">
        <v>9</v>
      </c>
      <c r="L13" s="52">
        <v>10</v>
      </c>
    </row>
    <row r="14" spans="2:12" x14ac:dyDescent="0.2">
      <c r="B14" s="52">
        <v>13</v>
      </c>
      <c r="C14" s="53" t="str">
        <f>HSDR!O36</f>
        <v>H</v>
      </c>
      <c r="D14" s="53" t="str">
        <f>HSDR!P36</f>
        <v>H</v>
      </c>
      <c r="E14" s="53" t="str">
        <f>HSDR!Q36</f>
        <v>H</v>
      </c>
      <c r="F14" s="53" t="str">
        <f>HSDR!R36</f>
        <v>H</v>
      </c>
      <c r="G14" s="53" t="str">
        <f>HSDR!S36</f>
        <v>H</v>
      </c>
      <c r="H14" s="53" t="str">
        <f>HSDR!T36</f>
        <v>D</v>
      </c>
      <c r="I14" s="53" t="str">
        <f>HSDR!U36</f>
        <v>H</v>
      </c>
      <c r="J14" s="53" t="str">
        <f>HSDR!V36</f>
        <v>H</v>
      </c>
      <c r="K14" s="53" t="str">
        <f>HSDR!W36</f>
        <v>H</v>
      </c>
      <c r="L14" s="53" t="str">
        <f>HSDR!X36</f>
        <v>H</v>
      </c>
    </row>
    <row r="15" spans="2:12" x14ac:dyDescent="0.2">
      <c r="B15" s="52">
        <v>14</v>
      </c>
      <c r="C15" s="53" t="str">
        <f>HSDR!O37</f>
        <v>H</v>
      </c>
      <c r="D15" s="53" t="str">
        <f>HSDR!P37</f>
        <v>H</v>
      </c>
      <c r="E15" s="53" t="str">
        <f>HSDR!Q37</f>
        <v>H</v>
      </c>
      <c r="F15" s="53" t="str">
        <f>HSDR!R37</f>
        <v>H</v>
      </c>
      <c r="G15" s="53" t="str">
        <f>HSDR!S37</f>
        <v>D</v>
      </c>
      <c r="H15" s="53" t="str">
        <f>HSDR!T37</f>
        <v>D</v>
      </c>
      <c r="I15" s="53" t="str">
        <f>HSDR!U37</f>
        <v>H</v>
      </c>
      <c r="J15" s="53" t="str">
        <f>HSDR!V37</f>
        <v>H</v>
      </c>
      <c r="K15" s="53" t="str">
        <f>HSDR!W37</f>
        <v>H</v>
      </c>
      <c r="L15" s="53" t="str">
        <f>HSDR!X37</f>
        <v>H</v>
      </c>
    </row>
    <row r="16" spans="2:12" x14ac:dyDescent="0.2">
      <c r="B16" s="52">
        <v>15</v>
      </c>
      <c r="C16" s="53" t="str">
        <f>HSDR!O38</f>
        <v>H</v>
      </c>
      <c r="D16" s="53" t="str">
        <f>HSDR!P38</f>
        <v>H</v>
      </c>
      <c r="E16" s="53" t="str">
        <f>HSDR!Q38</f>
        <v>H</v>
      </c>
      <c r="F16" s="53" t="str">
        <f>HSDR!R38</f>
        <v>H</v>
      </c>
      <c r="G16" s="53" t="str">
        <f>HSDR!S38</f>
        <v>D</v>
      </c>
      <c r="H16" s="53" t="str">
        <f>HSDR!T38</f>
        <v>D</v>
      </c>
      <c r="I16" s="53" t="str">
        <f>HSDR!U38</f>
        <v>H</v>
      </c>
      <c r="J16" s="53" t="str">
        <f>HSDR!V38</f>
        <v>H</v>
      </c>
      <c r="K16" s="53" t="str">
        <f>HSDR!W38</f>
        <v>H</v>
      </c>
      <c r="L16" s="53" t="str">
        <f>HSDR!X38</f>
        <v>H</v>
      </c>
    </row>
    <row r="17" spans="2:12" x14ac:dyDescent="0.2">
      <c r="B17" s="52">
        <v>16</v>
      </c>
      <c r="C17" s="53" t="str">
        <f>HSDR!O39</f>
        <v>H</v>
      </c>
      <c r="D17" s="53" t="str">
        <f>HSDR!P39</f>
        <v>H</v>
      </c>
      <c r="E17" s="53" t="str">
        <f>HSDR!Q39</f>
        <v>H</v>
      </c>
      <c r="F17" s="53" t="str">
        <f>HSDR!R39</f>
        <v>D</v>
      </c>
      <c r="G17" s="53" t="str">
        <f>HSDR!S39</f>
        <v>D</v>
      </c>
      <c r="H17" s="53" t="str">
        <f>HSDR!T39</f>
        <v>D</v>
      </c>
      <c r="I17" s="53" t="str">
        <f>HSDR!U39</f>
        <v>H</v>
      </c>
      <c r="J17" s="53" t="str">
        <f>HSDR!V39</f>
        <v>H</v>
      </c>
      <c r="K17" s="53" t="str">
        <f>HSDR!W39</f>
        <v>H</v>
      </c>
      <c r="L17" s="53" t="str">
        <f>HSDR!X39</f>
        <v>H</v>
      </c>
    </row>
    <row r="18" spans="2:12" x14ac:dyDescent="0.2">
      <c r="B18" s="52">
        <v>17</v>
      </c>
      <c r="C18" s="53" t="str">
        <f>HSDR!O40</f>
        <v>H</v>
      </c>
      <c r="D18" s="53" t="str">
        <f>HSDR!P40</f>
        <v>H</v>
      </c>
      <c r="E18" s="53" t="str">
        <f>HSDR!Q40</f>
        <v>D</v>
      </c>
      <c r="F18" s="53" t="str">
        <f>HSDR!R40</f>
        <v>D</v>
      </c>
      <c r="G18" s="53" t="str">
        <f>HSDR!S40</f>
        <v>D</v>
      </c>
      <c r="H18" s="53" t="str">
        <f>HSDR!T40</f>
        <v>D</v>
      </c>
      <c r="I18" s="53" t="str">
        <f>HSDR!U40</f>
        <v>H</v>
      </c>
      <c r="J18" s="53" t="str">
        <f>HSDR!V40</f>
        <v>H</v>
      </c>
      <c r="K18" s="53" t="str">
        <f>HSDR!W40</f>
        <v>H</v>
      </c>
      <c r="L18" s="53" t="str">
        <f>HSDR!X40</f>
        <v>H</v>
      </c>
    </row>
    <row r="19" spans="2:12" x14ac:dyDescent="0.2">
      <c r="B19" s="52">
        <v>18</v>
      </c>
      <c r="C19" s="53" t="str">
        <f>HSDR!O41</f>
        <v>H</v>
      </c>
      <c r="D19" s="53" t="str">
        <f>HSDR!P41</f>
        <v>S</v>
      </c>
      <c r="E19" s="53" t="str">
        <f>HSDR!Q41</f>
        <v>D</v>
      </c>
      <c r="F19" s="53" t="str">
        <f>HSDR!R41</f>
        <v>D</v>
      </c>
      <c r="G19" s="53" t="str">
        <f>HSDR!S41</f>
        <v>D</v>
      </c>
      <c r="H19" s="53" t="str">
        <f>HSDR!T41</f>
        <v>D</v>
      </c>
      <c r="I19" s="53" t="str">
        <f>HSDR!U41</f>
        <v>S</v>
      </c>
      <c r="J19" s="53" t="str">
        <f>HSDR!V41</f>
        <v>S</v>
      </c>
      <c r="K19" s="53" t="str">
        <f>HSDR!W41</f>
        <v>H</v>
      </c>
      <c r="L19" s="53" t="str">
        <f>HSDR!X41</f>
        <v>H</v>
      </c>
    </row>
    <row r="20" spans="2:12" x14ac:dyDescent="0.2">
      <c r="B20" s="52">
        <v>19</v>
      </c>
      <c r="C20" s="53" t="str">
        <f>HSDR!O42</f>
        <v>S</v>
      </c>
      <c r="D20" s="53" t="str">
        <f>HSDR!P42</f>
        <v>S</v>
      </c>
      <c r="E20" s="53" t="str">
        <f>HSDR!Q42</f>
        <v>S</v>
      </c>
      <c r="F20" s="53" t="str">
        <f>HSDR!R42</f>
        <v>S</v>
      </c>
      <c r="G20" s="53" t="str">
        <f>HSDR!S42</f>
        <v>S</v>
      </c>
      <c r="H20" s="53" t="str">
        <f>HSDR!T42</f>
        <v>S</v>
      </c>
      <c r="I20" s="53" t="str">
        <f>HSDR!U42</f>
        <v>S</v>
      </c>
      <c r="J20" s="53" t="str">
        <f>HSDR!V42</f>
        <v>S</v>
      </c>
      <c r="K20" s="53" t="str">
        <f>HSDR!W42</f>
        <v>S</v>
      </c>
      <c r="L20" s="53" t="str">
        <f>HSDR!X42</f>
        <v>S</v>
      </c>
    </row>
    <row r="21" spans="2:12" x14ac:dyDescent="0.2">
      <c r="B21" s="52" t="s">
        <v>10</v>
      </c>
      <c r="C21" s="52" t="s">
        <v>22</v>
      </c>
      <c r="D21" s="52">
        <v>2</v>
      </c>
      <c r="E21" s="52">
        <v>3</v>
      </c>
      <c r="F21" s="52">
        <v>4</v>
      </c>
      <c r="G21" s="52">
        <v>5</v>
      </c>
      <c r="H21" s="52">
        <v>6</v>
      </c>
      <c r="I21" s="52">
        <v>7</v>
      </c>
      <c r="J21" s="52">
        <v>8</v>
      </c>
      <c r="K21" s="52">
        <v>9</v>
      </c>
      <c r="L21" s="52">
        <v>10</v>
      </c>
    </row>
    <row r="22" spans="2:12" x14ac:dyDescent="0.2">
      <c r="B22" s="52" t="s">
        <v>22</v>
      </c>
      <c r="C22" s="53" t="str">
        <f>Pair!O2</f>
        <v>P</v>
      </c>
      <c r="D22" s="53" t="str">
        <f>Pair!P2</f>
        <v>P</v>
      </c>
      <c r="E22" s="53" t="str">
        <f>Pair!Q2</f>
        <v>P</v>
      </c>
      <c r="F22" s="53" t="str">
        <f>Pair!R2</f>
        <v>P</v>
      </c>
      <c r="G22" s="53" t="str">
        <f>Pair!S2</f>
        <v>P</v>
      </c>
      <c r="H22" s="53" t="str">
        <f>Pair!T2</f>
        <v>P</v>
      </c>
      <c r="I22" s="53" t="str">
        <f>Pair!U2</f>
        <v>P</v>
      </c>
      <c r="J22" s="53" t="str">
        <f>Pair!V2</f>
        <v>P</v>
      </c>
      <c r="K22" s="53" t="str">
        <f>Pair!W2</f>
        <v>P</v>
      </c>
      <c r="L22" s="53" t="str">
        <f>Pair!X2</f>
        <v>P</v>
      </c>
    </row>
    <row r="23" spans="2:12" x14ac:dyDescent="0.2">
      <c r="B23" s="52">
        <v>2</v>
      </c>
      <c r="C23" s="53" t="str">
        <f>Pair!O3</f>
        <v>H</v>
      </c>
      <c r="D23" s="53" t="str">
        <f>Pair!P3</f>
        <v>P</v>
      </c>
      <c r="E23" s="53" t="str">
        <f>Pair!Q3</f>
        <v>P</v>
      </c>
      <c r="F23" s="53" t="str">
        <f>Pair!R3</f>
        <v>P</v>
      </c>
      <c r="G23" s="53" t="str">
        <f>Pair!S3</f>
        <v>P</v>
      </c>
      <c r="H23" s="53" t="str">
        <f>Pair!T3</f>
        <v>P</v>
      </c>
      <c r="I23" s="53" t="str">
        <f>Pair!U3</f>
        <v>P</v>
      </c>
      <c r="J23" s="53" t="str">
        <f>Pair!V3</f>
        <v>H</v>
      </c>
      <c r="K23" s="53" t="str">
        <f>Pair!W3</f>
        <v>H</v>
      </c>
      <c r="L23" s="53" t="str">
        <f>Pair!X3</f>
        <v>H</v>
      </c>
    </row>
    <row r="24" spans="2:12" x14ac:dyDescent="0.2">
      <c r="B24" s="52">
        <v>3</v>
      </c>
      <c r="C24" s="53" t="str">
        <f>Pair!O4</f>
        <v>H</v>
      </c>
      <c r="D24" s="53" t="str">
        <f>Pair!P4</f>
        <v>P</v>
      </c>
      <c r="E24" s="53" t="str">
        <f>Pair!Q4</f>
        <v>P</v>
      </c>
      <c r="F24" s="53" t="str">
        <f>Pair!R4</f>
        <v>P</v>
      </c>
      <c r="G24" s="53" t="str">
        <f>Pair!S4</f>
        <v>P</v>
      </c>
      <c r="H24" s="53" t="str">
        <f>Pair!T4</f>
        <v>P</v>
      </c>
      <c r="I24" s="53" t="str">
        <f>Pair!U4</f>
        <v>P</v>
      </c>
      <c r="J24" s="53" t="str">
        <f>Pair!V4</f>
        <v>H</v>
      </c>
      <c r="K24" s="53" t="str">
        <f>Pair!W4</f>
        <v>H</v>
      </c>
      <c r="L24" s="53" t="str">
        <f>Pair!X4</f>
        <v>H</v>
      </c>
    </row>
    <row r="25" spans="2:12" x14ac:dyDescent="0.2">
      <c r="B25" s="52">
        <v>4</v>
      </c>
      <c r="C25" s="53" t="str">
        <f>Pair!O5</f>
        <v>H</v>
      </c>
      <c r="D25" s="53" t="str">
        <f>Pair!P5</f>
        <v>H</v>
      </c>
      <c r="E25" s="53" t="str">
        <f>Pair!Q5</f>
        <v>H</v>
      </c>
      <c r="F25" s="53" t="str">
        <f>Pair!R5</f>
        <v>H</v>
      </c>
      <c r="G25" s="53" t="str">
        <f>Pair!S5</f>
        <v>P</v>
      </c>
      <c r="H25" s="53" t="str">
        <f>Pair!T5</f>
        <v>P</v>
      </c>
      <c r="I25" s="53" t="str">
        <f>Pair!U5</f>
        <v>H</v>
      </c>
      <c r="J25" s="53" t="str">
        <f>Pair!V5</f>
        <v>H</v>
      </c>
      <c r="K25" s="53" t="str">
        <f>Pair!W5</f>
        <v>H</v>
      </c>
      <c r="L25" s="53" t="str">
        <f>Pair!X5</f>
        <v>H</v>
      </c>
    </row>
    <row r="26" spans="2:12" x14ac:dyDescent="0.2">
      <c r="B26" s="52">
        <v>5</v>
      </c>
      <c r="C26" s="53" t="str">
        <f>Pair!O6</f>
        <v>H</v>
      </c>
      <c r="D26" s="53" t="str">
        <f>Pair!P6</f>
        <v>D</v>
      </c>
      <c r="E26" s="53" t="str">
        <f>Pair!Q6</f>
        <v>D</v>
      </c>
      <c r="F26" s="53" t="str">
        <f>Pair!R6</f>
        <v>D</v>
      </c>
      <c r="G26" s="53" t="str">
        <f>Pair!S6</f>
        <v>D</v>
      </c>
      <c r="H26" s="53" t="str">
        <f>Pair!T6</f>
        <v>D</v>
      </c>
      <c r="I26" s="53" t="str">
        <f>Pair!U6</f>
        <v>D</v>
      </c>
      <c r="J26" s="53" t="str">
        <f>Pair!V6</f>
        <v>D</v>
      </c>
      <c r="K26" s="53" t="str">
        <f>Pair!W6</f>
        <v>D</v>
      </c>
      <c r="L26" s="53" t="str">
        <f>Pair!X6</f>
        <v>H</v>
      </c>
    </row>
    <row r="27" spans="2:12" x14ac:dyDescent="0.2">
      <c r="B27" s="52">
        <v>6</v>
      </c>
      <c r="C27" s="53" t="str">
        <f>Pair!O7</f>
        <v>H</v>
      </c>
      <c r="D27" s="53" t="str">
        <f>Pair!P7</f>
        <v>H</v>
      </c>
      <c r="E27" s="53" t="str">
        <f>Pair!Q7</f>
        <v>P</v>
      </c>
      <c r="F27" s="53" t="str">
        <f>Pair!R7</f>
        <v>P</v>
      </c>
      <c r="G27" s="53" t="str">
        <f>Pair!S7</f>
        <v>P</v>
      </c>
      <c r="H27" s="53" t="str">
        <f>Pair!T7</f>
        <v>P</v>
      </c>
      <c r="I27" s="53" t="str">
        <f>Pair!U7</f>
        <v>H</v>
      </c>
      <c r="J27" s="53" t="str">
        <f>Pair!V7</f>
        <v>H</v>
      </c>
      <c r="K27" s="53" t="str">
        <f>Pair!W7</f>
        <v>H</v>
      </c>
      <c r="L27" s="53" t="str">
        <f>Pair!X7</f>
        <v>H</v>
      </c>
    </row>
    <row r="28" spans="2:12" x14ac:dyDescent="0.2">
      <c r="B28" s="52">
        <v>7</v>
      </c>
      <c r="C28" s="53" t="str">
        <f>Pair!O8</f>
        <v>H</v>
      </c>
      <c r="D28" s="53" t="str">
        <f>Pair!P8</f>
        <v>P</v>
      </c>
      <c r="E28" s="53" t="str">
        <f>Pair!Q8</f>
        <v>P</v>
      </c>
      <c r="F28" s="53" t="str">
        <f>Pair!R8</f>
        <v>P</v>
      </c>
      <c r="G28" s="53" t="str">
        <f>Pair!S8</f>
        <v>P</v>
      </c>
      <c r="H28" s="53" t="str">
        <f>Pair!T8</f>
        <v>P</v>
      </c>
      <c r="I28" s="53" t="str">
        <f>Pair!U8</f>
        <v>P</v>
      </c>
      <c r="J28" s="53" t="str">
        <f>Pair!V8</f>
        <v>H</v>
      </c>
      <c r="K28" s="53" t="str">
        <f>Pair!W8</f>
        <v>H</v>
      </c>
      <c r="L28" s="53" t="str">
        <f>Pair!X8</f>
        <v>H</v>
      </c>
    </row>
    <row r="29" spans="2:12" x14ac:dyDescent="0.2">
      <c r="B29" s="52">
        <v>8</v>
      </c>
      <c r="C29" s="53" t="str">
        <f>Pair!O9</f>
        <v>P</v>
      </c>
      <c r="D29" s="53" t="str">
        <f>Pair!P9</f>
        <v>P</v>
      </c>
      <c r="E29" s="53" t="str">
        <f>Pair!Q9</f>
        <v>P</v>
      </c>
      <c r="F29" s="53" t="str">
        <f>Pair!R9</f>
        <v>P</v>
      </c>
      <c r="G29" s="53" t="str">
        <f>Pair!S9</f>
        <v>P</v>
      </c>
      <c r="H29" s="53" t="str">
        <f>Pair!T9</f>
        <v>P</v>
      </c>
      <c r="I29" s="53" t="str">
        <f>Pair!U9</f>
        <v>P</v>
      </c>
      <c r="J29" s="53" t="str">
        <f>Pair!V9</f>
        <v>P</v>
      </c>
      <c r="K29" s="53" t="str">
        <f>Pair!W9</f>
        <v>R</v>
      </c>
      <c r="L29" s="53" t="str">
        <f>Pair!X9</f>
        <v>R</v>
      </c>
    </row>
    <row r="30" spans="2:12" x14ac:dyDescent="0.2">
      <c r="B30" s="52">
        <v>9</v>
      </c>
      <c r="C30" s="53" t="str">
        <f>Pair!O10</f>
        <v>S</v>
      </c>
      <c r="D30" s="53" t="str">
        <f>Pair!P10</f>
        <v>P</v>
      </c>
      <c r="E30" s="53" t="str">
        <f>Pair!Q10</f>
        <v>P</v>
      </c>
      <c r="F30" s="53" t="str">
        <f>Pair!R10</f>
        <v>P</v>
      </c>
      <c r="G30" s="53" t="str">
        <f>Pair!S10</f>
        <v>P</v>
      </c>
      <c r="H30" s="53" t="str">
        <f>Pair!T10</f>
        <v>P</v>
      </c>
      <c r="I30" s="53" t="str">
        <f>Pair!U10</f>
        <v>S</v>
      </c>
      <c r="J30" s="53" t="str">
        <f>Pair!V10</f>
        <v>P</v>
      </c>
      <c r="K30" s="53" t="str">
        <f>Pair!W10</f>
        <v>P</v>
      </c>
      <c r="L30" s="53" t="str">
        <f>Pair!X10</f>
        <v>S</v>
      </c>
    </row>
    <row r="31" spans="2:12" x14ac:dyDescent="0.2">
      <c r="B31" s="52">
        <v>10</v>
      </c>
      <c r="C31" s="53" t="str">
        <f>Pair!O11</f>
        <v>S</v>
      </c>
      <c r="D31" s="53" t="str">
        <f>Pair!P11</f>
        <v>S</v>
      </c>
      <c r="E31" s="53" t="str">
        <f>Pair!Q11</f>
        <v>S</v>
      </c>
      <c r="F31" s="53" t="str">
        <f>Pair!R11</f>
        <v>S</v>
      </c>
      <c r="G31" s="53" t="str">
        <f>Pair!S11</f>
        <v>S</v>
      </c>
      <c r="H31" s="53" t="str">
        <f>Pair!T11</f>
        <v>P</v>
      </c>
      <c r="I31" s="53" t="str">
        <f>Pair!U11</f>
        <v>S</v>
      </c>
      <c r="J31" s="53" t="str">
        <f>Pair!V11</f>
        <v>S</v>
      </c>
      <c r="K31" s="53" t="str">
        <f>Pair!W11</f>
        <v>S</v>
      </c>
      <c r="L31" s="53" t="str">
        <f>Pair!X11</f>
        <v>S</v>
      </c>
    </row>
    <row r="32" spans="2:12" x14ac:dyDescent="0.2">
      <c r="B32" s="389" t="str">
        <f>"EV = " &amp; EV!$C$47</f>
        <v>EV = -0.00531417925590545</v>
      </c>
      <c r="C32" s="389"/>
      <c r="D32" s="389"/>
      <c r="E32" s="389"/>
      <c r="F32" s="389"/>
      <c r="G32" s="389"/>
      <c r="H32" s="389"/>
      <c r="I32" s="389"/>
      <c r="J32" s="389"/>
      <c r="K32" s="389"/>
      <c r="L32" s="389"/>
    </row>
    <row r="33" spans="2:12" x14ac:dyDescent="0.2">
      <c r="B33" s="389" t="str">
        <f>"EV = " &amp; EV!C47*100 &amp; " %"</f>
        <v>EV = -0.531417925590545 %</v>
      </c>
      <c r="C33" s="389"/>
      <c r="D33" s="389"/>
      <c r="E33" s="389"/>
      <c r="F33" s="389"/>
      <c r="G33" s="389"/>
      <c r="H33" s="389"/>
      <c r="I33" s="389"/>
      <c r="J33" s="389"/>
      <c r="K33" s="389"/>
      <c r="L33" s="389"/>
    </row>
    <row r="34" spans="2:12" x14ac:dyDescent="0.2">
      <c r="B34" s="390" t="s">
        <v>24</v>
      </c>
      <c r="C34" s="390"/>
      <c r="D34" s="390"/>
      <c r="E34" s="390"/>
      <c r="F34" s="390"/>
      <c r="G34" s="390"/>
      <c r="H34" s="390"/>
      <c r="I34" s="390"/>
      <c r="J34" s="390"/>
      <c r="K34" s="390"/>
      <c r="L34" s="390"/>
    </row>
    <row r="35" spans="2:12" x14ac:dyDescent="0.2">
      <c r="B35" s="391" t="s">
        <v>25</v>
      </c>
      <c r="C35" s="391"/>
      <c r="D35" s="391"/>
      <c r="E35" s="391"/>
      <c r="F35" s="391"/>
      <c r="G35" s="391"/>
      <c r="H35" s="391"/>
      <c r="I35" s="391"/>
      <c r="J35" s="391"/>
      <c r="K35" s="391"/>
      <c r="L35" s="391"/>
    </row>
    <row r="36" spans="2:12" x14ac:dyDescent="0.2">
      <c r="B36" s="383" t="s">
        <v>26</v>
      </c>
      <c r="C36" s="383"/>
      <c r="D36" s="383"/>
      <c r="E36" s="383"/>
      <c r="F36" s="383"/>
      <c r="G36" s="383"/>
      <c r="H36" s="383"/>
      <c r="I36" s="383"/>
      <c r="J36" s="383"/>
      <c r="K36" s="383"/>
      <c r="L36" s="383"/>
    </row>
    <row r="37" spans="2:12" x14ac:dyDescent="0.2">
      <c r="B37" s="384" t="s">
        <v>27</v>
      </c>
      <c r="C37" s="384"/>
      <c r="D37" s="384"/>
      <c r="E37" s="384"/>
      <c r="F37" s="384"/>
      <c r="G37" s="384"/>
      <c r="H37" s="384"/>
      <c r="I37" s="384"/>
      <c r="J37" s="384"/>
      <c r="K37" s="384"/>
      <c r="L37" s="384"/>
    </row>
    <row r="38" spans="2:12" x14ac:dyDescent="0.2">
      <c r="B38" s="382" t="s">
        <v>28</v>
      </c>
      <c r="C38" s="382"/>
      <c r="D38" s="382"/>
      <c r="E38" s="382"/>
      <c r="F38" s="382"/>
      <c r="G38" s="382"/>
      <c r="H38" s="382"/>
      <c r="I38" s="382"/>
      <c r="J38" s="382"/>
      <c r="K38" s="382"/>
      <c r="L38" s="382"/>
    </row>
  </sheetData>
  <sheetProtection sheet="1" objects="1" scenarios="1"/>
  <mergeCells count="8">
    <mergeCell ref="B37:L37"/>
    <mergeCell ref="B38:L38"/>
    <mergeCell ref="B1:L1"/>
    <mergeCell ref="B32:L32"/>
    <mergeCell ref="B34:L34"/>
    <mergeCell ref="B35:L35"/>
    <mergeCell ref="B36:L36"/>
    <mergeCell ref="B33:L33"/>
  </mergeCells>
  <phoneticPr fontId="14" type="noConversion"/>
  <conditionalFormatting sqref="C3:L12 C22:L31 C14:L20">
    <cfRule type="containsText" dxfId="31" priority="4" operator="containsText" text="S">
      <formula>NOT(ISERROR(SEARCH("S",C3)))</formula>
    </cfRule>
    <cfRule type="containsText" dxfId="30" priority="5" operator="containsText" text="H">
      <formula>NOT(ISERROR(SEARCH("H",C3)))</formula>
    </cfRule>
  </conditionalFormatting>
  <conditionalFormatting sqref="C3:L12 C22:L31 C14:L20">
    <cfRule type="containsText" dxfId="29" priority="3" operator="containsText" text="D">
      <formula>NOT(ISERROR(SEARCH("D",C3)))</formula>
    </cfRule>
  </conditionalFormatting>
  <conditionalFormatting sqref="C3:L12 C22:L31 C14:L20">
    <cfRule type="containsText" dxfId="28" priority="2" operator="containsText" text="R">
      <formula>NOT(ISERROR(SEARCH("R",C3)))</formula>
    </cfRule>
  </conditionalFormatting>
  <conditionalFormatting sqref="C3:L12 C22:L31 C14:L20">
    <cfRule type="containsText" dxfId="27" priority="1" operator="containsText" text="P">
      <formula>NOT(ISERROR(SEARCH("P",C3)))</formula>
    </cfRule>
  </conditionalFormatting>
  <pageMargins left="0.25" right="0.25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selection activeCell="D2" sqref="D2"/>
    </sheetView>
  </sheetViews>
  <sheetFormatPr baseColWidth="10" defaultColWidth="8.83203125" defaultRowHeight="15" x14ac:dyDescent="0.2"/>
  <cols>
    <col min="1" max="2" width="8.83203125" style="33"/>
    <col min="3" max="3" width="8.83203125" style="33" customWidth="1"/>
    <col min="4" max="15" width="8.83203125" style="33"/>
    <col min="16" max="16" width="9.6640625" style="33" bestFit="1" customWidth="1"/>
    <col min="17" max="17" width="8.6640625" style="33" bestFit="1" customWidth="1"/>
    <col min="18" max="16384" width="8.83203125" style="33"/>
  </cols>
  <sheetData>
    <row r="1" spans="1:18" x14ac:dyDescent="0.2">
      <c r="A1" s="43" t="s">
        <v>9</v>
      </c>
      <c r="B1" s="44" t="s">
        <v>1</v>
      </c>
      <c r="C1" s="44">
        <v>2</v>
      </c>
      <c r="D1" s="44">
        <v>3</v>
      </c>
      <c r="E1" s="44">
        <v>4</v>
      </c>
      <c r="F1" s="44">
        <v>5</v>
      </c>
      <c r="G1" s="44">
        <v>6</v>
      </c>
      <c r="H1" s="44">
        <v>7</v>
      </c>
      <c r="I1" s="44">
        <v>8</v>
      </c>
      <c r="J1" s="44">
        <v>9</v>
      </c>
      <c r="K1" s="45">
        <v>10</v>
      </c>
    </row>
    <row r="2" spans="1:18" ht="16" thickBot="1" x14ac:dyDescent="0.25">
      <c r="A2" s="46">
        <v>5</v>
      </c>
      <c r="B2" s="34">
        <f>IF(EV!B2&lt;0,-Prob!B2,Prob!B2)</f>
        <v>-6.3023003396239633E-4</v>
      </c>
      <c r="C2" s="34">
        <f>IF(EV!C2&lt;0,-Prob!C2,Prob!C2)</f>
        <v>-9.1033227127901696E-4</v>
      </c>
      <c r="D2" s="34">
        <f>IF(EV!D2&lt;0,-Prob!D2,Prob!D2)</f>
        <v>-9.1033227127901696E-4</v>
      </c>
      <c r="E2" s="34">
        <f>IF(EV!E2&lt;0,-Prob!E2,Prob!E2)</f>
        <v>-9.1033227127901696E-4</v>
      </c>
      <c r="F2" s="34">
        <f>IF(EV!F2&lt;0,-Prob!F2,Prob!F2)</f>
        <v>-9.1033227127901696E-4</v>
      </c>
      <c r="G2" s="34">
        <f>IF(EV!G2&lt;0,-Prob!G2,Prob!G2)</f>
        <v>-9.1033227127901696E-4</v>
      </c>
      <c r="H2" s="34">
        <f>IF(EV!H2&lt;0,-Prob!H2,Prob!H2)</f>
        <v>-9.1033227127901696E-4</v>
      </c>
      <c r="I2" s="34">
        <f>IF(EV!I2&lt;0,-Prob!I2,Prob!I2)</f>
        <v>-9.1033227127901696E-4</v>
      </c>
      <c r="J2" s="34">
        <f>IF(EV!J2&lt;0,-Prob!J2,Prob!J2)</f>
        <v>-9.1033227127901696E-4</v>
      </c>
      <c r="K2" s="34">
        <f>IF(EV!K2&lt;0,-Prob!K2,Prob!K2)</f>
        <v>-3.3612268477994475E-3</v>
      </c>
    </row>
    <row r="3" spans="1:18" ht="16" customHeight="1" thickBot="1" x14ac:dyDescent="0.25">
      <c r="A3" s="46">
        <v>6</v>
      </c>
      <c r="B3" s="34">
        <f>IF(EV!B3&lt;0,-Prob!B3,Prob!B3)</f>
        <v>-6.3023003396239633E-4</v>
      </c>
      <c r="C3" s="34">
        <f>IF(EV!C3&lt;0,-Prob!C3,Prob!C3)</f>
        <v>-9.1033227127901696E-4</v>
      </c>
      <c r="D3" s="34">
        <f>IF(EV!D3&lt;0,-Prob!D3,Prob!D3)</f>
        <v>-9.1033227127901696E-4</v>
      </c>
      <c r="E3" s="34">
        <f>IF(EV!E3&lt;0,-Prob!E3,Prob!E3)</f>
        <v>-9.1033227127901696E-4</v>
      </c>
      <c r="F3" s="34">
        <f>IF(EV!F3&lt;0,-Prob!F3,Prob!F3)</f>
        <v>-9.1033227127901696E-4</v>
      </c>
      <c r="G3" s="34">
        <f>IF(EV!G3&lt;0,-Prob!G3,Prob!G3)</f>
        <v>-9.1033227127901696E-4</v>
      </c>
      <c r="H3" s="34">
        <f>IF(EV!H3&lt;0,-Prob!H3,Prob!H3)</f>
        <v>-9.1033227127901696E-4</v>
      </c>
      <c r="I3" s="34">
        <f>IF(EV!I3&lt;0,-Prob!I3,Prob!I3)</f>
        <v>-9.1033227127901696E-4</v>
      </c>
      <c r="J3" s="34">
        <f>IF(EV!J3&lt;0,-Prob!J3,Prob!J3)</f>
        <v>-9.1033227127901696E-4</v>
      </c>
      <c r="K3" s="34">
        <f>IF(EV!K3&lt;0,-Prob!K3,Prob!K3)</f>
        <v>-3.3612268477994475E-3</v>
      </c>
      <c r="M3" s="419"/>
      <c r="N3" s="420"/>
      <c r="O3" s="82" t="s">
        <v>8</v>
      </c>
      <c r="P3" s="83" t="s">
        <v>37</v>
      </c>
      <c r="Q3" s="83" t="s">
        <v>36</v>
      </c>
      <c r="R3" s="84" t="s">
        <v>38</v>
      </c>
    </row>
    <row r="4" spans="1:18" x14ac:dyDescent="0.2">
      <c r="A4" s="46">
        <v>7</v>
      </c>
      <c r="B4" s="34">
        <f>IF(EV!B4&lt;0,-Prob!B4,Prob!B4)</f>
        <v>-1.2604600679247927E-3</v>
      </c>
      <c r="C4" s="34">
        <f>IF(EV!C4&lt;0,-Prob!C4,Prob!C4)</f>
        <v>-1.8206645425580339E-3</v>
      </c>
      <c r="D4" s="34">
        <f>IF(EV!D4&lt;0,-Prob!D4,Prob!D4)</f>
        <v>-1.8206645425580339E-3</v>
      </c>
      <c r="E4" s="34">
        <f>IF(EV!E4&lt;0,-Prob!E4,Prob!E4)</f>
        <v>-1.8206645425580339E-3</v>
      </c>
      <c r="F4" s="34">
        <f>IF(EV!F4&lt;0,-Prob!F4,Prob!F4)</f>
        <v>-1.8206645425580339E-3</v>
      </c>
      <c r="G4" s="34">
        <f>IF(EV!G4&lt;0,-Prob!G4,Prob!G4)</f>
        <v>1.8206645425580339E-3</v>
      </c>
      <c r="H4" s="34">
        <f>IF(EV!H4&lt;0,-Prob!H4,Prob!H4)</f>
        <v>-1.8206645425580339E-3</v>
      </c>
      <c r="I4" s="34">
        <f>IF(EV!I4&lt;0,-Prob!I4,Prob!I4)</f>
        <v>-1.8206645425580339E-3</v>
      </c>
      <c r="J4" s="34">
        <f>IF(EV!J4&lt;0,-Prob!J4,Prob!J4)</f>
        <v>-1.8206645425580339E-3</v>
      </c>
      <c r="K4" s="34">
        <f>IF(EV!K4&lt;0,-Prob!K4,Prob!K4)</f>
        <v>-6.7224536955988951E-3</v>
      </c>
      <c r="M4" s="421" t="s">
        <v>35</v>
      </c>
      <c r="N4" s="422"/>
      <c r="O4" s="78">
        <f>-(SUMIF(B2:K16,"&lt;0")+SUMIF(B18:K26,"&lt;0")+SUMIF(B28:K37,"&lt;0")+C46)</f>
        <v>0.60218479745106923</v>
      </c>
      <c r="P4" s="80">
        <f>O4</f>
        <v>0.60218479745106923</v>
      </c>
      <c r="Q4" s="81">
        <f>O4</f>
        <v>0.60218479745106923</v>
      </c>
      <c r="R4" s="79">
        <f>ROUND(Q4*10,0)</f>
        <v>6</v>
      </c>
    </row>
    <row r="5" spans="1:18" ht="16" thickBot="1" x14ac:dyDescent="0.25">
      <c r="A5" s="46">
        <v>8</v>
      </c>
      <c r="B5" s="34">
        <f>IF(EV!B5&lt;0,-Prob!B5,Prob!B5)</f>
        <v>-1.2604600679247927E-3</v>
      </c>
      <c r="C5" s="34">
        <f>IF(EV!C5&lt;0,-Prob!C5,Prob!C5)</f>
        <v>-1.8206645425580339E-3</v>
      </c>
      <c r="D5" s="34">
        <f>IF(EV!D5&lt;0,-Prob!D5,Prob!D5)</f>
        <v>1.8206645425580339E-3</v>
      </c>
      <c r="E5" s="34">
        <f>IF(EV!E5&lt;0,-Prob!E5,Prob!E5)</f>
        <v>1.8206645425580339E-3</v>
      </c>
      <c r="F5" s="34">
        <f>IF(EV!F5&lt;0,-Prob!F5,Prob!F5)</f>
        <v>1.8206645425580339E-3</v>
      </c>
      <c r="G5" s="34">
        <f>IF(EV!G5&lt;0,-Prob!G5,Prob!G5)</f>
        <v>1.8206645425580339E-3</v>
      </c>
      <c r="H5" s="34">
        <f>IF(EV!H5&lt;0,-Prob!H5,Prob!H5)</f>
        <v>1.8206645425580339E-3</v>
      </c>
      <c r="I5" s="34">
        <f>IF(EV!I5&lt;0,-Prob!I5,Prob!I5)</f>
        <v>-1.8206645425580339E-3</v>
      </c>
      <c r="J5" s="34">
        <f>IF(EV!J5&lt;0,-Prob!J5,Prob!J5)</f>
        <v>-1.8206645425580339E-3</v>
      </c>
      <c r="K5" s="34">
        <f>IF(EV!K5&lt;0,-Prob!K5,Prob!K5)</f>
        <v>-6.7224536955988951E-3</v>
      </c>
      <c r="M5" s="423" t="s">
        <v>34</v>
      </c>
      <c r="N5" s="424"/>
      <c r="O5" s="85">
        <f>SUMIF(B2:K16,"&gt;0")+SUMIF(B18:K26,"&gt;0")+SUMIF(B28:K37,"&gt;0")</f>
        <v>0.3978152025489306</v>
      </c>
      <c r="P5" s="86">
        <f>O5</f>
        <v>0.3978152025489306</v>
      </c>
      <c r="Q5" s="87">
        <f>O5</f>
        <v>0.3978152025489306</v>
      </c>
      <c r="R5" s="88">
        <f>ROUND(Q5*10,0)</f>
        <v>4</v>
      </c>
    </row>
    <row r="6" spans="1:18" ht="16" thickBot="1" x14ac:dyDescent="0.25">
      <c r="A6" s="46">
        <v>9</v>
      </c>
      <c r="B6" s="34">
        <f>IF(EV!B6&lt;0,-Prob!B6,Prob!B6)</f>
        <v>-1.890690101887189E-3</v>
      </c>
      <c r="C6" s="34">
        <f>IF(EV!C6&lt;0,-Prob!C6,Prob!C6)</f>
        <v>2.730996813837051E-3</v>
      </c>
      <c r="D6" s="34">
        <f>IF(EV!D6&lt;0,-Prob!D6,Prob!D6)</f>
        <v>2.730996813837051E-3</v>
      </c>
      <c r="E6" s="34">
        <f>IF(EV!E6&lt;0,-Prob!E6,Prob!E6)</f>
        <v>2.730996813837051E-3</v>
      </c>
      <c r="F6" s="34">
        <f>IF(EV!F6&lt;0,-Prob!F6,Prob!F6)</f>
        <v>2.730996813837051E-3</v>
      </c>
      <c r="G6" s="34">
        <f>IF(EV!G6&lt;0,-Prob!G6,Prob!G6)</f>
        <v>2.730996813837051E-3</v>
      </c>
      <c r="H6" s="34">
        <f>IF(EV!H6&lt;0,-Prob!H6,Prob!H6)</f>
        <v>2.730996813837051E-3</v>
      </c>
      <c r="I6" s="34">
        <f>IF(EV!I6&lt;0,-Prob!I6,Prob!I6)</f>
        <v>2.730996813837051E-3</v>
      </c>
      <c r="J6" s="34">
        <f>IF(EV!J6&lt;0,-Prob!J6,Prob!J6)</f>
        <v>-2.730996813837051E-3</v>
      </c>
      <c r="K6" s="34">
        <f>IF(EV!K6&lt;0,-Prob!K6,Prob!K6)</f>
        <v>-1.0083680543398343E-2</v>
      </c>
      <c r="M6" s="425" t="s">
        <v>2</v>
      </c>
      <c r="N6" s="426"/>
      <c r="O6" s="93">
        <f>SUM(O4:O5)</f>
        <v>0.99999999999999978</v>
      </c>
      <c r="P6" s="94">
        <f>O6</f>
        <v>0.99999999999999978</v>
      </c>
      <c r="Q6" s="95">
        <f>O6</f>
        <v>0.99999999999999978</v>
      </c>
      <c r="R6" s="96">
        <f>ROUND(Q6*10,0)</f>
        <v>10</v>
      </c>
    </row>
    <row r="7" spans="1:18" ht="16" thickBot="1" x14ac:dyDescent="0.25">
      <c r="A7" s="46">
        <v>10</v>
      </c>
      <c r="B7" s="34">
        <f>IF(EV!B7&lt;0,-Prob!B7,Prob!B7)</f>
        <v>1.890690101887189E-3</v>
      </c>
      <c r="C7" s="34">
        <f>IF(EV!C7&lt;0,-Prob!C7,Prob!C7)</f>
        <v>2.730996813837051E-3</v>
      </c>
      <c r="D7" s="34">
        <f>IF(EV!D7&lt;0,-Prob!D7,Prob!D7)</f>
        <v>2.730996813837051E-3</v>
      </c>
      <c r="E7" s="34">
        <f>IF(EV!E7&lt;0,-Prob!E7,Prob!E7)</f>
        <v>2.730996813837051E-3</v>
      </c>
      <c r="F7" s="34">
        <f>IF(EV!F7&lt;0,-Prob!F7,Prob!F7)</f>
        <v>2.730996813837051E-3</v>
      </c>
      <c r="G7" s="34">
        <f>IF(EV!G7&lt;0,-Prob!G7,Prob!G7)</f>
        <v>2.730996813837051E-3</v>
      </c>
      <c r="H7" s="34">
        <f>IF(EV!H7&lt;0,-Prob!H7,Prob!H7)</f>
        <v>2.730996813837051E-3</v>
      </c>
      <c r="I7" s="34">
        <f>IF(EV!I7&lt;0,-Prob!I7,Prob!I7)</f>
        <v>2.730996813837051E-3</v>
      </c>
      <c r="J7" s="34">
        <f>IF(EV!J7&lt;0,-Prob!J7,Prob!J7)</f>
        <v>2.730996813837051E-3</v>
      </c>
      <c r="K7" s="34">
        <f>IF(EV!K7&lt;0,-Prob!K7,Prob!K7)</f>
        <v>1.0083680543398343E-2</v>
      </c>
      <c r="M7" s="427" t="s">
        <v>39</v>
      </c>
      <c r="N7" s="428"/>
      <c r="O7" s="89">
        <f>O5-O4</f>
        <v>-0.20436959490213863</v>
      </c>
      <c r="P7" s="90">
        <f>P5-P4</f>
        <v>-0.20436959490213863</v>
      </c>
      <c r="Q7" s="91"/>
      <c r="R7" s="92"/>
    </row>
    <row r="8" spans="1:18" x14ac:dyDescent="0.2">
      <c r="A8" s="46">
        <v>11</v>
      </c>
      <c r="B8" s="34">
        <f>IF(EV!B8&lt;0,-Prob!B8,Prob!B8)</f>
        <v>2.5209201358495858E-3</v>
      </c>
      <c r="C8" s="34">
        <f>IF(EV!C8&lt;0,-Prob!C8,Prob!C8)</f>
        <v>3.6413290851160683E-3</v>
      </c>
      <c r="D8" s="34">
        <f>IF(EV!D8&lt;0,-Prob!D8,Prob!D8)</f>
        <v>3.6413290851160683E-3</v>
      </c>
      <c r="E8" s="34">
        <f>IF(EV!E8&lt;0,-Prob!E8,Prob!E8)</f>
        <v>3.6413290851160683E-3</v>
      </c>
      <c r="F8" s="34">
        <f>IF(EV!F8&lt;0,-Prob!F8,Prob!F8)</f>
        <v>3.6413290851160683E-3</v>
      </c>
      <c r="G8" s="34">
        <f>IF(EV!G8&lt;0,-Prob!G8,Prob!G8)</f>
        <v>3.6413290851160683E-3</v>
      </c>
      <c r="H8" s="34">
        <f>IF(EV!H8&lt;0,-Prob!H8,Prob!H8)</f>
        <v>3.6413290851160683E-3</v>
      </c>
      <c r="I8" s="34">
        <f>IF(EV!I8&lt;0,-Prob!I8,Prob!I8)</f>
        <v>3.6413290851160683E-3</v>
      </c>
      <c r="J8" s="34">
        <f>IF(EV!J8&lt;0,-Prob!J8,Prob!J8)</f>
        <v>3.6413290851160683E-3</v>
      </c>
      <c r="K8" s="34">
        <f>IF(EV!K8&lt;0,-Prob!K8,Prob!K8)</f>
        <v>1.3444907391197792E-2</v>
      </c>
    </row>
    <row r="9" spans="1:18" x14ac:dyDescent="0.2">
      <c r="A9" s="46">
        <v>12</v>
      </c>
      <c r="B9" s="34">
        <f>IF(EV!B9&lt;0,-Prob!B9,Prob!B9)</f>
        <v>-4.4116102377367745E-3</v>
      </c>
      <c r="C9" s="34">
        <f>IF(EV!C9&lt;0,-Prob!C9,Prob!C9)</f>
        <v>-6.3723258989531193E-3</v>
      </c>
      <c r="D9" s="34">
        <f>IF(EV!D9&lt;0,-Prob!D9,Prob!D9)</f>
        <v>-6.3723258989531193E-3</v>
      </c>
      <c r="E9" s="34">
        <f>IF(EV!E9&lt;0,-Prob!E9,Prob!E9)</f>
        <v>-6.3723258989531193E-3</v>
      </c>
      <c r="F9" s="34">
        <f>IF(EV!F9&lt;0,-Prob!F9,Prob!F9)</f>
        <v>-6.3723258989531193E-3</v>
      </c>
      <c r="G9" s="34">
        <f>IF(EV!G9&lt;0,-Prob!G9,Prob!G9)</f>
        <v>-6.3723258989531193E-3</v>
      </c>
      <c r="H9" s="34">
        <f>IF(EV!H9&lt;0,-Prob!H9,Prob!H9)</f>
        <v>-6.3723258989531193E-3</v>
      </c>
      <c r="I9" s="34">
        <f>IF(EV!I9&lt;0,-Prob!I9,Prob!I9)</f>
        <v>-6.3723258989531193E-3</v>
      </c>
      <c r="J9" s="34">
        <f>IF(EV!J9&lt;0,-Prob!J9,Prob!J9)</f>
        <v>-6.3723258989531193E-3</v>
      </c>
      <c r="K9" s="34">
        <f>IF(EV!K9&lt;0,-Prob!K9,Prob!K9)</f>
        <v>-2.3528587934596133E-2</v>
      </c>
      <c r="M9" s="33" t="s">
        <v>83</v>
      </c>
      <c r="O9" s="33">
        <f>ER!C43</f>
        <v>-36.602557651576262</v>
      </c>
    </row>
    <row r="10" spans="1:18" x14ac:dyDescent="0.2">
      <c r="A10" s="46">
        <v>13</v>
      </c>
      <c r="B10" s="34">
        <f>IF(EV!B10&lt;0,-Prob!B10,Prob!B10)</f>
        <v>-4.4116102377367745E-3</v>
      </c>
      <c r="C10" s="34">
        <f>IF(EV!C10&lt;0,-Prob!C10,Prob!C10)</f>
        <v>-6.3723258989531193E-3</v>
      </c>
      <c r="D10" s="34">
        <f>IF(EV!D10&lt;0,-Prob!D10,Prob!D10)</f>
        <v>-6.3723258989531193E-3</v>
      </c>
      <c r="E10" s="34">
        <f>IF(EV!E10&lt;0,-Prob!E10,Prob!E10)</f>
        <v>-6.3723258989531193E-3</v>
      </c>
      <c r="F10" s="34">
        <f>IF(EV!F10&lt;0,-Prob!F10,Prob!F10)</f>
        <v>-6.3723258989531193E-3</v>
      </c>
      <c r="G10" s="34">
        <f>IF(EV!G10&lt;0,-Prob!G10,Prob!G10)</f>
        <v>-6.3723258989531193E-3</v>
      </c>
      <c r="H10" s="34">
        <f>IF(EV!H10&lt;0,-Prob!H10,Prob!H10)</f>
        <v>-6.3723258989531193E-3</v>
      </c>
      <c r="I10" s="34">
        <f>IF(EV!I10&lt;0,-Prob!I10,Prob!I10)</f>
        <v>-6.3723258989531193E-3</v>
      </c>
      <c r="J10" s="34">
        <f>IF(EV!J10&lt;0,-Prob!J10,Prob!J10)</f>
        <v>-6.3723258989531193E-3</v>
      </c>
      <c r="K10" s="34">
        <f>IF(EV!K10&lt;0,-Prob!K10,Prob!K10)</f>
        <v>-2.3528587934596133E-2</v>
      </c>
      <c r="M10" s="33" t="s">
        <v>84</v>
      </c>
      <c r="O10" s="33">
        <f>ER!C42</f>
        <v>63.260355849610434</v>
      </c>
    </row>
    <row r="11" spans="1:18" x14ac:dyDescent="0.2">
      <c r="A11" s="46">
        <v>14</v>
      </c>
      <c r="B11" s="34">
        <f>IF(EV!B11&lt;0,-Prob!B11,Prob!B11)</f>
        <v>-3.781380203774378E-3</v>
      </c>
      <c r="C11" s="34">
        <f>IF(EV!C11&lt;0,-Prob!C11,Prob!C11)</f>
        <v>-5.461993627674102E-3</v>
      </c>
      <c r="D11" s="34">
        <f>IF(EV!D11&lt;0,-Prob!D11,Prob!D11)</f>
        <v>-5.461993627674102E-3</v>
      </c>
      <c r="E11" s="34">
        <f>IF(EV!E11&lt;0,-Prob!E11,Prob!E11)</f>
        <v>-5.461993627674102E-3</v>
      </c>
      <c r="F11" s="34">
        <f>IF(EV!F11&lt;0,-Prob!F11,Prob!F11)</f>
        <v>-5.461993627674102E-3</v>
      </c>
      <c r="G11" s="34">
        <f>IF(EV!G11&lt;0,-Prob!G11,Prob!G11)</f>
        <v>-5.461993627674102E-3</v>
      </c>
      <c r="H11" s="34">
        <f>IF(EV!H11&lt;0,-Prob!H11,Prob!H11)</f>
        <v>-5.461993627674102E-3</v>
      </c>
      <c r="I11" s="34">
        <f>IF(EV!I11&lt;0,-Prob!I11,Prob!I11)</f>
        <v>-5.461993627674102E-3</v>
      </c>
      <c r="J11" s="34">
        <f>IF(EV!J11&lt;0,-Prob!J11,Prob!J11)</f>
        <v>-5.461993627674102E-3</v>
      </c>
      <c r="K11" s="34">
        <f>IF(EV!K11&lt;0,-Prob!K11,Prob!K11)</f>
        <v>-2.0167361086796686E-2</v>
      </c>
    </row>
    <row r="12" spans="1:18" x14ac:dyDescent="0.2">
      <c r="A12" s="46">
        <v>15</v>
      </c>
      <c r="B12" s="34">
        <f>IF(EV!B12&lt;0,-Prob!B12,Prob!B12)</f>
        <v>-3.781380203774378E-3</v>
      </c>
      <c r="C12" s="34">
        <f>IF(EV!C12&lt;0,-Prob!C12,Prob!C12)</f>
        <v>-5.461993627674102E-3</v>
      </c>
      <c r="D12" s="34">
        <f>IF(EV!D12&lt;0,-Prob!D12,Prob!D12)</f>
        <v>-5.461993627674102E-3</v>
      </c>
      <c r="E12" s="34">
        <f>IF(EV!E12&lt;0,-Prob!E12,Prob!E12)</f>
        <v>-5.461993627674102E-3</v>
      </c>
      <c r="F12" s="34">
        <f>IF(EV!F12&lt;0,-Prob!F12,Prob!F12)</f>
        <v>-5.461993627674102E-3</v>
      </c>
      <c r="G12" s="34">
        <f>IF(EV!G12&lt;0,-Prob!G12,Prob!G12)</f>
        <v>-5.461993627674102E-3</v>
      </c>
      <c r="H12" s="34">
        <f>IF(EV!H12&lt;0,-Prob!H12,Prob!H12)</f>
        <v>-5.461993627674102E-3</v>
      </c>
      <c r="I12" s="34">
        <f>IF(EV!I12&lt;0,-Prob!I12,Prob!I12)</f>
        <v>-5.461993627674102E-3</v>
      </c>
      <c r="J12" s="34">
        <f>IF(EV!J12&lt;0,-Prob!J12,Prob!J12)</f>
        <v>-5.461993627674102E-3</v>
      </c>
      <c r="K12" s="34">
        <f>IF(EV!K12&lt;0,-Prob!K12,Prob!K12)</f>
        <v>-2.0167361086796686E-2</v>
      </c>
    </row>
    <row r="13" spans="1:18" x14ac:dyDescent="0.2">
      <c r="A13" s="46">
        <v>16</v>
      </c>
      <c r="B13" s="34">
        <f>IF(EV!B13&lt;0,-Prob!B13,Prob!B13)</f>
        <v>-3.1511501698119814E-3</v>
      </c>
      <c r="C13" s="34">
        <f>IF(EV!C13&lt;0,-Prob!C13,Prob!C13)</f>
        <v>-4.5516613563950847E-3</v>
      </c>
      <c r="D13" s="34">
        <f>IF(EV!D13&lt;0,-Prob!D13,Prob!D13)</f>
        <v>-4.5516613563950847E-3</v>
      </c>
      <c r="E13" s="34">
        <f>IF(EV!E13&lt;0,-Prob!E13,Prob!E13)</f>
        <v>-4.5516613563950847E-3</v>
      </c>
      <c r="F13" s="34">
        <f>IF(EV!F13&lt;0,-Prob!F13,Prob!F13)</f>
        <v>-4.5516613563950847E-3</v>
      </c>
      <c r="G13" s="34">
        <f>IF(EV!G13&lt;0,-Prob!G13,Prob!G13)</f>
        <v>-4.5516613563950847E-3</v>
      </c>
      <c r="H13" s="34">
        <f>IF(EV!H13&lt;0,-Prob!H13,Prob!H13)</f>
        <v>-4.5516613563950847E-3</v>
      </c>
      <c r="I13" s="34">
        <f>IF(EV!I13&lt;0,-Prob!I13,Prob!I13)</f>
        <v>-4.5516613563950847E-3</v>
      </c>
      <c r="J13" s="34">
        <f>IF(EV!J13&lt;0,-Prob!J13,Prob!J13)</f>
        <v>-4.5516613563950847E-3</v>
      </c>
      <c r="K13" s="34">
        <f>IF(EV!K13&lt;0,-Prob!K13,Prob!K13)</f>
        <v>-1.6806134238997236E-2</v>
      </c>
    </row>
    <row r="14" spans="1:18" x14ac:dyDescent="0.2">
      <c r="A14" s="46">
        <v>17</v>
      </c>
      <c r="B14" s="34">
        <f>IF(EV!B14&lt;0,-Prob!B14,Prob!B14)</f>
        <v>-3.1511501698119814E-3</v>
      </c>
      <c r="C14" s="34">
        <f>IF(EV!C14&lt;0,-Prob!C14,Prob!C14)</f>
        <v>-4.5516613563950847E-3</v>
      </c>
      <c r="D14" s="34">
        <f>IF(EV!D14&lt;0,-Prob!D14,Prob!D14)</f>
        <v>-4.5516613563950847E-3</v>
      </c>
      <c r="E14" s="34">
        <f>IF(EV!E14&lt;0,-Prob!E14,Prob!E14)</f>
        <v>-4.5516613563950847E-3</v>
      </c>
      <c r="F14" s="34">
        <f>IF(EV!F14&lt;0,-Prob!F14,Prob!F14)</f>
        <v>-4.5516613563950847E-3</v>
      </c>
      <c r="G14" s="34">
        <f>IF(EV!G14&lt;0,-Prob!G14,Prob!G14)</f>
        <v>4.5516613563950847E-3</v>
      </c>
      <c r="H14" s="34">
        <f>IF(EV!H14&lt;0,-Prob!H14,Prob!H14)</f>
        <v>-4.5516613563950847E-3</v>
      </c>
      <c r="I14" s="34">
        <f>IF(EV!I14&lt;0,-Prob!I14,Prob!I14)</f>
        <v>-4.5516613563950847E-3</v>
      </c>
      <c r="J14" s="34">
        <f>IF(EV!J14&lt;0,-Prob!J14,Prob!J14)</f>
        <v>-4.5516613563950847E-3</v>
      </c>
      <c r="K14" s="34">
        <f>IF(EV!K14&lt;0,-Prob!K14,Prob!K14)</f>
        <v>-1.6806134238997236E-2</v>
      </c>
    </row>
    <row r="15" spans="1:18" x14ac:dyDescent="0.2">
      <c r="A15" s="46">
        <v>18</v>
      </c>
      <c r="B15" s="34">
        <f>IF(EV!B15&lt;0,-Prob!B15,Prob!B15)</f>
        <v>-2.5209201358495853E-3</v>
      </c>
      <c r="C15" s="34">
        <f>IF(EV!C15&lt;0,-Prob!C15,Prob!C15)</f>
        <v>3.6413290851160678E-3</v>
      </c>
      <c r="D15" s="34">
        <f>IF(EV!D15&lt;0,-Prob!D15,Prob!D15)</f>
        <v>3.6413290851160678E-3</v>
      </c>
      <c r="E15" s="34">
        <f>IF(EV!E15&lt;0,-Prob!E15,Prob!E15)</f>
        <v>3.6413290851160678E-3</v>
      </c>
      <c r="F15" s="34">
        <f>IF(EV!F15&lt;0,-Prob!F15,Prob!F15)</f>
        <v>3.6413290851160678E-3</v>
      </c>
      <c r="G15" s="34">
        <f>IF(EV!G15&lt;0,-Prob!G15,Prob!G15)</f>
        <v>3.6413290851160678E-3</v>
      </c>
      <c r="H15" s="34">
        <f>IF(EV!H15&lt;0,-Prob!H15,Prob!H15)</f>
        <v>3.6413290851160678E-3</v>
      </c>
      <c r="I15" s="34">
        <f>IF(EV!I15&lt;0,-Prob!I15,Prob!I15)</f>
        <v>3.6413290851160678E-3</v>
      </c>
      <c r="J15" s="34">
        <f>IF(EV!J15&lt;0,-Prob!J15,Prob!J15)</f>
        <v>-3.6413290851160678E-3</v>
      </c>
      <c r="K15" s="34">
        <f>IF(EV!K15&lt;0,-Prob!K15,Prob!K15)</f>
        <v>-1.344490739119779E-2</v>
      </c>
    </row>
    <row r="16" spans="1:18" x14ac:dyDescent="0.2">
      <c r="A16" s="46">
        <v>19</v>
      </c>
      <c r="B16" s="34">
        <f>IF(EV!B16&lt;0,-Prob!B16,Prob!B16)</f>
        <v>2.5209201358495853E-3</v>
      </c>
      <c r="C16" s="34">
        <f>IF(EV!C16&lt;0,-Prob!C16,Prob!C16)</f>
        <v>3.6413290851160678E-3</v>
      </c>
      <c r="D16" s="34">
        <f>IF(EV!D16&lt;0,-Prob!D16,Prob!D16)</f>
        <v>3.6413290851160678E-3</v>
      </c>
      <c r="E16" s="34">
        <f>IF(EV!E16&lt;0,-Prob!E16,Prob!E16)</f>
        <v>3.6413290851160678E-3</v>
      </c>
      <c r="F16" s="34">
        <f>IF(EV!F16&lt;0,-Prob!F16,Prob!F16)</f>
        <v>3.6413290851160678E-3</v>
      </c>
      <c r="G16" s="34">
        <f>IF(EV!G16&lt;0,-Prob!G16,Prob!G16)</f>
        <v>3.6413290851160678E-3</v>
      </c>
      <c r="H16" s="34">
        <f>IF(EV!H16&lt;0,-Prob!H16,Prob!H16)</f>
        <v>3.6413290851160678E-3</v>
      </c>
      <c r="I16" s="34">
        <f>IF(EV!I16&lt;0,-Prob!I16,Prob!I16)</f>
        <v>3.6413290851160678E-3</v>
      </c>
      <c r="J16" s="34">
        <f>IF(EV!J16&lt;0,-Prob!J16,Prob!J16)</f>
        <v>3.6413290851160678E-3</v>
      </c>
      <c r="K16" s="34">
        <f>IF(EV!K16&lt;0,-Prob!K16,Prob!K16)</f>
        <v>1.344490739119779E-2</v>
      </c>
    </row>
    <row r="17" spans="1:11" x14ac:dyDescent="0.2">
      <c r="A17" s="46" t="s">
        <v>4</v>
      </c>
      <c r="B17" s="32" t="s">
        <v>1</v>
      </c>
      <c r="C17" s="35">
        <v>2</v>
      </c>
      <c r="D17" s="35">
        <v>3</v>
      </c>
      <c r="E17" s="35">
        <v>4</v>
      </c>
      <c r="F17" s="35">
        <v>5</v>
      </c>
      <c r="G17" s="35">
        <v>6</v>
      </c>
      <c r="H17" s="35">
        <v>7</v>
      </c>
      <c r="I17" s="35">
        <v>8</v>
      </c>
      <c r="J17" s="35">
        <v>9</v>
      </c>
      <c r="K17" s="48">
        <v>10</v>
      </c>
    </row>
    <row r="18" spans="1:11" x14ac:dyDescent="0.2">
      <c r="A18" s="46">
        <v>13</v>
      </c>
      <c r="B18" s="34">
        <f>IF(EV!B18&lt;0,-Prob!B18,Prob!B18)</f>
        <v>-6.3023003396239633E-4</v>
      </c>
      <c r="C18" s="34">
        <f>IF(EV!C18&lt;0,-Prob!C18,Prob!C18)</f>
        <v>9.1033227127901696E-4</v>
      </c>
      <c r="D18" s="34">
        <f>IF(EV!D18&lt;0,-Prob!D18,Prob!D18)</f>
        <v>9.1033227127901696E-4</v>
      </c>
      <c r="E18" s="34">
        <f>IF(EV!E18&lt;0,-Prob!E18,Prob!E18)</f>
        <v>9.1033227127901696E-4</v>
      </c>
      <c r="F18" s="34">
        <f>IF(EV!F18&lt;0,-Prob!F18,Prob!F18)</f>
        <v>9.1033227127901696E-4</v>
      </c>
      <c r="G18" s="34">
        <f>IF(EV!G18&lt;0,-Prob!G18,Prob!G18)</f>
        <v>9.1033227127901696E-4</v>
      </c>
      <c r="H18" s="34">
        <f>IF(EV!H18&lt;0,-Prob!H18,Prob!H18)</f>
        <v>9.1033227127901696E-4</v>
      </c>
      <c r="I18" s="34">
        <f>IF(EV!I18&lt;0,-Prob!I18,Prob!I18)</f>
        <v>9.1033227127901696E-4</v>
      </c>
      <c r="J18" s="34">
        <f>IF(EV!J18&lt;0,-Prob!J18,Prob!J18)</f>
        <v>-9.1033227127901696E-4</v>
      </c>
      <c r="K18" s="34">
        <f>IF(EV!K18&lt;0,-Prob!K18,Prob!K18)</f>
        <v>-3.3612268477994475E-3</v>
      </c>
    </row>
    <row r="19" spans="1:11" x14ac:dyDescent="0.2">
      <c r="A19" s="46">
        <v>14</v>
      </c>
      <c r="B19" s="34">
        <f>IF(EV!B19&lt;0,-Prob!B19,Prob!B19)</f>
        <v>-6.3023003396239633E-4</v>
      </c>
      <c r="C19" s="34">
        <f>IF(EV!C19&lt;0,-Prob!C19,Prob!C19)</f>
        <v>9.1033227127901696E-4</v>
      </c>
      <c r="D19" s="34">
        <f>IF(EV!D19&lt;0,-Prob!D19,Prob!D19)</f>
        <v>9.1033227127901696E-4</v>
      </c>
      <c r="E19" s="34">
        <f>IF(EV!E19&lt;0,-Prob!E19,Prob!E19)</f>
        <v>9.1033227127901696E-4</v>
      </c>
      <c r="F19" s="34">
        <f>IF(EV!F19&lt;0,-Prob!F19,Prob!F19)</f>
        <v>9.1033227127901696E-4</v>
      </c>
      <c r="G19" s="34">
        <f>IF(EV!G19&lt;0,-Prob!G19,Prob!G19)</f>
        <v>9.1033227127901696E-4</v>
      </c>
      <c r="H19" s="34">
        <f>IF(EV!H19&lt;0,-Prob!H19,Prob!H19)</f>
        <v>9.1033227127901696E-4</v>
      </c>
      <c r="I19" s="34">
        <f>IF(EV!I19&lt;0,-Prob!I19,Prob!I19)</f>
        <v>9.1033227127901696E-4</v>
      </c>
      <c r="J19" s="34">
        <f>IF(EV!J19&lt;0,-Prob!J19,Prob!J19)</f>
        <v>-9.1033227127901696E-4</v>
      </c>
      <c r="K19" s="34">
        <f>IF(EV!K19&lt;0,-Prob!K19,Prob!K19)</f>
        <v>-3.3612268477994475E-3</v>
      </c>
    </row>
    <row r="20" spans="1:11" x14ac:dyDescent="0.2">
      <c r="A20" s="46">
        <v>15</v>
      </c>
      <c r="B20" s="34">
        <f>IF(EV!B20&lt;0,-Prob!B20,Prob!B20)</f>
        <v>-6.3023003396239633E-4</v>
      </c>
      <c r="C20" s="34">
        <f>IF(EV!C20&lt;0,-Prob!C20,Prob!C20)</f>
        <v>-9.1033227127901696E-4</v>
      </c>
      <c r="D20" s="34">
        <f>IF(EV!D20&lt;0,-Prob!D20,Prob!D20)</f>
        <v>9.1033227127901696E-4</v>
      </c>
      <c r="E20" s="34">
        <f>IF(EV!E20&lt;0,-Prob!E20,Prob!E20)</f>
        <v>9.1033227127901696E-4</v>
      </c>
      <c r="F20" s="34">
        <f>IF(EV!F20&lt;0,-Prob!F20,Prob!F20)</f>
        <v>9.1033227127901696E-4</v>
      </c>
      <c r="G20" s="34">
        <f>IF(EV!G20&lt;0,-Prob!G20,Prob!G20)</f>
        <v>9.1033227127901696E-4</v>
      </c>
      <c r="H20" s="34">
        <f>IF(EV!H20&lt;0,-Prob!H20,Prob!H20)</f>
        <v>9.1033227127901696E-4</v>
      </c>
      <c r="I20" s="34">
        <f>IF(EV!I20&lt;0,-Prob!I20,Prob!I20)</f>
        <v>-9.1033227127901696E-4</v>
      </c>
      <c r="J20" s="34">
        <f>IF(EV!J20&lt;0,-Prob!J20,Prob!J20)</f>
        <v>-9.1033227127901696E-4</v>
      </c>
      <c r="K20" s="34">
        <f>IF(EV!K20&lt;0,-Prob!K20,Prob!K20)</f>
        <v>-3.3612268477994475E-3</v>
      </c>
    </row>
    <row r="21" spans="1:11" x14ac:dyDescent="0.2">
      <c r="A21" s="46">
        <v>16</v>
      </c>
      <c r="B21" s="34">
        <f>IF(EV!B21&lt;0,-Prob!B21,Prob!B21)</f>
        <v>-6.3023003396239633E-4</v>
      </c>
      <c r="C21" s="34">
        <f>IF(EV!C21&lt;0,-Prob!C21,Prob!C21)</f>
        <v>-9.1033227127901696E-4</v>
      </c>
      <c r="D21" s="34">
        <f>IF(EV!D21&lt;0,-Prob!D21,Prob!D21)</f>
        <v>9.1033227127901696E-4</v>
      </c>
      <c r="E21" s="34">
        <f>IF(EV!E21&lt;0,-Prob!E21,Prob!E21)</f>
        <v>9.1033227127901696E-4</v>
      </c>
      <c r="F21" s="34">
        <f>IF(EV!F21&lt;0,-Prob!F21,Prob!F21)</f>
        <v>9.1033227127901696E-4</v>
      </c>
      <c r="G21" s="34">
        <f>IF(EV!G21&lt;0,-Prob!G21,Prob!G21)</f>
        <v>9.1033227127901696E-4</v>
      </c>
      <c r="H21" s="34">
        <f>IF(EV!H21&lt;0,-Prob!H21,Prob!H21)</f>
        <v>-9.1033227127901696E-4</v>
      </c>
      <c r="I21" s="34">
        <f>IF(EV!I21&lt;0,-Prob!I21,Prob!I21)</f>
        <v>-9.1033227127901696E-4</v>
      </c>
      <c r="J21" s="34">
        <f>IF(EV!J21&lt;0,-Prob!J21,Prob!J21)</f>
        <v>-9.1033227127901696E-4</v>
      </c>
      <c r="K21" s="34">
        <f>IF(EV!K21&lt;0,-Prob!K21,Prob!K21)</f>
        <v>-3.3612268477994475E-3</v>
      </c>
    </row>
    <row r="22" spans="1:11" x14ac:dyDescent="0.2">
      <c r="A22" s="46">
        <v>17</v>
      </c>
      <c r="B22" s="34">
        <f>IF(EV!B22&lt;0,-Prob!B22,Prob!B22)</f>
        <v>-6.3023003396239633E-4</v>
      </c>
      <c r="C22" s="34">
        <f>IF(EV!C22&lt;0,-Prob!C22,Prob!C22)</f>
        <v>-9.1033227127901696E-4</v>
      </c>
      <c r="D22" s="34">
        <f>IF(EV!D22&lt;0,-Prob!D22,Prob!D22)</f>
        <v>9.1033227127901696E-4</v>
      </c>
      <c r="E22" s="34">
        <f>IF(EV!E22&lt;0,-Prob!E22,Prob!E22)</f>
        <v>9.1033227127901696E-4</v>
      </c>
      <c r="F22" s="34">
        <f>IF(EV!F22&lt;0,-Prob!F22,Prob!F22)</f>
        <v>9.1033227127901696E-4</v>
      </c>
      <c r="G22" s="34">
        <f>IF(EV!G22&lt;0,-Prob!G22,Prob!G22)</f>
        <v>9.1033227127901696E-4</v>
      </c>
      <c r="H22" s="34">
        <f>IF(EV!H22&lt;0,-Prob!H22,Prob!H22)</f>
        <v>9.1033227127901696E-4</v>
      </c>
      <c r="I22" s="34">
        <f>IF(EV!I22&lt;0,-Prob!I22,Prob!I22)</f>
        <v>-9.1033227127901696E-4</v>
      </c>
      <c r="J22" s="34">
        <f>IF(EV!J22&lt;0,-Prob!J22,Prob!J22)</f>
        <v>-9.1033227127901696E-4</v>
      </c>
      <c r="K22" s="34">
        <f>IF(EV!K22&lt;0,-Prob!K22,Prob!K22)</f>
        <v>-3.3612268477994475E-3</v>
      </c>
    </row>
    <row r="23" spans="1:11" x14ac:dyDescent="0.2">
      <c r="A23" s="46">
        <v>18</v>
      </c>
      <c r="B23" s="34">
        <f>IF(EV!B23&lt;0,-Prob!B23,Prob!B23)</f>
        <v>-6.3023003396239633E-4</v>
      </c>
      <c r="C23" s="34">
        <f>IF(EV!C23&lt;0,-Prob!C23,Prob!C23)</f>
        <v>9.1033227127901696E-4</v>
      </c>
      <c r="D23" s="34">
        <f>IF(EV!D23&lt;0,-Prob!D23,Prob!D23)</f>
        <v>9.1033227127901696E-4</v>
      </c>
      <c r="E23" s="34">
        <f>IF(EV!E23&lt;0,-Prob!E23,Prob!E23)</f>
        <v>9.1033227127901696E-4</v>
      </c>
      <c r="F23" s="34">
        <f>IF(EV!F23&lt;0,-Prob!F23,Prob!F23)</f>
        <v>9.1033227127901696E-4</v>
      </c>
      <c r="G23" s="34">
        <f>IF(EV!G23&lt;0,-Prob!G23,Prob!G23)</f>
        <v>9.1033227127901696E-4</v>
      </c>
      <c r="H23" s="34">
        <f>IF(EV!H23&lt;0,-Prob!H23,Prob!H23)</f>
        <v>9.1033227127901696E-4</v>
      </c>
      <c r="I23" s="34">
        <f>IF(EV!I23&lt;0,-Prob!I23,Prob!I23)</f>
        <v>9.1033227127901696E-4</v>
      </c>
      <c r="J23" s="34">
        <f>IF(EV!J23&lt;0,-Prob!J23,Prob!J23)</f>
        <v>-9.1033227127901696E-4</v>
      </c>
      <c r="K23" s="34">
        <f>IF(EV!K23&lt;0,-Prob!K23,Prob!K23)</f>
        <v>-3.3612268477994475E-3</v>
      </c>
    </row>
    <row r="24" spans="1:11" x14ac:dyDescent="0.2">
      <c r="A24" s="46">
        <v>19</v>
      </c>
      <c r="B24" s="34">
        <f>IF(EV!B24&lt;0,-Prob!B24,Prob!B24)</f>
        <v>6.3023003396239633E-4</v>
      </c>
      <c r="C24" s="34">
        <f>IF(EV!C24&lt;0,-Prob!C24,Prob!C24)</f>
        <v>9.1033227127901696E-4</v>
      </c>
      <c r="D24" s="34">
        <f>IF(EV!D24&lt;0,-Prob!D24,Prob!D24)</f>
        <v>9.1033227127901696E-4</v>
      </c>
      <c r="E24" s="34">
        <f>IF(EV!E24&lt;0,-Prob!E24,Prob!E24)</f>
        <v>9.1033227127901696E-4</v>
      </c>
      <c r="F24" s="34">
        <f>IF(EV!F24&lt;0,-Prob!F24,Prob!F24)</f>
        <v>9.1033227127901696E-4</v>
      </c>
      <c r="G24" s="34">
        <f>IF(EV!G24&lt;0,-Prob!G24,Prob!G24)</f>
        <v>9.1033227127901696E-4</v>
      </c>
      <c r="H24" s="34">
        <f>IF(EV!H24&lt;0,-Prob!H24,Prob!H24)</f>
        <v>9.1033227127901696E-4</v>
      </c>
      <c r="I24" s="34">
        <f>IF(EV!I24&lt;0,-Prob!I24,Prob!I24)</f>
        <v>9.1033227127901696E-4</v>
      </c>
      <c r="J24" s="34">
        <f>IF(EV!J24&lt;0,-Prob!J24,Prob!J24)</f>
        <v>9.1033227127901696E-4</v>
      </c>
      <c r="K24" s="34">
        <f>IF(EV!K24&lt;0,-Prob!K24,Prob!K24)</f>
        <v>3.3612268477994475E-3</v>
      </c>
    </row>
    <row r="25" spans="1:11" x14ac:dyDescent="0.2">
      <c r="A25" s="46">
        <v>20</v>
      </c>
      <c r="B25" s="34">
        <f>IF(EV!B25&lt;0,-Prob!B25,Prob!B25)</f>
        <v>6.3023003396239633E-4</v>
      </c>
      <c r="C25" s="34">
        <f>IF(EV!C25&lt;0,-Prob!C25,Prob!C25)</f>
        <v>9.1033227127901696E-4</v>
      </c>
      <c r="D25" s="34">
        <f>IF(EV!D25&lt;0,-Prob!D25,Prob!D25)</f>
        <v>9.1033227127901696E-4</v>
      </c>
      <c r="E25" s="34">
        <f>IF(EV!E25&lt;0,-Prob!E25,Prob!E25)</f>
        <v>9.1033227127901696E-4</v>
      </c>
      <c r="F25" s="34">
        <f>IF(EV!F25&lt;0,-Prob!F25,Prob!F25)</f>
        <v>9.1033227127901696E-4</v>
      </c>
      <c r="G25" s="34">
        <f>IF(EV!G25&lt;0,-Prob!G25,Prob!G25)</f>
        <v>9.1033227127901696E-4</v>
      </c>
      <c r="H25" s="34">
        <f>IF(EV!H25&lt;0,-Prob!H25,Prob!H25)</f>
        <v>9.1033227127901696E-4</v>
      </c>
      <c r="I25" s="34">
        <f>IF(EV!I25&lt;0,-Prob!I25,Prob!I25)</f>
        <v>9.1033227127901696E-4</v>
      </c>
      <c r="J25" s="34">
        <f>IF(EV!J25&lt;0,-Prob!J25,Prob!J25)</f>
        <v>9.1033227127901696E-4</v>
      </c>
      <c r="K25" s="34">
        <f>IF(EV!K25&lt;0,-Prob!K25,Prob!K25)</f>
        <v>3.3612268477994475E-3</v>
      </c>
    </row>
    <row r="26" spans="1:11" x14ac:dyDescent="0.2">
      <c r="A26" s="46">
        <v>21</v>
      </c>
      <c r="B26" s="34">
        <f>IF(EV!B26&lt;0,-Prob!B26,Prob!B26)</f>
        <v>2.5209201358495853E-3</v>
      </c>
      <c r="C26" s="34">
        <f>IF(EV!C26&lt;0,-Prob!C26,Prob!C26)</f>
        <v>3.6413290851160678E-3</v>
      </c>
      <c r="D26" s="34">
        <f>IF(EV!D26&lt;0,-Prob!D26,Prob!D26)</f>
        <v>3.6413290851160678E-3</v>
      </c>
      <c r="E26" s="34">
        <f>IF(EV!E26&lt;0,-Prob!E26,Prob!E26)</f>
        <v>3.6413290851160678E-3</v>
      </c>
      <c r="F26" s="34">
        <f>IF(EV!F26&lt;0,-Prob!F26,Prob!F26)</f>
        <v>3.6413290851160678E-3</v>
      </c>
      <c r="G26" s="34">
        <f>IF(EV!G26&lt;0,-Prob!G26,Prob!G26)</f>
        <v>3.6413290851160678E-3</v>
      </c>
      <c r="H26" s="34">
        <f>IF(EV!H26&lt;0,-Prob!H26,Prob!H26)</f>
        <v>3.6413290851160678E-3</v>
      </c>
      <c r="I26" s="34">
        <f>IF(EV!I26&lt;0,-Prob!I26,Prob!I26)</f>
        <v>3.6413290851160678E-3</v>
      </c>
      <c r="J26" s="34">
        <f>IF(EV!J26&lt;0,-Prob!J26,Prob!J26)</f>
        <v>3.6413290851160678E-3</v>
      </c>
      <c r="K26" s="34">
        <f>IF(EV!K26&lt;0,-Prob!K26,Prob!K26)</f>
        <v>1.344490739119779E-2</v>
      </c>
    </row>
    <row r="27" spans="1:11" x14ac:dyDescent="0.2">
      <c r="A27" s="46" t="s">
        <v>10</v>
      </c>
      <c r="B27" s="32" t="s">
        <v>1</v>
      </c>
      <c r="C27" s="35">
        <v>2</v>
      </c>
      <c r="D27" s="35">
        <v>3</v>
      </c>
      <c r="E27" s="35">
        <v>4</v>
      </c>
      <c r="F27" s="35">
        <v>5</v>
      </c>
      <c r="G27" s="35">
        <v>6</v>
      </c>
      <c r="H27" s="35">
        <v>7</v>
      </c>
      <c r="I27" s="35">
        <v>8</v>
      </c>
      <c r="J27" s="35">
        <v>9</v>
      </c>
      <c r="K27" s="48">
        <v>10</v>
      </c>
    </row>
    <row r="28" spans="1:11" x14ac:dyDescent="0.2">
      <c r="A28" s="46" t="s">
        <v>1</v>
      </c>
      <c r="B28" s="34">
        <f>IF(EV!B28&lt;0,-Prob!B28,Prob!B28)</f>
        <v>3.1511501698119817E-4</v>
      </c>
      <c r="C28" s="34">
        <f>IF(EV!C28&lt;0,-Prob!C28,Prob!C28)</f>
        <v>4.5516613563950848E-4</v>
      </c>
      <c r="D28" s="34">
        <f>IF(EV!D28&lt;0,-Prob!D28,Prob!D28)</f>
        <v>4.5516613563950848E-4</v>
      </c>
      <c r="E28" s="34">
        <f>IF(EV!E28&lt;0,-Prob!E28,Prob!E28)</f>
        <v>4.5516613563950848E-4</v>
      </c>
      <c r="F28" s="34">
        <f>IF(EV!F28&lt;0,-Prob!F28,Prob!F28)</f>
        <v>4.5516613563950848E-4</v>
      </c>
      <c r="G28" s="34">
        <f>IF(EV!G28&lt;0,-Prob!G28,Prob!G28)</f>
        <v>4.5516613563950848E-4</v>
      </c>
      <c r="H28" s="34">
        <f>IF(EV!H28&lt;0,-Prob!H28,Prob!H28)</f>
        <v>4.5516613563950848E-4</v>
      </c>
      <c r="I28" s="34">
        <f>IF(EV!I28&lt;0,-Prob!I28,Prob!I28)</f>
        <v>4.5516613563950848E-4</v>
      </c>
      <c r="J28" s="34">
        <f>IF(EV!J28&lt;0,-Prob!J28,Prob!J28)</f>
        <v>4.5516613563950848E-4</v>
      </c>
      <c r="K28" s="34">
        <f>IF(EV!K28&lt;0,-Prob!K28,Prob!K28)</f>
        <v>1.6806134238997238E-3</v>
      </c>
    </row>
    <row r="29" spans="1:11" x14ac:dyDescent="0.2">
      <c r="A29" s="46">
        <v>2</v>
      </c>
      <c r="B29" s="34">
        <f>IF(EV!B29&lt;0,-Prob!B29,Prob!B29)</f>
        <v>-3.1511501698119817E-4</v>
      </c>
      <c r="C29" s="34">
        <f>IF(EV!C29&lt;0,-Prob!C29,Prob!C29)</f>
        <v>-4.5516613563950848E-4</v>
      </c>
      <c r="D29" s="34">
        <f>IF(EV!D29&lt;0,-Prob!D29,Prob!D29)</f>
        <v>-4.5516613563950848E-4</v>
      </c>
      <c r="E29" s="34">
        <f>IF(EV!E29&lt;0,-Prob!E29,Prob!E29)</f>
        <v>4.5516613563950848E-4</v>
      </c>
      <c r="F29" s="34">
        <f>IF(EV!F29&lt;0,-Prob!F29,Prob!F29)</f>
        <v>4.5516613563950848E-4</v>
      </c>
      <c r="G29" s="34">
        <f>IF(EV!G29&lt;0,-Prob!G29,Prob!G29)</f>
        <v>4.5516613563950848E-4</v>
      </c>
      <c r="H29" s="34">
        <f>IF(EV!H29&lt;0,-Prob!H29,Prob!H29)</f>
        <v>4.5516613563950848E-4</v>
      </c>
      <c r="I29" s="34">
        <f>IF(EV!I29&lt;0,-Prob!I29,Prob!I29)</f>
        <v>-4.5516613563950848E-4</v>
      </c>
      <c r="J29" s="34">
        <f>IF(EV!J29&lt;0,-Prob!J29,Prob!J29)</f>
        <v>-4.5516613563950848E-4</v>
      </c>
      <c r="K29" s="34">
        <f>IF(EV!K29&lt;0,-Prob!K29,Prob!K29)</f>
        <v>-1.6806134238997238E-3</v>
      </c>
    </row>
    <row r="30" spans="1:11" x14ac:dyDescent="0.2">
      <c r="A30" s="46">
        <v>3</v>
      </c>
      <c r="B30" s="34">
        <f>IF(EV!B30&lt;0,-Prob!B30,Prob!B30)</f>
        <v>-3.1511501698119817E-4</v>
      </c>
      <c r="C30" s="34">
        <f>IF(EV!C30&lt;0,-Prob!C30,Prob!C30)</f>
        <v>-4.5516613563950848E-4</v>
      </c>
      <c r="D30" s="34">
        <f>IF(EV!D30&lt;0,-Prob!D30,Prob!D30)</f>
        <v>-4.5516613563950848E-4</v>
      </c>
      <c r="E30" s="34">
        <f>IF(EV!E30&lt;0,-Prob!E30,Prob!E30)</f>
        <v>4.5516613563950848E-4</v>
      </c>
      <c r="F30" s="34">
        <f>IF(EV!F30&lt;0,-Prob!F30,Prob!F30)</f>
        <v>4.5516613563950848E-4</v>
      </c>
      <c r="G30" s="34">
        <f>IF(EV!G30&lt;0,-Prob!G30,Prob!G30)</f>
        <v>4.5516613563950848E-4</v>
      </c>
      <c r="H30" s="34">
        <f>IF(EV!H30&lt;0,-Prob!H30,Prob!H30)</f>
        <v>-4.5516613563950848E-4</v>
      </c>
      <c r="I30" s="34">
        <f>IF(EV!I30&lt;0,-Prob!I30,Prob!I30)</f>
        <v>-4.5516613563950848E-4</v>
      </c>
      <c r="J30" s="34">
        <f>IF(EV!J30&lt;0,-Prob!J30,Prob!J30)</f>
        <v>-4.5516613563950848E-4</v>
      </c>
      <c r="K30" s="34">
        <f>IF(EV!K30&lt;0,-Prob!K30,Prob!K30)</f>
        <v>-1.6806134238997238E-3</v>
      </c>
    </row>
    <row r="31" spans="1:11" x14ac:dyDescent="0.2">
      <c r="A31" s="46">
        <v>4</v>
      </c>
      <c r="B31" s="34">
        <f>IF(EV!B31&lt;0,-Prob!B31,Prob!B31)</f>
        <v>-3.1511501698119817E-4</v>
      </c>
      <c r="C31" s="34">
        <f>IF(EV!C31&lt;0,-Prob!C31,Prob!C31)</f>
        <v>-4.5516613563950848E-4</v>
      </c>
      <c r="D31" s="34">
        <f>IF(EV!D31&lt;0,-Prob!D31,Prob!D31)</f>
        <v>4.5516613563950848E-4</v>
      </c>
      <c r="E31" s="34">
        <f>IF(EV!E31&lt;0,-Prob!E31,Prob!E31)</f>
        <v>4.5516613563950848E-4</v>
      </c>
      <c r="F31" s="34">
        <f>IF(EV!F31&lt;0,-Prob!F31,Prob!F31)</f>
        <v>4.5516613563950848E-4</v>
      </c>
      <c r="G31" s="34">
        <f>IF(EV!G31&lt;0,-Prob!G31,Prob!G31)</f>
        <v>4.5516613563950848E-4</v>
      </c>
      <c r="H31" s="34">
        <f>IF(EV!H31&lt;0,-Prob!H31,Prob!H31)</f>
        <v>4.5516613563950848E-4</v>
      </c>
      <c r="I31" s="34">
        <f>IF(EV!I31&lt;0,-Prob!I31,Prob!I31)</f>
        <v>-4.5516613563950848E-4</v>
      </c>
      <c r="J31" s="34">
        <f>IF(EV!J31&lt;0,-Prob!J31,Prob!J31)</f>
        <v>-4.5516613563950848E-4</v>
      </c>
      <c r="K31" s="34">
        <f>IF(EV!K31&lt;0,-Prob!K31,Prob!K31)</f>
        <v>-1.6806134238997238E-3</v>
      </c>
    </row>
    <row r="32" spans="1:11" x14ac:dyDescent="0.2">
      <c r="A32" s="46">
        <v>5</v>
      </c>
      <c r="B32" s="34">
        <f>IF(EV!B32&lt;0,-Prob!B32,Prob!B32)</f>
        <v>3.1511501698119817E-4</v>
      </c>
      <c r="C32" s="34">
        <f>IF(EV!C32&lt;0,-Prob!C32,Prob!C32)</f>
        <v>4.5516613563950848E-4</v>
      </c>
      <c r="D32" s="34">
        <f>IF(EV!D32&lt;0,-Prob!D32,Prob!D32)</f>
        <v>4.5516613563950848E-4</v>
      </c>
      <c r="E32" s="34">
        <f>IF(EV!E32&lt;0,-Prob!E32,Prob!E32)</f>
        <v>4.5516613563950848E-4</v>
      </c>
      <c r="F32" s="34">
        <f>IF(EV!F32&lt;0,-Prob!F32,Prob!F32)</f>
        <v>4.5516613563950848E-4</v>
      </c>
      <c r="G32" s="34">
        <f>IF(EV!G32&lt;0,-Prob!G32,Prob!G32)</f>
        <v>4.5516613563950848E-4</v>
      </c>
      <c r="H32" s="34">
        <f>IF(EV!H32&lt;0,-Prob!H32,Prob!H32)</f>
        <v>4.5516613563950848E-4</v>
      </c>
      <c r="I32" s="34">
        <f>IF(EV!I32&lt;0,-Prob!I32,Prob!I32)</f>
        <v>4.5516613563950848E-4</v>
      </c>
      <c r="J32" s="34">
        <f>IF(EV!J32&lt;0,-Prob!J32,Prob!J32)</f>
        <v>4.5516613563950848E-4</v>
      </c>
      <c r="K32" s="34">
        <f>IF(EV!K32&lt;0,-Prob!K32,Prob!K32)</f>
        <v>1.6806134238997238E-3</v>
      </c>
    </row>
    <row r="33" spans="1:12" x14ac:dyDescent="0.2">
      <c r="A33" s="46">
        <v>6</v>
      </c>
      <c r="B33" s="34">
        <f>IF(EV!B33&lt;0,-Prob!B33,Prob!B33)</f>
        <v>-3.1511501698119817E-4</v>
      </c>
      <c r="C33" s="34">
        <f>IF(EV!C33&lt;0,-Prob!C33,Prob!C33)</f>
        <v>-4.5516613563950848E-4</v>
      </c>
      <c r="D33" s="34">
        <f>IF(EV!D33&lt;0,-Prob!D33,Prob!D33)</f>
        <v>-4.5516613563950848E-4</v>
      </c>
      <c r="E33" s="34">
        <f>IF(EV!E33&lt;0,-Prob!E33,Prob!E33)</f>
        <v>-4.5516613563950848E-4</v>
      </c>
      <c r="F33" s="34">
        <f>IF(EV!F33&lt;0,-Prob!F33,Prob!F33)</f>
        <v>4.5516613563950848E-4</v>
      </c>
      <c r="G33" s="34">
        <f>IF(EV!G33&lt;0,-Prob!G33,Prob!G33)</f>
        <v>4.5516613563950848E-4</v>
      </c>
      <c r="H33" s="34">
        <f>IF(EV!H33&lt;0,-Prob!H33,Prob!H33)</f>
        <v>-4.5516613563950848E-4</v>
      </c>
      <c r="I33" s="34">
        <f>IF(EV!I33&lt;0,-Prob!I33,Prob!I33)</f>
        <v>-4.5516613563950848E-4</v>
      </c>
      <c r="J33" s="34">
        <f>IF(EV!J33&lt;0,-Prob!J33,Prob!J33)</f>
        <v>-4.5516613563950848E-4</v>
      </c>
      <c r="K33" s="34">
        <f>IF(EV!K33&lt;0,-Prob!K33,Prob!K33)</f>
        <v>-1.6806134238997238E-3</v>
      </c>
    </row>
    <row r="34" spans="1:12" x14ac:dyDescent="0.2">
      <c r="A34" s="46">
        <v>7</v>
      </c>
      <c r="B34" s="34">
        <f>IF(EV!B34&lt;0,-Prob!B34,Prob!B34)</f>
        <v>-3.1511501698119817E-4</v>
      </c>
      <c r="C34" s="34">
        <f>IF(EV!C34&lt;0,-Prob!C34,Prob!C34)</f>
        <v>-4.5516613563950848E-4</v>
      </c>
      <c r="D34" s="34">
        <f>IF(EV!D34&lt;0,-Prob!D34,Prob!D34)</f>
        <v>-4.5516613563950848E-4</v>
      </c>
      <c r="E34" s="34">
        <f>IF(EV!E34&lt;0,-Prob!E34,Prob!E34)</f>
        <v>-4.5516613563950848E-4</v>
      </c>
      <c r="F34" s="34">
        <f>IF(EV!F34&lt;0,-Prob!F34,Prob!F34)</f>
        <v>4.5516613563950848E-4</v>
      </c>
      <c r="G34" s="34">
        <f>IF(EV!G34&lt;0,-Prob!G34,Prob!G34)</f>
        <v>4.5516613563950848E-4</v>
      </c>
      <c r="H34" s="34">
        <f>IF(EV!H34&lt;0,-Prob!H34,Prob!H34)</f>
        <v>-4.5516613563950848E-4</v>
      </c>
      <c r="I34" s="34">
        <f>IF(EV!I34&lt;0,-Prob!I34,Prob!I34)</f>
        <v>-4.5516613563950848E-4</v>
      </c>
      <c r="J34" s="34">
        <f>IF(EV!J34&lt;0,-Prob!J34,Prob!J34)</f>
        <v>-4.5516613563950848E-4</v>
      </c>
      <c r="K34" s="34">
        <f>IF(EV!K34&lt;0,-Prob!K34,Prob!K34)</f>
        <v>-1.6806134238997238E-3</v>
      </c>
    </row>
    <row r="35" spans="1:12" x14ac:dyDescent="0.2">
      <c r="A35" s="46">
        <v>8</v>
      </c>
      <c r="B35" s="34">
        <f>IF(EV!B35&lt;0,-Prob!B35,Prob!B35)</f>
        <v>-3.1511501698119817E-4</v>
      </c>
      <c r="C35" s="34">
        <f>IF(EV!C35&lt;0,-Prob!C35,Prob!C35)</f>
        <v>-4.5516613563950848E-4</v>
      </c>
      <c r="D35" s="34">
        <f>IF(EV!D35&lt;0,-Prob!D35,Prob!D35)</f>
        <v>4.5516613563950848E-4</v>
      </c>
      <c r="E35" s="34">
        <f>IF(EV!E35&lt;0,-Prob!E35,Prob!E35)</f>
        <v>4.5516613563950848E-4</v>
      </c>
      <c r="F35" s="34">
        <f>IF(EV!F35&lt;0,-Prob!F35,Prob!F35)</f>
        <v>4.5516613563950848E-4</v>
      </c>
      <c r="G35" s="34">
        <f>IF(EV!G35&lt;0,-Prob!G35,Prob!G35)</f>
        <v>4.5516613563950848E-4</v>
      </c>
      <c r="H35" s="34">
        <f>IF(EV!H35&lt;0,-Prob!H35,Prob!H35)</f>
        <v>4.5516613563950848E-4</v>
      </c>
      <c r="I35" s="34">
        <f>IF(EV!I35&lt;0,-Prob!I35,Prob!I35)</f>
        <v>-4.5516613563950848E-4</v>
      </c>
      <c r="J35" s="34">
        <f>IF(EV!J35&lt;0,-Prob!J35,Prob!J35)</f>
        <v>-4.5516613563950848E-4</v>
      </c>
      <c r="K35" s="34">
        <f>IF(EV!K35&lt;0,-Prob!K35,Prob!K35)</f>
        <v>-1.6806134238997238E-3</v>
      </c>
    </row>
    <row r="36" spans="1:12" x14ac:dyDescent="0.2">
      <c r="A36" s="46">
        <v>9</v>
      </c>
      <c r="B36" s="34">
        <f>IF(EV!B36&lt;0,-Prob!B36,Prob!B36)</f>
        <v>-3.1511501698119817E-4</v>
      </c>
      <c r="C36" s="34">
        <f>IF(EV!C36&lt;0,-Prob!C36,Prob!C36)</f>
        <v>4.5516613563950848E-4</v>
      </c>
      <c r="D36" s="34">
        <f>IF(EV!D36&lt;0,-Prob!D36,Prob!D36)</f>
        <v>4.5516613563950848E-4</v>
      </c>
      <c r="E36" s="34">
        <f>IF(EV!E36&lt;0,-Prob!E36,Prob!E36)</f>
        <v>4.5516613563950848E-4</v>
      </c>
      <c r="F36" s="34">
        <f>IF(EV!F36&lt;0,-Prob!F36,Prob!F36)</f>
        <v>4.5516613563950848E-4</v>
      </c>
      <c r="G36" s="34">
        <f>IF(EV!G36&lt;0,-Prob!G36,Prob!G36)</f>
        <v>4.5516613563950848E-4</v>
      </c>
      <c r="H36" s="34">
        <f>IF(EV!H36&lt;0,-Prob!H36,Prob!H36)</f>
        <v>4.5516613563950848E-4</v>
      </c>
      <c r="I36" s="34">
        <f>IF(EV!I36&lt;0,-Prob!I36,Prob!I36)</f>
        <v>4.5516613563950848E-4</v>
      </c>
      <c r="J36" s="34">
        <f>IF(EV!J36&lt;0,-Prob!J36,Prob!J36)</f>
        <v>-4.5516613563950848E-4</v>
      </c>
      <c r="K36" s="34">
        <f>IF(EV!K36&lt;0,-Prob!K36,Prob!K36)</f>
        <v>-1.6806134238997238E-3</v>
      </c>
    </row>
    <row r="37" spans="1:12" x14ac:dyDescent="0.2">
      <c r="A37" s="74">
        <v>10</v>
      </c>
      <c r="B37" s="75">
        <f>IF(EV!B37&lt;0,-Prob!B37,Prob!B37)</f>
        <v>5.0418402716991707E-3</v>
      </c>
      <c r="C37" s="75">
        <f>IF(EV!C37&lt;0,-Prob!C37,Prob!C37)</f>
        <v>7.2826581702321357E-3</v>
      </c>
      <c r="D37" s="75">
        <f>IF(EV!D37&lt;0,-Prob!D37,Prob!D37)</f>
        <v>7.2826581702321357E-3</v>
      </c>
      <c r="E37" s="75">
        <f>IF(EV!E37&lt;0,-Prob!E37,Prob!E37)</f>
        <v>7.2826581702321357E-3</v>
      </c>
      <c r="F37" s="75">
        <f>IF(EV!F37&lt;0,-Prob!F37,Prob!F37)</f>
        <v>7.2826581702321357E-3</v>
      </c>
      <c r="G37" s="75">
        <f>IF(EV!G37&lt;0,-Prob!G37,Prob!G37)</f>
        <v>7.2826581702321357E-3</v>
      </c>
      <c r="H37" s="75">
        <f>IF(EV!H37&lt;0,-Prob!H37,Prob!H37)</f>
        <v>7.2826581702321357E-3</v>
      </c>
      <c r="I37" s="75">
        <f>IF(EV!I37&lt;0,-Prob!I37,Prob!I37)</f>
        <v>7.2826581702321357E-3</v>
      </c>
      <c r="J37" s="75">
        <f>IF(EV!J37&lt;0,-Prob!J37,Prob!J37)</f>
        <v>7.2826581702321357E-3</v>
      </c>
      <c r="K37" s="75">
        <f>IF(EV!K37&lt;0,-Prob!K37,Prob!K37)</f>
        <v>2.688981478239558E-2</v>
      </c>
    </row>
    <row r="38" spans="1:12" ht="16" thickBot="1" x14ac:dyDescent="0.25">
      <c r="A38" s="98" t="s">
        <v>40</v>
      </c>
      <c r="B38" s="103" t="s">
        <v>1</v>
      </c>
      <c r="C38" s="104">
        <v>2</v>
      </c>
      <c r="D38" s="104">
        <v>3</v>
      </c>
      <c r="E38" s="104">
        <v>4</v>
      </c>
      <c r="F38" s="104">
        <v>5</v>
      </c>
      <c r="G38" s="104">
        <v>6</v>
      </c>
      <c r="H38" s="104">
        <v>7</v>
      </c>
      <c r="I38" s="104">
        <v>8</v>
      </c>
      <c r="J38" s="104">
        <v>9</v>
      </c>
      <c r="K38" s="105">
        <v>10</v>
      </c>
    </row>
    <row r="39" spans="1:12" x14ac:dyDescent="0.2">
      <c r="A39" s="102" t="s">
        <v>42</v>
      </c>
      <c r="B39" s="106">
        <f>-(SUMIF(B28:B37,"&lt;0")+SUMIF(B18:B26,"&lt;0") +SUMIF(B2:B16,"&lt;0"))</f>
        <v>3.6868456986800184E-2</v>
      </c>
      <c r="C39" s="107">
        <f t="shared" ref="C39:K39" si="0">-(SUMIF(C28:C37,"&lt;0")+SUMIF(C18:C26,"&lt;0") +SUMIF(C2:C16,"&lt;0"))</f>
        <v>4.3695949021392816E-2</v>
      </c>
      <c r="D39" s="107">
        <f t="shared" si="0"/>
        <v>3.823395539371871E-2</v>
      </c>
      <c r="E39" s="107">
        <f t="shared" si="0"/>
        <v>3.7323623122439697E-2</v>
      </c>
      <c r="F39" s="107">
        <f t="shared" si="0"/>
        <v>3.6413290851160678E-2</v>
      </c>
      <c r="G39" s="107">
        <f t="shared" si="0"/>
        <v>3.0040964952207563E-2</v>
      </c>
      <c r="H39" s="107">
        <f t="shared" si="0"/>
        <v>3.8689121529358217E-2</v>
      </c>
      <c r="I39" s="107">
        <f t="shared" si="0"/>
        <v>4.3695949021392816E-2</v>
      </c>
      <c r="J39" s="107">
        <f t="shared" si="0"/>
        <v>5.3254437869822494E-2</v>
      </c>
      <c r="K39" s="108">
        <f t="shared" si="0"/>
        <v>0.19663177059626771</v>
      </c>
    </row>
    <row r="40" spans="1:12" ht="16" thickBot="1" x14ac:dyDescent="0.25">
      <c r="A40" s="102" t="s">
        <v>43</v>
      </c>
      <c r="B40" s="109">
        <f>B39</f>
        <v>3.6868456986800184E-2</v>
      </c>
      <c r="C40" s="110">
        <f t="shared" ref="C40:K40" si="1">C39</f>
        <v>4.3695949021392816E-2</v>
      </c>
      <c r="D40" s="110">
        <f t="shared" si="1"/>
        <v>3.823395539371871E-2</v>
      </c>
      <c r="E40" s="110">
        <f t="shared" si="1"/>
        <v>3.7323623122439697E-2</v>
      </c>
      <c r="F40" s="110">
        <f t="shared" si="1"/>
        <v>3.6413290851160678E-2</v>
      </c>
      <c r="G40" s="110">
        <f t="shared" si="1"/>
        <v>3.0040964952207563E-2</v>
      </c>
      <c r="H40" s="110">
        <f t="shared" si="1"/>
        <v>3.8689121529358217E-2</v>
      </c>
      <c r="I40" s="110">
        <f t="shared" si="1"/>
        <v>4.3695949021392816E-2</v>
      </c>
      <c r="J40" s="110">
        <f t="shared" si="1"/>
        <v>5.3254437869822494E-2</v>
      </c>
      <c r="K40" s="111">
        <f t="shared" si="1"/>
        <v>0.19663177059626771</v>
      </c>
    </row>
    <row r="41" spans="1:12" x14ac:dyDescent="0.2">
      <c r="A41" s="102" t="s">
        <v>41</v>
      </c>
      <c r="B41" s="106">
        <f>SUMIF(B28:B37,"&gt;0")+SUMIF(B18:B26,"&gt;0") +SUMIF(B2:B16,"&gt;0")</f>
        <v>1.6385980883022306E-2</v>
      </c>
      <c r="C41" s="107">
        <f t="shared" ref="C41:K41" si="2">SUMIF(C28:C37,"&gt;0")+SUMIF(C18:C26,"&gt;0") +SUMIF(C2:C16,"&gt;0")</f>
        <v>3.3227127901684125E-2</v>
      </c>
      <c r="D41" s="107">
        <f t="shared" si="2"/>
        <v>3.8689121529358217E-2</v>
      </c>
      <c r="E41" s="107">
        <f t="shared" si="2"/>
        <v>3.9599453800637244E-2</v>
      </c>
      <c r="F41" s="107">
        <f t="shared" si="2"/>
        <v>4.0509786071916257E-2</v>
      </c>
      <c r="G41" s="107">
        <f t="shared" si="2"/>
        <v>4.6882111970869375E-2</v>
      </c>
      <c r="H41" s="107">
        <f t="shared" si="2"/>
        <v>3.823395539371871E-2</v>
      </c>
      <c r="I41" s="107">
        <f t="shared" si="2"/>
        <v>3.3227127901684125E-2</v>
      </c>
      <c r="J41" s="107">
        <f t="shared" si="2"/>
        <v>2.3668639053254441E-2</v>
      </c>
      <c r="K41" s="108">
        <f t="shared" si="2"/>
        <v>8.7391898042785632E-2</v>
      </c>
    </row>
    <row r="42" spans="1:12" ht="16" thickBot="1" x14ac:dyDescent="0.25">
      <c r="A42" s="102" t="s">
        <v>44</v>
      </c>
      <c r="B42" s="109">
        <f>B41</f>
        <v>1.6385980883022306E-2</v>
      </c>
      <c r="C42" s="110">
        <f t="shared" ref="C42:K42" si="3">C41</f>
        <v>3.3227127901684125E-2</v>
      </c>
      <c r="D42" s="110">
        <f t="shared" si="3"/>
        <v>3.8689121529358217E-2</v>
      </c>
      <c r="E42" s="110">
        <f t="shared" si="3"/>
        <v>3.9599453800637244E-2</v>
      </c>
      <c r="F42" s="110">
        <f t="shared" si="3"/>
        <v>4.0509786071916257E-2</v>
      </c>
      <c r="G42" s="110">
        <f t="shared" si="3"/>
        <v>4.6882111970869375E-2</v>
      </c>
      <c r="H42" s="110">
        <f t="shared" si="3"/>
        <v>3.823395539371871E-2</v>
      </c>
      <c r="I42" s="110">
        <f t="shared" si="3"/>
        <v>3.3227127901684125E-2</v>
      </c>
      <c r="J42" s="110">
        <f t="shared" si="3"/>
        <v>2.3668639053254441E-2</v>
      </c>
      <c r="K42" s="111">
        <f t="shared" si="3"/>
        <v>8.7391898042785632E-2</v>
      </c>
    </row>
    <row r="43" spans="1:12" ht="16" thickBot="1" x14ac:dyDescent="0.25">
      <c r="A43" s="102" t="s">
        <v>2</v>
      </c>
      <c r="B43" s="113">
        <f>B41+B39</f>
        <v>5.3254437869822494E-2</v>
      </c>
      <c r="C43" s="99">
        <f t="shared" ref="C43:K43" si="4">C41+C39</f>
        <v>7.6923076923076941E-2</v>
      </c>
      <c r="D43" s="99">
        <f t="shared" si="4"/>
        <v>7.6923076923076927E-2</v>
      </c>
      <c r="E43" s="99">
        <f t="shared" si="4"/>
        <v>7.6923076923076941E-2</v>
      </c>
      <c r="F43" s="99">
        <f t="shared" si="4"/>
        <v>7.6923076923076927E-2</v>
      </c>
      <c r="G43" s="99">
        <f t="shared" si="4"/>
        <v>7.6923076923076941E-2</v>
      </c>
      <c r="H43" s="99">
        <f t="shared" si="4"/>
        <v>7.6923076923076927E-2</v>
      </c>
      <c r="I43" s="99">
        <f t="shared" si="4"/>
        <v>7.6923076923076941E-2</v>
      </c>
      <c r="J43" s="99">
        <f t="shared" si="4"/>
        <v>7.6923076923076927E-2</v>
      </c>
      <c r="K43" s="114">
        <f t="shared" si="4"/>
        <v>0.28402366863905337</v>
      </c>
      <c r="L43" s="100">
        <f>SUM(B43:K43)-C46</f>
        <v>1.0000000000000002</v>
      </c>
    </row>
    <row r="44" spans="1:12" ht="16" thickBot="1" x14ac:dyDescent="0.25">
      <c r="A44" s="112" t="s">
        <v>45</v>
      </c>
      <c r="B44" s="115">
        <f>B41-B39</f>
        <v>-2.0482476103777878E-2</v>
      </c>
      <c r="C44" s="76">
        <f t="shared" ref="C44:K44" si="5">C41-C39</f>
        <v>-1.0468821119708691E-2</v>
      </c>
      <c r="D44" s="76">
        <f t="shared" si="5"/>
        <v>4.5516613563950648E-4</v>
      </c>
      <c r="E44" s="76">
        <f t="shared" si="5"/>
        <v>2.2758306781975463E-3</v>
      </c>
      <c r="F44" s="76">
        <f t="shared" si="5"/>
        <v>4.0964952207555791E-3</v>
      </c>
      <c r="G44" s="76">
        <f t="shared" si="5"/>
        <v>1.6841147018661812E-2</v>
      </c>
      <c r="H44" s="76">
        <f t="shared" si="5"/>
        <v>-4.5516613563950648E-4</v>
      </c>
      <c r="I44" s="76">
        <f t="shared" si="5"/>
        <v>-1.0468821119708691E-2</v>
      </c>
      <c r="J44" s="76">
        <f t="shared" si="5"/>
        <v>-2.9585798816568053E-2</v>
      </c>
      <c r="K44" s="77">
        <f t="shared" si="5"/>
        <v>-0.10923987255348208</v>
      </c>
      <c r="L44" s="101">
        <f>SUM(B44:K44)</f>
        <v>-0.15703231679563046</v>
      </c>
    </row>
    <row r="45" spans="1:12" x14ac:dyDescent="0.2">
      <c r="B45" s="36"/>
      <c r="C45" s="36"/>
      <c r="D45" s="36"/>
      <c r="E45" s="36"/>
      <c r="F45" s="36"/>
      <c r="G45" s="36"/>
      <c r="H45" s="36"/>
      <c r="I45" s="36"/>
      <c r="J45" s="36"/>
      <c r="K45" s="36"/>
    </row>
    <row r="46" spans="1:12" x14ac:dyDescent="0.2">
      <c r="A46" s="407" t="s">
        <v>11</v>
      </c>
      <c r="B46" s="408"/>
      <c r="C46" s="34">
        <f>IF(EV!C39&lt;0,-Prob!C39,Prob!C39)</f>
        <v>-4.7337278106508882E-2</v>
      </c>
    </row>
    <row r="47" spans="1:12" x14ac:dyDescent="0.2">
      <c r="C47" s="97">
        <f>SUM(B44:K44)</f>
        <v>-0.15703231679563046</v>
      </c>
    </row>
    <row r="48" spans="1:12" x14ac:dyDescent="0.2">
      <c r="B48" s="41" t="s">
        <v>2</v>
      </c>
      <c r="C48" s="97">
        <f>C47+C46</f>
        <v>-0.20436959490213935</v>
      </c>
    </row>
  </sheetData>
  <sheetProtection sheet="1" objects="1" scenarios="1"/>
  <mergeCells count="6">
    <mergeCell ref="M3:N3"/>
    <mergeCell ref="M4:N4"/>
    <mergeCell ref="M5:N5"/>
    <mergeCell ref="A46:B46"/>
    <mergeCell ref="M6:N6"/>
    <mergeCell ref="M7:N7"/>
  </mergeCells>
  <phoneticPr fontId="14" type="noConversion"/>
  <conditionalFormatting sqref="B2:K16 B18:K26 B28:K37 B39:K45">
    <cfRule type="containsText" dxfId="26" priority="19" operator="containsText" text="R">
      <formula>NOT(ISERROR(SEARCH("R",B2)))</formula>
    </cfRule>
    <cfRule type="containsText" dxfId="25" priority="20" operator="containsText" text="D">
      <formula>NOT(ISERROR(SEARCH("D",B2)))</formula>
    </cfRule>
    <cfRule type="containsText" dxfId="24" priority="21" operator="containsText" text="S">
      <formula>NOT(ISERROR(SEARCH("S",B2)))</formula>
    </cfRule>
    <cfRule type="containsText" dxfId="23" priority="22" operator="containsText" text="H">
      <formula>NOT(ISERROR(SEARCH("H",B2)))</formula>
    </cfRule>
  </conditionalFormatting>
  <conditionalFormatting sqref="B2:K16 B18:K26 B28:K37 B39:K45">
    <cfRule type="containsText" dxfId="22" priority="18" operator="containsText" text="P">
      <formula>NOT(ISERROR(SEARCH("P",B2)))</formula>
    </cfRule>
  </conditionalFormatting>
  <conditionalFormatting sqref="B2:K1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K2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K37 B39:K4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K2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K3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K3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">
    <cfRule type="containsText" dxfId="21" priority="8" operator="containsText" text="R">
      <formula>NOT(ISERROR(SEARCH("R",C46)))</formula>
    </cfRule>
    <cfRule type="containsText" dxfId="20" priority="9" operator="containsText" text="D">
      <formula>NOT(ISERROR(SEARCH("D",C46)))</formula>
    </cfRule>
    <cfRule type="containsText" dxfId="19" priority="10" operator="containsText" text="S">
      <formula>NOT(ISERROR(SEARCH("S",C46)))</formula>
    </cfRule>
    <cfRule type="containsText" dxfId="18" priority="11" operator="containsText" text="H">
      <formula>NOT(ISERROR(SEARCH("H",C46)))</formula>
    </cfRule>
  </conditionalFormatting>
  <conditionalFormatting sqref="C46">
    <cfRule type="containsText" dxfId="17" priority="7" operator="containsText" text="P">
      <formula>NOT(ISERROR(SEARCH("P",C46)))</formula>
    </cfRule>
  </conditionalFormatting>
  <conditionalFormatting sqref="C4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K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K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K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Z39"/>
  <sheetViews>
    <sheetView zoomScale="87" zoomScaleNormal="87" zoomScalePageLayoutView="87" workbookViewId="0">
      <selection activeCell="D2" sqref="D2"/>
    </sheetView>
  </sheetViews>
  <sheetFormatPr baseColWidth="10" defaultColWidth="8.83203125" defaultRowHeight="16" x14ac:dyDescent="0.2"/>
  <cols>
    <col min="1" max="1" width="3.5" customWidth="1"/>
    <col min="2" max="2" width="5.5" style="31" bestFit="1" customWidth="1"/>
    <col min="3" max="12" width="4" style="31" customWidth="1"/>
    <col min="13" max="13" width="6.6640625" customWidth="1"/>
    <col min="17" max="17" width="9.33203125" bestFit="1" customWidth="1"/>
    <col min="24" max="24" width="9.83203125" customWidth="1"/>
    <col min="27" max="27" width="12.5" bestFit="1" customWidth="1"/>
  </cols>
  <sheetData>
    <row r="1" spans="2:26" ht="22" thickBot="1" x14ac:dyDescent="0.3">
      <c r="B1" s="418" t="s">
        <v>23</v>
      </c>
      <c r="C1" s="418"/>
      <c r="D1" s="418"/>
      <c r="E1" s="418"/>
      <c r="F1" s="418"/>
      <c r="G1" s="418"/>
      <c r="H1" s="418"/>
      <c r="I1" s="418"/>
      <c r="J1" s="418"/>
      <c r="K1" s="418"/>
      <c r="L1" s="418"/>
      <c r="N1" s="431" t="s">
        <v>59</v>
      </c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163"/>
    </row>
    <row r="2" spans="2:26" ht="17" thickBot="1" x14ac:dyDescent="0.25">
      <c r="B2" s="52" t="s">
        <v>9</v>
      </c>
      <c r="C2" s="52" t="s">
        <v>22</v>
      </c>
      <c r="D2" s="52">
        <v>2</v>
      </c>
      <c r="E2" s="52">
        <v>3</v>
      </c>
      <c r="F2" s="52">
        <v>4</v>
      </c>
      <c r="G2" s="52">
        <v>5</v>
      </c>
      <c r="H2" s="52">
        <v>6</v>
      </c>
      <c r="I2" s="52">
        <v>7</v>
      </c>
      <c r="J2" s="52">
        <v>8</v>
      </c>
      <c r="K2" s="52">
        <v>9</v>
      </c>
      <c r="L2" s="52">
        <v>10</v>
      </c>
      <c r="N2" s="419"/>
      <c r="O2" s="420"/>
      <c r="P2" s="82" t="s">
        <v>8</v>
      </c>
      <c r="Q2" s="83" t="s">
        <v>37</v>
      </c>
      <c r="R2" s="83" t="s">
        <v>36</v>
      </c>
      <c r="S2" s="130" t="s">
        <v>38</v>
      </c>
      <c r="T2" s="124" t="s">
        <v>58</v>
      </c>
      <c r="U2" s="146" t="s">
        <v>19</v>
      </c>
      <c r="V2" s="147" t="s">
        <v>19</v>
      </c>
      <c r="W2" s="147" t="s">
        <v>19</v>
      </c>
      <c r="X2" s="147" t="s">
        <v>19</v>
      </c>
      <c r="Y2" s="148" t="s">
        <v>19</v>
      </c>
    </row>
    <row r="3" spans="2:26" ht="17" thickBot="1" x14ac:dyDescent="0.25">
      <c r="B3" s="52" t="s">
        <v>20</v>
      </c>
      <c r="C3" s="53" t="str">
        <f>HSDR!O8</f>
        <v>H</v>
      </c>
      <c r="D3" s="53" t="str">
        <f>HSDR!P8</f>
        <v>H</v>
      </c>
      <c r="E3" s="53" t="str">
        <f>HSDR!Q8</f>
        <v>H</v>
      </c>
      <c r="F3" s="53" t="str">
        <f>HSDR!R8</f>
        <v>H</v>
      </c>
      <c r="G3" s="53" t="str">
        <f>HSDR!S8</f>
        <v>H</v>
      </c>
      <c r="H3" s="53" t="str">
        <f>HSDR!T8</f>
        <v>H</v>
      </c>
      <c r="I3" s="53" t="str">
        <f>HSDR!U8</f>
        <v>H</v>
      </c>
      <c r="J3" s="53" t="str">
        <f>HSDR!V8</f>
        <v>H</v>
      </c>
      <c r="K3" s="53" t="str">
        <f>HSDR!W8</f>
        <v>H</v>
      </c>
      <c r="L3" s="53" t="str">
        <f>HSDR!X8</f>
        <v>H</v>
      </c>
      <c r="N3" s="153"/>
      <c r="O3" s="154"/>
      <c r="P3" s="432" t="str">
        <f>B32</f>
        <v>EV = -0.00531417925590545</v>
      </c>
      <c r="Q3" s="433"/>
      <c r="R3" s="433"/>
      <c r="S3" s="434"/>
      <c r="T3" s="124" t="s">
        <v>57</v>
      </c>
      <c r="U3" s="155">
        <v>2</v>
      </c>
      <c r="V3" s="156">
        <v>3</v>
      </c>
      <c r="W3" s="156">
        <v>4</v>
      </c>
      <c r="X3" s="156">
        <v>5</v>
      </c>
      <c r="Y3" s="157">
        <v>6</v>
      </c>
    </row>
    <row r="4" spans="2:26" x14ac:dyDescent="0.2">
      <c r="B4" s="52">
        <v>9</v>
      </c>
      <c r="C4" s="53" t="str">
        <f>HSDR!O9</f>
        <v>H</v>
      </c>
      <c r="D4" s="53" t="str">
        <f>HSDR!P9</f>
        <v>H</v>
      </c>
      <c r="E4" s="53" t="str">
        <f>HSDR!Q9</f>
        <v>D</v>
      </c>
      <c r="F4" s="53" t="str">
        <f>HSDR!R9</f>
        <v>D</v>
      </c>
      <c r="G4" s="53" t="str">
        <f>HSDR!S9</f>
        <v>D</v>
      </c>
      <c r="H4" s="53" t="str">
        <f>HSDR!T9</f>
        <v>D</v>
      </c>
      <c r="I4" s="53" t="str">
        <f>HSDR!U9</f>
        <v>H</v>
      </c>
      <c r="J4" s="53" t="str">
        <f>HSDR!V9</f>
        <v>H</v>
      </c>
      <c r="K4" s="53" t="str">
        <f>HSDR!W9</f>
        <v>H</v>
      </c>
      <c r="L4" s="53" t="str">
        <f>HSDR!X9</f>
        <v>H</v>
      </c>
      <c r="N4" s="440" t="s">
        <v>35</v>
      </c>
      <c r="O4" s="441"/>
      <c r="P4" s="149">
        <f>'WL Prob'!O4</f>
        <v>0.60218479745106923</v>
      </c>
      <c r="Q4" s="150">
        <f>0.5+(P4-0.6)/50</f>
        <v>0.50004369594902143</v>
      </c>
      <c r="R4" s="151">
        <f>P4</f>
        <v>0.60218479745106923</v>
      </c>
      <c r="S4" s="152">
        <f>ROUND(R4*10,0)</f>
        <v>6</v>
      </c>
      <c r="T4" s="125">
        <v>1</v>
      </c>
      <c r="U4" s="28">
        <f>-1*T4*P4*S4</f>
        <v>-3.6131087847064154</v>
      </c>
      <c r="V4" s="2">
        <f>-P4*T4*1*S4</f>
        <v>-3.6131087847064154</v>
      </c>
      <c r="W4" s="2">
        <f>-P4*S4*T4*1</f>
        <v>-3.6131087847064154</v>
      </c>
      <c r="X4" s="2">
        <f>-P4*T4*S4*1</f>
        <v>-3.6131087847064154</v>
      </c>
      <c r="Y4" s="8">
        <f>-P4*S4*T4*1</f>
        <v>-3.6131087847064154</v>
      </c>
    </row>
    <row r="5" spans="2:26" ht="17" thickBot="1" x14ac:dyDescent="0.25">
      <c r="B5" s="52">
        <v>10</v>
      </c>
      <c r="C5" s="53" t="str">
        <f>HSDR!O10</f>
        <v>H</v>
      </c>
      <c r="D5" s="53" t="str">
        <f>HSDR!P10</f>
        <v>D</v>
      </c>
      <c r="E5" s="53" t="str">
        <f>HSDR!Q10</f>
        <v>D</v>
      </c>
      <c r="F5" s="53" t="str">
        <f>HSDR!R10</f>
        <v>D</v>
      </c>
      <c r="G5" s="53" t="str">
        <f>HSDR!S10</f>
        <v>D</v>
      </c>
      <c r="H5" s="53" t="str">
        <f>HSDR!T10</f>
        <v>D</v>
      </c>
      <c r="I5" s="53" t="str">
        <f>HSDR!U10</f>
        <v>D</v>
      </c>
      <c r="J5" s="53" t="str">
        <f>HSDR!V10</f>
        <v>D</v>
      </c>
      <c r="K5" s="53" t="str">
        <f>HSDR!W10</f>
        <v>D</v>
      </c>
      <c r="L5" s="53" t="str">
        <f>HSDR!X10</f>
        <v>H</v>
      </c>
      <c r="N5" s="423" t="s">
        <v>34</v>
      </c>
      <c r="O5" s="424"/>
      <c r="P5" s="85">
        <f>'WL Prob'!O5</f>
        <v>0.3978152025489306</v>
      </c>
      <c r="Q5" s="162">
        <f>0.5+(P5-0.4)/50</f>
        <v>0.49995630405097863</v>
      </c>
      <c r="R5" s="87">
        <f>P5</f>
        <v>0.3978152025489306</v>
      </c>
      <c r="S5" s="88">
        <v>4</v>
      </c>
      <c r="T5" s="158">
        <f>(EV!C47+P4)/P5</f>
        <v>1.5003715654173615</v>
      </c>
      <c r="U5" s="138">
        <f>U3*T5*P5*S5</f>
        <v>4.7749649455613099</v>
      </c>
      <c r="V5" s="26">
        <f>P5*T5*V3*S5</f>
        <v>7.1624474183419649</v>
      </c>
      <c r="W5" s="26">
        <f>P5*S5*T5*W3</f>
        <v>9.5499298911226198</v>
      </c>
      <c r="X5" s="26">
        <f>P5*T5*S5*X3</f>
        <v>11.937412363903274</v>
      </c>
      <c r="Y5" s="27">
        <f>P5*S5*T5*Y3</f>
        <v>14.32489483668393</v>
      </c>
    </row>
    <row r="6" spans="2:26" ht="17" thickBot="1" x14ac:dyDescent="0.25">
      <c r="B6" s="52">
        <v>11</v>
      </c>
      <c r="C6" s="53" t="str">
        <f>HSDR!O11</f>
        <v>H</v>
      </c>
      <c r="D6" s="53" t="str">
        <f>HSDR!P11</f>
        <v>D</v>
      </c>
      <c r="E6" s="53" t="str">
        <f>HSDR!Q11</f>
        <v>D</v>
      </c>
      <c r="F6" s="53" t="str">
        <f>HSDR!R11</f>
        <v>D</v>
      </c>
      <c r="G6" s="53" t="str">
        <f>HSDR!S11</f>
        <v>D</v>
      </c>
      <c r="H6" s="53" t="str">
        <f>HSDR!T11</f>
        <v>D</v>
      </c>
      <c r="I6" s="53" t="str">
        <f>HSDR!U11</f>
        <v>D</v>
      </c>
      <c r="J6" s="53" t="str">
        <f>HSDR!V11</f>
        <v>D</v>
      </c>
      <c r="K6" s="53" t="str">
        <f>HSDR!W11</f>
        <v>D</v>
      </c>
      <c r="L6" s="53" t="str">
        <f>HSDR!X11</f>
        <v>D</v>
      </c>
      <c r="N6" s="425" t="s">
        <v>2</v>
      </c>
      <c r="O6" s="426"/>
      <c r="P6" s="93">
        <f>SUM(P4:P5)</f>
        <v>0.99999999999999978</v>
      </c>
      <c r="Q6" s="94">
        <f>SUM(Q4:Q5)</f>
        <v>1</v>
      </c>
      <c r="R6" s="95">
        <f>P6</f>
        <v>0.99999999999999978</v>
      </c>
      <c r="S6" s="161">
        <f>ROUND(R6*10,0)</f>
        <v>10</v>
      </c>
      <c r="T6" s="124" t="s">
        <v>60</v>
      </c>
      <c r="U6" s="29">
        <f>SUM(U4:U5)</f>
        <v>1.1618561608548945</v>
      </c>
      <c r="V6" s="19">
        <f>SUM(V4:V5)</f>
        <v>3.5493386336355495</v>
      </c>
      <c r="W6" s="19">
        <f>SUM(W4:W5)</f>
        <v>5.936821106416204</v>
      </c>
      <c r="X6" s="19">
        <f>SUM(X4:X5)</f>
        <v>8.324303579196858</v>
      </c>
      <c r="Y6" s="20">
        <f>SUM(Y4:Y5)</f>
        <v>10.711786051977514</v>
      </c>
    </row>
    <row r="7" spans="2:26" ht="17" thickBot="1" x14ac:dyDescent="0.25">
      <c r="B7" s="52">
        <v>12</v>
      </c>
      <c r="C7" s="53" t="str">
        <f>HSDR!O12</f>
        <v>H</v>
      </c>
      <c r="D7" s="53" t="str">
        <f>HSDR!P12</f>
        <v>H</v>
      </c>
      <c r="E7" s="53" t="str">
        <f>HSDR!Q12</f>
        <v>H</v>
      </c>
      <c r="F7" s="53" t="str">
        <f>HSDR!R12</f>
        <v>S</v>
      </c>
      <c r="G7" s="53" t="str">
        <f>HSDR!S12</f>
        <v>S</v>
      </c>
      <c r="H7" s="53" t="str">
        <f>HSDR!T12</f>
        <v>S</v>
      </c>
      <c r="I7" s="53" t="str">
        <f>HSDR!U12</f>
        <v>H</v>
      </c>
      <c r="J7" s="53" t="str">
        <f>HSDR!V12</f>
        <v>H</v>
      </c>
      <c r="K7" s="53" t="str">
        <f>HSDR!W12</f>
        <v>H</v>
      </c>
      <c r="L7" s="53" t="str">
        <f>HSDR!X12</f>
        <v>H</v>
      </c>
      <c r="N7" s="425" t="s">
        <v>39</v>
      </c>
      <c r="O7" s="426"/>
      <c r="P7" s="93">
        <f>P5-P4</f>
        <v>-0.20436959490213863</v>
      </c>
      <c r="Q7" s="159">
        <f>Q5-Q4</f>
        <v>-8.739189804279901E-5</v>
      </c>
      <c r="R7" s="160"/>
      <c r="S7" s="161"/>
      <c r="T7" s="124" t="s">
        <v>61</v>
      </c>
      <c r="U7" s="29">
        <f>U6/T5</f>
        <v>0.7743789522775304</v>
      </c>
      <c r="V7" s="19">
        <f>V6/T5</f>
        <v>2.3656397624732528</v>
      </c>
      <c r="W7" s="19">
        <f>W6/T5</f>
        <v>3.956900572668975</v>
      </c>
      <c r="X7" s="19">
        <f>X6/T5</f>
        <v>5.5481613828646967</v>
      </c>
      <c r="Y7" s="20">
        <f>Y6/T5</f>
        <v>7.1394221930604198</v>
      </c>
    </row>
    <row r="8" spans="2:26" ht="17" thickBot="1" x14ac:dyDescent="0.25">
      <c r="B8" s="52">
        <v>13</v>
      </c>
      <c r="C8" s="53" t="str">
        <f>HSDR!O13</f>
        <v>H</v>
      </c>
      <c r="D8" s="53" t="str">
        <f>HSDR!P13</f>
        <v>S</v>
      </c>
      <c r="E8" s="53" t="str">
        <f>HSDR!Q13</f>
        <v>S</v>
      </c>
      <c r="F8" s="53" t="str">
        <f>HSDR!R13</f>
        <v>S</v>
      </c>
      <c r="G8" s="53" t="str">
        <f>HSDR!S13</f>
        <v>S</v>
      </c>
      <c r="H8" s="53" t="str">
        <f>HSDR!T13</f>
        <v>S</v>
      </c>
      <c r="I8" s="53" t="str">
        <f>HSDR!U13</f>
        <v>H</v>
      </c>
      <c r="J8" s="53" t="str">
        <f>HSDR!V13</f>
        <v>H</v>
      </c>
      <c r="K8" s="53" t="str">
        <f>HSDR!W13</f>
        <v>H</v>
      </c>
      <c r="L8" s="53" t="str">
        <f>HSDR!X13</f>
        <v>H</v>
      </c>
    </row>
    <row r="9" spans="2:26" ht="17" thickBot="1" x14ac:dyDescent="0.25">
      <c r="B9" s="52">
        <v>14</v>
      </c>
      <c r="C9" s="53" t="str">
        <f>HSDR!O14</f>
        <v>H</v>
      </c>
      <c r="D9" s="53" t="str">
        <f>HSDR!P14</f>
        <v>S</v>
      </c>
      <c r="E9" s="53" t="str">
        <f>HSDR!Q14</f>
        <v>S</v>
      </c>
      <c r="F9" s="53" t="str">
        <f>HSDR!R14</f>
        <v>S</v>
      </c>
      <c r="G9" s="53" t="str">
        <f>HSDR!S14</f>
        <v>S</v>
      </c>
      <c r="H9" s="53" t="str">
        <f>HSDR!T14</f>
        <v>S</v>
      </c>
      <c r="I9" s="53" t="str">
        <f>HSDR!U14</f>
        <v>H</v>
      </c>
      <c r="J9" s="53" t="str">
        <f>HSDR!V14</f>
        <v>H</v>
      </c>
      <c r="K9" s="53" t="str">
        <f>HSDR!W14</f>
        <v>H</v>
      </c>
      <c r="L9" s="53" t="str">
        <f>HSDR!X14</f>
        <v>H</v>
      </c>
      <c r="N9" s="119" t="s">
        <v>55</v>
      </c>
      <c r="O9" s="141" t="s">
        <v>57</v>
      </c>
      <c r="P9" s="429">
        <v>2</v>
      </c>
      <c r="Q9" s="430"/>
      <c r="R9" s="429">
        <v>3</v>
      </c>
      <c r="S9" s="430"/>
      <c r="T9" s="429">
        <v>4</v>
      </c>
      <c r="U9" s="430"/>
      <c r="V9" s="429">
        <v>5</v>
      </c>
      <c r="W9" s="430"/>
      <c r="X9" s="429">
        <v>6</v>
      </c>
      <c r="Y9" s="430"/>
    </row>
    <row r="10" spans="2:26" ht="17" thickBot="1" x14ac:dyDescent="0.25">
      <c r="B10" s="52">
        <v>15</v>
      </c>
      <c r="C10" s="53" t="str">
        <f>HSDR!O15</f>
        <v>H</v>
      </c>
      <c r="D10" s="53" t="str">
        <f>HSDR!P15</f>
        <v>S</v>
      </c>
      <c r="E10" s="53" t="str">
        <f>HSDR!Q15</f>
        <v>S</v>
      </c>
      <c r="F10" s="53" t="str">
        <f>HSDR!R15</f>
        <v>S</v>
      </c>
      <c r="G10" s="53" t="str">
        <f>HSDR!S15</f>
        <v>S</v>
      </c>
      <c r="H10" s="53" t="str">
        <f>HSDR!T15</f>
        <v>S</v>
      </c>
      <c r="I10" s="53" t="str">
        <f>HSDR!U15</f>
        <v>H</v>
      </c>
      <c r="J10" s="53" t="str">
        <f>HSDR!V15</f>
        <v>H</v>
      </c>
      <c r="K10" s="53" t="str">
        <f>HSDR!W15</f>
        <v>H</v>
      </c>
      <c r="L10" s="53" t="str">
        <f>HSDR!X15</f>
        <v>R</v>
      </c>
      <c r="N10" s="141">
        <v>6</v>
      </c>
      <c r="O10" s="145"/>
      <c r="P10" s="118" t="s">
        <v>56</v>
      </c>
      <c r="Q10" s="10" t="s">
        <v>54</v>
      </c>
      <c r="R10" s="118" t="s">
        <v>56</v>
      </c>
      <c r="S10" s="10" t="s">
        <v>54</v>
      </c>
      <c r="T10" s="118" t="s">
        <v>56</v>
      </c>
      <c r="U10" s="10" t="s">
        <v>54</v>
      </c>
      <c r="V10" s="118" t="s">
        <v>56</v>
      </c>
      <c r="W10" s="10" t="s">
        <v>54</v>
      </c>
      <c r="X10" s="118" t="s">
        <v>56</v>
      </c>
      <c r="Y10" s="10" t="s">
        <v>54</v>
      </c>
    </row>
    <row r="11" spans="2:26" x14ac:dyDescent="0.2">
      <c r="B11" s="52">
        <v>16</v>
      </c>
      <c r="C11" s="53" t="str">
        <f>HSDR!O16</f>
        <v>H</v>
      </c>
      <c r="D11" s="53" t="str">
        <f>HSDR!P16</f>
        <v>S</v>
      </c>
      <c r="E11" s="53" t="str">
        <f>HSDR!Q16</f>
        <v>S</v>
      </c>
      <c r="F11" s="53" t="str">
        <f>HSDR!R16</f>
        <v>S</v>
      </c>
      <c r="G11" s="53" t="str">
        <f>HSDR!S16</f>
        <v>S</v>
      </c>
      <c r="H11" s="53" t="str">
        <f>HSDR!T16</f>
        <v>S</v>
      </c>
      <c r="I11" s="53" t="str">
        <f>HSDR!U16</f>
        <v>H</v>
      </c>
      <c r="J11" s="53" t="str">
        <f>HSDR!V16</f>
        <v>H</v>
      </c>
      <c r="K11" s="53" t="str">
        <f>HSDR!W16</f>
        <v>R</v>
      </c>
      <c r="L11" s="53" t="str">
        <f>HSDR!X16</f>
        <v>R</v>
      </c>
      <c r="N11" s="120"/>
      <c r="O11" s="122" t="s">
        <v>49</v>
      </c>
      <c r="P11" s="28">
        <v>1</v>
      </c>
      <c r="Q11" s="8">
        <f>P11*$N$10</f>
        <v>6</v>
      </c>
      <c r="R11" s="28">
        <v>1</v>
      </c>
      <c r="S11" s="8">
        <f>R11*$N$10</f>
        <v>6</v>
      </c>
      <c r="T11" s="28">
        <v>1</v>
      </c>
      <c r="U11" s="8">
        <f>T11*$N$10</f>
        <v>6</v>
      </c>
      <c r="V11" s="28">
        <v>1</v>
      </c>
      <c r="W11" s="8">
        <f>V11*$N$10</f>
        <v>6</v>
      </c>
      <c r="X11" s="28">
        <v>1</v>
      </c>
      <c r="Y11" s="8">
        <f>X11*$N$10</f>
        <v>6</v>
      </c>
    </row>
    <row r="12" spans="2:26" x14ac:dyDescent="0.2">
      <c r="B12" s="52" t="s">
        <v>21</v>
      </c>
      <c r="C12" s="53" t="str">
        <f>HSDR!O17</f>
        <v>S</v>
      </c>
      <c r="D12" s="53" t="str">
        <f>HSDR!P17</f>
        <v>S</v>
      </c>
      <c r="E12" s="53" t="str">
        <f>HSDR!Q17</f>
        <v>S</v>
      </c>
      <c r="F12" s="53" t="str">
        <f>HSDR!R17</f>
        <v>S</v>
      </c>
      <c r="G12" s="53" t="str">
        <f>HSDR!S17</f>
        <v>S</v>
      </c>
      <c r="H12" s="53" t="str">
        <f>HSDR!T17</f>
        <v>S</v>
      </c>
      <c r="I12" s="53" t="str">
        <f>HSDR!U17</f>
        <v>S</v>
      </c>
      <c r="J12" s="53" t="str">
        <f>HSDR!V17</f>
        <v>S</v>
      </c>
      <c r="K12" s="53" t="str">
        <f>HSDR!W17</f>
        <v>S</v>
      </c>
      <c r="L12" s="53" t="str">
        <f>HSDR!X17</f>
        <v>S</v>
      </c>
      <c r="N12" s="121"/>
      <c r="O12" s="123" t="s">
        <v>50</v>
      </c>
      <c r="P12" s="117">
        <f>P11*P$9</f>
        <v>2</v>
      </c>
      <c r="Q12" s="8">
        <f>P12*$N$10+Q11</f>
        <v>18</v>
      </c>
      <c r="R12" s="117">
        <f>R11*R$9</f>
        <v>3</v>
      </c>
      <c r="S12" s="8">
        <f>R12*$N$10+S11</f>
        <v>24</v>
      </c>
      <c r="T12" s="117">
        <f>T11*T$9</f>
        <v>4</v>
      </c>
      <c r="U12" s="8">
        <f>T12*$N$10+U11</f>
        <v>30</v>
      </c>
      <c r="V12" s="117">
        <f>V11*V$9</f>
        <v>5</v>
      </c>
      <c r="W12" s="8">
        <f>V12*$N$10+W11</f>
        <v>36</v>
      </c>
      <c r="X12" s="117">
        <f>X11*X$9</f>
        <v>6</v>
      </c>
      <c r="Y12" s="8">
        <f>X12*$N$10+Y11</f>
        <v>42</v>
      </c>
    </row>
    <row r="13" spans="2:26" x14ac:dyDescent="0.2">
      <c r="B13" s="52" t="s">
        <v>4</v>
      </c>
      <c r="C13" s="52" t="s">
        <v>22</v>
      </c>
      <c r="D13" s="52">
        <v>2</v>
      </c>
      <c r="E13" s="52">
        <v>3</v>
      </c>
      <c r="F13" s="52">
        <v>4</v>
      </c>
      <c r="G13" s="52">
        <v>5</v>
      </c>
      <c r="H13" s="52">
        <v>6</v>
      </c>
      <c r="I13" s="52">
        <v>7</v>
      </c>
      <c r="J13" s="52">
        <v>8</v>
      </c>
      <c r="K13" s="52">
        <v>9</v>
      </c>
      <c r="L13" s="52">
        <v>10</v>
      </c>
      <c r="N13" s="121"/>
      <c r="O13" s="123" t="s">
        <v>51</v>
      </c>
      <c r="P13" s="117">
        <f>P12*P$9</f>
        <v>4</v>
      </c>
      <c r="Q13" s="8">
        <f>P13*$N$10+Q12</f>
        <v>42</v>
      </c>
      <c r="R13" s="117">
        <f t="shared" ref="R13:T15" si="0">R12*R$9</f>
        <v>9</v>
      </c>
      <c r="S13" s="8">
        <f>R13*$N$10+S12</f>
        <v>78</v>
      </c>
      <c r="T13" s="117">
        <f t="shared" si="0"/>
        <v>16</v>
      </c>
      <c r="U13" s="8">
        <f>T13*$N$10+U12</f>
        <v>126</v>
      </c>
      <c r="V13" s="117">
        <f>V12*V$9</f>
        <v>25</v>
      </c>
      <c r="W13" s="8">
        <f>V13*$N$10+W12</f>
        <v>186</v>
      </c>
      <c r="X13" s="117">
        <f>X12*X$9</f>
        <v>36</v>
      </c>
      <c r="Y13" s="8">
        <f>X13*$N$10+Y12</f>
        <v>258</v>
      </c>
    </row>
    <row r="14" spans="2:26" x14ac:dyDescent="0.2">
      <c r="B14" s="52">
        <v>13</v>
      </c>
      <c r="C14" s="53" t="str">
        <f>HSDR!O36</f>
        <v>H</v>
      </c>
      <c r="D14" s="53" t="str">
        <f>HSDR!P36</f>
        <v>H</v>
      </c>
      <c r="E14" s="53" t="str">
        <f>HSDR!Q36</f>
        <v>H</v>
      </c>
      <c r="F14" s="53" t="str">
        <f>HSDR!R36</f>
        <v>H</v>
      </c>
      <c r="G14" s="53" t="str">
        <f>HSDR!S36</f>
        <v>H</v>
      </c>
      <c r="H14" s="53" t="str">
        <f>HSDR!T36</f>
        <v>D</v>
      </c>
      <c r="I14" s="53" t="str">
        <f>HSDR!U36</f>
        <v>H</v>
      </c>
      <c r="J14" s="53" t="str">
        <f>HSDR!V36</f>
        <v>H</v>
      </c>
      <c r="K14" s="53" t="str">
        <f>HSDR!W36</f>
        <v>H</v>
      </c>
      <c r="L14" s="53" t="str">
        <f>HSDR!X36</f>
        <v>H</v>
      </c>
      <c r="N14" s="121"/>
      <c r="O14" s="123" t="s">
        <v>52</v>
      </c>
      <c r="P14" s="117">
        <f>P13*P$9</f>
        <v>8</v>
      </c>
      <c r="Q14" s="8">
        <f>P14*$N$10+Q13</f>
        <v>90</v>
      </c>
      <c r="R14" s="117">
        <f t="shared" si="0"/>
        <v>27</v>
      </c>
      <c r="S14" s="8">
        <f>R14*$N$10+S13</f>
        <v>240</v>
      </c>
      <c r="T14" s="117">
        <f t="shared" si="0"/>
        <v>64</v>
      </c>
      <c r="U14" s="8">
        <f>T14*$N$10+U13</f>
        <v>510</v>
      </c>
      <c r="V14" s="117">
        <f>V13*V$9</f>
        <v>125</v>
      </c>
      <c r="W14" s="8">
        <f>V14*$N$10+W13</f>
        <v>936</v>
      </c>
      <c r="X14" s="117">
        <f>X13*X$9</f>
        <v>216</v>
      </c>
      <c r="Y14" s="8">
        <f>X14*$N$10+Y13</f>
        <v>1554</v>
      </c>
    </row>
    <row r="15" spans="2:26" ht="17" thickBot="1" x14ac:dyDescent="0.25">
      <c r="B15" s="52">
        <v>14</v>
      </c>
      <c r="C15" s="53" t="str">
        <f>HSDR!O37</f>
        <v>H</v>
      </c>
      <c r="D15" s="53" t="str">
        <f>HSDR!P37</f>
        <v>H</v>
      </c>
      <c r="E15" s="53" t="str">
        <f>HSDR!Q37</f>
        <v>H</v>
      </c>
      <c r="F15" s="53" t="str">
        <f>HSDR!R37</f>
        <v>H</v>
      </c>
      <c r="G15" s="53" t="str">
        <f>HSDR!S37</f>
        <v>D</v>
      </c>
      <c r="H15" s="53" t="str">
        <f>HSDR!T37</f>
        <v>D</v>
      </c>
      <c r="I15" s="53" t="str">
        <f>HSDR!U37</f>
        <v>H</v>
      </c>
      <c r="J15" s="53" t="str">
        <f>HSDR!V37</f>
        <v>H</v>
      </c>
      <c r="K15" s="53" t="str">
        <f>HSDR!W37</f>
        <v>H</v>
      </c>
      <c r="L15" s="53" t="str">
        <f>HSDR!X37</f>
        <v>H</v>
      </c>
      <c r="N15" s="136"/>
      <c r="O15" s="137" t="s">
        <v>53</v>
      </c>
      <c r="P15" s="138">
        <f>P14*P$9</f>
        <v>16</v>
      </c>
      <c r="Q15" s="139">
        <f>P15*$N$10+Q14</f>
        <v>186</v>
      </c>
      <c r="R15" s="138">
        <f t="shared" si="0"/>
        <v>81</v>
      </c>
      <c r="S15" s="139">
        <f>R15*$N$10+S14</f>
        <v>726</v>
      </c>
      <c r="T15" s="138">
        <f t="shared" si="0"/>
        <v>256</v>
      </c>
      <c r="U15" s="139">
        <f>T15*$N$10+U14</f>
        <v>2046</v>
      </c>
      <c r="V15" s="138">
        <f>V14*V$9</f>
        <v>625</v>
      </c>
      <c r="W15" s="139">
        <f>V15*$N$10+W14</f>
        <v>4686</v>
      </c>
      <c r="X15" s="138">
        <f>X14*X$9</f>
        <v>1296</v>
      </c>
      <c r="Y15" s="139">
        <f>X15*$N$10+Y14</f>
        <v>9330</v>
      </c>
    </row>
    <row r="16" spans="2:26" ht="17" thickBot="1" x14ac:dyDescent="0.25">
      <c r="B16" s="52">
        <v>15</v>
      </c>
      <c r="C16" s="53" t="str">
        <f>HSDR!O38</f>
        <v>H</v>
      </c>
      <c r="D16" s="53" t="str">
        <f>HSDR!P38</f>
        <v>H</v>
      </c>
      <c r="E16" s="53" t="str">
        <f>HSDR!Q38</f>
        <v>H</v>
      </c>
      <c r="F16" s="53" t="str">
        <f>HSDR!R38</f>
        <v>H</v>
      </c>
      <c r="G16" s="53" t="str">
        <f>HSDR!S38</f>
        <v>D</v>
      </c>
      <c r="H16" s="53" t="str">
        <f>HSDR!T38</f>
        <v>D</v>
      </c>
      <c r="I16" s="53" t="str">
        <f>HSDR!U38</f>
        <v>H</v>
      </c>
      <c r="J16" s="53" t="str">
        <f>HSDR!V38</f>
        <v>H</v>
      </c>
      <c r="K16" s="53" t="str">
        <f>HSDR!W38</f>
        <v>H</v>
      </c>
      <c r="L16" s="53" t="str">
        <f>HSDR!X38</f>
        <v>H</v>
      </c>
      <c r="N16" s="140" t="s">
        <v>57</v>
      </c>
      <c r="O16" s="141" t="s">
        <v>56</v>
      </c>
      <c r="P16" s="142">
        <v>100</v>
      </c>
      <c r="Q16" s="20" t="s">
        <v>54</v>
      </c>
      <c r="R16" s="143">
        <v>200</v>
      </c>
      <c r="S16" s="144" t="s">
        <v>54</v>
      </c>
      <c r="T16" s="142">
        <v>300</v>
      </c>
      <c r="U16" s="20" t="s">
        <v>54</v>
      </c>
      <c r="V16" s="142">
        <v>400</v>
      </c>
      <c r="W16" s="20" t="s">
        <v>54</v>
      </c>
      <c r="X16" s="142">
        <v>500</v>
      </c>
      <c r="Y16" s="20" t="s">
        <v>54</v>
      </c>
    </row>
    <row r="17" spans="2:25" x14ac:dyDescent="0.2">
      <c r="B17" s="52">
        <v>16</v>
      </c>
      <c r="C17" s="53" t="str">
        <f>HSDR!O39</f>
        <v>H</v>
      </c>
      <c r="D17" s="53" t="str">
        <f>HSDR!P39</f>
        <v>H</v>
      </c>
      <c r="E17" s="53" t="str">
        <f>HSDR!Q39</f>
        <v>H</v>
      </c>
      <c r="F17" s="53" t="str">
        <f>HSDR!R39</f>
        <v>D</v>
      </c>
      <c r="G17" s="53" t="str">
        <f>HSDR!S39</f>
        <v>D</v>
      </c>
      <c r="H17" s="53" t="str">
        <f>HSDR!T39</f>
        <v>D</v>
      </c>
      <c r="I17" s="53" t="str">
        <f>HSDR!U39</f>
        <v>H</v>
      </c>
      <c r="J17" s="53" t="str">
        <f>HSDR!V39</f>
        <v>H</v>
      </c>
      <c r="K17" s="53" t="str">
        <f>HSDR!W39</f>
        <v>H</v>
      </c>
      <c r="L17" s="53" t="str">
        <f>HSDR!X39</f>
        <v>H</v>
      </c>
      <c r="N17" s="435">
        <v>2</v>
      </c>
      <c r="O17" s="131">
        <v>1</v>
      </c>
      <c r="P17" s="135">
        <f>O17*P$16</f>
        <v>100</v>
      </c>
      <c r="Q17" s="132">
        <f>O17*$N$10*P17</f>
        <v>600</v>
      </c>
      <c r="R17" s="135">
        <f>$O17*R$16</f>
        <v>200</v>
      </c>
      <c r="S17" s="132">
        <f>$N$10*R17</f>
        <v>1200</v>
      </c>
      <c r="T17" s="135">
        <f>$O17*T$16</f>
        <v>300</v>
      </c>
      <c r="U17" s="132">
        <f>$N$10*T17</f>
        <v>1800</v>
      </c>
      <c r="V17" s="135">
        <f>$O17*V$16</f>
        <v>400</v>
      </c>
      <c r="W17" s="132">
        <f>$N$10*V17</f>
        <v>2400</v>
      </c>
      <c r="X17" s="135">
        <f>$O17*X$16</f>
        <v>500</v>
      </c>
      <c r="Y17" s="132">
        <f>$N$10*X17</f>
        <v>3000</v>
      </c>
    </row>
    <row r="18" spans="2:25" x14ac:dyDescent="0.2">
      <c r="B18" s="52">
        <v>17</v>
      </c>
      <c r="C18" s="53" t="str">
        <f>HSDR!O40</f>
        <v>H</v>
      </c>
      <c r="D18" s="53" t="str">
        <f>HSDR!P40</f>
        <v>H</v>
      </c>
      <c r="E18" s="53" t="str">
        <f>HSDR!Q40</f>
        <v>D</v>
      </c>
      <c r="F18" s="53" t="str">
        <f>HSDR!R40</f>
        <v>D</v>
      </c>
      <c r="G18" s="53" t="str">
        <f>HSDR!S40</f>
        <v>D</v>
      </c>
      <c r="H18" s="53" t="str">
        <f>HSDR!T40</f>
        <v>D</v>
      </c>
      <c r="I18" s="53" t="str">
        <f>HSDR!U40</f>
        <v>H</v>
      </c>
      <c r="J18" s="53" t="str">
        <f>HSDR!V40</f>
        <v>H</v>
      </c>
      <c r="K18" s="53" t="str">
        <f>HSDR!W40</f>
        <v>H</v>
      </c>
      <c r="L18" s="53" t="str">
        <f>HSDR!X40</f>
        <v>H</v>
      </c>
      <c r="N18" s="436"/>
      <c r="O18" s="126">
        <f>O17*N17</f>
        <v>2</v>
      </c>
      <c r="P18" s="133">
        <f>O18*P$16</f>
        <v>200</v>
      </c>
      <c r="Q18" s="128">
        <f>$N$10*P18+Q17</f>
        <v>1800</v>
      </c>
      <c r="R18" s="133">
        <f>$O18*R$16</f>
        <v>400</v>
      </c>
      <c r="S18" s="128">
        <f>$N$10*R18+S17</f>
        <v>3600</v>
      </c>
      <c r="T18" s="133">
        <f>$O18*T$16</f>
        <v>600</v>
      </c>
      <c r="U18" s="128">
        <f>$N$10*T18+U17</f>
        <v>5400</v>
      </c>
      <c r="V18" s="133">
        <f t="shared" ref="V18:X21" si="1">$O18*V$16</f>
        <v>800</v>
      </c>
      <c r="W18" s="128">
        <f>$N$10*V18+W17</f>
        <v>7200</v>
      </c>
      <c r="X18" s="133">
        <f t="shared" si="1"/>
        <v>1000</v>
      </c>
      <c r="Y18" s="128">
        <f>$N$10*X18+Y17</f>
        <v>9000</v>
      </c>
    </row>
    <row r="19" spans="2:25" x14ac:dyDescent="0.2">
      <c r="B19" s="52">
        <v>18</v>
      </c>
      <c r="C19" s="53" t="str">
        <f>HSDR!O41</f>
        <v>H</v>
      </c>
      <c r="D19" s="53" t="str">
        <f>HSDR!P41</f>
        <v>S</v>
      </c>
      <c r="E19" s="53" t="str">
        <f>HSDR!Q41</f>
        <v>D</v>
      </c>
      <c r="F19" s="53" t="str">
        <f>HSDR!R41</f>
        <v>D</v>
      </c>
      <c r="G19" s="53" t="str">
        <f>HSDR!S41</f>
        <v>D</v>
      </c>
      <c r="H19" s="53" t="str">
        <f>HSDR!T41</f>
        <v>D</v>
      </c>
      <c r="I19" s="53" t="str">
        <f>HSDR!U41</f>
        <v>S</v>
      </c>
      <c r="J19" s="53" t="str">
        <f>HSDR!V41</f>
        <v>S</v>
      </c>
      <c r="K19" s="53" t="str">
        <f>HSDR!W41</f>
        <v>H</v>
      </c>
      <c r="L19" s="53" t="str">
        <f>HSDR!X41</f>
        <v>H</v>
      </c>
      <c r="N19" s="436"/>
      <c r="O19" s="126">
        <f>O18*N17</f>
        <v>4</v>
      </c>
      <c r="P19" s="133">
        <f>O19*P$16</f>
        <v>400</v>
      </c>
      <c r="Q19" s="128">
        <f>$N$10*P19+Q18</f>
        <v>4200</v>
      </c>
      <c r="R19" s="133">
        <f>$O19*R$16</f>
        <v>800</v>
      </c>
      <c r="S19" s="128">
        <f>$N$10*R19+S18</f>
        <v>8400</v>
      </c>
      <c r="T19" s="133">
        <f>$O19*T$16</f>
        <v>1200</v>
      </c>
      <c r="U19" s="128">
        <f>$N$10*T19+U18</f>
        <v>12600</v>
      </c>
      <c r="V19" s="133">
        <f t="shared" si="1"/>
        <v>1600</v>
      </c>
      <c r="W19" s="128">
        <f>$N$10*V19+W18</f>
        <v>16800</v>
      </c>
      <c r="X19" s="133">
        <f t="shared" si="1"/>
        <v>2000</v>
      </c>
      <c r="Y19" s="128">
        <f>$N$10*X19+Y18</f>
        <v>21000</v>
      </c>
    </row>
    <row r="20" spans="2:25" x14ac:dyDescent="0.2">
      <c r="B20" s="52">
        <v>19</v>
      </c>
      <c r="C20" s="53" t="str">
        <f>HSDR!O42</f>
        <v>S</v>
      </c>
      <c r="D20" s="53" t="str">
        <f>HSDR!P42</f>
        <v>S</v>
      </c>
      <c r="E20" s="53" t="str">
        <f>HSDR!Q42</f>
        <v>S</v>
      </c>
      <c r="F20" s="53" t="str">
        <f>HSDR!R42</f>
        <v>S</v>
      </c>
      <c r="G20" s="53" t="str">
        <f>HSDR!S42</f>
        <v>S</v>
      </c>
      <c r="H20" s="53" t="str">
        <f>HSDR!T42</f>
        <v>S</v>
      </c>
      <c r="I20" s="53" t="str">
        <f>HSDR!U42</f>
        <v>S</v>
      </c>
      <c r="J20" s="53" t="str">
        <f>HSDR!V42</f>
        <v>S</v>
      </c>
      <c r="K20" s="53" t="str">
        <f>HSDR!W42</f>
        <v>S</v>
      </c>
      <c r="L20" s="53" t="str">
        <f>HSDR!X42</f>
        <v>S</v>
      </c>
      <c r="N20" s="436"/>
      <c r="O20" s="126">
        <f>O19*N17</f>
        <v>8</v>
      </c>
      <c r="P20" s="133">
        <f>O20*P$16</f>
        <v>800</v>
      </c>
      <c r="Q20" s="128">
        <f>$N$10*P20+Q19</f>
        <v>9000</v>
      </c>
      <c r="R20" s="133">
        <f>$O20*R$16</f>
        <v>1600</v>
      </c>
      <c r="S20" s="128">
        <f>$N$10*R20+S19</f>
        <v>18000</v>
      </c>
      <c r="T20" s="133">
        <f>$O20*T$16</f>
        <v>2400</v>
      </c>
      <c r="U20" s="128">
        <f>$N$10*T20+U19</f>
        <v>27000</v>
      </c>
      <c r="V20" s="133">
        <f t="shared" si="1"/>
        <v>3200</v>
      </c>
      <c r="W20" s="128">
        <f>$N$10*V20+W19</f>
        <v>36000</v>
      </c>
      <c r="X20" s="133">
        <f t="shared" si="1"/>
        <v>4000</v>
      </c>
      <c r="Y20" s="128">
        <f>$N$10*X20+Y19</f>
        <v>45000</v>
      </c>
    </row>
    <row r="21" spans="2:25" ht="17" thickBot="1" x14ac:dyDescent="0.25">
      <c r="B21" s="52" t="s">
        <v>10</v>
      </c>
      <c r="C21" s="52" t="s">
        <v>22</v>
      </c>
      <c r="D21" s="52">
        <v>2</v>
      </c>
      <c r="E21" s="52">
        <v>3</v>
      </c>
      <c r="F21" s="52">
        <v>4</v>
      </c>
      <c r="G21" s="52">
        <v>5</v>
      </c>
      <c r="H21" s="52">
        <v>6</v>
      </c>
      <c r="I21" s="52">
        <v>7</v>
      </c>
      <c r="J21" s="52">
        <v>8</v>
      </c>
      <c r="K21" s="52">
        <v>9</v>
      </c>
      <c r="L21" s="52">
        <v>10</v>
      </c>
      <c r="N21" s="437"/>
      <c r="O21" s="126">
        <f>O20*N17</f>
        <v>16</v>
      </c>
      <c r="P21" s="134">
        <f>O21*P$16</f>
        <v>1600</v>
      </c>
      <c r="Q21" s="129">
        <f>$N$10*P21+Q20</f>
        <v>18600</v>
      </c>
      <c r="R21" s="134">
        <f>$O21*R$16</f>
        <v>3200</v>
      </c>
      <c r="S21" s="129">
        <f>$N$10*R21+S20</f>
        <v>37200</v>
      </c>
      <c r="T21" s="134">
        <f>$O21*T$16</f>
        <v>4800</v>
      </c>
      <c r="U21" s="129">
        <f>$N$10*T21+U20</f>
        <v>55800</v>
      </c>
      <c r="V21" s="134">
        <f t="shared" si="1"/>
        <v>6400</v>
      </c>
      <c r="W21" s="129">
        <f>$N$10*V21+W20</f>
        <v>74400</v>
      </c>
      <c r="X21" s="134">
        <f t="shared" si="1"/>
        <v>8000</v>
      </c>
      <c r="Y21" s="129">
        <f>$N$10*X21+Y20</f>
        <v>93000</v>
      </c>
    </row>
    <row r="22" spans="2:25" ht="17" thickBot="1" x14ac:dyDescent="0.25">
      <c r="B22" s="52" t="s">
        <v>22</v>
      </c>
      <c r="C22" s="53" t="str">
        <f>Pair!O2</f>
        <v>P</v>
      </c>
      <c r="D22" s="53" t="str">
        <f>Pair!P2</f>
        <v>P</v>
      </c>
      <c r="E22" s="53" t="str">
        <f>Pair!Q2</f>
        <v>P</v>
      </c>
      <c r="F22" s="53" t="str">
        <f>Pair!R2</f>
        <v>P</v>
      </c>
      <c r="G22" s="53" t="str">
        <f>Pair!S2</f>
        <v>P</v>
      </c>
      <c r="H22" s="53" t="str">
        <f>Pair!T2</f>
        <v>P</v>
      </c>
      <c r="I22" s="53" t="str">
        <f>Pair!U2</f>
        <v>P</v>
      </c>
      <c r="J22" s="53" t="str">
        <f>Pair!V2</f>
        <v>P</v>
      </c>
      <c r="K22" s="53" t="str">
        <f>Pair!W2</f>
        <v>P</v>
      </c>
      <c r="L22" s="53" t="str">
        <f>Pair!X2</f>
        <v>P</v>
      </c>
      <c r="N22" s="140" t="s">
        <v>57</v>
      </c>
      <c r="O22" s="141" t="s">
        <v>56</v>
      </c>
      <c r="P22" s="142">
        <v>100</v>
      </c>
      <c r="Q22" s="20" t="s">
        <v>54</v>
      </c>
      <c r="R22" s="143">
        <v>200</v>
      </c>
      <c r="S22" s="144" t="s">
        <v>54</v>
      </c>
      <c r="T22" s="142">
        <v>300</v>
      </c>
      <c r="U22" s="20" t="s">
        <v>54</v>
      </c>
      <c r="V22" s="142">
        <v>400</v>
      </c>
      <c r="W22" s="20" t="s">
        <v>54</v>
      </c>
      <c r="X22" s="142">
        <v>500</v>
      </c>
      <c r="Y22" s="20" t="s">
        <v>54</v>
      </c>
    </row>
    <row r="23" spans="2:25" x14ac:dyDescent="0.2">
      <c r="B23" s="52">
        <v>2</v>
      </c>
      <c r="C23" s="53" t="str">
        <f>Pair!O3</f>
        <v>H</v>
      </c>
      <c r="D23" s="53" t="str">
        <f>Pair!P3</f>
        <v>P</v>
      </c>
      <c r="E23" s="53" t="str">
        <f>Pair!Q3</f>
        <v>P</v>
      </c>
      <c r="F23" s="53" t="str">
        <f>Pair!R3</f>
        <v>P</v>
      </c>
      <c r="G23" s="53" t="str">
        <f>Pair!S3</f>
        <v>P</v>
      </c>
      <c r="H23" s="53" t="str">
        <f>Pair!T3</f>
        <v>P</v>
      </c>
      <c r="I23" s="53" t="str">
        <f>Pair!U3</f>
        <v>P</v>
      </c>
      <c r="J23" s="53" t="str">
        <f>Pair!V3</f>
        <v>H</v>
      </c>
      <c r="K23" s="53" t="str">
        <f>Pair!W3</f>
        <v>H</v>
      </c>
      <c r="L23" s="53" t="str">
        <f>Pair!X3</f>
        <v>H</v>
      </c>
      <c r="N23" s="435">
        <v>3</v>
      </c>
      <c r="O23" s="131">
        <v>1</v>
      </c>
      <c r="P23" s="135">
        <f>O23*P$16</f>
        <v>100</v>
      </c>
      <c r="Q23" s="132">
        <f>O23*$N$10*P23</f>
        <v>600</v>
      </c>
      <c r="R23" s="135">
        <f>$O23*R$16</f>
        <v>200</v>
      </c>
      <c r="S23" s="132">
        <f>$N$10*R23</f>
        <v>1200</v>
      </c>
      <c r="T23" s="135">
        <f>$O23*T$16</f>
        <v>300</v>
      </c>
      <c r="U23" s="132">
        <f>$N$10*T23</f>
        <v>1800</v>
      </c>
      <c r="V23" s="135">
        <f>$O23*V$16</f>
        <v>400</v>
      </c>
      <c r="W23" s="132">
        <f>$N$10*V23</f>
        <v>2400</v>
      </c>
      <c r="X23" s="135">
        <f>$O23*X$16</f>
        <v>500</v>
      </c>
      <c r="Y23" s="132">
        <f>$N$10*X23</f>
        <v>3000</v>
      </c>
    </row>
    <row r="24" spans="2:25" x14ac:dyDescent="0.2">
      <c r="B24" s="52">
        <v>3</v>
      </c>
      <c r="C24" s="53" t="str">
        <f>Pair!O4</f>
        <v>H</v>
      </c>
      <c r="D24" s="53" t="str">
        <f>Pair!P4</f>
        <v>P</v>
      </c>
      <c r="E24" s="53" t="str">
        <f>Pair!Q4</f>
        <v>P</v>
      </c>
      <c r="F24" s="53" t="str">
        <f>Pair!R4</f>
        <v>P</v>
      </c>
      <c r="G24" s="53" t="str">
        <f>Pair!S4</f>
        <v>P</v>
      </c>
      <c r="H24" s="53" t="str">
        <f>Pair!T4</f>
        <v>P</v>
      </c>
      <c r="I24" s="53" t="str">
        <f>Pair!U4</f>
        <v>P</v>
      </c>
      <c r="J24" s="53" t="str">
        <f>Pair!V4</f>
        <v>H</v>
      </c>
      <c r="K24" s="53" t="str">
        <f>Pair!W4</f>
        <v>H</v>
      </c>
      <c r="L24" s="53" t="str">
        <f>Pair!X4</f>
        <v>H</v>
      </c>
      <c r="N24" s="436"/>
      <c r="O24" s="126">
        <f>O23*N23</f>
        <v>3</v>
      </c>
      <c r="P24" s="133">
        <f>O24*P$16</f>
        <v>300</v>
      </c>
      <c r="Q24" s="128">
        <f>$N$10*P24+Q23</f>
        <v>2400</v>
      </c>
      <c r="R24" s="133">
        <f>$O24*R$16</f>
        <v>600</v>
      </c>
      <c r="S24" s="128">
        <f>$N$10*R24+S23</f>
        <v>4800</v>
      </c>
      <c r="T24" s="133">
        <f>$O24*T$16</f>
        <v>900</v>
      </c>
      <c r="U24" s="128">
        <f>$N$10*T24+U23</f>
        <v>7200</v>
      </c>
      <c r="V24" s="133">
        <f t="shared" ref="V24:X27" si="2">$O24*V$16</f>
        <v>1200</v>
      </c>
      <c r="W24" s="128">
        <f>$N$10*V24+W23</f>
        <v>9600</v>
      </c>
      <c r="X24" s="133">
        <f t="shared" si="2"/>
        <v>1500</v>
      </c>
      <c r="Y24" s="128">
        <f>$N$10*X24+Y23</f>
        <v>12000</v>
      </c>
    </row>
    <row r="25" spans="2:25" x14ac:dyDescent="0.2">
      <c r="B25" s="52">
        <v>4</v>
      </c>
      <c r="C25" s="53" t="str">
        <f>Pair!O5</f>
        <v>H</v>
      </c>
      <c r="D25" s="53" t="str">
        <f>Pair!P5</f>
        <v>H</v>
      </c>
      <c r="E25" s="53" t="str">
        <f>Pair!Q5</f>
        <v>H</v>
      </c>
      <c r="F25" s="53" t="str">
        <f>Pair!R5</f>
        <v>H</v>
      </c>
      <c r="G25" s="53" t="str">
        <f>Pair!S5</f>
        <v>P</v>
      </c>
      <c r="H25" s="53" t="str">
        <f>Pair!T5</f>
        <v>P</v>
      </c>
      <c r="I25" s="53" t="str">
        <f>Pair!U5</f>
        <v>H</v>
      </c>
      <c r="J25" s="53" t="str">
        <f>Pair!V5</f>
        <v>H</v>
      </c>
      <c r="K25" s="53" t="str">
        <f>Pair!W5</f>
        <v>H</v>
      </c>
      <c r="L25" s="53" t="str">
        <f>Pair!X5</f>
        <v>H</v>
      </c>
      <c r="N25" s="436"/>
      <c r="O25" s="126">
        <f>O24*N23</f>
        <v>9</v>
      </c>
      <c r="P25" s="133">
        <f>O25*P$16</f>
        <v>900</v>
      </c>
      <c r="Q25" s="128">
        <f>$N$10*P25+Q24</f>
        <v>7800</v>
      </c>
      <c r="R25" s="133">
        <f>$O25*R$16</f>
        <v>1800</v>
      </c>
      <c r="S25" s="128">
        <f>$N$10*R25+S24</f>
        <v>15600</v>
      </c>
      <c r="T25" s="133">
        <f>$O25*T$16</f>
        <v>2700</v>
      </c>
      <c r="U25" s="128">
        <f>$N$10*T25+U24</f>
        <v>23400</v>
      </c>
      <c r="V25" s="133">
        <f t="shared" si="2"/>
        <v>3600</v>
      </c>
      <c r="W25" s="128">
        <f>$N$10*V25+W24</f>
        <v>31200</v>
      </c>
      <c r="X25" s="133">
        <f t="shared" si="2"/>
        <v>4500</v>
      </c>
      <c r="Y25" s="128">
        <f>$N$10*X25+Y24</f>
        <v>39000</v>
      </c>
    </row>
    <row r="26" spans="2:25" x14ac:dyDescent="0.2">
      <c r="B26" s="52">
        <v>5</v>
      </c>
      <c r="C26" s="53" t="str">
        <f>Pair!O6</f>
        <v>H</v>
      </c>
      <c r="D26" s="53" t="str">
        <f>Pair!P6</f>
        <v>D</v>
      </c>
      <c r="E26" s="53" t="str">
        <f>Pair!Q6</f>
        <v>D</v>
      </c>
      <c r="F26" s="53" t="str">
        <f>Pair!R6</f>
        <v>D</v>
      </c>
      <c r="G26" s="53" t="str">
        <f>Pair!S6</f>
        <v>D</v>
      </c>
      <c r="H26" s="53" t="str">
        <f>Pair!T6</f>
        <v>D</v>
      </c>
      <c r="I26" s="53" t="str">
        <f>Pair!U6</f>
        <v>D</v>
      </c>
      <c r="J26" s="53" t="str">
        <f>Pair!V6</f>
        <v>D</v>
      </c>
      <c r="K26" s="53" t="str">
        <f>Pair!W6</f>
        <v>D</v>
      </c>
      <c r="L26" s="53" t="str">
        <f>Pair!X6</f>
        <v>H</v>
      </c>
      <c r="N26" s="436"/>
      <c r="O26" s="126">
        <f>O25*N23</f>
        <v>27</v>
      </c>
      <c r="P26" s="133">
        <f>O26*P$16</f>
        <v>2700</v>
      </c>
      <c r="Q26" s="128">
        <f>$N$10*P26+Q25</f>
        <v>24000</v>
      </c>
      <c r="R26" s="133">
        <f>$O26*R$16</f>
        <v>5400</v>
      </c>
      <c r="S26" s="128">
        <f>$N$10*R26+S25</f>
        <v>48000</v>
      </c>
      <c r="T26" s="133">
        <f>$O26*T$16</f>
        <v>8100</v>
      </c>
      <c r="U26" s="128">
        <f>$N$10*T26+U25</f>
        <v>72000</v>
      </c>
      <c r="V26" s="133">
        <f t="shared" si="2"/>
        <v>10800</v>
      </c>
      <c r="W26" s="128">
        <f>$N$10*V26+W25</f>
        <v>96000</v>
      </c>
      <c r="X26" s="133">
        <f t="shared" si="2"/>
        <v>13500</v>
      </c>
      <c r="Y26" s="128">
        <f>$N$10*X26+Y25</f>
        <v>120000</v>
      </c>
    </row>
    <row r="27" spans="2:25" ht="17" thickBot="1" x14ac:dyDescent="0.25">
      <c r="B27" s="52">
        <v>6</v>
      </c>
      <c r="C27" s="53" t="str">
        <f>Pair!O7</f>
        <v>H</v>
      </c>
      <c r="D27" s="53" t="str">
        <f>Pair!P7</f>
        <v>H</v>
      </c>
      <c r="E27" s="53" t="str">
        <f>Pair!Q7</f>
        <v>P</v>
      </c>
      <c r="F27" s="53" t="str">
        <f>Pair!R7</f>
        <v>P</v>
      </c>
      <c r="G27" s="53" t="str">
        <f>Pair!S7</f>
        <v>P</v>
      </c>
      <c r="H27" s="53" t="str">
        <f>Pair!T7</f>
        <v>P</v>
      </c>
      <c r="I27" s="53" t="str">
        <f>Pair!U7</f>
        <v>H</v>
      </c>
      <c r="J27" s="53" t="str">
        <f>Pair!V7</f>
        <v>H</v>
      </c>
      <c r="K27" s="53" t="str">
        <f>Pair!W7</f>
        <v>H</v>
      </c>
      <c r="L27" s="53" t="str">
        <f>Pair!X7</f>
        <v>H</v>
      </c>
      <c r="N27" s="437"/>
      <c r="O27" s="127">
        <f>O26*N23</f>
        <v>81</v>
      </c>
      <c r="P27" s="134">
        <f>O27*P$16</f>
        <v>8100</v>
      </c>
      <c r="Q27" s="129">
        <f>$N$10*P27+Q26</f>
        <v>72600</v>
      </c>
      <c r="R27" s="134">
        <f>$O27*R$16</f>
        <v>16200</v>
      </c>
      <c r="S27" s="129">
        <f>$N$10*R27+S26</f>
        <v>145200</v>
      </c>
      <c r="T27" s="134">
        <f>$O27*T$16</f>
        <v>24300</v>
      </c>
      <c r="U27" s="129">
        <f>$N$10*T27+U26</f>
        <v>217800</v>
      </c>
      <c r="V27" s="134">
        <f t="shared" si="2"/>
        <v>32400</v>
      </c>
      <c r="W27" s="129">
        <f>$N$10*V27+W26</f>
        <v>290400</v>
      </c>
      <c r="X27" s="134">
        <f t="shared" si="2"/>
        <v>40500</v>
      </c>
      <c r="Y27" s="129">
        <f>$N$10*X27+Y26</f>
        <v>363000</v>
      </c>
    </row>
    <row r="28" spans="2:25" ht="17" thickBot="1" x14ac:dyDescent="0.25">
      <c r="B28" s="52">
        <v>7</v>
      </c>
      <c r="C28" s="53" t="str">
        <f>Pair!O8</f>
        <v>H</v>
      </c>
      <c r="D28" s="53" t="str">
        <f>Pair!P8</f>
        <v>P</v>
      </c>
      <c r="E28" s="53" t="str">
        <f>Pair!Q8</f>
        <v>P</v>
      </c>
      <c r="F28" s="53" t="str">
        <f>Pair!R8</f>
        <v>P</v>
      </c>
      <c r="G28" s="53" t="str">
        <f>Pair!S8</f>
        <v>P</v>
      </c>
      <c r="H28" s="53" t="str">
        <f>Pair!T8</f>
        <v>P</v>
      </c>
      <c r="I28" s="53" t="str">
        <f>Pair!U8</f>
        <v>P</v>
      </c>
      <c r="J28" s="53" t="str">
        <f>Pair!V8</f>
        <v>H</v>
      </c>
      <c r="K28" s="53" t="str">
        <f>Pair!W8</f>
        <v>H</v>
      </c>
      <c r="L28" s="53" t="str">
        <f>Pair!X8</f>
        <v>H</v>
      </c>
      <c r="N28" s="140" t="s">
        <v>57</v>
      </c>
      <c r="O28" s="141" t="s">
        <v>56</v>
      </c>
      <c r="P28" s="142">
        <v>100</v>
      </c>
      <c r="Q28" s="20" t="s">
        <v>54</v>
      </c>
      <c r="R28" s="143">
        <v>200</v>
      </c>
      <c r="S28" s="144" t="s">
        <v>54</v>
      </c>
      <c r="T28" s="142">
        <v>300</v>
      </c>
      <c r="U28" s="20" t="s">
        <v>54</v>
      </c>
      <c r="V28" s="142">
        <v>400</v>
      </c>
      <c r="W28" s="20" t="s">
        <v>54</v>
      </c>
      <c r="X28" s="142">
        <v>500</v>
      </c>
      <c r="Y28" s="20" t="s">
        <v>54</v>
      </c>
    </row>
    <row r="29" spans="2:25" x14ac:dyDescent="0.2">
      <c r="B29" s="52">
        <v>8</v>
      </c>
      <c r="C29" s="53" t="str">
        <f>Pair!O9</f>
        <v>P</v>
      </c>
      <c r="D29" s="53" t="str">
        <f>Pair!P9</f>
        <v>P</v>
      </c>
      <c r="E29" s="53" t="str">
        <f>Pair!Q9</f>
        <v>P</v>
      </c>
      <c r="F29" s="53" t="str">
        <f>Pair!R9</f>
        <v>P</v>
      </c>
      <c r="G29" s="53" t="str">
        <f>Pair!S9</f>
        <v>P</v>
      </c>
      <c r="H29" s="53" t="str">
        <f>Pair!T9</f>
        <v>P</v>
      </c>
      <c r="I29" s="53" t="str">
        <f>Pair!U9</f>
        <v>P</v>
      </c>
      <c r="J29" s="53" t="str">
        <f>Pair!V9</f>
        <v>P</v>
      </c>
      <c r="K29" s="53" t="str">
        <f>Pair!W9</f>
        <v>R</v>
      </c>
      <c r="L29" s="53" t="str">
        <f>Pair!X9</f>
        <v>R</v>
      </c>
      <c r="N29" s="435">
        <v>4</v>
      </c>
      <c r="O29" s="131">
        <v>1</v>
      </c>
      <c r="P29" s="135">
        <f>O29*P$16</f>
        <v>100</v>
      </c>
      <c r="Q29" s="132">
        <f>O29*$N$10*P29</f>
        <v>600</v>
      </c>
      <c r="R29" s="135">
        <f>$O29*R$16</f>
        <v>200</v>
      </c>
      <c r="S29" s="132">
        <f>$N$10*R29</f>
        <v>1200</v>
      </c>
      <c r="T29" s="135">
        <f>$O29*T$16</f>
        <v>300</v>
      </c>
      <c r="U29" s="132">
        <f>$N$10*T29</f>
        <v>1800</v>
      </c>
      <c r="V29" s="135">
        <f>$O29*V$16</f>
        <v>400</v>
      </c>
      <c r="W29" s="132">
        <f>$N$10*V29</f>
        <v>2400</v>
      </c>
      <c r="X29" s="135">
        <f>$O29*X$16</f>
        <v>500</v>
      </c>
      <c r="Y29" s="132">
        <f>$N$10*X29</f>
        <v>3000</v>
      </c>
    </row>
    <row r="30" spans="2:25" x14ac:dyDescent="0.2">
      <c r="B30" s="52">
        <v>9</v>
      </c>
      <c r="C30" s="53" t="str">
        <f>Pair!O10</f>
        <v>S</v>
      </c>
      <c r="D30" s="53" t="str">
        <f>Pair!P10</f>
        <v>P</v>
      </c>
      <c r="E30" s="53" t="str">
        <f>Pair!Q10</f>
        <v>P</v>
      </c>
      <c r="F30" s="53" t="str">
        <f>Pair!R10</f>
        <v>P</v>
      </c>
      <c r="G30" s="53" t="str">
        <f>Pair!S10</f>
        <v>P</v>
      </c>
      <c r="H30" s="53" t="str">
        <f>Pair!T10</f>
        <v>P</v>
      </c>
      <c r="I30" s="53" t="str">
        <f>Pair!U10</f>
        <v>S</v>
      </c>
      <c r="J30" s="53" t="str">
        <f>Pair!V10</f>
        <v>P</v>
      </c>
      <c r="K30" s="53" t="str">
        <f>Pair!W10</f>
        <v>P</v>
      </c>
      <c r="L30" s="53" t="str">
        <f>Pair!X10</f>
        <v>S</v>
      </c>
      <c r="N30" s="436"/>
      <c r="O30" s="126">
        <f>O29*N29</f>
        <v>4</v>
      </c>
      <c r="P30" s="133">
        <f>O30*P$16</f>
        <v>400</v>
      </c>
      <c r="Q30" s="128">
        <f>$N$10*P30+Q29</f>
        <v>3000</v>
      </c>
      <c r="R30" s="133">
        <f>$O30*R$16</f>
        <v>800</v>
      </c>
      <c r="S30" s="128">
        <f>$N$10*R30+S29</f>
        <v>6000</v>
      </c>
      <c r="T30" s="133">
        <f>$O30*T$16</f>
        <v>1200</v>
      </c>
      <c r="U30" s="128">
        <f>$N$10*T30+U29</f>
        <v>9000</v>
      </c>
      <c r="V30" s="133">
        <f t="shared" ref="V30:X33" si="3">$O30*V$16</f>
        <v>1600</v>
      </c>
      <c r="W30" s="128">
        <f>$N$10*V30+W29</f>
        <v>12000</v>
      </c>
      <c r="X30" s="133">
        <f t="shared" si="3"/>
        <v>2000</v>
      </c>
      <c r="Y30" s="128">
        <f>$N$10*X30+Y29</f>
        <v>15000</v>
      </c>
    </row>
    <row r="31" spans="2:25" x14ac:dyDescent="0.2">
      <c r="B31" s="52">
        <v>10</v>
      </c>
      <c r="C31" s="53" t="str">
        <f>Pair!O11</f>
        <v>S</v>
      </c>
      <c r="D31" s="53" t="str">
        <f>Pair!P11</f>
        <v>S</v>
      </c>
      <c r="E31" s="53" t="str">
        <f>Pair!Q11</f>
        <v>S</v>
      </c>
      <c r="F31" s="53" t="str">
        <f>Pair!R11</f>
        <v>S</v>
      </c>
      <c r="G31" s="53" t="str">
        <f>Pair!S11</f>
        <v>S</v>
      </c>
      <c r="H31" s="53" t="str">
        <f>Pair!T11</f>
        <v>P</v>
      </c>
      <c r="I31" s="53" t="str">
        <f>Pair!U11</f>
        <v>S</v>
      </c>
      <c r="J31" s="53" t="str">
        <f>Pair!V11</f>
        <v>S</v>
      </c>
      <c r="K31" s="53" t="str">
        <f>Pair!W11</f>
        <v>S</v>
      </c>
      <c r="L31" s="53" t="str">
        <f>Pair!X11</f>
        <v>S</v>
      </c>
      <c r="N31" s="436"/>
      <c r="O31" s="126">
        <f>O30*N29</f>
        <v>16</v>
      </c>
      <c r="P31" s="133">
        <f>O31*P$16</f>
        <v>1600</v>
      </c>
      <c r="Q31" s="128">
        <f>$N$10*P31+Q30</f>
        <v>12600</v>
      </c>
      <c r="R31" s="133">
        <f>$O31*R$16</f>
        <v>3200</v>
      </c>
      <c r="S31" s="128">
        <f>$N$10*R31+S30</f>
        <v>25200</v>
      </c>
      <c r="T31" s="133">
        <f>$O31*T$16</f>
        <v>4800</v>
      </c>
      <c r="U31" s="128">
        <f>$N$10*T31+U30</f>
        <v>37800</v>
      </c>
      <c r="V31" s="133">
        <f t="shared" si="3"/>
        <v>6400</v>
      </c>
      <c r="W31" s="128">
        <f>$N$10*V31+W30</f>
        <v>50400</v>
      </c>
      <c r="X31" s="133">
        <f t="shared" si="3"/>
        <v>8000</v>
      </c>
      <c r="Y31" s="128">
        <f>$N$10*X31+Y30</f>
        <v>63000</v>
      </c>
    </row>
    <row r="32" spans="2:25" x14ac:dyDescent="0.2">
      <c r="B32" s="389" t="str">
        <f>"EV = " &amp; EV!C47</f>
        <v>EV = -0.00531417925590545</v>
      </c>
      <c r="C32" s="389"/>
      <c r="D32" s="389"/>
      <c r="E32" s="389"/>
      <c r="F32" s="389"/>
      <c r="G32" s="389"/>
      <c r="H32" s="389"/>
      <c r="I32" s="389"/>
      <c r="J32" s="389"/>
      <c r="K32" s="389"/>
      <c r="L32" s="389"/>
      <c r="N32" s="436"/>
      <c r="O32" s="126">
        <f>O31*N29</f>
        <v>64</v>
      </c>
      <c r="P32" s="133">
        <f>O32*P$16</f>
        <v>6400</v>
      </c>
      <c r="Q32" s="128">
        <f>$N$10*P32+Q31</f>
        <v>51000</v>
      </c>
      <c r="R32" s="133">
        <f>$O32*R$16</f>
        <v>12800</v>
      </c>
      <c r="S32" s="128">
        <f>$N$10*R32+S31</f>
        <v>102000</v>
      </c>
      <c r="T32" s="133">
        <f>$O32*T$16</f>
        <v>19200</v>
      </c>
      <c r="U32" s="128">
        <f>$N$10*T32+U31</f>
        <v>153000</v>
      </c>
      <c r="V32" s="133">
        <f t="shared" si="3"/>
        <v>25600</v>
      </c>
      <c r="W32" s="128">
        <f>$N$10*V32+W31</f>
        <v>204000</v>
      </c>
      <c r="X32" s="133">
        <f t="shared" si="3"/>
        <v>32000</v>
      </c>
      <c r="Y32" s="128">
        <f>$N$10*X32+Y31</f>
        <v>255000</v>
      </c>
    </row>
    <row r="33" spans="2:25" ht="17" thickBot="1" x14ac:dyDescent="0.25">
      <c r="B33" s="448" t="str">
        <f>Summary!B33</f>
        <v>EV = -0.531417925590545 %</v>
      </c>
      <c r="C33" s="449"/>
      <c r="D33" s="449"/>
      <c r="E33" s="449"/>
      <c r="F33" s="449"/>
      <c r="G33" s="449"/>
      <c r="H33" s="449"/>
      <c r="I33" s="449"/>
      <c r="J33" s="449"/>
      <c r="K33" s="449"/>
      <c r="L33" s="450"/>
      <c r="N33" s="437"/>
      <c r="O33" s="127">
        <f>O32*N29</f>
        <v>256</v>
      </c>
      <c r="P33" s="134">
        <f>O33*P$16</f>
        <v>25600</v>
      </c>
      <c r="Q33" s="129">
        <f>$N$10*P33+Q32</f>
        <v>204600</v>
      </c>
      <c r="R33" s="134">
        <f>$O33*R$16</f>
        <v>51200</v>
      </c>
      <c r="S33" s="129">
        <f>$N$10*R33+S32</f>
        <v>409200</v>
      </c>
      <c r="T33" s="134">
        <f>$O33*T$16</f>
        <v>76800</v>
      </c>
      <c r="U33" s="129">
        <f>$N$10*T33+U32</f>
        <v>613800</v>
      </c>
      <c r="V33" s="134">
        <f t="shared" si="3"/>
        <v>102400</v>
      </c>
      <c r="W33" s="129">
        <f>$N$10*V33+W32</f>
        <v>818400</v>
      </c>
      <c r="X33" s="134">
        <f t="shared" si="3"/>
        <v>128000</v>
      </c>
      <c r="Y33" s="129">
        <f>$N$10*X33+Y32</f>
        <v>1023000</v>
      </c>
    </row>
    <row r="34" spans="2:25" ht="17" thickBot="1" x14ac:dyDescent="0.25">
      <c r="B34" s="442" t="s">
        <v>24</v>
      </c>
      <c r="C34" s="443"/>
      <c r="D34" s="443"/>
      <c r="E34" s="443"/>
      <c r="F34" s="443"/>
      <c r="G34" s="443"/>
      <c r="H34" s="443"/>
      <c r="I34" s="443"/>
      <c r="J34" s="443"/>
      <c r="K34" s="443"/>
      <c r="L34" s="443"/>
      <c r="N34" s="140" t="s">
        <v>57</v>
      </c>
      <c r="O34" s="141" t="s">
        <v>56</v>
      </c>
      <c r="P34" s="142">
        <v>100</v>
      </c>
      <c r="Q34" s="20" t="s">
        <v>54</v>
      </c>
      <c r="R34" s="143">
        <v>200</v>
      </c>
      <c r="S34" s="144" t="s">
        <v>54</v>
      </c>
      <c r="T34" s="142">
        <v>300</v>
      </c>
      <c r="U34" s="20" t="s">
        <v>54</v>
      </c>
      <c r="V34" s="142">
        <v>400</v>
      </c>
      <c r="W34" s="20" t="s">
        <v>54</v>
      </c>
      <c r="X34" s="142">
        <v>500</v>
      </c>
      <c r="Y34" s="20" t="s">
        <v>54</v>
      </c>
    </row>
    <row r="35" spans="2:25" x14ac:dyDescent="0.2">
      <c r="B35" s="444" t="s">
        <v>25</v>
      </c>
      <c r="C35" s="445"/>
      <c r="D35" s="445"/>
      <c r="E35" s="445"/>
      <c r="F35" s="445"/>
      <c r="G35" s="445"/>
      <c r="H35" s="445"/>
      <c r="I35" s="445"/>
      <c r="J35" s="445"/>
      <c r="K35" s="445"/>
      <c r="L35" s="445"/>
      <c r="N35" s="435">
        <v>5</v>
      </c>
      <c r="O35" s="131">
        <v>1</v>
      </c>
      <c r="P35" s="135">
        <f>O35*P$16</f>
        <v>100</v>
      </c>
      <c r="Q35" s="132">
        <f>O35*$N$10*P35</f>
        <v>600</v>
      </c>
      <c r="R35" s="135">
        <f>$O35*R$16</f>
        <v>200</v>
      </c>
      <c r="S35" s="132">
        <f>$N$10*R35</f>
        <v>1200</v>
      </c>
      <c r="T35" s="135">
        <f>$O35*T$16</f>
        <v>300</v>
      </c>
      <c r="U35" s="132">
        <f>$N$10*T35</f>
        <v>1800</v>
      </c>
      <c r="V35" s="135">
        <f>$O35*V$16</f>
        <v>400</v>
      </c>
      <c r="W35" s="132">
        <f>$N$10*V35</f>
        <v>2400</v>
      </c>
      <c r="X35" s="135">
        <f>$O35*X$16</f>
        <v>500</v>
      </c>
      <c r="Y35" s="132">
        <f>$N$10*X35</f>
        <v>3000</v>
      </c>
    </row>
    <row r="36" spans="2:25" x14ac:dyDescent="0.2">
      <c r="B36" s="446" t="s">
        <v>26</v>
      </c>
      <c r="C36" s="447"/>
      <c r="D36" s="447"/>
      <c r="E36" s="447"/>
      <c r="F36" s="447"/>
      <c r="G36" s="447"/>
      <c r="H36" s="447"/>
      <c r="I36" s="447"/>
      <c r="J36" s="447"/>
      <c r="K36" s="447"/>
      <c r="L36" s="447"/>
      <c r="N36" s="436"/>
      <c r="O36" s="126">
        <f>O35*N35</f>
        <v>5</v>
      </c>
      <c r="P36" s="133">
        <f>O36*P$16</f>
        <v>500</v>
      </c>
      <c r="Q36" s="128">
        <f>$N$10*P36+Q35</f>
        <v>3600</v>
      </c>
      <c r="R36" s="133">
        <f>$O36*R$16</f>
        <v>1000</v>
      </c>
      <c r="S36" s="128">
        <f>$N$10*R36+S35</f>
        <v>7200</v>
      </c>
      <c r="T36" s="133">
        <f>$O36*T$16</f>
        <v>1500</v>
      </c>
      <c r="U36" s="128">
        <f>$N$10*T36+U35</f>
        <v>10800</v>
      </c>
      <c r="V36" s="133">
        <f t="shared" ref="V36:X39" si="4">$O36*V$16</f>
        <v>2000</v>
      </c>
      <c r="W36" s="128">
        <f>$N$10*V36+W35</f>
        <v>14400</v>
      </c>
      <c r="X36" s="133">
        <f t="shared" si="4"/>
        <v>2500</v>
      </c>
      <c r="Y36" s="128">
        <f>$N$10*X36+Y35</f>
        <v>18000</v>
      </c>
    </row>
    <row r="37" spans="2:25" x14ac:dyDescent="0.2">
      <c r="B37" s="439" t="s">
        <v>27</v>
      </c>
      <c r="C37" s="439"/>
      <c r="D37" s="439"/>
      <c r="E37" s="439"/>
      <c r="F37" s="439"/>
      <c r="G37" s="439"/>
      <c r="H37" s="439"/>
      <c r="I37" s="439"/>
      <c r="J37" s="439"/>
      <c r="K37" s="439"/>
      <c r="L37" s="439"/>
      <c r="N37" s="436"/>
      <c r="O37" s="126">
        <f>O36*N35</f>
        <v>25</v>
      </c>
      <c r="P37" s="133">
        <f>O37*P$16</f>
        <v>2500</v>
      </c>
      <c r="Q37" s="128">
        <f>$N$10*P37+Q36</f>
        <v>18600</v>
      </c>
      <c r="R37" s="133">
        <f>$O37*R$16</f>
        <v>5000</v>
      </c>
      <c r="S37" s="128">
        <f>$N$10*R37+S36</f>
        <v>37200</v>
      </c>
      <c r="T37" s="133">
        <f>$O37*T$16</f>
        <v>7500</v>
      </c>
      <c r="U37" s="128">
        <f>$N$10*T37+U36</f>
        <v>55800</v>
      </c>
      <c r="V37" s="133">
        <f t="shared" si="4"/>
        <v>10000</v>
      </c>
      <c r="W37" s="128">
        <f>$N$10*V37+W36</f>
        <v>74400</v>
      </c>
      <c r="X37" s="133">
        <f t="shared" si="4"/>
        <v>12500</v>
      </c>
      <c r="Y37" s="128">
        <f>$N$10*X37+Y36</f>
        <v>93000</v>
      </c>
    </row>
    <row r="38" spans="2:25" x14ac:dyDescent="0.2">
      <c r="B38" s="438" t="s">
        <v>28</v>
      </c>
      <c r="C38" s="438"/>
      <c r="D38" s="438"/>
      <c r="E38" s="438"/>
      <c r="F38" s="438"/>
      <c r="G38" s="438"/>
      <c r="H38" s="438"/>
      <c r="I38" s="438"/>
      <c r="J38" s="438"/>
      <c r="K38" s="438"/>
      <c r="L38" s="438"/>
      <c r="N38" s="436"/>
      <c r="O38" s="126">
        <f>O37*N35</f>
        <v>125</v>
      </c>
      <c r="P38" s="133">
        <f>O38*P$16</f>
        <v>12500</v>
      </c>
      <c r="Q38" s="128">
        <f>$N$10*P38+Q37</f>
        <v>93600</v>
      </c>
      <c r="R38" s="133">
        <f>$O38*R$16</f>
        <v>25000</v>
      </c>
      <c r="S38" s="128">
        <f>$N$10*R38+S37</f>
        <v>187200</v>
      </c>
      <c r="T38" s="133">
        <f>$O38*T$16</f>
        <v>37500</v>
      </c>
      <c r="U38" s="128">
        <f>$N$10*T38+U37</f>
        <v>280800</v>
      </c>
      <c r="V38" s="133">
        <f t="shared" si="4"/>
        <v>50000</v>
      </c>
      <c r="W38" s="128">
        <f>$N$10*V38+W37</f>
        <v>374400</v>
      </c>
      <c r="X38" s="133">
        <f t="shared" si="4"/>
        <v>62500</v>
      </c>
      <c r="Y38" s="128">
        <f>$N$10*X38+Y37</f>
        <v>468000</v>
      </c>
    </row>
    <row r="39" spans="2:25" ht="17" thickBot="1" x14ac:dyDescent="0.25">
      <c r="N39" s="437"/>
      <c r="O39" s="127">
        <f>O38*N35</f>
        <v>625</v>
      </c>
      <c r="P39" s="134">
        <f>O39*P$16</f>
        <v>62500</v>
      </c>
      <c r="Q39" s="129">
        <f>$N$10*P39+Q38</f>
        <v>468600</v>
      </c>
      <c r="R39" s="134">
        <f>$O39*R$16</f>
        <v>125000</v>
      </c>
      <c r="S39" s="129">
        <f>$N$10*R39+S38</f>
        <v>937200</v>
      </c>
      <c r="T39" s="134">
        <f>$O39*T$16</f>
        <v>187500</v>
      </c>
      <c r="U39" s="129">
        <f>$N$10*T39+U38</f>
        <v>1405800</v>
      </c>
      <c r="V39" s="134">
        <f t="shared" si="4"/>
        <v>250000</v>
      </c>
      <c r="W39" s="129">
        <f>$N$10*V39+W38</f>
        <v>1874400</v>
      </c>
      <c r="X39" s="134">
        <f t="shared" si="4"/>
        <v>312500</v>
      </c>
      <c r="Y39" s="129">
        <f>$N$10*X39+Y38</f>
        <v>2343000</v>
      </c>
    </row>
  </sheetData>
  <sheetProtection sheet="1" objects="1" scenarios="1"/>
  <mergeCells count="24">
    <mergeCell ref="B38:L38"/>
    <mergeCell ref="B37:L37"/>
    <mergeCell ref="N2:O2"/>
    <mergeCell ref="N4:O4"/>
    <mergeCell ref="N5:O5"/>
    <mergeCell ref="N6:O6"/>
    <mergeCell ref="N7:O7"/>
    <mergeCell ref="B34:L34"/>
    <mergeCell ref="B35:L35"/>
    <mergeCell ref="B36:L36"/>
    <mergeCell ref="B33:L33"/>
    <mergeCell ref="N35:N39"/>
    <mergeCell ref="B1:L1"/>
    <mergeCell ref="B32:L32"/>
    <mergeCell ref="P9:Q9"/>
    <mergeCell ref="R9:S9"/>
    <mergeCell ref="T9:U9"/>
    <mergeCell ref="N1:Y1"/>
    <mergeCell ref="P3:S3"/>
    <mergeCell ref="V9:W9"/>
    <mergeCell ref="X9:Y9"/>
    <mergeCell ref="N17:N21"/>
    <mergeCell ref="N23:N27"/>
    <mergeCell ref="N29:N33"/>
  </mergeCells>
  <phoneticPr fontId="14" type="noConversion"/>
  <conditionalFormatting sqref="C3:L12 C22:L31 C14:L20">
    <cfRule type="containsText" dxfId="16" priority="4" operator="containsText" text="S">
      <formula>NOT(ISERROR(SEARCH("S",C3)))</formula>
    </cfRule>
    <cfRule type="containsText" dxfId="15" priority="5" operator="containsText" text="H">
      <formula>NOT(ISERROR(SEARCH("H",C3)))</formula>
    </cfRule>
  </conditionalFormatting>
  <conditionalFormatting sqref="C3:L12 C22:L31 C14:L20">
    <cfRule type="containsText" dxfId="14" priority="3" operator="containsText" text="D">
      <formula>NOT(ISERROR(SEARCH("D",C3)))</formula>
    </cfRule>
  </conditionalFormatting>
  <conditionalFormatting sqref="C3:L12 C22:L31 C14:L20">
    <cfRule type="containsText" dxfId="13" priority="2" operator="containsText" text="R">
      <formula>NOT(ISERROR(SEARCH("R",C3)))</formula>
    </cfRule>
  </conditionalFormatting>
  <conditionalFormatting sqref="C3:L12 C22:L31 C14:L20">
    <cfRule type="containsText" dxfId="12" priority="1" operator="containsText" text="P">
      <formula>NOT(ISERROR(SEARCH("P",C3)))</formula>
    </cfRule>
  </conditionalFormatting>
  <printOptions horizontalCentered="1" verticalCentered="1"/>
  <pageMargins left="0.25" right="0.25" top="0.75" bottom="0.75" header="0.3" footer="0.3"/>
  <pageSetup paperSize="9" scale="7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workbookViewId="0">
      <selection activeCell="A24" sqref="A24:R72"/>
    </sheetView>
  </sheetViews>
  <sheetFormatPr baseColWidth="10" defaultRowHeight="16" x14ac:dyDescent="0.2"/>
  <sheetData>
    <row r="1" spans="1:19" x14ac:dyDescent="0.2">
      <c r="B1" s="255"/>
    </row>
    <row r="2" spans="1:19" x14ac:dyDescent="0.2">
      <c r="A2" t="s">
        <v>40</v>
      </c>
      <c r="B2" s="254" t="s">
        <v>159</v>
      </c>
      <c r="C2" s="253">
        <f>Analysis!B43</f>
        <v>0.24601641016530756</v>
      </c>
      <c r="D2" s="252" t="s">
        <v>160</v>
      </c>
      <c r="E2" s="253">
        <f>Analysis!N43</f>
        <v>8.0688100001890944E-2</v>
      </c>
      <c r="G2" t="s">
        <v>190</v>
      </c>
      <c r="H2">
        <v>10</v>
      </c>
      <c r="I2" t="s">
        <v>58</v>
      </c>
      <c r="J2">
        <v>2</v>
      </c>
      <c r="K2" s="252" t="s">
        <v>191</v>
      </c>
      <c r="L2" s="253">
        <f>Analysis!R36</f>
        <v>1.7466414588190893</v>
      </c>
    </row>
    <row r="3" spans="1:19" x14ac:dyDescent="0.2">
      <c r="B3" s="255"/>
    </row>
    <row r="4" spans="1:19" x14ac:dyDescent="0.2">
      <c r="B4" s="255" t="s">
        <v>162</v>
      </c>
    </row>
    <row r="5" spans="1:19" x14ac:dyDescent="0.2">
      <c r="A5" t="s">
        <v>163</v>
      </c>
      <c r="B5" s="25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9" x14ac:dyDescent="0.2">
      <c r="A6" t="s">
        <v>157</v>
      </c>
      <c r="B6" s="255">
        <f>$C$2</f>
        <v>0.24601641016530756</v>
      </c>
      <c r="C6">
        <f>B6*$C$2</f>
        <v>6.052407407062485E-2</v>
      </c>
      <c r="D6">
        <f t="shared" ref="D6:K6" si="0">C6*$C$2</f>
        <v>1.48899154314343E-2</v>
      </c>
      <c r="E6">
        <f t="shared" si="0"/>
        <v>3.6631635421064831E-3</v>
      </c>
      <c r="F6">
        <f t="shared" si="0"/>
        <v>9.0119834447746942E-4</v>
      </c>
      <c r="G6">
        <f t="shared" si="0"/>
        <v>2.2170958155526526E-4</v>
      </c>
      <c r="H6">
        <f t="shared" si="0"/>
        <v>5.4544195353478848E-5</v>
      </c>
      <c r="I6">
        <f t="shared" si="0"/>
        <v>1.3418767136218115E-5</v>
      </c>
      <c r="J6">
        <f t="shared" si="0"/>
        <v>3.3012369196965851E-6</v>
      </c>
      <c r="K6">
        <f t="shared" si="0"/>
        <v>8.1215845608893158E-7</v>
      </c>
    </row>
    <row r="7" spans="1:19" x14ac:dyDescent="0.2">
      <c r="A7" t="s">
        <v>158</v>
      </c>
      <c r="B7" s="255">
        <f>$E$2</f>
        <v>8.0688100001890944E-2</v>
      </c>
      <c r="C7">
        <f>B7*$E$2</f>
        <v>6.5105694819151535E-3</v>
      </c>
      <c r="D7">
        <f t="shared" ref="D7:K7" si="1">C7*$E$2</f>
        <v>5.2532548142602924E-4</v>
      </c>
      <c r="E7">
        <f t="shared" si="1"/>
        <v>4.2387514978844954E-5</v>
      </c>
      <c r="F7">
        <f t="shared" si="1"/>
        <v>3.420168047444692E-6</v>
      </c>
      <c r="G7">
        <f t="shared" si="1"/>
        <v>2.7596686143548939E-7</v>
      </c>
      <c r="H7">
        <f t="shared" si="1"/>
        <v>2.2267241712714748E-8</v>
      </c>
      <c r="I7">
        <f t="shared" si="1"/>
        <v>1.7967014260818051E-9</v>
      </c>
      <c r="J7">
        <f t="shared" si="1"/>
        <v>1.4497242434122875E-10</v>
      </c>
      <c r="K7">
        <f t="shared" si="1"/>
        <v>1.1697549472761634E-11</v>
      </c>
    </row>
    <row r="8" spans="1:19" x14ac:dyDescent="0.2">
      <c r="B8" s="255">
        <v>1</v>
      </c>
      <c r="C8">
        <v>2</v>
      </c>
      <c r="D8">
        <v>3</v>
      </c>
      <c r="E8" s="255">
        <v>4</v>
      </c>
      <c r="F8">
        <v>5</v>
      </c>
      <c r="G8">
        <v>6</v>
      </c>
      <c r="H8" s="255">
        <v>7</v>
      </c>
      <c r="I8">
        <v>8</v>
      </c>
      <c r="J8">
        <v>9</v>
      </c>
      <c r="K8" s="255"/>
    </row>
    <row r="9" spans="1:19" x14ac:dyDescent="0.2">
      <c r="B9" s="255">
        <f>B6+C6*B7</f>
        <v>0.25089998270643998</v>
      </c>
      <c r="C9">
        <f>B9+D6*C7</f>
        <v>0.25099692453543615</v>
      </c>
      <c r="D9">
        <f>C9+E6*D7</f>
        <v>0.25099884888858742</v>
      </c>
      <c r="E9">
        <f t="shared" ref="E9:J9" si="2">D9+F6*E7</f>
        <v>0.25099888708814577</v>
      </c>
      <c r="F9">
        <f t="shared" si="2"/>
        <v>0.25099888784642982</v>
      </c>
      <c r="G9">
        <f t="shared" si="2"/>
        <v>0.25099888786148222</v>
      </c>
      <c r="H9">
        <f t="shared" si="2"/>
        <v>0.25099888786178104</v>
      </c>
      <c r="I9">
        <f t="shared" si="2"/>
        <v>0.25099888786178698</v>
      </c>
      <c r="J9">
        <f t="shared" si="2"/>
        <v>0.25099888786178709</v>
      </c>
    </row>
    <row r="10" spans="1:19" x14ac:dyDescent="0.2">
      <c r="B10" s="255">
        <v>-1</v>
      </c>
      <c r="C10">
        <v>-2</v>
      </c>
      <c r="D10" s="255">
        <v>-3</v>
      </c>
      <c r="E10">
        <v>-4</v>
      </c>
      <c r="F10" s="255">
        <v>-5</v>
      </c>
      <c r="G10">
        <v>-6</v>
      </c>
      <c r="H10" s="255">
        <v>-7</v>
      </c>
      <c r="I10">
        <v>-8</v>
      </c>
      <c r="J10" s="255">
        <v>-9</v>
      </c>
      <c r="K10" s="255"/>
    </row>
    <row r="11" spans="1:19" ht="17" thickBot="1" x14ac:dyDescent="0.25">
      <c r="B11" s="255">
        <f>B7+B6*C7</f>
        <v>8.2289806933963511E-2</v>
      </c>
      <c r="C11">
        <f t="shared" ref="C11:J11" si="3">B11+C6*D7</f>
        <v>8.2321601772312528E-2</v>
      </c>
      <c r="D11">
        <f t="shared" si="3"/>
        <v>8.2322232918825913E-2</v>
      </c>
      <c r="E11">
        <f t="shared" si="3"/>
        <v>8.2322245447460807E-2</v>
      </c>
      <c r="F11">
        <f t="shared" si="3"/>
        <v>8.2322245696161686E-2</v>
      </c>
      <c r="G11">
        <f t="shared" si="3"/>
        <v>8.2322245701098543E-2</v>
      </c>
      <c r="H11">
        <f t="shared" si="3"/>
        <v>8.2322245701196547E-2</v>
      </c>
      <c r="I11">
        <f t="shared" si="3"/>
        <v>8.232224570119849E-2</v>
      </c>
      <c r="J11">
        <f t="shared" si="3"/>
        <v>8.2322245701198532E-2</v>
      </c>
    </row>
    <row r="12" spans="1:19" ht="17" thickBot="1" x14ac:dyDescent="0.25">
      <c r="A12" s="264"/>
      <c r="B12" s="140">
        <v>1</v>
      </c>
      <c r="C12" s="275">
        <v>0</v>
      </c>
      <c r="D12" s="272">
        <v>-1</v>
      </c>
      <c r="E12" s="183">
        <v>-2</v>
      </c>
      <c r="F12" s="183">
        <v>-3</v>
      </c>
      <c r="G12" s="183">
        <v>-4</v>
      </c>
      <c r="H12" s="183">
        <v>-5</v>
      </c>
      <c r="I12" s="183">
        <v>-6</v>
      </c>
      <c r="J12" s="183">
        <v>-7</v>
      </c>
      <c r="K12" s="183">
        <v>-8</v>
      </c>
      <c r="L12" s="183">
        <v>-9</v>
      </c>
      <c r="M12" s="144">
        <v>-10</v>
      </c>
      <c r="P12" s="19" t="s">
        <v>37</v>
      </c>
      <c r="Q12" s="29" t="s">
        <v>61</v>
      </c>
      <c r="R12" s="19" t="s">
        <v>58</v>
      </c>
      <c r="S12" s="20" t="s">
        <v>60</v>
      </c>
    </row>
    <row r="13" spans="1:19" x14ac:dyDescent="0.2">
      <c r="A13" s="265">
        <v>1</v>
      </c>
      <c r="B13" s="131">
        <f>C13*$B$6</f>
        <v>0.24601641016530756</v>
      </c>
      <c r="C13" s="119">
        <v>1</v>
      </c>
      <c r="D13" s="273">
        <f>C13*B7</f>
        <v>8.0688100001890944E-2</v>
      </c>
      <c r="E13" s="170"/>
      <c r="F13" s="170"/>
      <c r="G13" s="170"/>
      <c r="H13" s="170"/>
      <c r="I13" s="170"/>
      <c r="J13" s="170"/>
      <c r="K13" s="170"/>
      <c r="L13" s="170"/>
      <c r="M13" s="63"/>
      <c r="P13" s="2">
        <f>B13/(B13+D13)</f>
        <v>0.75302422375314948</v>
      </c>
      <c r="Q13" s="28">
        <f>B13-D13</f>
        <v>0.16532831016341662</v>
      </c>
      <c r="R13" s="2">
        <f>1+$L$2*SUM(C13)</f>
        <v>2.7466414588190893</v>
      </c>
      <c r="S13" s="8">
        <f>B13*R13-D13*COUNT(D13:M13)</f>
        <v>0.5950307717079848</v>
      </c>
    </row>
    <row r="14" spans="1:19" x14ac:dyDescent="0.2">
      <c r="A14" s="266">
        <v>2</v>
      </c>
      <c r="B14" s="126">
        <f t="shared" ref="B14:B22" si="4">C14*$B$6</f>
        <v>0.25089998270643998</v>
      </c>
      <c r="C14" s="121">
        <f>C13+B7*B6</f>
        <v>1.0198505967055245</v>
      </c>
      <c r="D14" s="247">
        <f>C14*B7</f>
        <v>8.2289806933963511E-2</v>
      </c>
      <c r="E14" s="1">
        <f>D14*B7</f>
        <v>6.6398081710239464E-3</v>
      </c>
      <c r="F14" s="1"/>
      <c r="G14" s="1"/>
      <c r="H14" s="1"/>
      <c r="I14" s="1"/>
      <c r="J14" s="1"/>
      <c r="K14" s="1"/>
      <c r="L14" s="1"/>
      <c r="M14" s="9"/>
      <c r="P14" s="1">
        <f>B14/(B14+E14)</f>
        <v>0.97421832118290752</v>
      </c>
      <c r="Q14" s="117">
        <f>B14-E14</f>
        <v>0.24426017453541604</v>
      </c>
      <c r="R14" s="1">
        <f>1+$L$2*SUM(C14:D14)*$C$2</f>
        <v>1.473592444411612</v>
      </c>
      <c r="S14" s="9">
        <f>B14*R14-E14*COUNT(D14:M14)</f>
        <v>0.3564447024771662</v>
      </c>
    </row>
    <row r="15" spans="1:19" x14ac:dyDescent="0.2">
      <c r="A15" s="266">
        <v>3</v>
      </c>
      <c r="B15" s="126">
        <f t="shared" si="4"/>
        <v>0.25099692453543615</v>
      </c>
      <c r="C15" s="121">
        <f>C14+C6*C7</f>
        <v>1.0202446428950898</v>
      </c>
      <c r="D15" s="247">
        <f>C15*$B$11</f>
        <v>8.3955734689247483E-2</v>
      </c>
      <c r="E15" s="1">
        <f>D15*B6</f>
        <v>2.065448846103965E-2</v>
      </c>
      <c r="F15" s="1">
        <f>E15*B6</f>
        <v>5.0813431049857426E-3</v>
      </c>
      <c r="G15" s="1"/>
      <c r="H15" s="1"/>
      <c r="I15" s="1"/>
      <c r="J15" s="1"/>
      <c r="K15" s="1"/>
      <c r="L15" s="1"/>
      <c r="M15" s="9"/>
      <c r="P15" s="1">
        <f>B15/(B15+F15)</f>
        <v>0.98015707013403874</v>
      </c>
      <c r="Q15" s="117">
        <f>B15-F15</f>
        <v>0.24591558143045042</v>
      </c>
      <c r="R15" s="1">
        <f>1+$L$2*SUM(C15:E15)*$C$2</f>
        <v>1.483352904820084</v>
      </c>
      <c r="S15" s="9">
        <f>B15*R15-F15*COUNT(D15:M15)</f>
        <v>0.35707298779558938</v>
      </c>
    </row>
    <row r="16" spans="1:19" x14ac:dyDescent="0.2">
      <c r="A16" s="266">
        <v>4</v>
      </c>
      <c r="B16" s="126">
        <f t="shared" si="4"/>
        <v>0.25099884888858742</v>
      </c>
      <c r="C16" s="121">
        <f>C15+D6*D7</f>
        <v>1.0202524649470821</v>
      </c>
      <c r="D16" s="247">
        <f>C16*$C$11</f>
        <v>8.3988817126593937E-2</v>
      </c>
      <c r="E16" s="1">
        <f>D16*$B$11</f>
        <v>6.9114235459593826E-3</v>
      </c>
      <c r="F16" s="1">
        <f>E16*B7</f>
        <v>5.5766963423179436E-4</v>
      </c>
      <c r="G16" s="1">
        <f>F16*B7</f>
        <v>4.4997303214912972E-5</v>
      </c>
      <c r="H16" s="1"/>
      <c r="I16" s="1"/>
      <c r="J16" s="1"/>
      <c r="K16" s="1"/>
      <c r="L16" s="1"/>
      <c r="M16" s="9"/>
      <c r="P16" s="1">
        <f>B16/(B16+G16)</f>
        <v>0.99982075918650282</v>
      </c>
      <c r="Q16" s="117">
        <f>B16-G16</f>
        <v>0.25095385158537253</v>
      </c>
      <c r="R16" s="1">
        <f>1+$L$2*SUM(C16:F16)*$C$2</f>
        <v>1.4777046847712223</v>
      </c>
      <c r="S16" s="9">
        <f>B16*R16-G16*COUNT(D16:M16)</f>
        <v>0.37072218566199006</v>
      </c>
    </row>
    <row r="17" spans="1:19" x14ac:dyDescent="0.2">
      <c r="A17" s="266">
        <v>5</v>
      </c>
      <c r="B17" s="126">
        <f t="shared" si="4"/>
        <v>0.25099888708814577</v>
      </c>
      <c r="C17" s="121">
        <f>C16+E6*E7</f>
        <v>1.0202526202194817</v>
      </c>
      <c r="D17" s="247">
        <f>C17*$D$11</f>
        <v>8.3989473837750614E-2</v>
      </c>
      <c r="E17" s="1">
        <f>D17*$C$11</f>
        <v>6.9141480183373674E-3</v>
      </c>
      <c r="F17" s="1">
        <f>E17*$B$11</f>
        <v>5.6896390554182839E-4</v>
      </c>
      <c r="G17" s="1">
        <f>F17*B7</f>
        <v>4.5908616507825485E-5</v>
      </c>
      <c r="H17" s="1">
        <f>G17*B7</f>
        <v>3.704279039731884E-6</v>
      </c>
      <c r="I17" s="1"/>
      <c r="J17" s="1"/>
      <c r="K17" s="1"/>
      <c r="L17" s="1"/>
      <c r="M17" s="9"/>
      <c r="P17" s="1">
        <f>B17/(B17+H17)</f>
        <v>0.99998524206853978</v>
      </c>
      <c r="Q17" s="117">
        <f>B17-H17</f>
        <v>0.25099518280910604</v>
      </c>
      <c r="R17" s="1">
        <f>1+$L$2*SUM(C17:G17)*$C$2</f>
        <v>1.4777307846167453</v>
      </c>
      <c r="S17" s="9">
        <f>B17*R17-H17*COUNT(D17:M17)</f>
        <v>0.3708902609594969</v>
      </c>
    </row>
    <row r="18" spans="1:19" x14ac:dyDescent="0.2">
      <c r="A18" s="266">
        <v>6</v>
      </c>
      <c r="B18" s="126">
        <f t="shared" si="4"/>
        <v>0.25099888784642982</v>
      </c>
      <c r="C18" s="121">
        <f>C17+F6*F7</f>
        <v>1.0202526233017315</v>
      </c>
      <c r="D18" s="247">
        <f>C18*$E$11</f>
        <v>8.3989486873860916E-2</v>
      </c>
      <c r="E18" s="1">
        <f>D18*$D$11</f>
        <v>6.9142021011626498E-3</v>
      </c>
      <c r="F18" s="1">
        <f>E18*$C$11</f>
        <v>5.6918819194519822E-4</v>
      </c>
      <c r="G18" s="1">
        <f>F18*$B$11</f>
        <v>4.6838386424262124E-5</v>
      </c>
      <c r="H18" s="1">
        <f>G18*B7</f>
        <v>3.7793004077280734E-6</v>
      </c>
      <c r="I18" s="1">
        <f>H18*B7</f>
        <v>3.0494456923595001E-7</v>
      </c>
      <c r="J18" s="1"/>
      <c r="K18" s="1"/>
      <c r="L18" s="1"/>
      <c r="M18" s="9"/>
      <c r="P18" s="1">
        <f>B18/(B18+I18)</f>
        <v>0.99999878507749018</v>
      </c>
      <c r="Q18" s="117">
        <f>B18-I18</f>
        <v>0.25099858290186056</v>
      </c>
      <c r="R18" s="1">
        <f>1+$L$2*SUM(C18:H18)*$C$2</f>
        <v>1.4777329346578969</v>
      </c>
      <c r="S18" s="9">
        <f>B18*R18-I18*COUNT(D18:M18)</f>
        <v>0.37090749346575763</v>
      </c>
    </row>
    <row r="19" spans="1:19" x14ac:dyDescent="0.2">
      <c r="A19" s="266">
        <v>7</v>
      </c>
      <c r="B19" s="126">
        <f t="shared" si="4"/>
        <v>0.25099888786148217</v>
      </c>
      <c r="C19" s="121">
        <f>C18+G6*G7</f>
        <v>1.0202526233629159</v>
      </c>
      <c r="D19" s="247">
        <f>C19*$F$11</f>
        <v>8.3989487132635474E-2</v>
      </c>
      <c r="E19" s="1">
        <f>D19*$E$11</f>
        <v>6.9142031747391683E-3</v>
      </c>
      <c r="F19" s="1">
        <f>E19*$D$11</f>
        <v>5.6919264419896343E-4</v>
      </c>
      <c r="G19" s="1">
        <f>F19*$C$11</f>
        <v>4.685685018747664E-5</v>
      </c>
      <c r="H19" s="1">
        <f>G19*$B$11</f>
        <v>3.8558411554611043E-6</v>
      </c>
      <c r="I19" s="1">
        <f>H19*B7</f>
        <v>3.111204967432523E-7</v>
      </c>
      <c r="J19" s="1">
        <f>I19*B7</f>
        <v>2.5103721753857528E-8</v>
      </c>
      <c r="K19" s="1"/>
      <c r="L19" s="1"/>
      <c r="M19" s="9"/>
      <c r="P19" s="1">
        <f>B19/(B19+J19)</f>
        <v>0.99999989998473904</v>
      </c>
      <c r="Q19" s="117">
        <f>B19-J19</f>
        <v>0.2509988627577604</v>
      </c>
      <c r="R19" s="1">
        <f>1+$L$2*SUM(C19:I19)*$C$2</f>
        <v>1.4777331116827623</v>
      </c>
      <c r="S19" s="9">
        <f>B19*R19-J19*COUNT(D19:M19)</f>
        <v>0.3709091918624085</v>
      </c>
    </row>
    <row r="20" spans="1:19" x14ac:dyDescent="0.2">
      <c r="A20" s="266">
        <v>8</v>
      </c>
      <c r="B20" s="126">
        <f t="shared" si="4"/>
        <v>0.25099888786148811</v>
      </c>
      <c r="C20" s="121">
        <f>C19+I6*I7</f>
        <v>1.0202526233629401</v>
      </c>
      <c r="D20" s="247">
        <f>C20*$G$11</f>
        <v>8.3989487137674304E-2</v>
      </c>
      <c r="E20" s="1">
        <f>D20*$F$11</f>
        <v>6.9142031960422361E-3</v>
      </c>
      <c r="F20" s="1">
        <f>E20*$E$11</f>
        <v>5.6919273257820691E-4</v>
      </c>
      <c r="G20" s="1">
        <f>F20*$D$11</f>
        <v>4.6857216707006142E-5</v>
      </c>
      <c r="H20" s="1">
        <f>G20*$C$11</f>
        <v>3.8573611339131092E-6</v>
      </c>
      <c r="I20" s="1">
        <f>H20*$B$11</f>
        <v>3.174215029842843E-7</v>
      </c>
      <c r="J20" s="1">
        <f>I20*$B$7</f>
        <v>2.5612137975546456E-8</v>
      </c>
      <c r="K20" s="1">
        <f>J20*$B$7</f>
        <v>2.0665947502331213E-9</v>
      </c>
      <c r="L20" s="1"/>
      <c r="M20" s="9"/>
      <c r="P20" s="1">
        <f>B20/(B20+K20)</f>
        <v>0.99999999176651844</v>
      </c>
      <c r="Q20" s="117">
        <f>B20-K20</f>
        <v>0.25099888579489338</v>
      </c>
      <c r="R20" s="1">
        <f>1+$L$2*SUM(C20:J20)*$C$2</f>
        <v>1.4777331262558582</v>
      </c>
      <c r="S20" s="9">
        <f>B20*R20-K20*COUNT(D20:M20)</f>
        <v>0.37090935471354242</v>
      </c>
    </row>
    <row r="21" spans="1:19" x14ac:dyDescent="0.2">
      <c r="A21" s="266">
        <v>9</v>
      </c>
      <c r="B21" s="126">
        <f>C21*$B$6</f>
        <v>0.25099888786148822</v>
      </c>
      <c r="C21" s="121">
        <f>C20+J6*J7</f>
        <v>1.0202526233629405</v>
      </c>
      <c r="D21" s="247">
        <f>C21*$H$11</f>
        <v>8.3989487137774335E-2</v>
      </c>
      <c r="E21" s="1">
        <f>D21*$G$11</f>
        <v>6.9142031964651149E-3</v>
      </c>
      <c r="F21" s="1">
        <f>E21*$F$11</f>
        <v>5.6919273433258762E-4</v>
      </c>
      <c r="G21" s="1">
        <f>F21*$E$11</f>
        <v>4.6857223982638632E-5</v>
      </c>
      <c r="H21" s="1">
        <f>G21*$D$11</f>
        <v>3.8573913066283732E-6</v>
      </c>
      <c r="I21" s="1">
        <f>H21*$C$11</f>
        <v>3.1754663102424123E-7</v>
      </c>
      <c r="J21" s="1">
        <f>I21*$B$11</f>
        <v>2.6130850959515359E-8</v>
      </c>
      <c r="K21" s="1">
        <f>J21*$B$7</f>
        <v>2.1084487153558831E-9</v>
      </c>
      <c r="L21" s="1">
        <f>K21*$B$7</f>
        <v>1.70126720793494E-10</v>
      </c>
      <c r="M21" s="9"/>
      <c r="P21" s="1">
        <f>B21/(B21+L21)</f>
        <v>0.99999999932220118</v>
      </c>
      <c r="Q21" s="117">
        <f>B21-L21</f>
        <v>0.25099888769136147</v>
      </c>
      <c r="R21" s="1">
        <f>1+$L$2*SUM(C21:K21)*$C$2</f>
        <v>1.4777331274555943</v>
      </c>
      <c r="S21" s="9">
        <f>B21*R21-L21*COUNT(D21:M21)</f>
        <v>0.37090937001629248</v>
      </c>
    </row>
    <row r="22" spans="1:19" ht="17" thickBot="1" x14ac:dyDescent="0.25">
      <c r="A22" s="267">
        <v>10</v>
      </c>
      <c r="B22" s="127">
        <f t="shared" si="4"/>
        <v>0.25099888786148822</v>
      </c>
      <c r="C22" s="248">
        <f>C21+K6*K7</f>
        <v>1.0202526233629405</v>
      </c>
      <c r="D22" s="274">
        <f>C22*$I$11</f>
        <v>8.398948713777632E-2</v>
      </c>
      <c r="E22" s="171">
        <f>D22*$H$11</f>
        <v>6.9142031964735092E-3</v>
      </c>
      <c r="F22" s="171">
        <f>E22*$G$11</f>
        <v>5.6919273436741317E-4</v>
      </c>
      <c r="G22" s="171">
        <f>F22*$F$11</f>
        <v>4.6857224127064281E-5</v>
      </c>
      <c r="H22" s="171">
        <f>G22*$E$11</f>
        <v>3.857391905574868E-6</v>
      </c>
      <c r="I22" s="171">
        <f>H22*$D$11</f>
        <v>3.17549114909928E-7</v>
      </c>
      <c r="J22" s="171">
        <f>I22*$C$11</f>
        <v>2.6141151780765405E-8</v>
      </c>
      <c r="K22" s="171">
        <f>J22*$B$11</f>
        <v>2.1511503330706214E-9</v>
      </c>
      <c r="L22" s="171">
        <f>K22*$B$7</f>
        <v>1.735722331939033E-10</v>
      </c>
      <c r="M22" s="10">
        <f>L22*$B$7</f>
        <v>1.4005213709501205E-11</v>
      </c>
      <c r="P22" s="171">
        <f>B22/(B22+M22)</f>
        <v>0.99999999994420197</v>
      </c>
      <c r="Q22" s="118">
        <f>B22-M22</f>
        <v>0.25099888784748298</v>
      </c>
      <c r="R22" s="171">
        <f>1+$L$2*SUM(C22:L22)*$C$2</f>
        <v>1.4777331275543601</v>
      </c>
      <c r="S22" s="10">
        <f>B22*R22-M22*COUNT(D22:M22)</f>
        <v>0.37090937143217095</v>
      </c>
    </row>
    <row r="24" spans="1:19" x14ac:dyDescent="0.2">
      <c r="B24" t="s">
        <v>167</v>
      </c>
      <c r="C24">
        <f>C2</f>
        <v>0.24601641016530756</v>
      </c>
      <c r="D24" t="s">
        <v>60</v>
      </c>
      <c r="E24">
        <f>L2</f>
        <v>1.7466414588190893</v>
      </c>
      <c r="F24" t="s">
        <v>58</v>
      </c>
      <c r="G24">
        <f>J2</f>
        <v>2</v>
      </c>
    </row>
    <row r="25" spans="1:19" x14ac:dyDescent="0.2">
      <c r="B25" t="s">
        <v>168</v>
      </c>
      <c r="C25">
        <f>E2</f>
        <v>8.0688100001890944E-2</v>
      </c>
      <c r="D25" t="s">
        <v>57</v>
      </c>
      <c r="E25">
        <v>10</v>
      </c>
      <c r="F25" t="s">
        <v>190</v>
      </c>
      <c r="G25">
        <f>H2</f>
        <v>10</v>
      </c>
    </row>
    <row r="27" spans="1:19" ht="17" thickBot="1" x14ac:dyDescent="0.25">
      <c r="A27" s="1"/>
      <c r="B27" s="26"/>
      <c r="C27" s="26">
        <v>1</v>
      </c>
      <c r="D27" s="26">
        <v>0</v>
      </c>
      <c r="E27" s="26">
        <v>1</v>
      </c>
      <c r="F27" s="26">
        <v>2</v>
      </c>
      <c r="G27" s="26">
        <v>3</v>
      </c>
      <c r="H27" s="26">
        <v>4</v>
      </c>
      <c r="I27" s="26">
        <v>5</v>
      </c>
      <c r="J27" s="26">
        <v>6</v>
      </c>
      <c r="K27" s="26">
        <v>7</v>
      </c>
      <c r="L27" s="26">
        <v>8</v>
      </c>
      <c r="M27" s="26">
        <v>9</v>
      </c>
      <c r="N27" s="26">
        <v>10</v>
      </c>
    </row>
    <row r="28" spans="1:19" ht="17" thickBot="1" x14ac:dyDescent="0.25">
      <c r="A28" s="308"/>
      <c r="B28" s="451" t="s">
        <v>185</v>
      </c>
      <c r="C28" s="452"/>
      <c r="D28" s="452"/>
      <c r="E28" s="452"/>
      <c r="F28" s="452"/>
      <c r="G28" s="452"/>
      <c r="H28" s="452"/>
      <c r="I28" s="452"/>
      <c r="J28" s="452"/>
      <c r="K28" s="452"/>
      <c r="L28" s="452"/>
      <c r="M28" s="452"/>
      <c r="N28" s="452"/>
      <c r="O28" s="452"/>
      <c r="P28" s="452"/>
      <c r="Q28" s="453"/>
    </row>
    <row r="29" spans="1:19" x14ac:dyDescent="0.2">
      <c r="A29" s="131"/>
      <c r="B29" s="305" t="s">
        <v>8</v>
      </c>
      <c r="C29" s="273">
        <f t="shared" ref="C29:N29" si="5">B14</f>
        <v>0.25089998270643998</v>
      </c>
      <c r="D29" s="170">
        <f t="shared" si="5"/>
        <v>1.0198505967055245</v>
      </c>
      <c r="E29" s="170">
        <f t="shared" si="5"/>
        <v>8.2289806933963511E-2</v>
      </c>
      <c r="F29" s="170">
        <f t="shared" si="5"/>
        <v>6.6398081710239464E-3</v>
      </c>
      <c r="G29" s="170">
        <f t="shared" si="5"/>
        <v>0</v>
      </c>
      <c r="H29" s="170">
        <f t="shared" si="5"/>
        <v>0</v>
      </c>
      <c r="I29" s="170">
        <f t="shared" si="5"/>
        <v>0</v>
      </c>
      <c r="J29" s="170">
        <f t="shared" si="5"/>
        <v>0</v>
      </c>
      <c r="K29" s="170">
        <f t="shared" si="5"/>
        <v>0</v>
      </c>
      <c r="L29" s="170">
        <f t="shared" si="5"/>
        <v>0</v>
      </c>
      <c r="M29" s="170">
        <f t="shared" si="5"/>
        <v>0</v>
      </c>
      <c r="N29" s="170">
        <f t="shared" si="5"/>
        <v>0</v>
      </c>
      <c r="O29" s="170"/>
      <c r="P29" s="169" t="s">
        <v>170</v>
      </c>
      <c r="Q29" s="170" t="s">
        <v>171</v>
      </c>
      <c r="R29" s="63" t="s">
        <v>174</v>
      </c>
    </row>
    <row r="30" spans="1:19" x14ac:dyDescent="0.2">
      <c r="A30" s="126">
        <f>$E$25</f>
        <v>10</v>
      </c>
      <c r="B30" s="306" t="s">
        <v>169</v>
      </c>
      <c r="C30" s="247">
        <v>0</v>
      </c>
      <c r="D30" s="1">
        <v>1</v>
      </c>
      <c r="E30" s="1">
        <f t="shared" ref="E30:N30" si="6">IF(F29&gt;0,POWER($A30,E$27),0)</f>
        <v>10</v>
      </c>
      <c r="F30" s="1">
        <f t="shared" si="6"/>
        <v>0</v>
      </c>
      <c r="G30" s="1">
        <f t="shared" si="6"/>
        <v>0</v>
      </c>
      <c r="H30" s="1">
        <f t="shared" si="6"/>
        <v>0</v>
      </c>
      <c r="I30" s="1">
        <f t="shared" si="6"/>
        <v>0</v>
      </c>
      <c r="J30" s="1">
        <f t="shared" si="6"/>
        <v>0</v>
      </c>
      <c r="K30" s="1">
        <f t="shared" si="6"/>
        <v>0</v>
      </c>
      <c r="L30" s="1">
        <f t="shared" si="6"/>
        <v>0</v>
      </c>
      <c r="M30" s="1">
        <f t="shared" si="6"/>
        <v>0</v>
      </c>
      <c r="N30" s="1">
        <f t="shared" si="6"/>
        <v>0</v>
      </c>
      <c r="O30" s="1"/>
      <c r="P30" s="117">
        <f>SUM(C30:J30)*$G$25</f>
        <v>110</v>
      </c>
      <c r="Q30" s="1">
        <f>(C30*C29+D30*D29+E30*E29+F30*F29+G30*G29+H30*H29+I30*I29+J30*J29)*3</f>
        <v>5.5282459981354783</v>
      </c>
      <c r="R30" s="9">
        <f>P30/Q32</f>
        <v>6282.8513315498985</v>
      </c>
    </row>
    <row r="31" spans="1:19" x14ac:dyDescent="0.2">
      <c r="A31" s="126"/>
      <c r="B31" s="306" t="s">
        <v>58</v>
      </c>
      <c r="C31" s="247"/>
      <c r="D31" s="1"/>
      <c r="E31" s="1"/>
      <c r="F31" s="1"/>
      <c r="G31" s="1"/>
      <c r="H31" s="1"/>
      <c r="I31" s="1"/>
      <c r="J31" s="1"/>
      <c r="K31" s="270"/>
      <c r="L31" s="270"/>
      <c r="M31" s="270"/>
      <c r="N31" s="270"/>
      <c r="O31" s="270"/>
      <c r="P31" s="117" t="s">
        <v>172</v>
      </c>
      <c r="Q31" s="1" t="s">
        <v>173</v>
      </c>
      <c r="R31" s="9" t="s">
        <v>175</v>
      </c>
    </row>
    <row r="32" spans="1:19" ht="17" thickBot="1" x14ac:dyDescent="0.25">
      <c r="A32" s="127"/>
      <c r="B32" s="307" t="s">
        <v>60</v>
      </c>
      <c r="C32" s="274">
        <f>(D30*$G$24*$E$24*$C$24-D30*$G$25*$C$25)*D29</f>
        <v>5.3566554284485972E-2</v>
      </c>
      <c r="D32" s="171">
        <f t="shared" ref="D32:N32" si="7">(E30*$G$24*$E$24*$C$24-E30*$G$25*$C$25)*E29</f>
        <v>4.3221834888633369E-2</v>
      </c>
      <c r="E32" s="171">
        <f t="shared" si="7"/>
        <v>0</v>
      </c>
      <c r="F32" s="171">
        <f t="shared" si="7"/>
        <v>0</v>
      </c>
      <c r="G32" s="171">
        <f t="shared" si="7"/>
        <v>0</v>
      </c>
      <c r="H32" s="171">
        <f t="shared" si="7"/>
        <v>0</v>
      </c>
      <c r="I32" s="171">
        <f t="shared" si="7"/>
        <v>0</v>
      </c>
      <c r="J32" s="171">
        <f t="shared" si="7"/>
        <v>0</v>
      </c>
      <c r="K32" s="171">
        <f t="shared" si="7"/>
        <v>0</v>
      </c>
      <c r="L32" s="171">
        <f t="shared" si="7"/>
        <v>0</v>
      </c>
      <c r="M32" s="171">
        <f t="shared" si="7"/>
        <v>0</v>
      </c>
      <c r="N32" s="171">
        <f t="shared" si="7"/>
        <v>0</v>
      </c>
      <c r="O32" s="271"/>
      <c r="P32" s="118">
        <f>SUM(C32:O32)</f>
        <v>9.6788389173119341E-2</v>
      </c>
      <c r="Q32" s="171">
        <f>P32/Q30</f>
        <v>1.7507974356742326E-2</v>
      </c>
      <c r="R32" s="10">
        <f>Q30/Q32</f>
        <v>315.75588845928081</v>
      </c>
    </row>
    <row r="33" spans="1:18" ht="17" thickBot="1" x14ac:dyDescent="0.25">
      <c r="A33" s="309"/>
      <c r="B33" s="451" t="s">
        <v>186</v>
      </c>
      <c r="C33" s="452"/>
      <c r="D33" s="452"/>
      <c r="E33" s="452"/>
      <c r="F33" s="452"/>
      <c r="G33" s="452"/>
      <c r="H33" s="452"/>
      <c r="I33" s="452"/>
      <c r="J33" s="452"/>
      <c r="K33" s="452"/>
      <c r="L33" s="452"/>
      <c r="M33" s="452"/>
      <c r="N33" s="452"/>
      <c r="O33" s="452"/>
      <c r="P33" s="452"/>
      <c r="Q33" s="452"/>
      <c r="R33" s="453"/>
    </row>
    <row r="34" spans="1:18" x14ac:dyDescent="0.2">
      <c r="A34" s="131"/>
      <c r="B34" s="305" t="s">
        <v>8</v>
      </c>
      <c r="C34" s="273">
        <f t="shared" ref="C34:N34" si="8">B15</f>
        <v>0.25099692453543615</v>
      </c>
      <c r="D34" s="170">
        <f t="shared" si="8"/>
        <v>1.0202446428950898</v>
      </c>
      <c r="E34" s="170">
        <f t="shared" si="8"/>
        <v>8.3955734689247483E-2</v>
      </c>
      <c r="F34" s="170">
        <f t="shared" si="8"/>
        <v>2.065448846103965E-2</v>
      </c>
      <c r="G34" s="170">
        <f t="shared" si="8"/>
        <v>5.0813431049857426E-3</v>
      </c>
      <c r="H34" s="170">
        <f t="shared" si="8"/>
        <v>0</v>
      </c>
      <c r="I34" s="170">
        <f t="shared" si="8"/>
        <v>0</v>
      </c>
      <c r="J34" s="170">
        <f t="shared" si="8"/>
        <v>0</v>
      </c>
      <c r="K34" s="170">
        <f t="shared" si="8"/>
        <v>0</v>
      </c>
      <c r="L34" s="170">
        <f t="shared" si="8"/>
        <v>0</v>
      </c>
      <c r="M34" s="170">
        <f t="shared" si="8"/>
        <v>0</v>
      </c>
      <c r="N34" s="170">
        <f t="shared" si="8"/>
        <v>0</v>
      </c>
      <c r="O34" s="170"/>
      <c r="P34" s="169" t="s">
        <v>170</v>
      </c>
      <c r="Q34" s="170" t="s">
        <v>171</v>
      </c>
      <c r="R34" s="63" t="s">
        <v>174</v>
      </c>
    </row>
    <row r="35" spans="1:18" x14ac:dyDescent="0.2">
      <c r="A35" s="126">
        <f>$E$25</f>
        <v>10</v>
      </c>
      <c r="B35" s="306" t="s">
        <v>169</v>
      </c>
      <c r="C35" s="247">
        <v>0</v>
      </c>
      <c r="D35" s="1">
        <v>1</v>
      </c>
      <c r="E35" s="1">
        <f t="shared" ref="E35:N35" si="9">IF(F34&gt;0,POWER($A35,E$27),0)</f>
        <v>10</v>
      </c>
      <c r="F35" s="1">
        <f t="shared" si="9"/>
        <v>100</v>
      </c>
      <c r="G35" s="1">
        <f t="shared" si="9"/>
        <v>0</v>
      </c>
      <c r="H35" s="1">
        <f t="shared" si="9"/>
        <v>0</v>
      </c>
      <c r="I35" s="1">
        <f t="shared" si="9"/>
        <v>0</v>
      </c>
      <c r="J35" s="1">
        <f t="shared" si="9"/>
        <v>0</v>
      </c>
      <c r="K35" s="1">
        <f t="shared" si="9"/>
        <v>0</v>
      </c>
      <c r="L35" s="1">
        <f t="shared" si="9"/>
        <v>0</v>
      </c>
      <c r="M35" s="1">
        <f t="shared" si="9"/>
        <v>0</v>
      </c>
      <c r="N35" s="1">
        <f t="shared" si="9"/>
        <v>0</v>
      </c>
      <c r="O35" s="1"/>
      <c r="P35" s="117">
        <f>SUM(C35:J35)*$G$25</f>
        <v>1110</v>
      </c>
      <c r="Q35" s="1">
        <f>(C35*C34+D35*D34+E35*E34+F35*F34+G35*G34+H35*H34+I35*I34+J35*J34)*3</f>
        <v>11.775752507674589</v>
      </c>
      <c r="R35" s="9">
        <f>P35/Q37</f>
        <v>63399.681618367118</v>
      </c>
    </row>
    <row r="36" spans="1:18" x14ac:dyDescent="0.2">
      <c r="A36" s="126"/>
      <c r="B36" s="306" t="s">
        <v>58</v>
      </c>
      <c r="C36" s="247"/>
      <c r="D36" s="1"/>
      <c r="E36" s="1"/>
      <c r="F36" s="1"/>
      <c r="G36" s="1"/>
      <c r="H36" s="1"/>
      <c r="I36" s="1"/>
      <c r="J36" s="1"/>
      <c r="K36" s="270"/>
      <c r="L36" s="270"/>
      <c r="M36" s="270"/>
      <c r="N36" s="270"/>
      <c r="O36" s="270"/>
      <c r="P36" s="117" t="s">
        <v>172</v>
      </c>
      <c r="Q36" s="1" t="s">
        <v>173</v>
      </c>
      <c r="R36" s="9" t="s">
        <v>175</v>
      </c>
    </row>
    <row r="37" spans="1:18" ht="17" thickBot="1" x14ac:dyDescent="0.25">
      <c r="A37" s="127"/>
      <c r="B37" s="307" t="s">
        <v>60</v>
      </c>
      <c r="C37" s="274">
        <f>(D35*$G$24*$E$24*$C$24-D35*$G$25*$C$25)*D34</f>
        <v>5.3587251136232819E-2</v>
      </c>
      <c r="D37" s="171">
        <f t="shared" ref="D37:I37" si="10">(E35*$G$24*$E$24*$C$24-E35*$G$25*$C$25)*E34</f>
        <v>4.4096845501224287E-2</v>
      </c>
      <c r="E37" s="171">
        <f t="shared" si="10"/>
        <v>0.10848547629825384</v>
      </c>
      <c r="F37" s="171">
        <f t="shared" si="10"/>
        <v>0</v>
      </c>
      <c r="G37" s="171">
        <f t="shared" si="10"/>
        <v>0</v>
      </c>
      <c r="H37" s="171">
        <f t="shared" si="10"/>
        <v>0</v>
      </c>
      <c r="I37" s="171">
        <f t="shared" si="10"/>
        <v>0</v>
      </c>
      <c r="J37" s="171">
        <f>(K35*$G$24*$E$24*$C$24-K35*$G$25*$C$25)*K34</f>
        <v>0</v>
      </c>
      <c r="K37" s="171">
        <f>(L35*$G$24*$E$24*$C$24-L35*$G$25*$C$25)*L34</f>
        <v>0</v>
      </c>
      <c r="L37" s="171">
        <f>(M35*$G$24*$E$24*$C$24-M35*$G$25*$C$25)*M34</f>
        <v>0</v>
      </c>
      <c r="M37" s="171">
        <f>(N35*$G$24*$E$24*$C$24-N35*$G$25*$C$25)*N34</f>
        <v>0</v>
      </c>
      <c r="N37" s="171">
        <f>(O35*$G$24*$E$24*$C$24-O35*$G$25*$C$25)*O34</f>
        <v>0</v>
      </c>
      <c r="O37" s="271"/>
      <c r="P37" s="118">
        <f>SUM(C37:O37)</f>
        <v>0.20616957293571095</v>
      </c>
      <c r="Q37" s="171">
        <f>P37/Q35</f>
        <v>1.7507974356742336E-2</v>
      </c>
      <c r="R37" s="10">
        <f>Q35/Q37</f>
        <v>672.59365748041182</v>
      </c>
    </row>
    <row r="38" spans="1:18" ht="17" thickBot="1" x14ac:dyDescent="0.25">
      <c r="A38" s="309"/>
      <c r="B38" s="451" t="s">
        <v>187</v>
      </c>
      <c r="C38" s="452"/>
      <c r="D38" s="452"/>
      <c r="E38" s="452"/>
      <c r="F38" s="452"/>
      <c r="G38" s="452"/>
      <c r="H38" s="452"/>
      <c r="I38" s="452"/>
      <c r="J38" s="452"/>
      <c r="K38" s="452"/>
      <c r="L38" s="452"/>
      <c r="M38" s="452"/>
      <c r="N38" s="452"/>
      <c r="O38" s="452"/>
      <c r="P38" s="452"/>
      <c r="Q38" s="452"/>
      <c r="R38" s="453"/>
    </row>
    <row r="39" spans="1:18" x14ac:dyDescent="0.2">
      <c r="A39" s="131"/>
      <c r="B39" s="305" t="s">
        <v>8</v>
      </c>
      <c r="C39" s="273">
        <f>B16</f>
        <v>0.25099884888858742</v>
      </c>
      <c r="D39" s="170">
        <f t="shared" ref="D39:I39" si="11">C16</f>
        <v>1.0202524649470821</v>
      </c>
      <c r="E39" s="170">
        <f t="shared" si="11"/>
        <v>8.3988817126593937E-2</v>
      </c>
      <c r="F39" s="170">
        <f t="shared" si="11"/>
        <v>6.9114235459593826E-3</v>
      </c>
      <c r="G39" s="170">
        <f t="shared" si="11"/>
        <v>5.5766963423179436E-4</v>
      </c>
      <c r="H39" s="170">
        <f t="shared" si="11"/>
        <v>4.4997303214912972E-5</v>
      </c>
      <c r="I39" s="170">
        <f t="shared" si="11"/>
        <v>0</v>
      </c>
      <c r="J39" s="170">
        <f>I16</f>
        <v>0</v>
      </c>
      <c r="K39" s="170">
        <f>J16</f>
        <v>0</v>
      </c>
      <c r="L39" s="170">
        <f>K16</f>
        <v>0</v>
      </c>
      <c r="M39" s="170">
        <f>L16</f>
        <v>0</v>
      </c>
      <c r="N39" s="170">
        <f>M16</f>
        <v>0</v>
      </c>
      <c r="O39" s="269"/>
      <c r="P39" s="169" t="s">
        <v>170</v>
      </c>
      <c r="Q39" s="170" t="s">
        <v>171</v>
      </c>
      <c r="R39" s="63" t="s">
        <v>174</v>
      </c>
    </row>
    <row r="40" spans="1:18" x14ac:dyDescent="0.2">
      <c r="A40" s="126">
        <f>$E$25</f>
        <v>10</v>
      </c>
      <c r="B40" s="306" t="s">
        <v>169</v>
      </c>
      <c r="C40" s="247">
        <v>0</v>
      </c>
      <c r="D40" s="1">
        <v>1</v>
      </c>
      <c r="E40" s="1">
        <f t="shared" ref="E40:N40" si="12">IF(F39&gt;0,POWER($A40,E$27),0)</f>
        <v>10</v>
      </c>
      <c r="F40" s="1">
        <f t="shared" si="12"/>
        <v>100</v>
      </c>
      <c r="G40" s="1">
        <f t="shared" si="12"/>
        <v>1000</v>
      </c>
      <c r="H40" s="1">
        <f t="shared" si="12"/>
        <v>0</v>
      </c>
      <c r="I40" s="1">
        <f t="shared" si="12"/>
        <v>0</v>
      </c>
      <c r="J40" s="1">
        <f t="shared" si="12"/>
        <v>0</v>
      </c>
      <c r="K40" s="1">
        <f t="shared" si="12"/>
        <v>0</v>
      </c>
      <c r="L40" s="1">
        <f t="shared" si="12"/>
        <v>0</v>
      </c>
      <c r="M40" s="1">
        <f t="shared" si="12"/>
        <v>0</v>
      </c>
      <c r="N40" s="1">
        <f t="shared" si="12"/>
        <v>0</v>
      </c>
      <c r="O40" s="270"/>
      <c r="P40" s="117">
        <f>SUM(C40:J40)*$G$25</f>
        <v>11110</v>
      </c>
      <c r="Q40" s="1">
        <f>(C40*C39+D40*D39+E40*E39+F40*F39+G40*G39+H40*H39+I40*I39+J40*J39)*3</f>
        <v>9.3268578751222631</v>
      </c>
      <c r="R40" s="9">
        <f>P40/Q42</f>
        <v>634567.98448653962</v>
      </c>
    </row>
    <row r="41" spans="1:18" x14ac:dyDescent="0.2">
      <c r="A41" s="126"/>
      <c r="B41" s="306" t="s">
        <v>58</v>
      </c>
      <c r="C41" s="247"/>
      <c r="D41" s="1"/>
      <c r="E41" s="1"/>
      <c r="F41" s="1"/>
      <c r="G41" s="1"/>
      <c r="H41" s="1"/>
      <c r="I41" s="1"/>
      <c r="J41" s="1"/>
      <c r="K41" s="270"/>
      <c r="L41" s="270"/>
      <c r="M41" s="270"/>
      <c r="N41" s="270"/>
      <c r="O41" s="270"/>
      <c r="P41" s="117" t="s">
        <v>172</v>
      </c>
      <c r="Q41" s="1" t="s">
        <v>173</v>
      </c>
      <c r="R41" s="9" t="s">
        <v>175</v>
      </c>
    </row>
    <row r="42" spans="1:18" ht="17" thickBot="1" x14ac:dyDescent="0.25">
      <c r="A42" s="127"/>
      <c r="B42" s="307" t="s">
        <v>60</v>
      </c>
      <c r="C42" s="274">
        <f>(D40*$G$24*$E$24*$C$24-D40*$G$25*$C$25)*D39</f>
        <v>5.3587661981089912E-2</v>
      </c>
      <c r="D42" s="171">
        <f t="shared" ref="D42:I42" si="13">(E40*$G$24*$E$24*$C$24-E40*$G$25*$C$25)*E39</f>
        <v>4.4114221695165892E-2</v>
      </c>
      <c r="E42" s="171">
        <f t="shared" si="13"/>
        <v>3.6301507863372634E-2</v>
      </c>
      <c r="F42" s="171">
        <f t="shared" si="13"/>
        <v>2.9290996966992427E-2</v>
      </c>
      <c r="G42" s="171">
        <f t="shared" si="13"/>
        <v>0</v>
      </c>
      <c r="H42" s="171">
        <f t="shared" si="13"/>
        <v>0</v>
      </c>
      <c r="I42" s="171">
        <f t="shared" si="13"/>
        <v>0</v>
      </c>
      <c r="J42" s="171">
        <f>(K40*$G$24*$E$24*$C$24-K40*$G$25*$C$25)*K39</f>
        <v>0</v>
      </c>
      <c r="K42" s="171">
        <f>(L40*$G$24*$E$24*$C$24-L40*$G$25*$C$25)*L39</f>
        <v>0</v>
      </c>
      <c r="L42" s="171">
        <f>(M40*$G$24*$E$24*$C$24-M40*$G$25*$C$25)*M39</f>
        <v>0</v>
      </c>
      <c r="M42" s="171">
        <f>(N40*$G$24*$E$24*$C$24-N40*$G$25*$C$25)*N39</f>
        <v>0</v>
      </c>
      <c r="N42" s="171">
        <f>(O40*$G$24*$E$24*$C$24-O40*$G$25*$C$25)*O39</f>
        <v>0</v>
      </c>
      <c r="O42" s="271"/>
      <c r="P42" s="118">
        <f>SUM(C42:O42)</f>
        <v>0.16329438850662084</v>
      </c>
      <c r="Q42" s="171">
        <f>P42/Q40</f>
        <v>1.7507974356742329E-2</v>
      </c>
      <c r="R42" s="10">
        <f>Q40/Q42</f>
        <v>532.72055836262325</v>
      </c>
    </row>
    <row r="43" spans="1:18" ht="17" thickBot="1" x14ac:dyDescent="0.25">
      <c r="A43" s="309"/>
      <c r="B43" s="451" t="s">
        <v>188</v>
      </c>
      <c r="C43" s="452"/>
      <c r="D43" s="452"/>
      <c r="E43" s="452"/>
      <c r="F43" s="452"/>
      <c r="G43" s="452"/>
      <c r="H43" s="452"/>
      <c r="I43" s="452"/>
      <c r="J43" s="452"/>
      <c r="K43" s="452"/>
      <c r="L43" s="452"/>
      <c r="M43" s="452"/>
      <c r="N43" s="452"/>
      <c r="O43" s="452"/>
      <c r="P43" s="452"/>
      <c r="Q43" s="452"/>
      <c r="R43" s="453"/>
    </row>
    <row r="44" spans="1:18" x14ac:dyDescent="0.2">
      <c r="A44" s="131"/>
      <c r="B44" s="305" t="s">
        <v>8</v>
      </c>
      <c r="C44" s="273">
        <f>B17</f>
        <v>0.25099888708814577</v>
      </c>
      <c r="D44" s="170">
        <f t="shared" ref="D44:I44" si="14">C17</f>
        <v>1.0202526202194817</v>
      </c>
      <c r="E44" s="170">
        <f t="shared" si="14"/>
        <v>8.3989473837750614E-2</v>
      </c>
      <c r="F44" s="170">
        <f t="shared" si="14"/>
        <v>6.9141480183373674E-3</v>
      </c>
      <c r="G44" s="170">
        <f t="shared" si="14"/>
        <v>5.6896390554182839E-4</v>
      </c>
      <c r="H44" s="170">
        <f t="shared" si="14"/>
        <v>4.5908616507825485E-5</v>
      </c>
      <c r="I44" s="170">
        <f t="shared" si="14"/>
        <v>3.704279039731884E-6</v>
      </c>
      <c r="J44" s="170">
        <f>I17</f>
        <v>0</v>
      </c>
      <c r="K44" s="170">
        <f>J17</f>
        <v>0</v>
      </c>
      <c r="L44" s="170">
        <f>K17</f>
        <v>0</v>
      </c>
      <c r="M44" s="170">
        <f>L17</f>
        <v>0</v>
      </c>
      <c r="N44" s="170">
        <f>M17</f>
        <v>0</v>
      </c>
      <c r="O44" s="269"/>
      <c r="P44" s="169" t="s">
        <v>170</v>
      </c>
      <c r="Q44" s="170" t="s">
        <v>171</v>
      </c>
      <c r="R44" s="63" t="s">
        <v>174</v>
      </c>
    </row>
    <row r="45" spans="1:18" x14ac:dyDescent="0.2">
      <c r="A45" s="126">
        <f>$E$25</f>
        <v>10</v>
      </c>
      <c r="B45" s="306" t="s">
        <v>169</v>
      </c>
      <c r="C45" s="247">
        <v>0</v>
      </c>
      <c r="D45" s="1">
        <v>1</v>
      </c>
      <c r="E45" s="1">
        <f t="shared" ref="E45:N45" si="15">IF(F44&gt;0,POWER($A45,E$27),0)</f>
        <v>10</v>
      </c>
      <c r="F45" s="1">
        <f t="shared" si="15"/>
        <v>100</v>
      </c>
      <c r="G45" s="1">
        <f t="shared" si="15"/>
        <v>1000</v>
      </c>
      <c r="H45" s="1">
        <f t="shared" si="15"/>
        <v>10000</v>
      </c>
      <c r="I45" s="1">
        <f t="shared" si="15"/>
        <v>0</v>
      </c>
      <c r="J45" s="1">
        <f t="shared" si="15"/>
        <v>0</v>
      </c>
      <c r="K45" s="1">
        <f t="shared" si="15"/>
        <v>0</v>
      </c>
      <c r="L45" s="1">
        <f t="shared" si="15"/>
        <v>0</v>
      </c>
      <c r="M45" s="1">
        <f t="shared" si="15"/>
        <v>0</v>
      </c>
      <c r="N45" s="1">
        <f t="shared" si="15"/>
        <v>0</v>
      </c>
      <c r="O45" s="270"/>
      <c r="P45" s="117">
        <f>SUM(C45:J45)*$G$25</f>
        <v>111110</v>
      </c>
      <c r="Q45" s="1">
        <f>(C45*C44+D45*D44+E45*E44+F45*F44+G45*G44+H45*H44+I45*I44+J45*J44)*3</f>
        <v>10.738836693152422</v>
      </c>
      <c r="R45" s="9">
        <f>P45/Q47</f>
        <v>6346251.0131682632</v>
      </c>
    </row>
    <row r="46" spans="1:18" x14ac:dyDescent="0.2">
      <c r="A46" s="126"/>
      <c r="B46" s="306" t="s">
        <v>58</v>
      </c>
      <c r="C46" s="247"/>
      <c r="D46" s="1"/>
      <c r="E46" s="1"/>
      <c r="F46" s="1"/>
      <c r="G46" s="1"/>
      <c r="H46" s="1"/>
      <c r="I46" s="1"/>
      <c r="J46" s="1"/>
      <c r="K46" s="270"/>
      <c r="L46" s="270"/>
      <c r="M46" s="270"/>
      <c r="N46" s="270"/>
      <c r="O46" s="270"/>
      <c r="P46" s="117" t="s">
        <v>172</v>
      </c>
      <c r="Q46" s="1" t="s">
        <v>173</v>
      </c>
      <c r="R46" s="9" t="s">
        <v>175</v>
      </c>
    </row>
    <row r="47" spans="1:18" ht="17" thickBot="1" x14ac:dyDescent="0.25">
      <c r="A47" s="127"/>
      <c r="B47" s="307" t="s">
        <v>60</v>
      </c>
      <c r="C47" s="274">
        <f>(D45*$G$24*$E$24*$C$24-D45*$G$25*$C$25)*D44</f>
        <v>5.3587670136605488E-2</v>
      </c>
      <c r="D47" s="171">
        <f t="shared" ref="D47:I47" si="16">(E45*$G$24*$E$24*$C$24-E45*$G$25*$C$25)*E44</f>
        <v>4.4114566625628619E-2</v>
      </c>
      <c r="E47" s="171">
        <f t="shared" si="16"/>
        <v>3.6315817861131451E-2</v>
      </c>
      <c r="F47" s="171">
        <f t="shared" si="16"/>
        <v>2.9884216404414927E-2</v>
      </c>
      <c r="G47" s="171">
        <f t="shared" si="16"/>
        <v>2.4113006417175755E-2</v>
      </c>
      <c r="H47" s="171">
        <f t="shared" si="16"/>
        <v>0</v>
      </c>
      <c r="I47" s="171">
        <f t="shared" si="16"/>
        <v>0</v>
      </c>
      <c r="J47" s="171">
        <f>(K45*$G$24*$E$24*$C$24-K45*$G$25*$C$25)*K44</f>
        <v>0</v>
      </c>
      <c r="K47" s="171">
        <f>(L45*$G$24*$E$24*$C$24-L45*$G$25*$C$25)*L44</f>
        <v>0</v>
      </c>
      <c r="L47" s="171">
        <f>(M45*$G$24*$E$24*$C$24-M45*$G$25*$C$25)*M44</f>
        <v>0</v>
      </c>
      <c r="M47" s="171">
        <f>(N45*$G$24*$E$24*$C$24-N45*$G$25*$C$25)*N44</f>
        <v>0</v>
      </c>
      <c r="N47" s="171">
        <f>(O45*$G$24*$E$24*$C$24-O45*$G$25*$C$25)*O44</f>
        <v>0</v>
      </c>
      <c r="O47" s="271"/>
      <c r="P47" s="118">
        <f>SUM(C47:O47)</f>
        <v>0.18801527744495625</v>
      </c>
      <c r="Q47" s="171">
        <f>P47/Q45</f>
        <v>1.7507974356742333E-2</v>
      </c>
      <c r="R47" s="10">
        <f>Q45/Q47</f>
        <v>613.36831288063252</v>
      </c>
    </row>
    <row r="48" spans="1:18" ht="17" thickBot="1" x14ac:dyDescent="0.25">
      <c r="A48" s="309"/>
      <c r="B48" s="451" t="s">
        <v>189</v>
      </c>
      <c r="C48" s="452"/>
      <c r="D48" s="452"/>
      <c r="E48" s="452"/>
      <c r="F48" s="452"/>
      <c r="G48" s="452"/>
      <c r="H48" s="452"/>
      <c r="I48" s="452"/>
      <c r="J48" s="452"/>
      <c r="K48" s="452"/>
      <c r="L48" s="452"/>
      <c r="M48" s="452"/>
      <c r="N48" s="452"/>
      <c r="O48" s="452"/>
      <c r="P48" s="452"/>
      <c r="Q48" s="452"/>
      <c r="R48" s="453"/>
    </row>
    <row r="49" spans="1:18" x14ac:dyDescent="0.2">
      <c r="A49" s="131"/>
      <c r="B49" s="305" t="s">
        <v>8</v>
      </c>
      <c r="C49" s="273">
        <f>B18</f>
        <v>0.25099888784642982</v>
      </c>
      <c r="D49" s="170">
        <f t="shared" ref="D49:I49" si="17">C18</f>
        <v>1.0202526233017315</v>
      </c>
      <c r="E49" s="170">
        <f t="shared" si="17"/>
        <v>8.3989486873860916E-2</v>
      </c>
      <c r="F49" s="170">
        <f t="shared" si="17"/>
        <v>6.9142021011626498E-3</v>
      </c>
      <c r="G49" s="170">
        <f t="shared" si="17"/>
        <v>5.6918819194519822E-4</v>
      </c>
      <c r="H49" s="170">
        <f t="shared" si="17"/>
        <v>4.6838386424262124E-5</v>
      </c>
      <c r="I49" s="170">
        <f t="shared" si="17"/>
        <v>3.7793004077280734E-6</v>
      </c>
      <c r="J49" s="170">
        <f>I18</f>
        <v>3.0494456923595001E-7</v>
      </c>
      <c r="K49" s="170">
        <f>J18</f>
        <v>0</v>
      </c>
      <c r="L49" s="170">
        <f>K18</f>
        <v>0</v>
      </c>
      <c r="M49" s="170">
        <f>L18</f>
        <v>0</v>
      </c>
      <c r="N49" s="170">
        <f>M18</f>
        <v>0</v>
      </c>
      <c r="O49" s="269"/>
      <c r="P49" s="169" t="s">
        <v>170</v>
      </c>
      <c r="Q49" s="170" t="s">
        <v>171</v>
      </c>
      <c r="R49" s="63" t="s">
        <v>174</v>
      </c>
    </row>
    <row r="50" spans="1:18" x14ac:dyDescent="0.2">
      <c r="A50" s="126">
        <f>$E$25</f>
        <v>10</v>
      </c>
      <c r="B50" s="306" t="s">
        <v>169</v>
      </c>
      <c r="C50" s="247">
        <v>0</v>
      </c>
      <c r="D50" s="1">
        <v>1</v>
      </c>
      <c r="E50" s="1">
        <f t="shared" ref="E50:N50" si="18">IF(F49&gt;0,POWER($A50,E$27),0)</f>
        <v>10</v>
      </c>
      <c r="F50" s="1">
        <f t="shared" si="18"/>
        <v>100</v>
      </c>
      <c r="G50" s="1">
        <f t="shared" si="18"/>
        <v>1000</v>
      </c>
      <c r="H50" s="1">
        <f t="shared" si="18"/>
        <v>10000</v>
      </c>
      <c r="I50" s="1">
        <f t="shared" si="18"/>
        <v>100000</v>
      </c>
      <c r="J50" s="1">
        <f t="shared" si="18"/>
        <v>0</v>
      </c>
      <c r="K50" s="1">
        <f t="shared" si="18"/>
        <v>0</v>
      </c>
      <c r="L50" s="1">
        <f t="shared" si="18"/>
        <v>0</v>
      </c>
      <c r="M50" s="1">
        <f t="shared" si="18"/>
        <v>0</v>
      </c>
      <c r="N50" s="1">
        <f t="shared" si="18"/>
        <v>0</v>
      </c>
      <c r="O50" s="270"/>
      <c r="P50" s="117">
        <f>SUM(C50:J50)*$G$25</f>
        <v>1111110</v>
      </c>
      <c r="Q50" s="1">
        <f>(C50*C49+D50*D49+E50*E49+F50*F49+G50*G49+H50*H49+I50*I49+J50*J49)*3</f>
        <v>11.901209397351698</v>
      </c>
      <c r="R50" s="9">
        <f>P50/Q52</f>
        <v>63463081.299985513</v>
      </c>
    </row>
    <row r="51" spans="1:18" x14ac:dyDescent="0.2">
      <c r="A51" s="126"/>
      <c r="B51" s="306" t="s">
        <v>58</v>
      </c>
      <c r="C51" s="247"/>
      <c r="D51" s="1"/>
      <c r="E51" s="1"/>
      <c r="F51" s="1"/>
      <c r="G51" s="1"/>
      <c r="H51" s="1"/>
      <c r="I51" s="1"/>
      <c r="J51" s="1"/>
      <c r="K51" s="270"/>
      <c r="L51" s="270"/>
      <c r="M51" s="270"/>
      <c r="N51" s="270"/>
      <c r="O51" s="270"/>
      <c r="P51" s="117" t="s">
        <v>172</v>
      </c>
      <c r="Q51" s="1" t="s">
        <v>173</v>
      </c>
      <c r="R51" s="9" t="s">
        <v>175</v>
      </c>
    </row>
    <row r="52" spans="1:18" ht="17" thickBot="1" x14ac:dyDescent="0.25">
      <c r="A52" s="127"/>
      <c r="B52" s="307" t="s">
        <v>60</v>
      </c>
      <c r="C52" s="274">
        <f>(D50*$G$24*$E$24*$C$24-D50*$G$25*$C$25)*D49</f>
        <v>5.3587670298497335E-2</v>
      </c>
      <c r="D52" s="171">
        <f t="shared" ref="D52:I52" si="19">(E50*$G$24*$E$24*$C$24-E50*$G$25*$C$25)*E49</f>
        <v>4.4114573472705164E-2</v>
      </c>
      <c r="E52" s="171">
        <f t="shared" si="19"/>
        <v>3.6316101925346907E-2</v>
      </c>
      <c r="F52" s="171">
        <f t="shared" si="19"/>
        <v>2.9895996806211224E-2</v>
      </c>
      <c r="G52" s="171">
        <f t="shared" si="19"/>
        <v>2.4601358052815048E-2</v>
      </c>
      <c r="H52" s="171">
        <f t="shared" si="19"/>
        <v>1.9850368387478699E-2</v>
      </c>
      <c r="I52" s="171">
        <f t="shared" si="19"/>
        <v>0</v>
      </c>
      <c r="J52" s="171">
        <f>(K50*$G$24*$E$24*$C$24-K50*$G$25*$C$25)*K49</f>
        <v>0</v>
      </c>
      <c r="K52" s="171">
        <f>(L50*$G$24*$E$24*$C$24-L50*$G$25*$C$25)*L49</f>
        <v>0</v>
      </c>
      <c r="L52" s="171">
        <f>(M50*$G$24*$E$24*$C$24-M50*$G$25*$C$25)*M49</f>
        <v>0</v>
      </c>
      <c r="M52" s="171">
        <f>(N50*$G$24*$E$24*$C$24-N50*$G$25*$C$25)*N49</f>
        <v>0</v>
      </c>
      <c r="N52" s="171">
        <f>(O50*$G$24*$E$24*$C$24-O50*$G$25*$C$25)*O49</f>
        <v>0</v>
      </c>
      <c r="O52" s="271"/>
      <c r="P52" s="118">
        <f>SUM(C52:O52)</f>
        <v>0.20836606894305437</v>
      </c>
      <c r="Q52" s="171">
        <f>P52/Q50</f>
        <v>1.7507974356742329E-2</v>
      </c>
      <c r="R52" s="10">
        <f>Q50/Q52</f>
        <v>679.75935735641156</v>
      </c>
    </row>
    <row r="53" spans="1:18" ht="17" thickBot="1" x14ac:dyDescent="0.25">
      <c r="A53" s="309"/>
      <c r="B53" s="451" t="s">
        <v>200</v>
      </c>
      <c r="C53" s="452"/>
      <c r="D53" s="452"/>
      <c r="E53" s="452"/>
      <c r="F53" s="452"/>
      <c r="G53" s="452"/>
      <c r="H53" s="452"/>
      <c r="I53" s="452"/>
      <c r="J53" s="452"/>
      <c r="K53" s="452"/>
      <c r="L53" s="452"/>
      <c r="M53" s="452"/>
      <c r="N53" s="452"/>
      <c r="O53" s="452"/>
      <c r="P53" s="452"/>
      <c r="Q53" s="452"/>
      <c r="R53" s="453"/>
    </row>
    <row r="54" spans="1:18" x14ac:dyDescent="0.2">
      <c r="A54" s="131"/>
      <c r="B54" s="305" t="s">
        <v>8</v>
      </c>
      <c r="C54" s="273">
        <f>B19</f>
        <v>0.25099888786148217</v>
      </c>
      <c r="D54" s="273">
        <f t="shared" ref="D54:N54" si="20">C19</f>
        <v>1.0202526233629159</v>
      </c>
      <c r="E54" s="273">
        <f t="shared" si="20"/>
        <v>8.3989487132635474E-2</v>
      </c>
      <c r="F54" s="273">
        <f t="shared" si="20"/>
        <v>6.9142031747391683E-3</v>
      </c>
      <c r="G54" s="273">
        <f t="shared" si="20"/>
        <v>5.6919264419896343E-4</v>
      </c>
      <c r="H54" s="273">
        <f t="shared" si="20"/>
        <v>4.685685018747664E-5</v>
      </c>
      <c r="I54" s="273">
        <f t="shared" si="20"/>
        <v>3.8558411554611043E-6</v>
      </c>
      <c r="J54" s="273">
        <f t="shared" si="20"/>
        <v>3.111204967432523E-7</v>
      </c>
      <c r="K54" s="273">
        <f t="shared" si="20"/>
        <v>2.5103721753857528E-8</v>
      </c>
      <c r="L54" s="273">
        <f t="shared" si="20"/>
        <v>0</v>
      </c>
      <c r="M54" s="273">
        <f t="shared" si="20"/>
        <v>0</v>
      </c>
      <c r="N54" s="273">
        <f t="shared" si="20"/>
        <v>0</v>
      </c>
      <c r="O54" s="273"/>
      <c r="P54" s="169" t="s">
        <v>170</v>
      </c>
      <c r="Q54" s="170" t="s">
        <v>171</v>
      </c>
      <c r="R54" s="63" t="s">
        <v>174</v>
      </c>
    </row>
    <row r="55" spans="1:18" x14ac:dyDescent="0.2">
      <c r="A55" s="126">
        <f>$E$25</f>
        <v>10</v>
      </c>
      <c r="B55" s="306" t="s">
        <v>169</v>
      </c>
      <c r="C55" s="247">
        <v>0</v>
      </c>
      <c r="D55" s="1">
        <v>1</v>
      </c>
      <c r="E55" s="1">
        <f t="shared" ref="E55:N55" si="21">IF(F54&gt;0,POWER($A55,E$27),0)</f>
        <v>10</v>
      </c>
      <c r="F55" s="1">
        <f t="shared" si="21"/>
        <v>100</v>
      </c>
      <c r="G55" s="1">
        <f t="shared" si="21"/>
        <v>1000</v>
      </c>
      <c r="H55" s="1">
        <f t="shared" si="21"/>
        <v>10000</v>
      </c>
      <c r="I55" s="1">
        <f t="shared" si="21"/>
        <v>100000</v>
      </c>
      <c r="J55" s="1">
        <f t="shared" si="21"/>
        <v>1000000</v>
      </c>
      <c r="K55" s="1">
        <f t="shared" si="21"/>
        <v>0</v>
      </c>
      <c r="L55" s="1">
        <f t="shared" si="21"/>
        <v>0</v>
      </c>
      <c r="M55" s="1">
        <f t="shared" si="21"/>
        <v>0</v>
      </c>
      <c r="N55" s="1">
        <f t="shared" si="21"/>
        <v>0</v>
      </c>
      <c r="O55" s="270"/>
      <c r="P55" s="117">
        <f>SUM(C55:J55)*$G$25</f>
        <v>11111110</v>
      </c>
      <c r="Q55" s="1">
        <f>(C55*C54+D55*D54+E55*E54+F55*F54+G55*G54+H55*H54+I55*I54+J55*J54)*3</f>
        <v>12.858100711578842</v>
      </c>
      <c r="R55" s="9">
        <f>P55/Q57</f>
        <v>634631384.16815817</v>
      </c>
    </row>
    <row r="56" spans="1:18" x14ac:dyDescent="0.2">
      <c r="A56" s="126"/>
      <c r="B56" s="306" t="s">
        <v>58</v>
      </c>
      <c r="C56" s="247"/>
      <c r="D56" s="1"/>
      <c r="E56" s="1"/>
      <c r="F56" s="1"/>
      <c r="G56" s="1"/>
      <c r="H56" s="1"/>
      <c r="I56" s="1"/>
      <c r="J56" s="1"/>
      <c r="K56" s="270"/>
      <c r="L56" s="270"/>
      <c r="M56" s="270"/>
      <c r="N56" s="270"/>
      <c r="O56" s="270"/>
      <c r="P56" s="117" t="s">
        <v>172</v>
      </c>
      <c r="Q56" s="1" t="s">
        <v>173</v>
      </c>
      <c r="R56" s="9" t="s">
        <v>175</v>
      </c>
    </row>
    <row r="57" spans="1:18" ht="17" thickBot="1" x14ac:dyDescent="0.25">
      <c r="A57" s="127"/>
      <c r="B57" s="307" t="s">
        <v>60</v>
      </c>
      <c r="C57" s="274">
        <f t="shared" ref="C57:N57" si="22">(D55*$G$24*$E$24*$C$24-D55*$G$25*$C$25)*D54</f>
        <v>5.358767030171098E-2</v>
      </c>
      <c r="D57" s="171">
        <f t="shared" si="22"/>
        <v>4.4114573608623711E-2</v>
      </c>
      <c r="E57" s="171">
        <f t="shared" si="22"/>
        <v>3.6316107564191957E-2</v>
      </c>
      <c r="F57" s="171">
        <f t="shared" si="22"/>
        <v>2.9896230656045474E-2</v>
      </c>
      <c r="G57" s="171">
        <f t="shared" si="22"/>
        <v>2.4611055945601708E-2</v>
      </c>
      <c r="H57" s="171">
        <f t="shared" si="22"/>
        <v>2.0252390422045435E-2</v>
      </c>
      <c r="I57" s="171">
        <f t="shared" si="22"/>
        <v>1.6341269036513402E-2</v>
      </c>
      <c r="J57" s="171">
        <f t="shared" si="22"/>
        <v>0</v>
      </c>
      <c r="K57" s="171">
        <f t="shared" si="22"/>
        <v>0</v>
      </c>
      <c r="L57" s="171">
        <f t="shared" si="22"/>
        <v>0</v>
      </c>
      <c r="M57" s="171">
        <f t="shared" si="22"/>
        <v>0</v>
      </c>
      <c r="N57" s="171">
        <f t="shared" si="22"/>
        <v>0</v>
      </c>
      <c r="O57" s="271"/>
      <c r="P57" s="118">
        <f>SUM(C57:O57)</f>
        <v>0.22511929753473264</v>
      </c>
      <c r="Q57" s="171">
        <f>P57/Q55</f>
        <v>1.7507974356742326E-2</v>
      </c>
      <c r="R57" s="10">
        <f>Q55/Q57</f>
        <v>734.41395615405304</v>
      </c>
    </row>
    <row r="58" spans="1:18" ht="17" thickBot="1" x14ac:dyDescent="0.25">
      <c r="A58" s="309"/>
      <c r="B58" s="451" t="s">
        <v>201</v>
      </c>
      <c r="C58" s="452"/>
      <c r="D58" s="452"/>
      <c r="E58" s="452"/>
      <c r="F58" s="452"/>
      <c r="G58" s="452"/>
      <c r="H58" s="452"/>
      <c r="I58" s="452"/>
      <c r="J58" s="452"/>
      <c r="K58" s="452"/>
      <c r="L58" s="452"/>
      <c r="M58" s="452"/>
      <c r="N58" s="452"/>
      <c r="O58" s="452"/>
      <c r="P58" s="452"/>
      <c r="Q58" s="452"/>
      <c r="R58" s="453"/>
    </row>
    <row r="59" spans="1:18" x14ac:dyDescent="0.2">
      <c r="A59" s="131"/>
      <c r="B59" s="305" t="s">
        <v>8</v>
      </c>
      <c r="C59" s="273">
        <f>B20</f>
        <v>0.25099888786148811</v>
      </c>
      <c r="D59" s="273">
        <f t="shared" ref="D59:N59" si="23">C20</f>
        <v>1.0202526233629401</v>
      </c>
      <c r="E59" s="273">
        <f t="shared" si="23"/>
        <v>8.3989487137674304E-2</v>
      </c>
      <c r="F59" s="273">
        <f t="shared" si="23"/>
        <v>6.9142031960422361E-3</v>
      </c>
      <c r="G59" s="273">
        <f t="shared" si="23"/>
        <v>5.6919273257820691E-4</v>
      </c>
      <c r="H59" s="273">
        <f t="shared" si="23"/>
        <v>4.6857216707006142E-5</v>
      </c>
      <c r="I59" s="273">
        <f t="shared" si="23"/>
        <v>3.8573611339131092E-6</v>
      </c>
      <c r="J59" s="273">
        <f t="shared" si="23"/>
        <v>3.174215029842843E-7</v>
      </c>
      <c r="K59" s="273">
        <f t="shared" si="23"/>
        <v>2.5612137975546456E-8</v>
      </c>
      <c r="L59" s="273">
        <f t="shared" si="23"/>
        <v>2.0665947502331213E-9</v>
      </c>
      <c r="M59" s="273">
        <f t="shared" si="23"/>
        <v>0</v>
      </c>
      <c r="N59" s="273">
        <f t="shared" si="23"/>
        <v>0</v>
      </c>
      <c r="O59" s="273"/>
      <c r="P59" s="169" t="s">
        <v>170</v>
      </c>
      <c r="Q59" s="170" t="s">
        <v>171</v>
      </c>
      <c r="R59" s="63" t="s">
        <v>174</v>
      </c>
    </row>
    <row r="60" spans="1:18" x14ac:dyDescent="0.2">
      <c r="A60" s="126">
        <f>$E$25</f>
        <v>10</v>
      </c>
      <c r="B60" s="306" t="s">
        <v>169</v>
      </c>
      <c r="C60" s="247">
        <v>0</v>
      </c>
      <c r="D60" s="1">
        <v>1</v>
      </c>
      <c r="E60" s="1">
        <f t="shared" ref="E60:N60" si="24">IF(F59&gt;0,POWER($A60,E$27),0)</f>
        <v>10</v>
      </c>
      <c r="F60" s="1">
        <f t="shared" si="24"/>
        <v>100</v>
      </c>
      <c r="G60" s="1">
        <f t="shared" si="24"/>
        <v>1000</v>
      </c>
      <c r="H60" s="1">
        <f t="shared" si="24"/>
        <v>10000</v>
      </c>
      <c r="I60" s="1">
        <f t="shared" si="24"/>
        <v>100000</v>
      </c>
      <c r="J60" s="1">
        <f t="shared" si="24"/>
        <v>1000000</v>
      </c>
      <c r="K60" s="1">
        <f t="shared" si="24"/>
        <v>10000000</v>
      </c>
      <c r="L60" s="1">
        <f t="shared" si="24"/>
        <v>0</v>
      </c>
      <c r="M60" s="1">
        <f t="shared" si="24"/>
        <v>0</v>
      </c>
      <c r="N60" s="1">
        <f t="shared" si="24"/>
        <v>0</v>
      </c>
      <c r="O60" s="270"/>
      <c r="P60" s="117">
        <f>SUM(C60:J60)*$G$25</f>
        <v>11111110</v>
      </c>
      <c r="Q60" s="1">
        <f>(C60*C59+D60*D59+E60*E59+F60*F59+G60*G59+H60*H59+I60*I59+J60*J59)*3</f>
        <v>12.877470991103312</v>
      </c>
      <c r="R60" s="9">
        <f>P60/Q62</f>
        <v>598896818.08340728</v>
      </c>
    </row>
    <row r="61" spans="1:18" x14ac:dyDescent="0.2">
      <c r="A61" s="126"/>
      <c r="B61" s="306" t="s">
        <v>58</v>
      </c>
      <c r="C61" s="247"/>
      <c r="D61" s="1"/>
      <c r="E61" s="1"/>
      <c r="F61" s="1"/>
      <c r="G61" s="1"/>
      <c r="H61" s="1"/>
      <c r="I61" s="1"/>
      <c r="J61" s="1"/>
      <c r="K61" s="270"/>
      <c r="L61" s="270"/>
      <c r="M61" s="270"/>
      <c r="N61" s="270"/>
      <c r="O61" s="270"/>
      <c r="P61" s="117" t="s">
        <v>172</v>
      </c>
      <c r="Q61" s="1" t="s">
        <v>173</v>
      </c>
      <c r="R61" s="9" t="s">
        <v>175</v>
      </c>
    </row>
    <row r="62" spans="1:18" ht="17" thickBot="1" x14ac:dyDescent="0.25">
      <c r="A62" s="127"/>
      <c r="B62" s="307" t="s">
        <v>60</v>
      </c>
      <c r="C62" s="274">
        <f t="shared" ref="C62:N62" si="25">(D60*$G$24*$E$24*$C$24-D60*$G$25*$C$25)*D59</f>
        <v>5.3587670301712256E-2</v>
      </c>
      <c r="D62" s="171">
        <f t="shared" si="25"/>
        <v>4.4114573611270302E-2</v>
      </c>
      <c r="E62" s="171">
        <f t="shared" si="25"/>
        <v>3.6316107676084022E-2</v>
      </c>
      <c r="F62" s="171">
        <f t="shared" si="25"/>
        <v>2.9896235298070062E-2</v>
      </c>
      <c r="G62" s="171">
        <f t="shared" si="25"/>
        <v>2.4611248456037422E-2</v>
      </c>
      <c r="H62" s="171">
        <f t="shared" si="25"/>
        <v>2.0260373945173583E-2</v>
      </c>
      <c r="I62" s="171">
        <f t="shared" si="25"/>
        <v>1.6672222603582389E-2</v>
      </c>
      <c r="J62" s="171">
        <f t="shared" si="25"/>
        <v>1.3452499646916435E-2</v>
      </c>
      <c r="K62" s="171">
        <f t="shared" si="25"/>
        <v>0</v>
      </c>
      <c r="L62" s="171">
        <f t="shared" si="25"/>
        <v>0</v>
      </c>
      <c r="M62" s="171">
        <f t="shared" si="25"/>
        <v>0</v>
      </c>
      <c r="N62" s="171">
        <f t="shared" si="25"/>
        <v>0</v>
      </c>
      <c r="O62" s="271"/>
      <c r="P62" s="118">
        <f>SUM(C62:O62)</f>
        <v>0.23891093153884649</v>
      </c>
      <c r="Q62" s="171">
        <f>P62/Q60</f>
        <v>1.8552628206571262E-2</v>
      </c>
      <c r="R62" s="10">
        <f>Q60/Q62</f>
        <v>694.10494554847855</v>
      </c>
    </row>
    <row r="63" spans="1:18" ht="17" thickBot="1" x14ac:dyDescent="0.25">
      <c r="A63" s="309"/>
      <c r="B63" s="451" t="s">
        <v>202</v>
      </c>
      <c r="C63" s="452"/>
      <c r="D63" s="452"/>
      <c r="E63" s="452"/>
      <c r="F63" s="452"/>
      <c r="G63" s="452"/>
      <c r="H63" s="452"/>
      <c r="I63" s="452"/>
      <c r="J63" s="452"/>
      <c r="K63" s="452"/>
      <c r="L63" s="452"/>
      <c r="M63" s="452"/>
      <c r="N63" s="452"/>
      <c r="O63" s="452"/>
      <c r="P63" s="452"/>
      <c r="Q63" s="452"/>
      <c r="R63" s="453"/>
    </row>
    <row r="64" spans="1:18" x14ac:dyDescent="0.2">
      <c r="A64" s="131"/>
      <c r="B64" s="305" t="s">
        <v>8</v>
      </c>
      <c r="C64" s="273">
        <f>B21</f>
        <v>0.25099888786148822</v>
      </c>
      <c r="D64" s="273">
        <f t="shared" ref="D64:N64" si="26">C21</f>
        <v>1.0202526233629405</v>
      </c>
      <c r="E64" s="273">
        <f t="shared" si="26"/>
        <v>8.3989487137774335E-2</v>
      </c>
      <c r="F64" s="273">
        <f t="shared" si="26"/>
        <v>6.9142031964651149E-3</v>
      </c>
      <c r="G64" s="273">
        <f t="shared" si="26"/>
        <v>5.6919273433258762E-4</v>
      </c>
      <c r="H64" s="273">
        <f t="shared" si="26"/>
        <v>4.6857223982638632E-5</v>
      </c>
      <c r="I64" s="273">
        <f t="shared" si="26"/>
        <v>3.8573913066283732E-6</v>
      </c>
      <c r="J64" s="273">
        <f t="shared" si="26"/>
        <v>3.1754663102424123E-7</v>
      </c>
      <c r="K64" s="273">
        <f t="shared" si="26"/>
        <v>2.6130850959515359E-8</v>
      </c>
      <c r="L64" s="273">
        <f t="shared" si="26"/>
        <v>2.1084487153558831E-9</v>
      </c>
      <c r="M64" s="273">
        <f t="shared" si="26"/>
        <v>1.70126720793494E-10</v>
      </c>
      <c r="N64" s="273">
        <f t="shared" si="26"/>
        <v>0</v>
      </c>
      <c r="O64" s="273"/>
      <c r="P64" s="169" t="s">
        <v>170</v>
      </c>
      <c r="Q64" s="170" t="s">
        <v>171</v>
      </c>
      <c r="R64" s="63" t="s">
        <v>174</v>
      </c>
    </row>
    <row r="65" spans="1:18" x14ac:dyDescent="0.2">
      <c r="A65" s="126">
        <f>$E$25</f>
        <v>10</v>
      </c>
      <c r="B65" s="306" t="s">
        <v>169</v>
      </c>
      <c r="C65" s="247">
        <v>0</v>
      </c>
      <c r="D65" s="1">
        <v>1</v>
      </c>
      <c r="E65" s="1">
        <f t="shared" ref="E65:N65" si="27">IF(F64&gt;0,POWER($A65,E$27),0)</f>
        <v>10</v>
      </c>
      <c r="F65" s="1">
        <f t="shared" si="27"/>
        <v>100</v>
      </c>
      <c r="G65" s="1">
        <f t="shared" si="27"/>
        <v>1000</v>
      </c>
      <c r="H65" s="1">
        <f t="shared" si="27"/>
        <v>10000</v>
      </c>
      <c r="I65" s="1">
        <f t="shared" si="27"/>
        <v>100000</v>
      </c>
      <c r="J65" s="1">
        <f t="shared" si="27"/>
        <v>1000000</v>
      </c>
      <c r="K65" s="1">
        <f t="shared" si="27"/>
        <v>10000000</v>
      </c>
      <c r="L65" s="1">
        <f t="shared" si="27"/>
        <v>100000000</v>
      </c>
      <c r="M65" s="1">
        <f t="shared" si="27"/>
        <v>0</v>
      </c>
      <c r="N65" s="1">
        <f t="shared" si="27"/>
        <v>0</v>
      </c>
      <c r="O65" s="270"/>
      <c r="P65" s="117">
        <f>SUM(C65:J65)*$G$25</f>
        <v>11111110</v>
      </c>
      <c r="Q65" s="1">
        <f>(C65*C64+D65*D64+E65*E64+F65*F64+G65*G64+H65*H64+I65*I64+J65*J64)*3</f>
        <v>12.877855650699745</v>
      </c>
      <c r="R65" s="9">
        <f>P65/Q67</f>
        <v>571744144.62699878</v>
      </c>
    </row>
    <row r="66" spans="1:18" x14ac:dyDescent="0.2">
      <c r="A66" s="126"/>
      <c r="B66" s="306" t="s">
        <v>58</v>
      </c>
      <c r="C66" s="247"/>
      <c r="D66" s="1"/>
      <c r="E66" s="1"/>
      <c r="F66" s="1"/>
      <c r="G66" s="1"/>
      <c r="H66" s="1"/>
      <c r="I66" s="1"/>
      <c r="J66" s="1"/>
      <c r="K66" s="270"/>
      <c r="L66" s="270"/>
      <c r="M66" s="270"/>
      <c r="N66" s="270"/>
      <c r="O66" s="270"/>
      <c r="P66" s="117" t="s">
        <v>172</v>
      </c>
      <c r="Q66" s="1" t="s">
        <v>173</v>
      </c>
      <c r="R66" s="9" t="s">
        <v>175</v>
      </c>
    </row>
    <row r="67" spans="1:18" ht="17" thickBot="1" x14ac:dyDescent="0.25">
      <c r="A67" s="127"/>
      <c r="B67" s="307" t="s">
        <v>60</v>
      </c>
      <c r="C67" s="274">
        <f t="shared" ref="C67:N67" si="28">(D65*$G$24*$E$24*$C$24-D65*$G$25*$C$25)*D64</f>
        <v>5.3587670301712277E-2</v>
      </c>
      <c r="D67" s="171">
        <f t="shared" si="28"/>
        <v>4.4114573611322844E-2</v>
      </c>
      <c r="E67" s="171">
        <f t="shared" si="28"/>
        <v>3.6316107678305148E-2</v>
      </c>
      <c r="F67" s="171">
        <f t="shared" si="28"/>
        <v>2.9896235390217019E-2</v>
      </c>
      <c r="G67" s="171">
        <f t="shared" si="28"/>
        <v>2.4611252277485032E-2</v>
      </c>
      <c r="H67" s="171">
        <f t="shared" si="28"/>
        <v>2.0260532424111119E-2</v>
      </c>
      <c r="I67" s="171">
        <f t="shared" si="28"/>
        <v>1.6678794819127013E-2</v>
      </c>
      <c r="J67" s="171">
        <f t="shared" si="28"/>
        <v>1.3724948055571541E-2</v>
      </c>
      <c r="K67" s="171">
        <f t="shared" si="28"/>
        <v>1.1074399812287148E-2</v>
      </c>
      <c r="L67" s="171">
        <f t="shared" si="28"/>
        <v>0</v>
      </c>
      <c r="M67" s="171">
        <f t="shared" si="28"/>
        <v>0</v>
      </c>
      <c r="N67" s="171">
        <f t="shared" si="28"/>
        <v>0</v>
      </c>
      <c r="O67" s="271"/>
      <c r="P67" s="118">
        <f>SUM(C67:O67)</f>
        <v>0.25026451437013914</v>
      </c>
      <c r="Q67" s="171">
        <f>P67/Q65</f>
        <v>1.9433710173365742E-2</v>
      </c>
      <c r="R67" s="10">
        <f>Q65/Q67</f>
        <v>662.65553699308964</v>
      </c>
    </row>
    <row r="68" spans="1:18" ht="17" thickBot="1" x14ac:dyDescent="0.25">
      <c r="A68" s="309"/>
      <c r="B68" s="451" t="s">
        <v>203</v>
      </c>
      <c r="C68" s="452"/>
      <c r="D68" s="452"/>
      <c r="E68" s="452"/>
      <c r="F68" s="452"/>
      <c r="G68" s="452"/>
      <c r="H68" s="452"/>
      <c r="I68" s="452"/>
      <c r="J68" s="452"/>
      <c r="K68" s="452"/>
      <c r="L68" s="452"/>
      <c r="M68" s="452"/>
      <c r="N68" s="452"/>
      <c r="O68" s="452"/>
      <c r="P68" s="452"/>
      <c r="Q68" s="452"/>
      <c r="R68" s="453"/>
    </row>
    <row r="69" spans="1:18" x14ac:dyDescent="0.2">
      <c r="A69" s="131"/>
      <c r="B69" s="305" t="s">
        <v>8</v>
      </c>
      <c r="C69" s="273">
        <f>B22</f>
        <v>0.25099888786148822</v>
      </c>
      <c r="D69" s="273">
        <f t="shared" ref="D69:N69" si="29">C22</f>
        <v>1.0202526233629405</v>
      </c>
      <c r="E69" s="273">
        <f t="shared" si="29"/>
        <v>8.398948713777632E-2</v>
      </c>
      <c r="F69" s="273">
        <f t="shared" si="29"/>
        <v>6.9142031964735092E-3</v>
      </c>
      <c r="G69" s="273">
        <f t="shared" si="29"/>
        <v>5.6919273436741317E-4</v>
      </c>
      <c r="H69" s="273">
        <f t="shared" si="29"/>
        <v>4.6857224127064281E-5</v>
      </c>
      <c r="I69" s="273">
        <f t="shared" si="29"/>
        <v>3.857391905574868E-6</v>
      </c>
      <c r="J69" s="273">
        <f t="shared" si="29"/>
        <v>3.17549114909928E-7</v>
      </c>
      <c r="K69" s="273">
        <f t="shared" si="29"/>
        <v>2.6141151780765405E-8</v>
      </c>
      <c r="L69" s="273">
        <f t="shared" si="29"/>
        <v>2.1511503330706214E-9</v>
      </c>
      <c r="M69" s="273">
        <f t="shared" si="29"/>
        <v>1.735722331939033E-10</v>
      </c>
      <c r="N69" s="273">
        <f t="shared" si="29"/>
        <v>1.4005213709501205E-11</v>
      </c>
      <c r="O69" s="273"/>
      <c r="P69" s="169" t="s">
        <v>170</v>
      </c>
      <c r="Q69" s="170" t="s">
        <v>171</v>
      </c>
      <c r="R69" s="63" t="s">
        <v>174</v>
      </c>
    </row>
    <row r="70" spans="1:18" x14ac:dyDescent="0.2">
      <c r="A70" s="126">
        <f>$E$25</f>
        <v>10</v>
      </c>
      <c r="B70" s="306" t="s">
        <v>169</v>
      </c>
      <c r="C70" s="247">
        <v>0</v>
      </c>
      <c r="D70" s="1">
        <v>1</v>
      </c>
      <c r="E70" s="1">
        <f t="shared" ref="E70:N70" si="30">IF(F69&gt;0,POWER($A70,E$27),0)</f>
        <v>10</v>
      </c>
      <c r="F70" s="1">
        <f t="shared" si="30"/>
        <v>100</v>
      </c>
      <c r="G70" s="1">
        <f t="shared" si="30"/>
        <v>1000</v>
      </c>
      <c r="H70" s="1">
        <f t="shared" si="30"/>
        <v>10000</v>
      </c>
      <c r="I70" s="1">
        <f t="shared" si="30"/>
        <v>100000</v>
      </c>
      <c r="J70" s="1">
        <f t="shared" si="30"/>
        <v>1000000</v>
      </c>
      <c r="K70" s="1">
        <f t="shared" si="30"/>
        <v>10000000</v>
      </c>
      <c r="L70" s="1">
        <f t="shared" si="30"/>
        <v>100000000</v>
      </c>
      <c r="M70" s="1">
        <f t="shared" si="30"/>
        <v>1000000000</v>
      </c>
      <c r="N70" s="1">
        <f t="shared" si="30"/>
        <v>0</v>
      </c>
      <c r="O70" s="270"/>
      <c r="P70" s="117">
        <f>SUM(C70:J70)*$G$25</f>
        <v>11111110</v>
      </c>
      <c r="Q70" s="1">
        <f>(C70*C69+D70*D69+E70*E69+F70*F69+G70*G69+H70*H69+I70*I69+J70*J69)*3</f>
        <v>12.877863286480576</v>
      </c>
      <c r="R70" s="9">
        <f>P70/Q72</f>
        <v>551160521.69469488</v>
      </c>
    </row>
    <row r="71" spans="1:18" x14ac:dyDescent="0.2">
      <c r="A71" s="126"/>
      <c r="B71" s="306" t="s">
        <v>58</v>
      </c>
      <c r="C71" s="247"/>
      <c r="D71" s="1"/>
      <c r="E71" s="1"/>
      <c r="F71" s="1"/>
      <c r="G71" s="1"/>
      <c r="H71" s="1"/>
      <c r="I71" s="1"/>
      <c r="J71" s="1"/>
      <c r="K71" s="270"/>
      <c r="L71" s="270"/>
      <c r="M71" s="270"/>
      <c r="N71" s="270"/>
      <c r="O71" s="270"/>
      <c r="P71" s="117" t="s">
        <v>172</v>
      </c>
      <c r="Q71" s="1" t="s">
        <v>173</v>
      </c>
      <c r="R71" s="9" t="s">
        <v>175</v>
      </c>
    </row>
    <row r="72" spans="1:18" ht="17" thickBot="1" x14ac:dyDescent="0.25">
      <c r="A72" s="127"/>
      <c r="B72" s="307" t="s">
        <v>60</v>
      </c>
      <c r="C72" s="274">
        <f t="shared" ref="C72:N72" si="31">(D70*$G$24*$E$24*$C$24-D70*$G$25*$C$25)*D69</f>
        <v>5.3587670301712277E-2</v>
      </c>
      <c r="D72" s="171">
        <f t="shared" si="31"/>
        <v>4.4114573611323891E-2</v>
      </c>
      <c r="E72" s="171">
        <f t="shared" si="31"/>
        <v>3.6316107678349238E-2</v>
      </c>
      <c r="F72" s="171">
        <f t="shared" si="31"/>
        <v>2.9896235392046194E-2</v>
      </c>
      <c r="G72" s="171">
        <f t="shared" si="31"/>
        <v>2.4611252353343049E-2</v>
      </c>
      <c r="H72" s="171">
        <f t="shared" si="31"/>
        <v>2.0260535570013082E-2</v>
      </c>
      <c r="I72" s="171">
        <f t="shared" si="31"/>
        <v>1.6678925282547739E-2</v>
      </c>
      <c r="J72" s="171">
        <f t="shared" si="31"/>
        <v>1.3730358451000516E-2</v>
      </c>
      <c r="K72" s="171">
        <f t="shared" si="31"/>
        <v>1.1298685460669462E-2</v>
      </c>
      <c r="L72" s="171">
        <f t="shared" si="31"/>
        <v>9.1166946234040626E-3</v>
      </c>
      <c r="M72" s="171">
        <f t="shared" si="31"/>
        <v>0</v>
      </c>
      <c r="N72" s="171">
        <f t="shared" si="31"/>
        <v>0</v>
      </c>
      <c r="O72" s="271"/>
      <c r="P72" s="118">
        <f>SUM(C72:O72)</f>
        <v>0.25961103872440955</v>
      </c>
      <c r="Q72" s="171">
        <f>P72/Q70</f>
        <v>2.0159480881968526E-2</v>
      </c>
      <c r="R72" s="10">
        <f>Q70/Q72</f>
        <v>638.79935013599822</v>
      </c>
    </row>
  </sheetData>
  <sheetProtection sheet="1" objects="1" scenarios="1"/>
  <mergeCells count="9">
    <mergeCell ref="B58:R58"/>
    <mergeCell ref="B63:R63"/>
    <mergeCell ref="B68:R68"/>
    <mergeCell ref="B28:Q28"/>
    <mergeCell ref="B33:R33"/>
    <mergeCell ref="B38:R38"/>
    <mergeCell ref="B43:R43"/>
    <mergeCell ref="B48:R48"/>
    <mergeCell ref="B53:R53"/>
  </mergeCells>
  <conditionalFormatting sqref="Q13:S22">
    <cfRule type="cellIs" dxfId="11" priority="3" operator="lessThanOrEqual">
      <formula>0</formula>
    </cfRule>
    <cfRule type="cellIs" dxfId="10" priority="4" operator="greaterThan">
      <formula>0</formula>
    </cfRule>
  </conditionalFormatting>
  <conditionalFormatting sqref="P13:P22">
    <cfRule type="cellIs" dxfId="9" priority="1" operator="lessThanOrEqual">
      <formula>0</formula>
    </cfRule>
    <cfRule type="cellIs" dxfId="8" priority="2" operator="greaterThan">
      <formula>0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17"/>
  <sheetViews>
    <sheetView topLeftCell="A25" workbookViewId="0">
      <selection activeCell="P95" sqref="P95"/>
    </sheetView>
  </sheetViews>
  <sheetFormatPr baseColWidth="10" defaultRowHeight="16" x14ac:dyDescent="0.2"/>
  <cols>
    <col min="11" max="11" width="13.33203125" customWidth="1"/>
    <col min="12" max="12" width="12.6640625" customWidth="1"/>
  </cols>
  <sheetData>
    <row r="1" spans="1:12" ht="17" thickBot="1" x14ac:dyDescent="0.25"/>
    <row r="2" spans="1:12" x14ac:dyDescent="0.2">
      <c r="A2" s="324" t="s">
        <v>179</v>
      </c>
      <c r="B2" s="170" t="s">
        <v>193</v>
      </c>
      <c r="C2" s="325" t="s">
        <v>159</v>
      </c>
      <c r="D2" s="326">
        <f>C47</f>
        <v>0.24316252465496735</v>
      </c>
      <c r="E2" s="325" t="s">
        <v>160</v>
      </c>
      <c r="F2" s="326">
        <f>E47</f>
        <v>0.18150699941725082</v>
      </c>
      <c r="G2" s="325" t="s">
        <v>184</v>
      </c>
      <c r="H2" s="326" t="e">
        <f>L3/L2</f>
        <v>#DIV/0!</v>
      </c>
      <c r="I2" s="325" t="s">
        <v>192</v>
      </c>
      <c r="J2" s="326">
        <f>L47</f>
        <v>1.7466414588190893</v>
      </c>
      <c r="K2" s="325" t="s">
        <v>194</v>
      </c>
      <c r="L2" s="327">
        <f>M75</f>
        <v>0</v>
      </c>
    </row>
    <row r="3" spans="1:12" ht="17" thickBot="1" x14ac:dyDescent="0.25">
      <c r="A3" s="328" t="s">
        <v>159</v>
      </c>
      <c r="B3" s="171">
        <v>2</v>
      </c>
      <c r="C3" s="329" t="s">
        <v>160</v>
      </c>
      <c r="D3" s="330">
        <v>3</v>
      </c>
      <c r="E3" s="329" t="s">
        <v>197</v>
      </c>
      <c r="F3" s="330">
        <v>2</v>
      </c>
      <c r="G3" s="329"/>
      <c r="H3" s="330"/>
      <c r="I3" s="329"/>
      <c r="J3" s="330"/>
      <c r="K3" s="329" t="s">
        <v>195</v>
      </c>
      <c r="L3" s="10">
        <f>L77</f>
        <v>0</v>
      </c>
    </row>
    <row r="4" spans="1:12" ht="17" thickBot="1" x14ac:dyDescent="0.25"/>
    <row r="5" spans="1:12" ht="17" thickBot="1" x14ac:dyDescent="0.25">
      <c r="A5" s="371" t="s">
        <v>56</v>
      </c>
      <c r="B5" s="372" t="s">
        <v>176</v>
      </c>
      <c r="C5" s="374" t="s">
        <v>177</v>
      </c>
      <c r="D5" s="372" t="s">
        <v>170</v>
      </c>
      <c r="E5" s="374" t="s">
        <v>171</v>
      </c>
      <c r="F5" s="277"/>
      <c r="G5" s="373"/>
      <c r="H5" s="19"/>
      <c r="I5" s="20"/>
      <c r="J5" s="277" t="s">
        <v>175</v>
      </c>
      <c r="K5" s="373" t="s">
        <v>174</v>
      </c>
      <c r="L5" s="294" t="s">
        <v>180</v>
      </c>
    </row>
    <row r="6" spans="1:12" x14ac:dyDescent="0.2">
      <c r="A6" s="125">
        <v>100</v>
      </c>
      <c r="B6" s="28">
        <f>A6*1</f>
        <v>100</v>
      </c>
      <c r="C6" s="8">
        <f>B6*$F$3</f>
        <v>200</v>
      </c>
      <c r="D6" s="28">
        <f>SUM(B6:C6)*$D$3</f>
        <v>900</v>
      </c>
      <c r="E6" s="353">
        <f>$L$2*A6</f>
        <v>0</v>
      </c>
      <c r="F6" s="22"/>
      <c r="G6" s="292"/>
      <c r="H6" s="2"/>
      <c r="I6" s="8"/>
      <c r="J6" s="350" t="e">
        <f t="shared" ref="J6:J15" si="0">E6/$H$2</f>
        <v>#DIV/0!</v>
      </c>
      <c r="K6" s="295" t="e">
        <f>D6/$H$2</f>
        <v>#DIV/0!</v>
      </c>
      <c r="L6" s="296" t="e">
        <f>K6*2</f>
        <v>#DIV/0!</v>
      </c>
    </row>
    <row r="7" spans="1:12" x14ac:dyDescent="0.2">
      <c r="A7" s="126">
        <v>200</v>
      </c>
      <c r="B7" s="117">
        <f>A7*1</f>
        <v>200</v>
      </c>
      <c r="C7" s="9">
        <f t="shared" ref="C7:C15" si="1">B7*$F$3</f>
        <v>400</v>
      </c>
      <c r="D7" s="117">
        <f t="shared" ref="D7:D15" si="2">SUM(B7:C7)*$D$3</f>
        <v>1800</v>
      </c>
      <c r="E7" s="354">
        <f t="shared" ref="E7:E15" si="3">$L$2*A7</f>
        <v>0</v>
      </c>
      <c r="F7" s="247"/>
      <c r="G7" s="279"/>
      <c r="H7" s="1"/>
      <c r="I7" s="9"/>
      <c r="J7" s="351" t="e">
        <f t="shared" si="0"/>
        <v>#DIV/0!</v>
      </c>
      <c r="K7" s="276" t="e">
        <f t="shared" ref="K7:K15" si="4">D7/$H$2</f>
        <v>#DIV/0!</v>
      </c>
      <c r="L7" s="286" t="e">
        <f t="shared" ref="L7:L15" si="5">K7*2</f>
        <v>#DIV/0!</v>
      </c>
    </row>
    <row r="8" spans="1:12" x14ac:dyDescent="0.2">
      <c r="A8" s="126">
        <v>300</v>
      </c>
      <c r="B8" s="117">
        <f t="shared" ref="B8:B15" si="6">A8*1</f>
        <v>300</v>
      </c>
      <c r="C8" s="9">
        <f t="shared" si="1"/>
        <v>600</v>
      </c>
      <c r="D8" s="117">
        <f t="shared" si="2"/>
        <v>2700</v>
      </c>
      <c r="E8" s="354">
        <f t="shared" si="3"/>
        <v>0</v>
      </c>
      <c r="F8" s="247"/>
      <c r="G8" s="279"/>
      <c r="H8" s="1"/>
      <c r="I8" s="9"/>
      <c r="J8" s="351" t="e">
        <f t="shared" si="0"/>
        <v>#DIV/0!</v>
      </c>
      <c r="K8" s="276" t="e">
        <f t="shared" si="4"/>
        <v>#DIV/0!</v>
      </c>
      <c r="L8" s="286" t="e">
        <f t="shared" si="5"/>
        <v>#DIV/0!</v>
      </c>
    </row>
    <row r="9" spans="1:12" x14ac:dyDescent="0.2">
      <c r="A9" s="126">
        <v>400</v>
      </c>
      <c r="B9" s="117">
        <f t="shared" si="6"/>
        <v>400</v>
      </c>
      <c r="C9" s="9">
        <f t="shared" si="1"/>
        <v>800</v>
      </c>
      <c r="D9" s="117">
        <f t="shared" si="2"/>
        <v>3600</v>
      </c>
      <c r="E9" s="354">
        <f t="shared" si="3"/>
        <v>0</v>
      </c>
      <c r="F9" s="247"/>
      <c r="G9" s="279"/>
      <c r="H9" s="1"/>
      <c r="I9" s="9"/>
      <c r="J9" s="351" t="e">
        <f t="shared" si="0"/>
        <v>#DIV/0!</v>
      </c>
      <c r="K9" s="276" t="e">
        <f t="shared" si="4"/>
        <v>#DIV/0!</v>
      </c>
      <c r="L9" s="286" t="e">
        <f t="shared" si="5"/>
        <v>#DIV/0!</v>
      </c>
    </row>
    <row r="10" spans="1:12" x14ac:dyDescent="0.2">
      <c r="A10" s="126">
        <v>500</v>
      </c>
      <c r="B10" s="117">
        <f t="shared" si="6"/>
        <v>500</v>
      </c>
      <c r="C10" s="9">
        <f t="shared" si="1"/>
        <v>1000</v>
      </c>
      <c r="D10" s="117">
        <f t="shared" si="2"/>
        <v>4500</v>
      </c>
      <c r="E10" s="354">
        <f t="shared" si="3"/>
        <v>0</v>
      </c>
      <c r="F10" s="247"/>
      <c r="G10" s="279"/>
      <c r="H10" s="1"/>
      <c r="I10" s="9"/>
      <c r="J10" s="351" t="e">
        <f t="shared" si="0"/>
        <v>#DIV/0!</v>
      </c>
      <c r="K10" s="276" t="e">
        <f t="shared" si="4"/>
        <v>#DIV/0!</v>
      </c>
      <c r="L10" s="286" t="e">
        <f t="shared" si="5"/>
        <v>#DIV/0!</v>
      </c>
    </row>
    <row r="11" spans="1:12" x14ac:dyDescent="0.2">
      <c r="A11" s="126">
        <v>600</v>
      </c>
      <c r="B11" s="117">
        <f t="shared" si="6"/>
        <v>600</v>
      </c>
      <c r="C11" s="9">
        <f t="shared" si="1"/>
        <v>1200</v>
      </c>
      <c r="D11" s="117">
        <f t="shared" si="2"/>
        <v>5400</v>
      </c>
      <c r="E11" s="354">
        <f t="shared" si="3"/>
        <v>0</v>
      </c>
      <c r="F11" s="247"/>
      <c r="G11" s="279"/>
      <c r="H11" s="1"/>
      <c r="I11" s="9"/>
      <c r="J11" s="351" t="e">
        <f t="shared" si="0"/>
        <v>#DIV/0!</v>
      </c>
      <c r="K11" s="276" t="e">
        <f t="shared" si="4"/>
        <v>#DIV/0!</v>
      </c>
      <c r="L11" s="286" t="e">
        <f t="shared" si="5"/>
        <v>#DIV/0!</v>
      </c>
    </row>
    <row r="12" spans="1:12" x14ac:dyDescent="0.2">
      <c r="A12" s="126">
        <v>700</v>
      </c>
      <c r="B12" s="117">
        <f t="shared" si="6"/>
        <v>700</v>
      </c>
      <c r="C12" s="9">
        <f t="shared" si="1"/>
        <v>1400</v>
      </c>
      <c r="D12" s="117">
        <f t="shared" si="2"/>
        <v>6300</v>
      </c>
      <c r="E12" s="354">
        <f t="shared" si="3"/>
        <v>0</v>
      </c>
      <c r="F12" s="247"/>
      <c r="G12" s="279"/>
      <c r="H12" s="1"/>
      <c r="I12" s="9"/>
      <c r="J12" s="351" t="e">
        <f t="shared" si="0"/>
        <v>#DIV/0!</v>
      </c>
      <c r="K12" s="276" t="e">
        <f t="shared" si="4"/>
        <v>#DIV/0!</v>
      </c>
      <c r="L12" s="286" t="e">
        <f t="shared" si="5"/>
        <v>#DIV/0!</v>
      </c>
    </row>
    <row r="13" spans="1:12" x14ac:dyDescent="0.2">
      <c r="A13" s="126">
        <v>800</v>
      </c>
      <c r="B13" s="117">
        <f t="shared" si="6"/>
        <v>800</v>
      </c>
      <c r="C13" s="9">
        <f t="shared" si="1"/>
        <v>1600</v>
      </c>
      <c r="D13" s="117">
        <f t="shared" si="2"/>
        <v>7200</v>
      </c>
      <c r="E13" s="354">
        <f t="shared" si="3"/>
        <v>0</v>
      </c>
      <c r="F13" s="247"/>
      <c r="G13" s="279"/>
      <c r="H13" s="1"/>
      <c r="I13" s="9"/>
      <c r="J13" s="351" t="e">
        <f t="shared" si="0"/>
        <v>#DIV/0!</v>
      </c>
      <c r="K13" s="276" t="e">
        <f t="shared" si="4"/>
        <v>#DIV/0!</v>
      </c>
      <c r="L13" s="286" t="e">
        <f t="shared" si="5"/>
        <v>#DIV/0!</v>
      </c>
    </row>
    <row r="14" spans="1:12" x14ac:dyDescent="0.2">
      <c r="A14" s="126">
        <v>900</v>
      </c>
      <c r="B14" s="117">
        <f t="shared" si="6"/>
        <v>900</v>
      </c>
      <c r="C14" s="9">
        <f t="shared" si="1"/>
        <v>1800</v>
      </c>
      <c r="D14" s="117">
        <f t="shared" si="2"/>
        <v>8100</v>
      </c>
      <c r="E14" s="354">
        <f t="shared" si="3"/>
        <v>0</v>
      </c>
      <c r="F14" s="247"/>
      <c r="G14" s="279"/>
      <c r="H14" s="1"/>
      <c r="I14" s="9"/>
      <c r="J14" s="351" t="e">
        <f t="shared" si="0"/>
        <v>#DIV/0!</v>
      </c>
      <c r="K14" s="276" t="e">
        <f t="shared" si="4"/>
        <v>#DIV/0!</v>
      </c>
      <c r="L14" s="286" t="e">
        <f t="shared" si="5"/>
        <v>#DIV/0!</v>
      </c>
    </row>
    <row r="15" spans="1:12" ht="17" thickBot="1" x14ac:dyDescent="0.25">
      <c r="A15" s="127">
        <v>1000</v>
      </c>
      <c r="B15" s="118">
        <f t="shared" si="6"/>
        <v>1000</v>
      </c>
      <c r="C15" s="10">
        <f t="shared" si="1"/>
        <v>2000</v>
      </c>
      <c r="D15" s="118">
        <f t="shared" si="2"/>
        <v>9000</v>
      </c>
      <c r="E15" s="355">
        <f t="shared" si="3"/>
        <v>0</v>
      </c>
      <c r="F15" s="274"/>
      <c r="G15" s="289"/>
      <c r="H15" s="171"/>
      <c r="I15" s="10"/>
      <c r="J15" s="352" t="e">
        <f t="shared" si="0"/>
        <v>#DIV/0!</v>
      </c>
      <c r="K15" s="297" t="e">
        <f t="shared" si="4"/>
        <v>#DIV/0!</v>
      </c>
      <c r="L15" s="290" t="e">
        <f t="shared" si="5"/>
        <v>#DIV/0!</v>
      </c>
    </row>
    <row r="16" spans="1:12" ht="17" thickBot="1" x14ac:dyDescent="0.25"/>
    <row r="17" spans="1:12" x14ac:dyDescent="0.2">
      <c r="A17" s="324" t="s">
        <v>179</v>
      </c>
      <c r="B17" s="170" t="s">
        <v>196</v>
      </c>
      <c r="C17" s="325" t="s">
        <v>159</v>
      </c>
      <c r="D17" s="326">
        <f>D2</f>
        <v>0.24316252465496735</v>
      </c>
      <c r="E17" s="325" t="s">
        <v>160</v>
      </c>
      <c r="F17" s="326">
        <f>F2</f>
        <v>0.18150699941725082</v>
      </c>
      <c r="G17" s="325" t="s">
        <v>184</v>
      </c>
      <c r="H17" s="326" t="e">
        <f>L18/L17</f>
        <v>#DIV/0!</v>
      </c>
      <c r="I17" s="325" t="s">
        <v>192</v>
      </c>
      <c r="J17" s="326">
        <f>J2</f>
        <v>1.7466414588190893</v>
      </c>
      <c r="K17" s="325" t="s">
        <v>194</v>
      </c>
      <c r="L17" s="327">
        <f>M90</f>
        <v>0</v>
      </c>
    </row>
    <row r="18" spans="1:12" ht="17" thickBot="1" x14ac:dyDescent="0.25">
      <c r="A18" s="328" t="s">
        <v>167</v>
      </c>
      <c r="B18" s="171">
        <f>B3</f>
        <v>2</v>
      </c>
      <c r="C18" s="329" t="s">
        <v>168</v>
      </c>
      <c r="D18" s="330">
        <f>D3</f>
        <v>3</v>
      </c>
      <c r="E18" s="329" t="s">
        <v>57</v>
      </c>
      <c r="F18" s="330">
        <v>2</v>
      </c>
      <c r="G18" s="329"/>
      <c r="H18" s="330"/>
      <c r="I18" s="329"/>
      <c r="J18" s="330"/>
      <c r="K18" s="329" t="s">
        <v>195</v>
      </c>
      <c r="L18" s="10">
        <f>L92</f>
        <v>0</v>
      </c>
    </row>
    <row r="19" spans="1:12" ht="17" thickBot="1" x14ac:dyDescent="0.25">
      <c r="K19" s="323"/>
      <c r="L19" s="164"/>
    </row>
    <row r="20" spans="1:12" ht="17" thickBot="1" x14ac:dyDescent="0.25">
      <c r="A20" s="371" t="s">
        <v>56</v>
      </c>
      <c r="B20" s="372" t="s">
        <v>176</v>
      </c>
      <c r="C20" s="373" t="s">
        <v>177</v>
      </c>
      <c r="D20" s="373" t="s">
        <v>181</v>
      </c>
      <c r="E20" s="373" t="s">
        <v>182</v>
      </c>
      <c r="F20" s="278" t="s">
        <v>183</v>
      </c>
      <c r="G20" s="372" t="s">
        <v>170</v>
      </c>
      <c r="H20" s="373" t="s">
        <v>171</v>
      </c>
      <c r="I20" s="374"/>
      <c r="J20" s="277" t="s">
        <v>178</v>
      </c>
      <c r="K20" s="373" t="s">
        <v>174</v>
      </c>
      <c r="L20" s="374" t="s">
        <v>180</v>
      </c>
    </row>
    <row r="21" spans="1:12" x14ac:dyDescent="0.2">
      <c r="A21" s="280">
        <v>100</v>
      </c>
      <c r="B21" s="281">
        <f>A21</f>
        <v>100</v>
      </c>
      <c r="C21" s="291">
        <f t="shared" ref="C21:F30" si="7">B21*$F$18</f>
        <v>200</v>
      </c>
      <c r="D21" s="291">
        <f t="shared" si="7"/>
        <v>400</v>
      </c>
      <c r="E21" s="291">
        <f t="shared" si="7"/>
        <v>800</v>
      </c>
      <c r="F21" s="291">
        <f t="shared" si="7"/>
        <v>1600</v>
      </c>
      <c r="G21" s="281">
        <f>SUM(B21:F21)*$D$18</f>
        <v>9300</v>
      </c>
      <c r="H21" s="331">
        <f t="shared" ref="H21:H30" si="8">$L$17*A21</f>
        <v>0</v>
      </c>
      <c r="I21" s="332"/>
      <c r="J21" s="300" t="e">
        <f t="shared" ref="J21:J30" si="9">H21/$H$17</f>
        <v>#DIV/0!</v>
      </c>
      <c r="K21" s="292" t="e">
        <f>G21/$H$17</f>
        <v>#DIV/0!</v>
      </c>
      <c r="L21" s="293" t="e">
        <f>K21*2</f>
        <v>#DIV/0!</v>
      </c>
    </row>
    <row r="22" spans="1:12" x14ac:dyDescent="0.2">
      <c r="A22" s="282">
        <v>200</v>
      </c>
      <c r="B22" s="133">
        <f t="shared" ref="B22:B30" si="10">A22</f>
        <v>200</v>
      </c>
      <c r="C22" s="284">
        <f t="shared" si="7"/>
        <v>400</v>
      </c>
      <c r="D22" s="284">
        <f t="shared" si="7"/>
        <v>800</v>
      </c>
      <c r="E22" s="284">
        <f t="shared" si="7"/>
        <v>1600</v>
      </c>
      <c r="F22" s="298">
        <f t="shared" si="7"/>
        <v>3200</v>
      </c>
      <c r="G22" s="133">
        <f t="shared" ref="G22:G30" si="11">SUM(B22:F22)*$D$18</f>
        <v>18600</v>
      </c>
      <c r="H22" s="285">
        <f t="shared" si="8"/>
        <v>0</v>
      </c>
      <c r="I22" s="303"/>
      <c r="J22" s="301" t="e">
        <f t="shared" si="9"/>
        <v>#DIV/0!</v>
      </c>
      <c r="K22" s="279" t="e">
        <f t="shared" ref="K22:K30" si="12">G22/$H$17</f>
        <v>#DIV/0!</v>
      </c>
      <c r="L22" s="286" t="e">
        <f t="shared" ref="L22:L30" si="13">K22*2</f>
        <v>#DIV/0!</v>
      </c>
    </row>
    <row r="23" spans="1:12" x14ac:dyDescent="0.2">
      <c r="A23" s="282">
        <v>300</v>
      </c>
      <c r="B23" s="133">
        <f t="shared" si="10"/>
        <v>300</v>
      </c>
      <c r="C23" s="284">
        <f t="shared" si="7"/>
        <v>600</v>
      </c>
      <c r="D23" s="284">
        <f t="shared" si="7"/>
        <v>1200</v>
      </c>
      <c r="E23" s="284">
        <f t="shared" si="7"/>
        <v>2400</v>
      </c>
      <c r="F23" s="298">
        <f t="shared" si="7"/>
        <v>4800</v>
      </c>
      <c r="G23" s="133">
        <f t="shared" si="11"/>
        <v>27900</v>
      </c>
      <c r="H23" s="285">
        <f t="shared" si="8"/>
        <v>0</v>
      </c>
      <c r="I23" s="303"/>
      <c r="J23" s="301" t="e">
        <f t="shared" si="9"/>
        <v>#DIV/0!</v>
      </c>
      <c r="K23" s="279" t="e">
        <f t="shared" si="12"/>
        <v>#DIV/0!</v>
      </c>
      <c r="L23" s="286" t="e">
        <f t="shared" si="13"/>
        <v>#DIV/0!</v>
      </c>
    </row>
    <row r="24" spans="1:12" x14ac:dyDescent="0.2">
      <c r="A24" s="282">
        <v>400</v>
      </c>
      <c r="B24" s="133">
        <f t="shared" si="10"/>
        <v>400</v>
      </c>
      <c r="C24" s="284">
        <f t="shared" si="7"/>
        <v>800</v>
      </c>
      <c r="D24" s="284">
        <f t="shared" si="7"/>
        <v>1600</v>
      </c>
      <c r="E24" s="284">
        <f t="shared" si="7"/>
        <v>3200</v>
      </c>
      <c r="F24" s="298">
        <f t="shared" si="7"/>
        <v>6400</v>
      </c>
      <c r="G24" s="133">
        <f t="shared" si="11"/>
        <v>37200</v>
      </c>
      <c r="H24" s="285">
        <f t="shared" si="8"/>
        <v>0</v>
      </c>
      <c r="I24" s="303"/>
      <c r="J24" s="301" t="e">
        <f t="shared" si="9"/>
        <v>#DIV/0!</v>
      </c>
      <c r="K24" s="279" t="e">
        <f t="shared" si="12"/>
        <v>#DIV/0!</v>
      </c>
      <c r="L24" s="286" t="e">
        <f t="shared" si="13"/>
        <v>#DIV/0!</v>
      </c>
    </row>
    <row r="25" spans="1:12" x14ac:dyDescent="0.2">
      <c r="A25" s="282">
        <v>500</v>
      </c>
      <c r="B25" s="133">
        <f t="shared" si="10"/>
        <v>500</v>
      </c>
      <c r="C25" s="284">
        <f t="shared" si="7"/>
        <v>1000</v>
      </c>
      <c r="D25" s="284">
        <f t="shared" si="7"/>
        <v>2000</v>
      </c>
      <c r="E25" s="284">
        <f t="shared" si="7"/>
        <v>4000</v>
      </c>
      <c r="F25" s="298">
        <f t="shared" si="7"/>
        <v>8000</v>
      </c>
      <c r="G25" s="133">
        <f t="shared" si="11"/>
        <v>46500</v>
      </c>
      <c r="H25" s="285">
        <f t="shared" si="8"/>
        <v>0</v>
      </c>
      <c r="I25" s="303"/>
      <c r="J25" s="301" t="e">
        <f t="shared" si="9"/>
        <v>#DIV/0!</v>
      </c>
      <c r="K25" s="279" t="e">
        <f t="shared" si="12"/>
        <v>#DIV/0!</v>
      </c>
      <c r="L25" s="286" t="e">
        <f t="shared" si="13"/>
        <v>#DIV/0!</v>
      </c>
    </row>
    <row r="26" spans="1:12" x14ac:dyDescent="0.2">
      <c r="A26" s="282">
        <v>600</v>
      </c>
      <c r="B26" s="133">
        <f t="shared" si="10"/>
        <v>600</v>
      </c>
      <c r="C26" s="284">
        <f t="shared" si="7"/>
        <v>1200</v>
      </c>
      <c r="D26" s="284">
        <f t="shared" si="7"/>
        <v>2400</v>
      </c>
      <c r="E26" s="284">
        <f t="shared" si="7"/>
        <v>4800</v>
      </c>
      <c r="F26" s="298">
        <f t="shared" si="7"/>
        <v>9600</v>
      </c>
      <c r="G26" s="133">
        <f t="shared" si="11"/>
        <v>55800</v>
      </c>
      <c r="H26" s="285">
        <f t="shared" si="8"/>
        <v>0</v>
      </c>
      <c r="I26" s="303"/>
      <c r="J26" s="301" t="e">
        <f t="shared" si="9"/>
        <v>#DIV/0!</v>
      </c>
      <c r="K26" s="279" t="e">
        <f t="shared" si="12"/>
        <v>#DIV/0!</v>
      </c>
      <c r="L26" s="286" t="e">
        <f t="shared" si="13"/>
        <v>#DIV/0!</v>
      </c>
    </row>
    <row r="27" spans="1:12" x14ac:dyDescent="0.2">
      <c r="A27" s="282">
        <v>700</v>
      </c>
      <c r="B27" s="133">
        <f t="shared" si="10"/>
        <v>700</v>
      </c>
      <c r="C27" s="284">
        <f t="shared" si="7"/>
        <v>1400</v>
      </c>
      <c r="D27" s="284">
        <f t="shared" si="7"/>
        <v>2800</v>
      </c>
      <c r="E27" s="284">
        <f t="shared" si="7"/>
        <v>5600</v>
      </c>
      <c r="F27" s="298">
        <f t="shared" si="7"/>
        <v>11200</v>
      </c>
      <c r="G27" s="133">
        <f t="shared" si="11"/>
        <v>65100</v>
      </c>
      <c r="H27" s="285">
        <f t="shared" si="8"/>
        <v>0</v>
      </c>
      <c r="I27" s="303"/>
      <c r="J27" s="301" t="e">
        <f t="shared" si="9"/>
        <v>#DIV/0!</v>
      </c>
      <c r="K27" s="279" t="e">
        <f t="shared" si="12"/>
        <v>#DIV/0!</v>
      </c>
      <c r="L27" s="286" t="e">
        <f t="shared" si="13"/>
        <v>#DIV/0!</v>
      </c>
    </row>
    <row r="28" spans="1:12" x14ac:dyDescent="0.2">
      <c r="A28" s="282">
        <v>800</v>
      </c>
      <c r="B28" s="133">
        <f t="shared" si="10"/>
        <v>800</v>
      </c>
      <c r="C28" s="284">
        <f t="shared" si="7"/>
        <v>1600</v>
      </c>
      <c r="D28" s="284">
        <f t="shared" si="7"/>
        <v>3200</v>
      </c>
      <c r="E28" s="284">
        <f t="shared" si="7"/>
        <v>6400</v>
      </c>
      <c r="F28" s="298">
        <f t="shared" si="7"/>
        <v>12800</v>
      </c>
      <c r="G28" s="133">
        <f t="shared" si="11"/>
        <v>74400</v>
      </c>
      <c r="H28" s="285">
        <f t="shared" si="8"/>
        <v>0</v>
      </c>
      <c r="I28" s="303"/>
      <c r="J28" s="301" t="e">
        <f t="shared" si="9"/>
        <v>#DIV/0!</v>
      </c>
      <c r="K28" s="279" t="e">
        <f t="shared" si="12"/>
        <v>#DIV/0!</v>
      </c>
      <c r="L28" s="286" t="e">
        <f t="shared" si="13"/>
        <v>#DIV/0!</v>
      </c>
    </row>
    <row r="29" spans="1:12" x14ac:dyDescent="0.2">
      <c r="A29" s="282">
        <v>900</v>
      </c>
      <c r="B29" s="133">
        <f t="shared" si="10"/>
        <v>900</v>
      </c>
      <c r="C29" s="284">
        <f t="shared" si="7"/>
        <v>1800</v>
      </c>
      <c r="D29" s="284">
        <f t="shared" si="7"/>
        <v>3600</v>
      </c>
      <c r="E29" s="284">
        <f t="shared" si="7"/>
        <v>7200</v>
      </c>
      <c r="F29" s="298">
        <f t="shared" si="7"/>
        <v>14400</v>
      </c>
      <c r="G29" s="133">
        <f t="shared" si="11"/>
        <v>83700</v>
      </c>
      <c r="H29" s="285">
        <f t="shared" si="8"/>
        <v>0</v>
      </c>
      <c r="I29" s="303"/>
      <c r="J29" s="301" t="e">
        <f t="shared" si="9"/>
        <v>#DIV/0!</v>
      </c>
      <c r="K29" s="279" t="e">
        <f t="shared" si="12"/>
        <v>#DIV/0!</v>
      </c>
      <c r="L29" s="286" t="e">
        <f t="shared" si="13"/>
        <v>#DIV/0!</v>
      </c>
    </row>
    <row r="30" spans="1:12" ht="17" thickBot="1" x14ac:dyDescent="0.25">
      <c r="A30" s="283">
        <v>1000</v>
      </c>
      <c r="B30" s="134">
        <f t="shared" si="10"/>
        <v>1000</v>
      </c>
      <c r="C30" s="287">
        <f t="shared" si="7"/>
        <v>2000</v>
      </c>
      <c r="D30" s="287">
        <f t="shared" si="7"/>
        <v>4000</v>
      </c>
      <c r="E30" s="287">
        <f t="shared" si="7"/>
        <v>8000</v>
      </c>
      <c r="F30" s="299">
        <f t="shared" si="7"/>
        <v>16000</v>
      </c>
      <c r="G30" s="134">
        <f t="shared" si="11"/>
        <v>93000</v>
      </c>
      <c r="H30" s="288">
        <f t="shared" si="8"/>
        <v>0</v>
      </c>
      <c r="I30" s="304"/>
      <c r="J30" s="302" t="e">
        <f t="shared" si="9"/>
        <v>#DIV/0!</v>
      </c>
      <c r="K30" s="289" t="e">
        <f t="shared" si="12"/>
        <v>#DIV/0!</v>
      </c>
      <c r="L30" s="290" t="e">
        <f t="shared" si="13"/>
        <v>#DIV/0!</v>
      </c>
    </row>
    <row r="31" spans="1:12" ht="17" thickBot="1" x14ac:dyDescent="0.25"/>
    <row r="32" spans="1:12" x14ac:dyDescent="0.2">
      <c r="A32" s="324" t="s">
        <v>179</v>
      </c>
      <c r="B32" s="170" t="s">
        <v>198</v>
      </c>
      <c r="C32" s="325" t="s">
        <v>159</v>
      </c>
      <c r="D32" s="326">
        <f>D17</f>
        <v>0.24316252465496735</v>
      </c>
      <c r="E32" s="325" t="s">
        <v>160</v>
      </c>
      <c r="F32" s="326">
        <f>F17</f>
        <v>0.18150699941725082</v>
      </c>
      <c r="G32" s="325" t="s">
        <v>184</v>
      </c>
      <c r="H32" s="326" t="e">
        <f>L33/L32</f>
        <v>#DIV/0!</v>
      </c>
      <c r="I32" s="325" t="s">
        <v>192</v>
      </c>
      <c r="J32" s="326">
        <f>J17</f>
        <v>1.7466414588190893</v>
      </c>
      <c r="K32" s="325" t="s">
        <v>194</v>
      </c>
      <c r="L32" s="327">
        <f>M95</f>
        <v>0</v>
      </c>
    </row>
    <row r="33" spans="1:12" ht="17" thickBot="1" x14ac:dyDescent="0.25">
      <c r="A33" s="328" t="s">
        <v>167</v>
      </c>
      <c r="B33" s="171">
        <f>B18</f>
        <v>2</v>
      </c>
      <c r="C33" s="329" t="s">
        <v>168</v>
      </c>
      <c r="D33" s="330">
        <f>D18</f>
        <v>3</v>
      </c>
      <c r="E33" s="329" t="s">
        <v>57</v>
      </c>
      <c r="F33" s="330">
        <v>2</v>
      </c>
      <c r="G33" s="329"/>
      <c r="H33" s="330"/>
      <c r="I33" s="329"/>
      <c r="J33" s="330"/>
      <c r="K33" s="329" t="s">
        <v>195</v>
      </c>
      <c r="L33" s="10">
        <f>L97</f>
        <v>0</v>
      </c>
    </row>
    <row r="34" spans="1:12" ht="17" thickBot="1" x14ac:dyDescent="0.25">
      <c r="K34" s="323"/>
      <c r="L34" s="164"/>
    </row>
    <row r="35" spans="1:12" ht="17" thickBot="1" x14ac:dyDescent="0.25">
      <c r="A35" s="371" t="s">
        <v>56</v>
      </c>
      <c r="B35" s="372" t="s">
        <v>176</v>
      </c>
      <c r="C35" s="373" t="s">
        <v>177</v>
      </c>
      <c r="D35" s="373" t="s">
        <v>181</v>
      </c>
      <c r="E35" s="373" t="s">
        <v>182</v>
      </c>
      <c r="F35" s="278" t="s">
        <v>183</v>
      </c>
      <c r="G35" s="347" t="s">
        <v>199</v>
      </c>
      <c r="H35" s="372" t="s">
        <v>170</v>
      </c>
      <c r="I35" s="374" t="s">
        <v>171</v>
      </c>
      <c r="J35" s="277" t="s">
        <v>178</v>
      </c>
      <c r="K35" s="373" t="s">
        <v>174</v>
      </c>
      <c r="L35" s="374" t="s">
        <v>180</v>
      </c>
    </row>
    <row r="36" spans="1:12" x14ac:dyDescent="0.2">
      <c r="A36" s="280">
        <v>100</v>
      </c>
      <c r="B36" s="281">
        <f>A36</f>
        <v>100</v>
      </c>
      <c r="C36" s="291">
        <f>B36*$F$18</f>
        <v>200</v>
      </c>
      <c r="D36" s="291">
        <f t="shared" ref="D36:G45" si="14">C36*$F$18</f>
        <v>400</v>
      </c>
      <c r="E36" s="291">
        <f t="shared" si="14"/>
        <v>800</v>
      </c>
      <c r="F36" s="291">
        <f t="shared" si="14"/>
        <v>1600</v>
      </c>
      <c r="G36" s="348">
        <f t="shared" si="14"/>
        <v>3200</v>
      </c>
      <c r="H36" s="281">
        <f>SUM(B36:G36)*$D$33</f>
        <v>18900</v>
      </c>
      <c r="I36" s="332">
        <f>$L$32*A36</f>
        <v>0</v>
      </c>
      <c r="J36" s="300" t="e">
        <f>I36/$H$32</f>
        <v>#DIV/0!</v>
      </c>
      <c r="K36" s="292" t="e">
        <f>H36/$H$32</f>
        <v>#DIV/0!</v>
      </c>
      <c r="L36" s="293" t="e">
        <f>K36*2</f>
        <v>#DIV/0!</v>
      </c>
    </row>
    <row r="37" spans="1:12" x14ac:dyDescent="0.2">
      <c r="A37" s="282">
        <v>200</v>
      </c>
      <c r="B37" s="133">
        <f t="shared" ref="B37:B45" si="15">A37</f>
        <v>200</v>
      </c>
      <c r="C37" s="284">
        <f t="shared" ref="C37:C45" si="16">B37*$F$18</f>
        <v>400</v>
      </c>
      <c r="D37" s="284">
        <f t="shared" si="14"/>
        <v>800</v>
      </c>
      <c r="E37" s="284">
        <f t="shared" si="14"/>
        <v>1600</v>
      </c>
      <c r="F37" s="298">
        <f t="shared" si="14"/>
        <v>3200</v>
      </c>
      <c r="G37" s="348">
        <f t="shared" si="14"/>
        <v>6400</v>
      </c>
      <c r="H37" s="281">
        <f t="shared" ref="H37:H45" si="17">SUM(B37:G37)*$D$33</f>
        <v>37800</v>
      </c>
      <c r="I37" s="303">
        <f t="shared" ref="I37:I45" si="18">$L$32*A37</f>
        <v>0</v>
      </c>
      <c r="J37" s="301" t="e">
        <f t="shared" ref="J37:J45" si="19">I37/$H$32</f>
        <v>#DIV/0!</v>
      </c>
      <c r="K37" s="279" t="e">
        <f t="shared" ref="K37:K45" si="20">H37/$H$32</f>
        <v>#DIV/0!</v>
      </c>
      <c r="L37" s="286" t="e">
        <f t="shared" ref="L37:L45" si="21">K37*2</f>
        <v>#DIV/0!</v>
      </c>
    </row>
    <row r="38" spans="1:12" x14ac:dyDescent="0.2">
      <c r="A38" s="282">
        <v>300</v>
      </c>
      <c r="B38" s="133">
        <f t="shared" si="15"/>
        <v>300</v>
      </c>
      <c r="C38" s="284">
        <f t="shared" si="16"/>
        <v>600</v>
      </c>
      <c r="D38" s="284">
        <f t="shared" si="14"/>
        <v>1200</v>
      </c>
      <c r="E38" s="284">
        <f t="shared" si="14"/>
        <v>2400</v>
      </c>
      <c r="F38" s="298">
        <f t="shared" si="14"/>
        <v>4800</v>
      </c>
      <c r="G38" s="348">
        <f t="shared" si="14"/>
        <v>9600</v>
      </c>
      <c r="H38" s="281">
        <f t="shared" si="17"/>
        <v>56700</v>
      </c>
      <c r="I38" s="303">
        <f t="shared" si="18"/>
        <v>0</v>
      </c>
      <c r="J38" s="301" t="e">
        <f t="shared" si="19"/>
        <v>#DIV/0!</v>
      </c>
      <c r="K38" s="279" t="e">
        <f t="shared" si="20"/>
        <v>#DIV/0!</v>
      </c>
      <c r="L38" s="286" t="e">
        <f t="shared" si="21"/>
        <v>#DIV/0!</v>
      </c>
    </row>
    <row r="39" spans="1:12" x14ac:dyDescent="0.2">
      <c r="A39" s="282">
        <v>400</v>
      </c>
      <c r="B39" s="133">
        <f t="shared" si="15"/>
        <v>400</v>
      </c>
      <c r="C39" s="284">
        <f t="shared" si="16"/>
        <v>800</v>
      </c>
      <c r="D39" s="284">
        <f t="shared" si="14"/>
        <v>1600</v>
      </c>
      <c r="E39" s="284">
        <f t="shared" si="14"/>
        <v>3200</v>
      </c>
      <c r="F39" s="298">
        <f t="shared" si="14"/>
        <v>6400</v>
      </c>
      <c r="G39" s="348">
        <f t="shared" si="14"/>
        <v>12800</v>
      </c>
      <c r="H39" s="281">
        <f t="shared" si="17"/>
        <v>75600</v>
      </c>
      <c r="I39" s="303">
        <f t="shared" si="18"/>
        <v>0</v>
      </c>
      <c r="J39" s="301" t="e">
        <f t="shared" si="19"/>
        <v>#DIV/0!</v>
      </c>
      <c r="K39" s="279" t="e">
        <f t="shared" si="20"/>
        <v>#DIV/0!</v>
      </c>
      <c r="L39" s="286" t="e">
        <f t="shared" si="21"/>
        <v>#DIV/0!</v>
      </c>
    </row>
    <row r="40" spans="1:12" x14ac:dyDescent="0.2">
      <c r="A40" s="282">
        <v>500</v>
      </c>
      <c r="B40" s="133">
        <f t="shared" si="15"/>
        <v>500</v>
      </c>
      <c r="C40" s="284">
        <f t="shared" si="16"/>
        <v>1000</v>
      </c>
      <c r="D40" s="284">
        <f t="shared" si="14"/>
        <v>2000</v>
      </c>
      <c r="E40" s="284">
        <f t="shared" si="14"/>
        <v>4000</v>
      </c>
      <c r="F40" s="298">
        <f t="shared" si="14"/>
        <v>8000</v>
      </c>
      <c r="G40" s="348">
        <f t="shared" si="14"/>
        <v>16000</v>
      </c>
      <c r="H40" s="281">
        <f t="shared" si="17"/>
        <v>94500</v>
      </c>
      <c r="I40" s="303">
        <f t="shared" si="18"/>
        <v>0</v>
      </c>
      <c r="J40" s="301" t="e">
        <f t="shared" si="19"/>
        <v>#DIV/0!</v>
      </c>
      <c r="K40" s="279" t="e">
        <f t="shared" si="20"/>
        <v>#DIV/0!</v>
      </c>
      <c r="L40" s="286" t="e">
        <f t="shared" si="21"/>
        <v>#DIV/0!</v>
      </c>
    </row>
    <row r="41" spans="1:12" x14ac:dyDescent="0.2">
      <c r="A41" s="282">
        <v>600</v>
      </c>
      <c r="B41" s="133">
        <f t="shared" si="15"/>
        <v>600</v>
      </c>
      <c r="C41" s="284">
        <f t="shared" si="16"/>
        <v>1200</v>
      </c>
      <c r="D41" s="284">
        <f t="shared" si="14"/>
        <v>2400</v>
      </c>
      <c r="E41" s="284">
        <f t="shared" si="14"/>
        <v>4800</v>
      </c>
      <c r="F41" s="298">
        <f t="shared" si="14"/>
        <v>9600</v>
      </c>
      <c r="G41" s="348">
        <f t="shared" si="14"/>
        <v>19200</v>
      </c>
      <c r="H41" s="281">
        <f t="shared" si="17"/>
        <v>113400</v>
      </c>
      <c r="I41" s="303">
        <f t="shared" si="18"/>
        <v>0</v>
      </c>
      <c r="J41" s="301" t="e">
        <f t="shared" si="19"/>
        <v>#DIV/0!</v>
      </c>
      <c r="K41" s="279" t="e">
        <f t="shared" si="20"/>
        <v>#DIV/0!</v>
      </c>
      <c r="L41" s="286" t="e">
        <f t="shared" si="21"/>
        <v>#DIV/0!</v>
      </c>
    </row>
    <row r="42" spans="1:12" x14ac:dyDescent="0.2">
      <c r="A42" s="282">
        <v>700</v>
      </c>
      <c r="B42" s="133">
        <f t="shared" si="15"/>
        <v>700</v>
      </c>
      <c r="C42" s="284">
        <f t="shared" si="16"/>
        <v>1400</v>
      </c>
      <c r="D42" s="284">
        <f t="shared" si="14"/>
        <v>2800</v>
      </c>
      <c r="E42" s="284">
        <f t="shared" si="14"/>
        <v>5600</v>
      </c>
      <c r="F42" s="298">
        <f t="shared" si="14"/>
        <v>11200</v>
      </c>
      <c r="G42" s="348">
        <f t="shared" si="14"/>
        <v>22400</v>
      </c>
      <c r="H42" s="281">
        <f t="shared" si="17"/>
        <v>132300</v>
      </c>
      <c r="I42" s="303">
        <f t="shared" si="18"/>
        <v>0</v>
      </c>
      <c r="J42" s="301" t="e">
        <f t="shared" si="19"/>
        <v>#DIV/0!</v>
      </c>
      <c r="K42" s="279" t="e">
        <f t="shared" si="20"/>
        <v>#DIV/0!</v>
      </c>
      <c r="L42" s="286" t="e">
        <f t="shared" si="21"/>
        <v>#DIV/0!</v>
      </c>
    </row>
    <row r="43" spans="1:12" x14ac:dyDescent="0.2">
      <c r="A43" s="282">
        <v>800</v>
      </c>
      <c r="B43" s="133">
        <f t="shared" si="15"/>
        <v>800</v>
      </c>
      <c r="C43" s="284">
        <f t="shared" si="16"/>
        <v>1600</v>
      </c>
      <c r="D43" s="284">
        <f t="shared" si="14"/>
        <v>3200</v>
      </c>
      <c r="E43" s="284">
        <f t="shared" si="14"/>
        <v>6400</v>
      </c>
      <c r="F43" s="298">
        <f t="shared" si="14"/>
        <v>12800</v>
      </c>
      <c r="G43" s="348">
        <f t="shared" si="14"/>
        <v>25600</v>
      </c>
      <c r="H43" s="281">
        <f t="shared" si="17"/>
        <v>151200</v>
      </c>
      <c r="I43" s="303">
        <f t="shared" si="18"/>
        <v>0</v>
      </c>
      <c r="J43" s="301" t="e">
        <f t="shared" si="19"/>
        <v>#DIV/0!</v>
      </c>
      <c r="K43" s="279" t="e">
        <f t="shared" si="20"/>
        <v>#DIV/0!</v>
      </c>
      <c r="L43" s="286" t="e">
        <f t="shared" si="21"/>
        <v>#DIV/0!</v>
      </c>
    </row>
    <row r="44" spans="1:12" x14ac:dyDescent="0.2">
      <c r="A44" s="282">
        <v>900</v>
      </c>
      <c r="B44" s="133">
        <f t="shared" si="15"/>
        <v>900</v>
      </c>
      <c r="C44" s="284">
        <f t="shared" si="16"/>
        <v>1800</v>
      </c>
      <c r="D44" s="284">
        <f t="shared" si="14"/>
        <v>3600</v>
      </c>
      <c r="E44" s="284">
        <f t="shared" si="14"/>
        <v>7200</v>
      </c>
      <c r="F44" s="298">
        <f t="shared" si="14"/>
        <v>14400</v>
      </c>
      <c r="G44" s="348">
        <f t="shared" si="14"/>
        <v>28800</v>
      </c>
      <c r="H44" s="281">
        <f t="shared" si="17"/>
        <v>170100</v>
      </c>
      <c r="I44" s="303">
        <f t="shared" si="18"/>
        <v>0</v>
      </c>
      <c r="J44" s="301" t="e">
        <f t="shared" si="19"/>
        <v>#DIV/0!</v>
      </c>
      <c r="K44" s="279" t="e">
        <f t="shared" si="20"/>
        <v>#DIV/0!</v>
      </c>
      <c r="L44" s="286" t="e">
        <f t="shared" si="21"/>
        <v>#DIV/0!</v>
      </c>
    </row>
    <row r="45" spans="1:12" ht="17" thickBot="1" x14ac:dyDescent="0.25">
      <c r="A45" s="283">
        <v>1000</v>
      </c>
      <c r="B45" s="134">
        <f t="shared" si="15"/>
        <v>1000</v>
      </c>
      <c r="C45" s="287">
        <f t="shared" si="16"/>
        <v>2000</v>
      </c>
      <c r="D45" s="287">
        <f t="shared" si="14"/>
        <v>4000</v>
      </c>
      <c r="E45" s="287">
        <f t="shared" si="14"/>
        <v>8000</v>
      </c>
      <c r="F45" s="299">
        <f t="shared" si="14"/>
        <v>16000</v>
      </c>
      <c r="G45" s="349">
        <f t="shared" si="14"/>
        <v>32000</v>
      </c>
      <c r="H45" s="346">
        <f t="shared" si="17"/>
        <v>189000</v>
      </c>
      <c r="I45" s="304">
        <f t="shared" si="18"/>
        <v>0</v>
      </c>
      <c r="J45" s="302" t="e">
        <f t="shared" si="19"/>
        <v>#DIV/0!</v>
      </c>
      <c r="K45" s="289" t="e">
        <f t="shared" si="20"/>
        <v>#DIV/0!</v>
      </c>
      <c r="L45" s="290" t="e">
        <f t="shared" si="21"/>
        <v>#DIV/0!</v>
      </c>
    </row>
    <row r="46" spans="1:12" x14ac:dyDescent="0.2">
      <c r="B46" s="255"/>
    </row>
    <row r="47" spans="1:12" x14ac:dyDescent="0.2">
      <c r="A47" t="s">
        <v>40</v>
      </c>
      <c r="B47" s="254" t="s">
        <v>159</v>
      </c>
      <c r="C47" s="253">
        <f>Analysis!B36</f>
        <v>0.24316252465496735</v>
      </c>
      <c r="D47" s="252" t="s">
        <v>160</v>
      </c>
      <c r="E47" s="253">
        <f>Analysis!G36</f>
        <v>0.18150699941725082</v>
      </c>
      <c r="G47" t="s">
        <v>190</v>
      </c>
      <c r="H47">
        <v>3</v>
      </c>
      <c r="I47" t="s">
        <v>58</v>
      </c>
      <c r="J47">
        <f>COUNT(Analysis!B36:C36)</f>
        <v>2</v>
      </c>
      <c r="K47" s="252" t="s">
        <v>191</v>
      </c>
      <c r="L47" s="253">
        <f>Analysis!R36</f>
        <v>1.7466414588190893</v>
      </c>
    </row>
    <row r="48" spans="1:12" x14ac:dyDescent="0.2">
      <c r="B48" s="255"/>
    </row>
    <row r="49" spans="1:19" x14ac:dyDescent="0.2">
      <c r="B49" s="255" t="s">
        <v>162</v>
      </c>
    </row>
    <row r="50" spans="1:19" x14ac:dyDescent="0.2">
      <c r="A50" t="s">
        <v>163</v>
      </c>
      <c r="B50" s="255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</row>
    <row r="51" spans="1:19" x14ac:dyDescent="0.2">
      <c r="A51" t="s">
        <v>157</v>
      </c>
      <c r="B51" s="255">
        <f>$C$47</f>
        <v>0.24316252465496735</v>
      </c>
      <c r="C51">
        <f>B51*$C$47</f>
        <v>5.9128013396577604E-2</v>
      </c>
      <c r="D51">
        <f t="shared" ref="D51:K51" si="22">C51*$C$47</f>
        <v>1.4377717015344542E-2</v>
      </c>
      <c r="E51">
        <f t="shared" si="22"/>
        <v>3.4961219682258606E-3</v>
      </c>
      <c r="F51">
        <f t="shared" si="22"/>
        <v>8.5012584429549384E-4</v>
      </c>
      <c r="G51">
        <f t="shared" si="22"/>
        <v>2.0671874657332795E-4</v>
      </c>
      <c r="H51">
        <f t="shared" si="22"/>
        <v>5.0266252310280805E-5</v>
      </c>
      <c r="I51">
        <f t="shared" si="22"/>
        <v>1.2222868816711465E-5</v>
      </c>
      <c r="J51">
        <f t="shared" si="22"/>
        <v>2.9721436399980334E-6</v>
      </c>
      <c r="K51">
        <f t="shared" si="22"/>
        <v>7.227139511391262E-7</v>
      </c>
    </row>
    <row r="52" spans="1:19" x14ac:dyDescent="0.2">
      <c r="A52" t="s">
        <v>158</v>
      </c>
      <c r="B52" s="255">
        <f>$E$47</f>
        <v>0.18150699941725082</v>
      </c>
      <c r="C52">
        <f>B52*$E$47</f>
        <v>3.2944790837453893E-2</v>
      </c>
      <c r="D52">
        <f t="shared" ref="D52:K52" si="23">C52*$E$47</f>
        <v>5.9797101313351936E-3</v>
      </c>
      <c r="E52">
        <f t="shared" si="23"/>
        <v>1.0853592433235858E-3</v>
      </c>
      <c r="F52">
        <f t="shared" si="23"/>
        <v>1.9700029954544188E-4</v>
      </c>
      <c r="G52">
        <f t="shared" si="23"/>
        <v>3.5756933254792755E-5</v>
      </c>
      <c r="H52">
        <f t="shared" si="23"/>
        <v>6.4901336634403451E-6</v>
      </c>
      <c r="I52">
        <f t="shared" si="23"/>
        <v>1.1780046870679466E-6</v>
      </c>
      <c r="J52">
        <f t="shared" si="23"/>
        <v>2.1381609604916051E-7</v>
      </c>
      <c r="K52">
        <f t="shared" si="23"/>
        <v>3.8809118020993822E-8</v>
      </c>
    </row>
    <row r="53" spans="1:19" x14ac:dyDescent="0.2">
      <c r="B53" s="255">
        <v>1</v>
      </c>
      <c r="C53">
        <v>2</v>
      </c>
      <c r="D53">
        <v>3</v>
      </c>
      <c r="E53" s="255">
        <v>4</v>
      </c>
      <c r="F53">
        <v>5</v>
      </c>
      <c r="G53">
        <v>6</v>
      </c>
      <c r="H53" s="255">
        <v>7</v>
      </c>
      <c r="I53">
        <v>8</v>
      </c>
      <c r="J53">
        <v>9</v>
      </c>
      <c r="K53" s="255"/>
    </row>
    <row r="54" spans="1:19" x14ac:dyDescent="0.2">
      <c r="B54" s="255">
        <f>B51+C51*B52</f>
        <v>0.25389467294808316</v>
      </c>
      <c r="C54">
        <f>B54+D51*C52</f>
        <v>0.25436834382787377</v>
      </c>
      <c r="D54">
        <f>C54+E51*D52</f>
        <v>0.25438924962382753</v>
      </c>
      <c r="E54">
        <f t="shared" ref="E54:J54" si="24">D54+F51*E52</f>
        <v>0.2543901723157706</v>
      </c>
      <c r="F54">
        <f t="shared" si="24"/>
        <v>0.25439021303942561</v>
      </c>
      <c r="G54">
        <f t="shared" si="24"/>
        <v>0.25439021483679264</v>
      </c>
      <c r="H54">
        <f t="shared" si="24"/>
        <v>0.25439021491612068</v>
      </c>
      <c r="I54">
        <f t="shared" si="24"/>
        <v>0.25439021491962188</v>
      </c>
      <c r="J54">
        <f t="shared" si="24"/>
        <v>0.25439021491977643</v>
      </c>
    </row>
    <row r="55" spans="1:19" x14ac:dyDescent="0.2">
      <c r="B55" s="255">
        <v>-1</v>
      </c>
      <c r="C55">
        <v>-2</v>
      </c>
      <c r="D55" s="255">
        <v>-3</v>
      </c>
      <c r="E55">
        <v>-4</v>
      </c>
      <c r="F55" s="255">
        <v>-5</v>
      </c>
      <c r="G55">
        <v>-6</v>
      </c>
      <c r="H55" s="255">
        <v>-7</v>
      </c>
      <c r="I55">
        <v>-8</v>
      </c>
      <c r="J55" s="255">
        <v>-9</v>
      </c>
      <c r="K55" s="255"/>
    </row>
    <row r="56" spans="1:19" ht="17" thickBot="1" x14ac:dyDescent="0.25">
      <c r="B56" s="255">
        <f>B52+B51*C52</f>
        <v>0.18951793793151595</v>
      </c>
      <c r="C56">
        <f t="shared" ref="C56:J56" si="25">B56+C51*D52</f>
        <v>0.18987150631226918</v>
      </c>
      <c r="D56">
        <f t="shared" si="25"/>
        <v>0.18988711130032968</v>
      </c>
      <c r="E56">
        <f t="shared" si="25"/>
        <v>0.18988780003740466</v>
      </c>
      <c r="F56">
        <f t="shared" si="25"/>
        <v>0.18988783043529772</v>
      </c>
      <c r="G56">
        <f t="shared" si="25"/>
        <v>0.18988783177693003</v>
      </c>
      <c r="H56">
        <f t="shared" si="25"/>
        <v>0.18988783183614391</v>
      </c>
      <c r="I56">
        <f t="shared" si="25"/>
        <v>0.18988783183875735</v>
      </c>
      <c r="J56">
        <f t="shared" si="25"/>
        <v>0.1898878318388727</v>
      </c>
    </row>
    <row r="57" spans="1:19" ht="17" thickBot="1" x14ac:dyDescent="0.25">
      <c r="A57" s="264"/>
      <c r="B57" s="140">
        <v>1</v>
      </c>
      <c r="C57" s="275">
        <v>0</v>
      </c>
      <c r="D57" s="272">
        <v>-1</v>
      </c>
      <c r="E57" s="183">
        <v>-2</v>
      </c>
      <c r="F57" s="183">
        <v>-3</v>
      </c>
      <c r="G57" s="183">
        <v>-4</v>
      </c>
      <c r="H57" s="183">
        <v>-5</v>
      </c>
      <c r="I57" s="183">
        <v>-6</v>
      </c>
      <c r="J57" s="183">
        <v>-7</v>
      </c>
      <c r="K57" s="183">
        <v>-8</v>
      </c>
      <c r="L57" s="183">
        <v>-9</v>
      </c>
      <c r="M57" s="144">
        <v>-10</v>
      </c>
      <c r="P57" s="19" t="s">
        <v>37</v>
      </c>
      <c r="Q57" s="29" t="s">
        <v>61</v>
      </c>
      <c r="R57" s="19" t="s">
        <v>58</v>
      </c>
      <c r="S57" s="20" t="s">
        <v>60</v>
      </c>
    </row>
    <row r="58" spans="1:19" x14ac:dyDescent="0.2">
      <c r="A58" s="265">
        <v>1</v>
      </c>
      <c r="B58" s="131">
        <f>C58*$B$51</f>
        <v>0.24316252465496735</v>
      </c>
      <c r="C58" s="119">
        <v>1</v>
      </c>
      <c r="D58" s="273">
        <f>C58*B52</f>
        <v>0.18150699941725082</v>
      </c>
      <c r="E58" s="170"/>
      <c r="F58" s="170"/>
      <c r="G58" s="170"/>
      <c r="H58" s="170"/>
      <c r="I58" s="170"/>
      <c r="J58" s="170"/>
      <c r="K58" s="170"/>
      <c r="L58" s="170"/>
      <c r="M58" s="63"/>
      <c r="P58" s="2">
        <f>B58/(B58+D58)</f>
        <v>0.57259235916730344</v>
      </c>
      <c r="Q58" s="28">
        <f>B58-D58</f>
        <v>6.165552523771653E-2</v>
      </c>
      <c r="R58" s="2">
        <f>1+$L$47*SUM(C58)</f>
        <v>2.7466414588190893</v>
      </c>
      <c r="S58" s="8">
        <f>B58*R58-D58*COUNT(D58:M58)</f>
        <v>0.48637327203120151</v>
      </c>
    </row>
    <row r="59" spans="1:19" x14ac:dyDescent="0.2">
      <c r="A59" s="266">
        <v>2</v>
      </c>
      <c r="B59" s="126">
        <f t="shared" ref="B59:B67" si="26">C59*$B$51</f>
        <v>0.25389467294808316</v>
      </c>
      <c r="C59" s="121">
        <f>C58+B52*B51</f>
        <v>1.0441357002208465</v>
      </c>
      <c r="D59" s="247">
        <f>C59*B52</f>
        <v>0.18951793793151595</v>
      </c>
      <c r="E59" s="1">
        <f>D59*B52</f>
        <v>3.4398832249694242E-2</v>
      </c>
      <c r="F59" s="1"/>
      <c r="G59" s="1"/>
      <c r="H59" s="1"/>
      <c r="I59" s="1"/>
      <c r="J59" s="1"/>
      <c r="K59" s="1"/>
      <c r="L59" s="1"/>
      <c r="M59" s="9"/>
      <c r="P59" s="1">
        <f>B59/(B59+E59)</f>
        <v>0.88068120984516907</v>
      </c>
      <c r="Q59" s="117">
        <f>B59-E59</f>
        <v>0.2194958406983889</v>
      </c>
      <c r="R59" s="1">
        <f>1+$L$47*SUM(C59:D59)*$C$47</f>
        <v>1.5239545935196566</v>
      </c>
      <c r="S59" s="9">
        <f>B59*R59-E59*COUNT(D59:M59)</f>
        <v>0.31812628861001369</v>
      </c>
    </row>
    <row r="60" spans="1:19" x14ac:dyDescent="0.2">
      <c r="A60" s="266">
        <v>3</v>
      </c>
      <c r="B60" s="126">
        <f t="shared" si="26"/>
        <v>0.25436834382787382</v>
      </c>
      <c r="C60" s="121">
        <f>C59+C51*C52</f>
        <v>1.0460836602548309</v>
      </c>
      <c r="D60" s="247">
        <f>C60*$B$56</f>
        <v>0.19825161819534806</v>
      </c>
      <c r="E60" s="1">
        <f>D60*B51</f>
        <v>4.8207363997313499E-2</v>
      </c>
      <c r="F60" s="1">
        <f>E60*B51</f>
        <v>1.1722224336547729E-2</v>
      </c>
      <c r="G60" s="1"/>
      <c r="H60" s="1"/>
      <c r="I60" s="1"/>
      <c r="J60" s="1"/>
      <c r="K60" s="1"/>
      <c r="L60" s="1"/>
      <c r="M60" s="9"/>
      <c r="P60" s="1">
        <f>B60/(B60+F60)</f>
        <v>0.95594648687696293</v>
      </c>
      <c r="Q60" s="117">
        <f>B60-F60</f>
        <v>0.24264611949132608</v>
      </c>
      <c r="R60" s="1">
        <f>1+$L$47*SUM(C60:E60)*$C$47</f>
        <v>1.548965798734796</v>
      </c>
      <c r="S60" s="9">
        <f>B60*R60-F60*COUNT(D60:M60)</f>
        <v>0.35884119186054664</v>
      </c>
    </row>
    <row r="61" spans="1:19" x14ac:dyDescent="0.2">
      <c r="A61" s="266">
        <v>4</v>
      </c>
      <c r="B61" s="126">
        <f t="shared" si="26"/>
        <v>0.25438924962382758</v>
      </c>
      <c r="C61" s="121">
        <f>C60+D51*D52</f>
        <v>1.046169634834933</v>
      </c>
      <c r="D61" s="247">
        <f>C61*$C$56</f>
        <v>0.19863780442426532</v>
      </c>
      <c r="E61" s="1">
        <f>D61*$B$56</f>
        <v>3.7645427089730517E-2</v>
      </c>
      <c r="F61" s="1">
        <f>E61*B52</f>
        <v>6.832908512837875E-3</v>
      </c>
      <c r="G61" s="1">
        <f>F61*B52</f>
        <v>1.2402207214577924E-3</v>
      </c>
      <c r="H61" s="1"/>
      <c r="I61" s="1"/>
      <c r="J61" s="1"/>
      <c r="K61" s="1"/>
      <c r="L61" s="1"/>
      <c r="M61" s="9"/>
      <c r="P61" s="1">
        <f>B61/(B61+G61)</f>
        <v>0.99514836564116571</v>
      </c>
      <c r="Q61" s="117">
        <f>B61-G61</f>
        <v>0.25314902890236979</v>
      </c>
      <c r="R61" s="1">
        <f>1+$L$47*SUM(C61:F61)*$C$47</f>
        <v>1.5475825492721818</v>
      </c>
      <c r="S61" s="9">
        <f>B61*R61-G61*COUNT(D61:M61)</f>
        <v>0.38872748055444933</v>
      </c>
    </row>
    <row r="62" spans="1:19" x14ac:dyDescent="0.2">
      <c r="A62" s="266">
        <v>5</v>
      </c>
      <c r="B62" s="126">
        <f t="shared" si="26"/>
        <v>0.25439017231577066</v>
      </c>
      <c r="C62" s="121">
        <f>C61+E51*E52</f>
        <v>1.046173429383227</v>
      </c>
      <c r="D62" s="247">
        <f>C62*$D$56</f>
        <v>0.1986548504247404</v>
      </c>
      <c r="E62" s="1">
        <f>D62*$C$56</f>
        <v>3.7718895686383987E-2</v>
      </c>
      <c r="F62" s="1">
        <f>E62*$B$56</f>
        <v>7.1484073315374449E-3</v>
      </c>
      <c r="G62" s="1">
        <f>F62*B52</f>
        <v>1.2974859653596385E-3</v>
      </c>
      <c r="H62" s="1">
        <f>G62*B52</f>
        <v>2.3550278435842303E-4</v>
      </c>
      <c r="I62" s="1"/>
      <c r="J62" s="1"/>
      <c r="K62" s="1"/>
      <c r="L62" s="1"/>
      <c r="M62" s="9"/>
      <c r="P62" s="1">
        <f>B62/(B62+H62)</f>
        <v>0.99907510197364902</v>
      </c>
      <c r="Q62" s="117">
        <f>B62-H62</f>
        <v>0.25415466953141225</v>
      </c>
      <c r="R62" s="1">
        <f>1+$L$47*SUM(C62:G62)*$C$47</f>
        <v>1.5483076673030256</v>
      </c>
      <c r="S62" s="9">
        <f>B62*R62-H62*COUNT(D62:M62)</f>
        <v>0.39269674036125346</v>
      </c>
    </row>
    <row r="63" spans="1:19" x14ac:dyDescent="0.2">
      <c r="A63" s="266">
        <v>6</v>
      </c>
      <c r="B63" s="126">
        <f t="shared" si="26"/>
        <v>0.25439021303942572</v>
      </c>
      <c r="C63" s="121">
        <f>C62+F51*F52</f>
        <v>1.046173596858273</v>
      </c>
      <c r="D63" s="247">
        <f>C63*$E$56</f>
        <v>0.19865560276463615</v>
      </c>
      <c r="E63" s="1">
        <f>D63*$D$56</f>
        <v>3.7722138552602542E-2</v>
      </c>
      <c r="F63" s="1">
        <f>E63*$C$56</f>
        <v>7.1623592683027664E-3</v>
      </c>
      <c r="G63" s="1">
        <f>F63*$B$56</f>
        <v>1.3573955592534217E-3</v>
      </c>
      <c r="H63" s="1">
        <f>G63*B52</f>
        <v>2.4637679498238968E-4</v>
      </c>
      <c r="I63" s="1">
        <f>H63*B52</f>
        <v>4.4719112783292725E-5</v>
      </c>
      <c r="J63" s="1"/>
      <c r="K63" s="1"/>
      <c r="L63" s="1"/>
      <c r="M63" s="9"/>
      <c r="P63" s="1">
        <f>B63/(B63+I63)</f>
        <v>0.99982424145770776</v>
      </c>
      <c r="Q63" s="117">
        <f>B63-I63</f>
        <v>0.25434549392664241</v>
      </c>
      <c r="R63" s="1">
        <f>1+$L$47*SUM(C63:H63)*$C$47</f>
        <v>1.548445446167692</v>
      </c>
      <c r="S63" s="9">
        <f>B63*R63-I63*COUNT(D63:M63)</f>
        <v>0.39364105225382801</v>
      </c>
    </row>
    <row r="64" spans="1:19" x14ac:dyDescent="0.2">
      <c r="A64" s="266">
        <v>7</v>
      </c>
      <c r="B64" s="126">
        <f t="shared" si="26"/>
        <v>0.25439021483679269</v>
      </c>
      <c r="C64" s="121">
        <f>C63+G51*G52</f>
        <v>1.0461736042499015</v>
      </c>
      <c r="D64" s="247">
        <f>C64*$F$56</f>
        <v>0.19865563596968955</v>
      </c>
      <c r="E64" s="1">
        <f>D64*$E$56</f>
        <v>3.7722281679315864E-2</v>
      </c>
      <c r="F64" s="1">
        <f>E64*$D$56</f>
        <v>7.1629750997426389E-3</v>
      </c>
      <c r="G64" s="1">
        <f>F64*$C$56</f>
        <v>1.3600448718654114E-3</v>
      </c>
      <c r="H64" s="1">
        <f>G64*$B$56</f>
        <v>2.577528996102656E-4</v>
      </c>
      <c r="I64" s="1">
        <f>H64*B52</f>
        <v>4.6783955399355186E-5</v>
      </c>
      <c r="J64" s="1">
        <f>I64*B52</f>
        <v>8.4916153654074498E-6</v>
      </c>
      <c r="K64" s="1"/>
      <c r="L64" s="1"/>
      <c r="M64" s="9"/>
      <c r="P64" s="1">
        <f>B64/(B64+J64)</f>
        <v>0.99996662083906063</v>
      </c>
      <c r="Q64" s="117">
        <f>B64-J64</f>
        <v>0.25438172322142727</v>
      </c>
      <c r="R64" s="1">
        <f>1+$L$47*SUM(C64:I64)*$C$47</f>
        <v>1.5484716125725511</v>
      </c>
      <c r="S64" s="9">
        <f>B64*R64-J64*COUNT(D64:M64)</f>
        <v>0.39385658488344821</v>
      </c>
    </row>
    <row r="65" spans="1:19" x14ac:dyDescent="0.2">
      <c r="A65" s="266">
        <v>8</v>
      </c>
      <c r="B65" s="126">
        <f t="shared" si="26"/>
        <v>0.25439021484029395</v>
      </c>
      <c r="C65" s="121">
        <f>C64+I51*I52</f>
        <v>1.0461736042643002</v>
      </c>
      <c r="D65" s="247">
        <f>C65*$G$56</f>
        <v>0.198655637376004</v>
      </c>
      <c r="E65" s="1">
        <f>D65*$F$56</f>
        <v>3.7722287985070643E-2</v>
      </c>
      <c r="F65" s="1">
        <f>E65*$E$56</f>
        <v>7.1630022778624864E-3</v>
      </c>
      <c r="G65" s="1">
        <f>F65*$D$56</f>
        <v>1.3601618107809889E-3</v>
      </c>
      <c r="H65" s="1">
        <f>G65*$C$56</f>
        <v>2.5825597184141001E-4</v>
      </c>
      <c r="I65" s="1">
        <f>H65*$B$56</f>
        <v>4.8944139241883673E-5</v>
      </c>
      <c r="J65" s="1">
        <f>I65*$B$52</f>
        <v>8.8837038528544226E-6</v>
      </c>
      <c r="K65" s="1">
        <f>J65*$B$52</f>
        <v>1.6124544300430766E-6</v>
      </c>
      <c r="L65" s="1"/>
      <c r="M65" s="9"/>
      <c r="P65" s="1">
        <f>B65/(B65+K65)</f>
        <v>0.99999366153210512</v>
      </c>
      <c r="Q65" s="117">
        <f>B65-K65</f>
        <v>0.25438860238586392</v>
      </c>
      <c r="R65" s="1">
        <f>1+$L$47*SUM(C65:J65)*$C$47</f>
        <v>1.5484765812619843</v>
      </c>
      <c r="S65" s="9">
        <f>B65*R65-K65*COUNT(D65:M65)</f>
        <v>0.39390439054695975</v>
      </c>
    </row>
    <row r="66" spans="1:19" x14ac:dyDescent="0.2">
      <c r="A66" s="266">
        <v>9</v>
      </c>
      <c r="B66" s="126">
        <f>C66*$B$51</f>
        <v>0.25439021484044849</v>
      </c>
      <c r="C66" s="121">
        <f>C65+J51*J52</f>
        <v>1.0461736042649357</v>
      </c>
      <c r="D66" s="247">
        <f>C66*$H$56</f>
        <v>0.19865563743807269</v>
      </c>
      <c r="E66" s="1">
        <f>D66*$G$56</f>
        <v>3.7722288263379547E-2</v>
      </c>
      <c r="F66" s="1">
        <f>E66*$F$56</f>
        <v>7.1630034773880365E-3</v>
      </c>
      <c r="G66" s="1">
        <f>F66*$E$56</f>
        <v>1.3601669719814937E-3</v>
      </c>
      <c r="H66" s="1">
        <f>G66*$D$56</f>
        <v>2.582781771956823E-4</v>
      </c>
      <c r="I66" s="1">
        <f>H66*$C$56</f>
        <v>4.9039666551731367E-5</v>
      </c>
      <c r="J66" s="1">
        <f>I66*$B$56</f>
        <v>9.2938964817332632E-6</v>
      </c>
      <c r="K66" s="1">
        <f>J66*$B$52</f>
        <v>1.6869072632939489E-6</v>
      </c>
      <c r="L66" s="1">
        <f>K66*$B$52</f>
        <v>3.0618547565565095E-7</v>
      </c>
      <c r="M66" s="9"/>
      <c r="P66" s="1">
        <f>B66/(B66+L66)</f>
        <v>0.99999879639589395</v>
      </c>
      <c r="Q66" s="117">
        <f>B66-L66</f>
        <v>0.25438990865497285</v>
      </c>
      <c r="R66" s="1">
        <f>1+$L$47*SUM(C66:K66)*$C$47</f>
        <v>1.5484775247870246</v>
      </c>
      <c r="S66" s="9">
        <f>B66*R66-L66*COUNT(D66:M66)</f>
        <v>0.39391477453689622</v>
      </c>
    </row>
    <row r="67" spans="1:19" ht="17" thickBot="1" x14ac:dyDescent="0.25">
      <c r="A67" s="267">
        <v>10</v>
      </c>
      <c r="B67" s="127">
        <f t="shared" si="26"/>
        <v>0.25439021484045526</v>
      </c>
      <c r="C67" s="248">
        <f>C66+K51*K52</f>
        <v>1.0461736042649636</v>
      </c>
      <c r="D67" s="274">
        <f>C67*$I$56</f>
        <v>0.19865563744081211</v>
      </c>
      <c r="E67" s="171">
        <f>D67*$H$56</f>
        <v>3.7722288275662902E-2</v>
      </c>
      <c r="F67" s="171">
        <f>E67*$G$56</f>
        <v>7.1630035303299373E-3</v>
      </c>
      <c r="G67" s="171">
        <f>F67*$F$56</f>
        <v>1.3601671997747302E-3</v>
      </c>
      <c r="H67" s="171">
        <f>G67*$E$56</f>
        <v>2.5827915724826062E-4</v>
      </c>
      <c r="I67" s="171">
        <f>H67*$D$56</f>
        <v>4.9043883078955817E-5</v>
      </c>
      <c r="J67" s="171">
        <f>I67*$C$56</f>
        <v>9.3120359556041505E-6</v>
      </c>
      <c r="K67" s="171">
        <f>J67*$B$56</f>
        <v>1.7647978522502322E-6</v>
      </c>
      <c r="L67" s="171">
        <f>K67*$B$52</f>
        <v>3.2032316273994838E-7</v>
      </c>
      <c r="M67" s="10">
        <f>L67*$B$52</f>
        <v>5.8140896112771747E-8</v>
      </c>
      <c r="P67" s="171">
        <f>B67/(B67+M67)</f>
        <v>0.99999977145000307</v>
      </c>
      <c r="Q67" s="118">
        <f>B67-M67</f>
        <v>0.25439015669955917</v>
      </c>
      <c r="R67" s="171">
        <f>1+$L$47*SUM(C67:L67)*$C$47</f>
        <v>1.5484777039523334</v>
      </c>
      <c r="S67" s="10">
        <f>B67*R67-M67*COUNT(D67:M67)</f>
        <v>0.39391699437512784</v>
      </c>
    </row>
    <row r="69" spans="1:19" x14ac:dyDescent="0.2">
      <c r="B69" t="s">
        <v>167</v>
      </c>
      <c r="C69">
        <f>C47</f>
        <v>0.24316252465496735</v>
      </c>
      <c r="D69" t="s">
        <v>60</v>
      </c>
      <c r="E69">
        <f>L47</f>
        <v>1.7466414588190893</v>
      </c>
      <c r="F69" t="s">
        <v>58</v>
      </c>
      <c r="G69">
        <f>J47</f>
        <v>2</v>
      </c>
    </row>
    <row r="70" spans="1:19" x14ac:dyDescent="0.2">
      <c r="B70" t="s">
        <v>168</v>
      </c>
      <c r="C70">
        <f>E47</f>
        <v>0.18150699941725082</v>
      </c>
      <c r="D70" t="s">
        <v>57</v>
      </c>
      <c r="E70">
        <v>1.5</v>
      </c>
      <c r="F70" t="s">
        <v>190</v>
      </c>
      <c r="G70">
        <f>H47</f>
        <v>3</v>
      </c>
    </row>
    <row r="72" spans="1:19" ht="17" thickBot="1" x14ac:dyDescent="0.25">
      <c r="A72" s="1"/>
      <c r="B72" s="26"/>
      <c r="C72" s="26">
        <v>1</v>
      </c>
      <c r="D72" s="26">
        <v>0</v>
      </c>
      <c r="E72" s="26">
        <v>1</v>
      </c>
      <c r="F72" s="26">
        <v>2</v>
      </c>
      <c r="G72" s="26">
        <v>3</v>
      </c>
      <c r="H72" s="26">
        <v>4</v>
      </c>
      <c r="I72" s="26">
        <v>5</v>
      </c>
      <c r="J72" s="26">
        <v>6</v>
      </c>
      <c r="K72" s="26">
        <v>7</v>
      </c>
      <c r="L72" s="26">
        <v>8</v>
      </c>
      <c r="M72" s="26">
        <v>9</v>
      </c>
      <c r="N72" s="26">
        <v>10</v>
      </c>
    </row>
    <row r="73" spans="1:19" ht="17" thickBot="1" x14ac:dyDescent="0.25">
      <c r="A73" s="308"/>
      <c r="B73" s="451" t="s">
        <v>185</v>
      </c>
      <c r="C73" s="452"/>
      <c r="D73" s="452"/>
      <c r="E73" s="452"/>
      <c r="F73" s="452"/>
      <c r="G73" s="452"/>
      <c r="H73" s="452"/>
      <c r="I73" s="452"/>
      <c r="J73" s="452"/>
      <c r="K73" s="452"/>
      <c r="L73" s="452"/>
      <c r="M73" s="452"/>
      <c r="N73" s="452"/>
      <c r="O73" s="452"/>
      <c r="P73" s="452"/>
      <c r="Q73" s="453"/>
    </row>
    <row r="74" spans="1:19" x14ac:dyDescent="0.2">
      <c r="A74" s="131"/>
      <c r="B74" s="305" t="s">
        <v>8</v>
      </c>
      <c r="C74" s="273">
        <f t="shared" ref="C74:N74" si="27">B59</f>
        <v>0.25389467294808316</v>
      </c>
      <c r="D74" s="170">
        <f t="shared" si="27"/>
        <v>1.0441357002208465</v>
      </c>
      <c r="E74" s="170">
        <f t="shared" si="27"/>
        <v>0.18951793793151595</v>
      </c>
      <c r="F74" s="170">
        <f t="shared" si="27"/>
        <v>3.4398832249694242E-2</v>
      </c>
      <c r="G74" s="170">
        <f t="shared" si="27"/>
        <v>0</v>
      </c>
      <c r="H74" s="170">
        <f t="shared" si="27"/>
        <v>0</v>
      </c>
      <c r="I74" s="170">
        <f t="shared" si="27"/>
        <v>0</v>
      </c>
      <c r="J74" s="170">
        <f t="shared" si="27"/>
        <v>0</v>
      </c>
      <c r="K74" s="170">
        <f t="shared" si="27"/>
        <v>0</v>
      </c>
      <c r="L74" s="170">
        <f t="shared" si="27"/>
        <v>0</v>
      </c>
      <c r="M74" s="170">
        <f t="shared" si="27"/>
        <v>0</v>
      </c>
      <c r="N74" s="170">
        <f t="shared" si="27"/>
        <v>0</v>
      </c>
      <c r="O74" s="170"/>
      <c r="P74" s="169" t="s">
        <v>170</v>
      </c>
      <c r="Q74" s="170" t="s">
        <v>171</v>
      </c>
      <c r="R74" s="63" t="s">
        <v>174</v>
      </c>
    </row>
    <row r="75" spans="1:19" x14ac:dyDescent="0.2">
      <c r="A75" s="375">
        <f>$E$70</f>
        <v>1.5</v>
      </c>
      <c r="B75" s="306" t="s">
        <v>169</v>
      </c>
      <c r="C75" s="247">
        <v>0</v>
      </c>
      <c r="D75" s="1">
        <v>1</v>
      </c>
      <c r="E75" s="1">
        <f>IF(F74&gt;0,ROUNDUP(D75*$A75,0),0)</f>
        <v>2</v>
      </c>
      <c r="F75" s="1">
        <f t="shared" ref="F75:N75" si="28">IF(G74&gt;0,ROUNDUP(E75*$A75,0),0)</f>
        <v>0</v>
      </c>
      <c r="G75" s="1">
        <f t="shared" si="28"/>
        <v>0</v>
      </c>
      <c r="H75" s="1">
        <f t="shared" si="28"/>
        <v>0</v>
      </c>
      <c r="I75" s="1">
        <f t="shared" si="28"/>
        <v>0</v>
      </c>
      <c r="J75" s="1">
        <f t="shared" si="28"/>
        <v>0</v>
      </c>
      <c r="K75" s="1">
        <f t="shared" si="28"/>
        <v>0</v>
      </c>
      <c r="L75" s="1">
        <f t="shared" si="28"/>
        <v>0</v>
      </c>
      <c r="M75" s="1">
        <f t="shared" si="28"/>
        <v>0</v>
      </c>
      <c r="N75" s="1">
        <f t="shared" si="28"/>
        <v>0</v>
      </c>
      <c r="O75" s="1"/>
      <c r="P75" s="117">
        <f>SUM(C75:N75)*$G$70</f>
        <v>9</v>
      </c>
      <c r="Q75" s="1">
        <f>(C75*C74+D75*D74+E75*E74+F75*F74+G75*G74+H75*H74+I75*I74+J75*J74+K74*K75+L74*L75+M74*M75+N74*N75)*3</f>
        <v>4.269514728251635</v>
      </c>
      <c r="R75" s="9">
        <f>P75/Q77</f>
        <v>88.549414386865067</v>
      </c>
    </row>
    <row r="76" spans="1:19" x14ac:dyDescent="0.2">
      <c r="A76" s="126"/>
      <c r="B76" s="306" t="s">
        <v>58</v>
      </c>
      <c r="C76" s="247"/>
      <c r="D76" s="1"/>
      <c r="E76" s="1"/>
      <c r="F76" s="1"/>
      <c r="G76" s="1"/>
      <c r="H76" s="1"/>
      <c r="I76" s="1"/>
      <c r="J76" s="1"/>
      <c r="K76" s="270"/>
      <c r="L76" s="270"/>
      <c r="M76" s="270"/>
      <c r="N76" s="270"/>
      <c r="O76" s="270"/>
      <c r="P76" s="117" t="s">
        <v>172</v>
      </c>
      <c r="Q76" s="1" t="s">
        <v>173</v>
      </c>
      <c r="R76" s="9" t="s">
        <v>175</v>
      </c>
    </row>
    <row r="77" spans="1:19" ht="17" thickBot="1" x14ac:dyDescent="0.25">
      <c r="A77" s="127"/>
      <c r="B77" s="307" t="s">
        <v>60</v>
      </c>
      <c r="C77" s="274">
        <f>(D75*$G$69*$C$69*$E$69-D75*$G$70*$C$70)*D74</f>
        <v>0.31837211009432326</v>
      </c>
      <c r="D77" s="171">
        <f t="shared" ref="D77:N77" si="29">(E75*$G$69*$C$69*$E$69-E75*$G$70*$C$70)*E74</f>
        <v>0.11557353280271848</v>
      </c>
      <c r="E77" s="171">
        <f t="shared" si="29"/>
        <v>0</v>
      </c>
      <c r="F77" s="171">
        <f t="shared" si="29"/>
        <v>0</v>
      </c>
      <c r="G77" s="171">
        <f t="shared" si="29"/>
        <v>0</v>
      </c>
      <c r="H77" s="171">
        <f t="shared" si="29"/>
        <v>0</v>
      </c>
      <c r="I77" s="171">
        <f t="shared" si="29"/>
        <v>0</v>
      </c>
      <c r="J77" s="171">
        <f t="shared" si="29"/>
        <v>0</v>
      </c>
      <c r="K77" s="171">
        <f t="shared" si="29"/>
        <v>0</v>
      </c>
      <c r="L77" s="171">
        <f t="shared" si="29"/>
        <v>0</v>
      </c>
      <c r="M77" s="171">
        <f t="shared" si="29"/>
        <v>0</v>
      </c>
      <c r="N77" s="171">
        <f t="shared" si="29"/>
        <v>0</v>
      </c>
      <c r="O77" s="271"/>
      <c r="P77" s="118">
        <f>SUM(C77:O77)</f>
        <v>0.43394564289704174</v>
      </c>
      <c r="Q77" s="171">
        <f>P77/Q75</f>
        <v>0.10163816511173913</v>
      </c>
      <c r="R77" s="10">
        <f>Q75/Q77</f>
        <v>42.007003211419736</v>
      </c>
    </row>
    <row r="78" spans="1:19" ht="17" thickBot="1" x14ac:dyDescent="0.25">
      <c r="A78" s="309"/>
      <c r="B78" s="451" t="s">
        <v>186</v>
      </c>
      <c r="C78" s="452"/>
      <c r="D78" s="452"/>
      <c r="E78" s="452"/>
      <c r="F78" s="452"/>
      <c r="G78" s="452"/>
      <c r="H78" s="452"/>
      <c r="I78" s="452"/>
      <c r="J78" s="452"/>
      <c r="K78" s="452"/>
      <c r="L78" s="452"/>
      <c r="M78" s="452"/>
      <c r="N78" s="452"/>
      <c r="O78" s="452"/>
      <c r="P78" s="452"/>
      <c r="Q78" s="452"/>
      <c r="R78" s="453"/>
    </row>
    <row r="79" spans="1:19" x14ac:dyDescent="0.2">
      <c r="A79" s="131"/>
      <c r="B79" s="305" t="s">
        <v>8</v>
      </c>
      <c r="C79" s="273">
        <f t="shared" ref="C79:N79" si="30">B60</f>
        <v>0.25436834382787382</v>
      </c>
      <c r="D79" s="170">
        <f t="shared" si="30"/>
        <v>1.0460836602548309</v>
      </c>
      <c r="E79" s="170">
        <f t="shared" si="30"/>
        <v>0.19825161819534806</v>
      </c>
      <c r="F79" s="170">
        <f t="shared" si="30"/>
        <v>4.8207363997313499E-2</v>
      </c>
      <c r="G79" s="170">
        <f t="shared" si="30"/>
        <v>1.1722224336547729E-2</v>
      </c>
      <c r="H79" s="170">
        <f t="shared" si="30"/>
        <v>0</v>
      </c>
      <c r="I79" s="170">
        <f t="shared" si="30"/>
        <v>0</v>
      </c>
      <c r="J79" s="170">
        <f t="shared" si="30"/>
        <v>0</v>
      </c>
      <c r="K79" s="170">
        <f t="shared" si="30"/>
        <v>0</v>
      </c>
      <c r="L79" s="170">
        <f t="shared" si="30"/>
        <v>0</v>
      </c>
      <c r="M79" s="170">
        <f t="shared" si="30"/>
        <v>0</v>
      </c>
      <c r="N79" s="170">
        <f t="shared" si="30"/>
        <v>0</v>
      </c>
      <c r="O79" s="170"/>
      <c r="P79" s="169" t="s">
        <v>170</v>
      </c>
      <c r="Q79" s="170" t="s">
        <v>171</v>
      </c>
      <c r="R79" s="63" t="s">
        <v>174</v>
      </c>
    </row>
    <row r="80" spans="1:19" x14ac:dyDescent="0.2">
      <c r="A80" s="126">
        <f>$E$70</f>
        <v>1.5</v>
      </c>
      <c r="B80" s="306" t="s">
        <v>169</v>
      </c>
      <c r="C80" s="247">
        <v>0</v>
      </c>
      <c r="D80" s="1">
        <v>1</v>
      </c>
      <c r="E80" s="1">
        <f>IF(F79&gt;0,ROUNDUP(D80*$A80,0),0)</f>
        <v>2</v>
      </c>
      <c r="F80" s="1">
        <f t="shared" ref="F80:N80" si="31">IF(G79&gt;0,ROUNDUP(E80*$A80,0),0)</f>
        <v>3</v>
      </c>
      <c r="G80" s="1">
        <f t="shared" si="31"/>
        <v>0</v>
      </c>
      <c r="H80" s="1">
        <f t="shared" si="31"/>
        <v>0</v>
      </c>
      <c r="I80" s="1">
        <f t="shared" si="31"/>
        <v>0</v>
      </c>
      <c r="J80" s="1">
        <f t="shared" si="31"/>
        <v>0</v>
      </c>
      <c r="K80" s="1">
        <f t="shared" si="31"/>
        <v>0</v>
      </c>
      <c r="L80" s="1">
        <f t="shared" si="31"/>
        <v>0</v>
      </c>
      <c r="M80" s="1">
        <f t="shared" si="31"/>
        <v>0</v>
      </c>
      <c r="N80" s="1">
        <f t="shared" si="31"/>
        <v>0</v>
      </c>
      <c r="O80" s="1"/>
      <c r="P80" s="117">
        <f>SUM(C80:N80)*$G$70</f>
        <v>18</v>
      </c>
      <c r="Q80" s="1">
        <f>(C80*C79+D80*D79+E80*E79+F80*F79+G80*G79+H80*H79+I80*I79+J80*J79+K79*K80+L79*L80+M79*M80+N79*N80)*3</f>
        <v>4.7616269659124031</v>
      </c>
      <c r="R80" s="9">
        <f>P80/Q82</f>
        <v>177.09882877373013</v>
      </c>
    </row>
    <row r="81" spans="1:18" x14ac:dyDescent="0.2">
      <c r="A81" s="126"/>
      <c r="B81" s="306" t="s">
        <v>58</v>
      </c>
      <c r="C81" s="247"/>
      <c r="D81" s="1"/>
      <c r="E81" s="1"/>
      <c r="F81" s="1"/>
      <c r="G81" s="1"/>
      <c r="H81" s="1"/>
      <c r="I81" s="1"/>
      <c r="J81" s="1"/>
      <c r="K81" s="270"/>
      <c r="L81" s="270"/>
      <c r="M81" s="270"/>
      <c r="N81" s="270"/>
      <c r="O81" s="270"/>
      <c r="P81" s="117" t="s">
        <v>172</v>
      </c>
      <c r="Q81" s="1" t="s">
        <v>173</v>
      </c>
      <c r="R81" s="9" t="s">
        <v>175</v>
      </c>
    </row>
    <row r="82" spans="1:18" ht="17" thickBot="1" x14ac:dyDescent="0.25">
      <c r="A82" s="127"/>
      <c r="B82" s="307" t="s">
        <v>60</v>
      </c>
      <c r="C82" s="274">
        <f>(D80*$G$69*$C$69*$E$69-D80*$G$70*$C$70)*D79</f>
        <v>0.31896607134501881</v>
      </c>
      <c r="D82" s="171">
        <f t="shared" ref="D82:N82" si="32">(E80*$G$69*$C$69*$E$69-E80*$G$70*$C$70)*E79</f>
        <v>0.12089958422284952</v>
      </c>
      <c r="E82" s="171">
        <f t="shared" si="32"/>
        <v>4.4097372194045914E-2</v>
      </c>
      <c r="F82" s="171">
        <f t="shared" si="32"/>
        <v>0</v>
      </c>
      <c r="G82" s="171">
        <f t="shared" si="32"/>
        <v>0</v>
      </c>
      <c r="H82" s="171">
        <f t="shared" si="32"/>
        <v>0</v>
      </c>
      <c r="I82" s="171">
        <f t="shared" si="32"/>
        <v>0</v>
      </c>
      <c r="J82" s="171">
        <f t="shared" si="32"/>
        <v>0</v>
      </c>
      <c r="K82" s="171">
        <f t="shared" si="32"/>
        <v>0</v>
      </c>
      <c r="L82" s="171">
        <f t="shared" si="32"/>
        <v>0</v>
      </c>
      <c r="M82" s="171">
        <f t="shared" si="32"/>
        <v>0</v>
      </c>
      <c r="N82" s="171">
        <f t="shared" si="32"/>
        <v>0</v>
      </c>
      <c r="O82" s="271"/>
      <c r="P82" s="118">
        <f>SUM(C82:O82)</f>
        <v>0.48396302776191424</v>
      </c>
      <c r="Q82" s="171">
        <f>P82/Q80</f>
        <v>0.10163816511173913</v>
      </c>
      <c r="R82" s="10">
        <f>Q80/Q82</f>
        <v>46.848808817805377</v>
      </c>
    </row>
    <row r="83" spans="1:18" ht="17" thickBot="1" x14ac:dyDescent="0.25">
      <c r="A83" s="309"/>
      <c r="B83" s="451" t="s">
        <v>187</v>
      </c>
      <c r="C83" s="452"/>
      <c r="D83" s="452"/>
      <c r="E83" s="452"/>
      <c r="F83" s="452"/>
      <c r="G83" s="452"/>
      <c r="H83" s="452"/>
      <c r="I83" s="452"/>
      <c r="J83" s="452"/>
      <c r="K83" s="452"/>
      <c r="L83" s="452"/>
      <c r="M83" s="452"/>
      <c r="N83" s="452"/>
      <c r="O83" s="452"/>
      <c r="P83" s="452"/>
      <c r="Q83" s="452"/>
      <c r="R83" s="453"/>
    </row>
    <row r="84" spans="1:18" x14ac:dyDescent="0.2">
      <c r="A84" s="131"/>
      <c r="B84" s="305" t="s">
        <v>8</v>
      </c>
      <c r="C84" s="273">
        <f>B61</f>
        <v>0.25438924962382758</v>
      </c>
      <c r="D84" s="170">
        <f t="shared" ref="D84:I84" si="33">C61</f>
        <v>1.046169634834933</v>
      </c>
      <c r="E84" s="170">
        <f t="shared" si="33"/>
        <v>0.19863780442426532</v>
      </c>
      <c r="F84" s="170">
        <f t="shared" si="33"/>
        <v>3.7645427089730517E-2</v>
      </c>
      <c r="G84" s="170">
        <f t="shared" si="33"/>
        <v>6.832908512837875E-3</v>
      </c>
      <c r="H84" s="170">
        <f t="shared" si="33"/>
        <v>1.2402207214577924E-3</v>
      </c>
      <c r="I84" s="170">
        <f t="shared" si="33"/>
        <v>0</v>
      </c>
      <c r="J84" s="170">
        <f>I61</f>
        <v>0</v>
      </c>
      <c r="K84" s="170">
        <f>J61</f>
        <v>0</v>
      </c>
      <c r="L84" s="170">
        <f>K61</f>
        <v>0</v>
      </c>
      <c r="M84" s="170">
        <f>L61</f>
        <v>0</v>
      </c>
      <c r="N84" s="170">
        <f>M61</f>
        <v>0</v>
      </c>
      <c r="O84" s="269"/>
      <c r="P84" s="169" t="s">
        <v>170</v>
      </c>
      <c r="Q84" s="170" t="s">
        <v>171</v>
      </c>
      <c r="R84" s="63" t="s">
        <v>174</v>
      </c>
    </row>
    <row r="85" spans="1:18" x14ac:dyDescent="0.2">
      <c r="A85" s="126">
        <f>$E$70</f>
        <v>1.5</v>
      </c>
      <c r="B85" s="306" t="s">
        <v>169</v>
      </c>
      <c r="C85" s="247">
        <v>0</v>
      </c>
      <c r="D85" s="1">
        <v>1</v>
      </c>
      <c r="E85" s="1">
        <f>IF(F84&gt;0,ROUNDUP(D85*$A85,0),0)</f>
        <v>2</v>
      </c>
      <c r="F85" s="1">
        <f t="shared" ref="F85:N85" si="34">IF(G84&gt;0,ROUNDUP(E85*$A85,0),0)</f>
        <v>3</v>
      </c>
      <c r="G85" s="1">
        <f t="shared" si="34"/>
        <v>5</v>
      </c>
      <c r="H85" s="1">
        <f t="shared" si="34"/>
        <v>0</v>
      </c>
      <c r="I85" s="1">
        <f t="shared" si="34"/>
        <v>0</v>
      </c>
      <c r="J85" s="1">
        <f t="shared" si="34"/>
        <v>0</v>
      </c>
      <c r="K85" s="1">
        <f t="shared" si="34"/>
        <v>0</v>
      </c>
      <c r="L85" s="1">
        <f t="shared" si="34"/>
        <v>0</v>
      </c>
      <c r="M85" s="1">
        <f t="shared" si="34"/>
        <v>0</v>
      </c>
      <c r="N85" s="1">
        <f t="shared" si="34"/>
        <v>0</v>
      </c>
      <c r="O85" s="270"/>
      <c r="P85" s="117">
        <f>SUM(C85:N85)*$G$70</f>
        <v>33</v>
      </c>
      <c r="Q85" s="1">
        <f>(C85*C84+D85*D84+E85*E84+F85*F84+G85*G84+H85*H84+I85*I84+J85*J84+K84*K85+L84*L85+M84*M85+N84*N85)*3</f>
        <v>4.7716382025505339</v>
      </c>
      <c r="R85" s="9">
        <f>P85/Q87</f>
        <v>324.68118608517187</v>
      </c>
    </row>
    <row r="86" spans="1:18" x14ac:dyDescent="0.2">
      <c r="A86" s="126"/>
      <c r="B86" s="306" t="s">
        <v>58</v>
      </c>
      <c r="C86" s="247"/>
      <c r="D86" s="1"/>
      <c r="E86" s="1"/>
      <c r="F86" s="1"/>
      <c r="G86" s="1"/>
      <c r="H86" s="1"/>
      <c r="I86" s="1"/>
      <c r="J86" s="1"/>
      <c r="K86" s="270"/>
      <c r="L86" s="270"/>
      <c r="M86" s="270"/>
      <c r="N86" s="270"/>
      <c r="O86" s="270"/>
      <c r="P86" s="117" t="s">
        <v>172</v>
      </c>
      <c r="Q86" s="1" t="s">
        <v>173</v>
      </c>
      <c r="R86" s="9" t="s">
        <v>175</v>
      </c>
    </row>
    <row r="87" spans="1:18" ht="17" thickBot="1" x14ac:dyDescent="0.25">
      <c r="A87" s="127"/>
      <c r="B87" s="307" t="s">
        <v>60</v>
      </c>
      <c r="C87" s="274">
        <f>(D85*$G$69*$C$69*$E$69-D85*$G$70*$C$70)*D84</f>
        <v>0.31899228624072229</v>
      </c>
      <c r="D87" s="171">
        <f t="shared" ref="D87:N87" si="35">(E85*$G$69*$C$69*$E$69-E85*$G$70*$C$70)*E84</f>
        <v>0.12113509178104095</v>
      </c>
      <c r="E87" s="171">
        <f t="shared" si="35"/>
        <v>3.4435909208231703E-2</v>
      </c>
      <c r="F87" s="171">
        <f t="shared" si="35"/>
        <v>1.0417264254318361E-2</v>
      </c>
      <c r="G87" s="171">
        <f t="shared" si="35"/>
        <v>0</v>
      </c>
      <c r="H87" s="171">
        <f t="shared" si="35"/>
        <v>0</v>
      </c>
      <c r="I87" s="171">
        <f t="shared" si="35"/>
        <v>0</v>
      </c>
      <c r="J87" s="171">
        <f t="shared" si="35"/>
        <v>0</v>
      </c>
      <c r="K87" s="171">
        <f t="shared" si="35"/>
        <v>0</v>
      </c>
      <c r="L87" s="171">
        <f t="shared" si="35"/>
        <v>0</v>
      </c>
      <c r="M87" s="171">
        <f t="shared" si="35"/>
        <v>0</v>
      </c>
      <c r="N87" s="171">
        <f t="shared" si="35"/>
        <v>0</v>
      </c>
      <c r="O87" s="271"/>
      <c r="P87" s="118">
        <f>SUM(C87:O87)</f>
        <v>0.48498055148431335</v>
      </c>
      <c r="Q87" s="171">
        <f>P87/Q85</f>
        <v>0.10163816511173915</v>
      </c>
      <c r="R87" s="10">
        <f>Q85/Q87</f>
        <v>46.947307611315907</v>
      </c>
    </row>
    <row r="88" spans="1:18" ht="17" thickBot="1" x14ac:dyDescent="0.25">
      <c r="A88" s="309"/>
      <c r="B88" s="451" t="s">
        <v>188</v>
      </c>
      <c r="C88" s="452"/>
      <c r="D88" s="452"/>
      <c r="E88" s="452"/>
      <c r="F88" s="452"/>
      <c r="G88" s="452"/>
      <c r="H88" s="452"/>
      <c r="I88" s="452"/>
      <c r="J88" s="452"/>
      <c r="K88" s="452"/>
      <c r="L88" s="452"/>
      <c r="M88" s="452"/>
      <c r="N88" s="452"/>
      <c r="O88" s="452"/>
      <c r="P88" s="452"/>
      <c r="Q88" s="452"/>
      <c r="R88" s="453"/>
    </row>
    <row r="89" spans="1:18" x14ac:dyDescent="0.2">
      <c r="A89" s="131"/>
      <c r="B89" s="305" t="s">
        <v>8</v>
      </c>
      <c r="C89" s="273">
        <f>B62</f>
        <v>0.25439017231577066</v>
      </c>
      <c r="D89" s="170">
        <f t="shared" ref="D89:I89" si="36">C62</f>
        <v>1.046173429383227</v>
      </c>
      <c r="E89" s="170">
        <f t="shared" si="36"/>
        <v>0.1986548504247404</v>
      </c>
      <c r="F89" s="170">
        <f t="shared" si="36"/>
        <v>3.7718895686383987E-2</v>
      </c>
      <c r="G89" s="170">
        <f t="shared" si="36"/>
        <v>7.1484073315374449E-3</v>
      </c>
      <c r="H89" s="170">
        <f t="shared" si="36"/>
        <v>1.2974859653596385E-3</v>
      </c>
      <c r="I89" s="170">
        <f t="shared" si="36"/>
        <v>2.3550278435842303E-4</v>
      </c>
      <c r="J89" s="170">
        <f>I62</f>
        <v>0</v>
      </c>
      <c r="K89" s="170">
        <f>J62</f>
        <v>0</v>
      </c>
      <c r="L89" s="170">
        <f>K62</f>
        <v>0</v>
      </c>
      <c r="M89" s="170">
        <f>L62</f>
        <v>0</v>
      </c>
      <c r="N89" s="170">
        <f>M62</f>
        <v>0</v>
      </c>
      <c r="O89" s="269"/>
      <c r="P89" s="169" t="s">
        <v>170</v>
      </c>
      <c r="Q89" s="170" t="s">
        <v>171</v>
      </c>
      <c r="R89" s="63" t="s">
        <v>174</v>
      </c>
    </row>
    <row r="90" spans="1:18" x14ac:dyDescent="0.2">
      <c r="A90" s="126">
        <f>$E$70</f>
        <v>1.5</v>
      </c>
      <c r="B90" s="306" t="s">
        <v>169</v>
      </c>
      <c r="C90" s="247">
        <v>0</v>
      </c>
      <c r="D90" s="1">
        <f>IF(E89&gt;0,POWER($A90,D$72),0)</f>
        <v>1</v>
      </c>
      <c r="E90" s="1">
        <f>IF(F89&gt;0,ROUNDUP(D90*$A90,0),0)</f>
        <v>2</v>
      </c>
      <c r="F90" s="1">
        <f t="shared" ref="F90:N90" si="37">IF(G89&gt;0,ROUNDUP(E90*$A90,0),0)</f>
        <v>3</v>
      </c>
      <c r="G90" s="1">
        <f t="shared" si="37"/>
        <v>5</v>
      </c>
      <c r="H90" s="1">
        <f t="shared" si="37"/>
        <v>8</v>
      </c>
      <c r="I90" s="1">
        <f t="shared" si="37"/>
        <v>0</v>
      </c>
      <c r="J90" s="1">
        <f t="shared" si="37"/>
        <v>0</v>
      </c>
      <c r="K90" s="1">
        <f t="shared" si="37"/>
        <v>0</v>
      </c>
      <c r="L90" s="1">
        <f t="shared" si="37"/>
        <v>0</v>
      </c>
      <c r="M90" s="1">
        <f t="shared" si="37"/>
        <v>0</v>
      </c>
      <c r="N90" s="1">
        <f t="shared" si="37"/>
        <v>0</v>
      </c>
      <c r="O90" s="270"/>
      <c r="P90" s="117">
        <f>SUM(C90:N90)*$G$70</f>
        <v>57</v>
      </c>
      <c r="Q90" s="1">
        <f>(C90*C89+D90*D89+E90*E89+F90*F89+G90*G89+H90*H89+I90*I89+J90*J89+K89*K90+L89*L90+M89*M90+N89*N90)*3</f>
        <v>4.808285225017273</v>
      </c>
      <c r="R90" s="9">
        <f>P90/Q92</f>
        <v>560.81295778347885</v>
      </c>
    </row>
    <row r="91" spans="1:18" x14ac:dyDescent="0.2">
      <c r="A91" s="126"/>
      <c r="B91" s="306" t="s">
        <v>58</v>
      </c>
      <c r="C91" s="247"/>
      <c r="D91" s="1"/>
      <c r="E91" s="1"/>
      <c r="F91" s="1"/>
      <c r="G91" s="1"/>
      <c r="H91" s="1"/>
      <c r="I91" s="1"/>
      <c r="J91" s="1"/>
      <c r="K91" s="270"/>
      <c r="L91" s="270"/>
      <c r="M91" s="270"/>
      <c r="N91" s="270"/>
      <c r="O91" s="270"/>
      <c r="P91" s="117" t="s">
        <v>172</v>
      </c>
      <c r="Q91" s="1" t="s">
        <v>173</v>
      </c>
      <c r="R91" s="9" t="s">
        <v>175</v>
      </c>
    </row>
    <row r="92" spans="1:18" ht="17" thickBot="1" x14ac:dyDescent="0.25">
      <c r="A92" s="127"/>
      <c r="B92" s="307" t="s">
        <v>60</v>
      </c>
      <c r="C92" s="274">
        <f>(D90*$G$69*$C$69*$E$69-D90*$G$70*$C$70)*D89</f>
        <v>0.31899344325350037</v>
      </c>
      <c r="D92" s="171">
        <f t="shared" ref="D92:N92" si="38">(E90*$G$69*$C$69*$E$69-E90*$G$70*$C$70)*E89</f>
        <v>0.12114548692630564</v>
      </c>
      <c r="E92" s="171">
        <f t="shared" si="38"/>
        <v>3.4503114128446442E-2</v>
      </c>
      <c r="F92" s="171">
        <f t="shared" si="38"/>
        <v>1.0898265069731544E-2</v>
      </c>
      <c r="G92" s="171">
        <f t="shared" si="38"/>
        <v>3.1649782266572925E-3</v>
      </c>
      <c r="H92" s="171">
        <f t="shared" si="38"/>
        <v>0</v>
      </c>
      <c r="I92" s="171">
        <f t="shared" si="38"/>
        <v>0</v>
      </c>
      <c r="J92" s="171">
        <f t="shared" si="38"/>
        <v>0</v>
      </c>
      <c r="K92" s="171">
        <f t="shared" si="38"/>
        <v>0</v>
      </c>
      <c r="L92" s="171">
        <f t="shared" si="38"/>
        <v>0</v>
      </c>
      <c r="M92" s="171">
        <f t="shared" si="38"/>
        <v>0</v>
      </c>
      <c r="N92" s="171">
        <f t="shared" si="38"/>
        <v>0</v>
      </c>
      <c r="O92" s="271"/>
      <c r="P92" s="118">
        <f>SUM(C92:O92)</f>
        <v>0.48870528760464127</v>
      </c>
      <c r="Q92" s="171">
        <f>P92/Q90</f>
        <v>0.10163816511173912</v>
      </c>
      <c r="R92" s="10">
        <f>Q90/Q92</f>
        <v>47.307871208921696</v>
      </c>
    </row>
    <row r="93" spans="1:18" ht="17" thickBot="1" x14ac:dyDescent="0.25">
      <c r="A93" s="309"/>
      <c r="B93" s="451" t="s">
        <v>189</v>
      </c>
      <c r="C93" s="452"/>
      <c r="D93" s="452"/>
      <c r="E93" s="452"/>
      <c r="F93" s="452"/>
      <c r="G93" s="452"/>
      <c r="H93" s="452"/>
      <c r="I93" s="452"/>
      <c r="J93" s="452"/>
      <c r="K93" s="452"/>
      <c r="L93" s="452"/>
      <c r="M93" s="452"/>
      <c r="N93" s="452"/>
      <c r="O93" s="452"/>
      <c r="P93" s="452"/>
      <c r="Q93" s="452"/>
      <c r="R93" s="453"/>
    </row>
    <row r="94" spans="1:18" x14ac:dyDescent="0.2">
      <c r="A94" s="131"/>
      <c r="B94" s="305" t="s">
        <v>8</v>
      </c>
      <c r="C94" s="273">
        <f>B63</f>
        <v>0.25439021303942572</v>
      </c>
      <c r="D94" s="170">
        <f t="shared" ref="D94:I94" si="39">C63</f>
        <v>1.046173596858273</v>
      </c>
      <c r="E94" s="170">
        <f t="shared" si="39"/>
        <v>0.19865560276463615</v>
      </c>
      <c r="F94" s="170">
        <f t="shared" si="39"/>
        <v>3.7722138552602542E-2</v>
      </c>
      <c r="G94" s="170">
        <f t="shared" si="39"/>
        <v>7.1623592683027664E-3</v>
      </c>
      <c r="H94" s="170">
        <f t="shared" si="39"/>
        <v>1.3573955592534217E-3</v>
      </c>
      <c r="I94" s="170">
        <f t="shared" si="39"/>
        <v>2.4637679498238968E-4</v>
      </c>
      <c r="J94" s="170">
        <f>I63</f>
        <v>4.4719112783292725E-5</v>
      </c>
      <c r="K94" s="170">
        <f>J63</f>
        <v>0</v>
      </c>
      <c r="L94" s="170">
        <f>K63</f>
        <v>0</v>
      </c>
      <c r="M94" s="170">
        <f>L63</f>
        <v>0</v>
      </c>
      <c r="N94" s="170">
        <f>M63</f>
        <v>0</v>
      </c>
      <c r="O94" s="269"/>
      <c r="P94" s="169" t="s">
        <v>170</v>
      </c>
      <c r="Q94" s="170" t="s">
        <v>171</v>
      </c>
      <c r="R94" s="63" t="s">
        <v>174</v>
      </c>
    </row>
    <row r="95" spans="1:18" x14ac:dyDescent="0.2">
      <c r="A95" s="126">
        <f>$E$70</f>
        <v>1.5</v>
      </c>
      <c r="B95" s="306" t="s">
        <v>169</v>
      </c>
      <c r="C95" s="247">
        <v>0</v>
      </c>
      <c r="D95" s="1">
        <f>IF(E94&gt;0,POWER($A95,D$72),0)</f>
        <v>1</v>
      </c>
      <c r="E95" s="1">
        <f>IF(F94&gt;0,ROUNDUP(D95*$A95,0),0)</f>
        <v>2</v>
      </c>
      <c r="F95" s="1">
        <f t="shared" ref="F95:N95" si="40">IF(G94&gt;0,ROUNDUP(E95*$A95,0),0)</f>
        <v>3</v>
      </c>
      <c r="G95" s="1">
        <f t="shared" si="40"/>
        <v>5</v>
      </c>
      <c r="H95" s="1">
        <f t="shared" si="40"/>
        <v>8</v>
      </c>
      <c r="I95" s="1">
        <f t="shared" si="40"/>
        <v>12</v>
      </c>
      <c r="J95" s="1">
        <f t="shared" si="40"/>
        <v>0</v>
      </c>
      <c r="K95" s="1">
        <f t="shared" si="40"/>
        <v>0</v>
      </c>
      <c r="L95" s="1">
        <f t="shared" si="40"/>
        <v>0</v>
      </c>
      <c r="M95" s="1">
        <f t="shared" si="40"/>
        <v>0</v>
      </c>
      <c r="N95" s="1">
        <f t="shared" si="40"/>
        <v>0</v>
      </c>
      <c r="O95" s="270"/>
      <c r="P95" s="117">
        <f>SUM(C95:N95)*$G$70</f>
        <v>93</v>
      </c>
      <c r="Q95" s="1">
        <f>(C95*C94+D95*D94+E95*E94+F95*F94+G95*G94+H95*H94+I95*I94+J95*J94+K94*K95+L94*L95+M94*M95+N94*N95)*3</f>
        <v>4.8188361012020486</v>
      </c>
      <c r="R95" s="9">
        <f>P95/Q97</f>
        <v>915.01061533093889</v>
      </c>
    </row>
    <row r="96" spans="1:18" x14ac:dyDescent="0.2">
      <c r="A96" s="126"/>
      <c r="B96" s="306" t="s">
        <v>58</v>
      </c>
      <c r="C96" s="247"/>
      <c r="D96" s="1"/>
      <c r="E96" s="1"/>
      <c r="F96" s="1"/>
      <c r="G96" s="1"/>
      <c r="H96" s="1"/>
      <c r="I96" s="1"/>
      <c r="J96" s="1"/>
      <c r="K96" s="270"/>
      <c r="L96" s="270"/>
      <c r="M96" s="270"/>
      <c r="N96" s="270"/>
      <c r="O96" s="270"/>
      <c r="P96" s="117" t="s">
        <v>172</v>
      </c>
      <c r="Q96" s="1" t="s">
        <v>173</v>
      </c>
      <c r="R96" s="9" t="s">
        <v>175</v>
      </c>
    </row>
    <row r="97" spans="1:18" ht="17" thickBot="1" x14ac:dyDescent="0.25">
      <c r="A97" s="127"/>
      <c r="B97" s="307" t="s">
        <v>60</v>
      </c>
      <c r="C97" s="274">
        <f>(D95*$G$69*$C$69*$E$69-D95*$G$70*$C$70)*D94</f>
        <v>0.31899349431906954</v>
      </c>
      <c r="D97" s="171">
        <f t="shared" ref="D97:N97" si="41">(E95*$G$69*$C$69*$E$69-E95*$G$70*$C$70)*E94</f>
        <v>0.12114594572498491</v>
      </c>
      <c r="E97" s="171">
        <f t="shared" si="41"/>
        <v>3.4506080519195848E-2</v>
      </c>
      <c r="F97" s="171">
        <f t="shared" si="41"/>
        <v>1.0919535808520278E-2</v>
      </c>
      <c r="G97" s="171">
        <f t="shared" si="41"/>
        <v>3.3111166553601783E-3</v>
      </c>
      <c r="H97" s="171">
        <f t="shared" si="41"/>
        <v>9.0148627325236394E-4</v>
      </c>
      <c r="I97" s="171">
        <f t="shared" si="41"/>
        <v>0</v>
      </c>
      <c r="J97" s="171">
        <f t="shared" si="41"/>
        <v>0</v>
      </c>
      <c r="K97" s="171">
        <f t="shared" si="41"/>
        <v>0</v>
      </c>
      <c r="L97" s="171">
        <f t="shared" si="41"/>
        <v>0</v>
      </c>
      <c r="M97" s="171">
        <f t="shared" si="41"/>
        <v>0</v>
      </c>
      <c r="N97" s="171">
        <f t="shared" si="41"/>
        <v>0</v>
      </c>
      <c r="O97" s="271"/>
      <c r="P97" s="118">
        <f>SUM(C97:O97)</f>
        <v>0.48977765930038314</v>
      </c>
      <c r="Q97" s="171">
        <f>P97/Q95</f>
        <v>0.10163816511173915</v>
      </c>
      <c r="R97" s="10">
        <f>Q95/Q97</f>
        <v>47.411679420858377</v>
      </c>
    </row>
    <row r="98" spans="1:18" ht="17" thickBot="1" x14ac:dyDescent="0.25">
      <c r="A98" s="309"/>
      <c r="B98" s="451" t="s">
        <v>200</v>
      </c>
      <c r="C98" s="452"/>
      <c r="D98" s="452"/>
      <c r="E98" s="452"/>
      <c r="F98" s="452"/>
      <c r="G98" s="452"/>
      <c r="H98" s="452"/>
      <c r="I98" s="452"/>
      <c r="J98" s="452"/>
      <c r="K98" s="452"/>
      <c r="L98" s="452"/>
      <c r="M98" s="452"/>
      <c r="N98" s="452"/>
      <c r="O98" s="452"/>
      <c r="P98" s="452"/>
      <c r="Q98" s="452"/>
      <c r="R98" s="453"/>
    </row>
    <row r="99" spans="1:18" x14ac:dyDescent="0.2">
      <c r="A99" s="131"/>
      <c r="B99" s="305" t="s">
        <v>8</v>
      </c>
      <c r="C99" s="273">
        <f>B64</f>
        <v>0.25439021483679269</v>
      </c>
      <c r="D99" s="273">
        <f t="shared" ref="D99:N99" si="42">C64</f>
        <v>1.0461736042499015</v>
      </c>
      <c r="E99" s="273">
        <f t="shared" si="42"/>
        <v>0.19865563596968955</v>
      </c>
      <c r="F99" s="273">
        <f t="shared" si="42"/>
        <v>3.7722281679315864E-2</v>
      </c>
      <c r="G99" s="273">
        <f t="shared" si="42"/>
        <v>7.1629750997426389E-3</v>
      </c>
      <c r="H99" s="273">
        <f t="shared" si="42"/>
        <v>1.3600448718654114E-3</v>
      </c>
      <c r="I99" s="273">
        <f t="shared" si="42"/>
        <v>2.577528996102656E-4</v>
      </c>
      <c r="J99" s="273">
        <f t="shared" si="42"/>
        <v>4.6783955399355186E-5</v>
      </c>
      <c r="K99" s="273">
        <f t="shared" si="42"/>
        <v>8.4916153654074498E-6</v>
      </c>
      <c r="L99" s="273">
        <f t="shared" si="42"/>
        <v>0</v>
      </c>
      <c r="M99" s="273">
        <f t="shared" si="42"/>
        <v>0</v>
      </c>
      <c r="N99" s="273">
        <f t="shared" si="42"/>
        <v>0</v>
      </c>
      <c r="O99" s="273"/>
      <c r="P99" s="169" t="s">
        <v>170</v>
      </c>
      <c r="Q99" s="170" t="s">
        <v>171</v>
      </c>
      <c r="R99" s="63" t="s">
        <v>174</v>
      </c>
    </row>
    <row r="100" spans="1:18" x14ac:dyDescent="0.2">
      <c r="A100" s="126">
        <f>$E$70</f>
        <v>1.5</v>
      </c>
      <c r="B100" s="306" t="s">
        <v>169</v>
      </c>
      <c r="C100" s="247">
        <v>0</v>
      </c>
      <c r="D100" s="1">
        <f>IF(E99&gt;0,POWER($A100,D$72),0)</f>
        <v>1</v>
      </c>
      <c r="E100" s="1">
        <f>IF(F99&gt;0,ROUNDUP(D100*$A100,0),0)</f>
        <v>2</v>
      </c>
      <c r="F100" s="1">
        <f t="shared" ref="F100:N100" si="43">IF(G99&gt;0,ROUNDUP(E100*$A100,0),0)</f>
        <v>3</v>
      </c>
      <c r="G100" s="1">
        <f t="shared" si="43"/>
        <v>5</v>
      </c>
      <c r="H100" s="1">
        <f t="shared" si="43"/>
        <v>8</v>
      </c>
      <c r="I100" s="1">
        <f t="shared" si="43"/>
        <v>12</v>
      </c>
      <c r="J100" s="1">
        <f t="shared" si="43"/>
        <v>18</v>
      </c>
      <c r="K100" s="1">
        <f t="shared" si="43"/>
        <v>0</v>
      </c>
      <c r="L100" s="1">
        <f t="shared" si="43"/>
        <v>0</v>
      </c>
      <c r="M100" s="1">
        <f t="shared" si="43"/>
        <v>0</v>
      </c>
      <c r="N100" s="1">
        <f t="shared" si="43"/>
        <v>0</v>
      </c>
      <c r="O100" s="270"/>
      <c r="P100" s="117">
        <f>SUM(C100:N100)*$G$70</f>
        <v>147</v>
      </c>
      <c r="Q100" s="1">
        <f>(C100*C99+D100*D99+E100*E99+F100*F99+G100*G99+H100*H99+I100*I99+J100*J99+K99*K100+L99*L100+M99*M100+N99*N100)*3</f>
        <v>4.8218463050801272</v>
      </c>
      <c r="R100" s="9">
        <f>P100/Q102</f>
        <v>1446.3071016521287</v>
      </c>
    </row>
    <row r="101" spans="1:18" x14ac:dyDescent="0.2">
      <c r="A101" s="126"/>
      <c r="B101" s="306" t="s">
        <v>58</v>
      </c>
      <c r="C101" s="247"/>
      <c r="D101" s="1"/>
      <c r="E101" s="1"/>
      <c r="F101" s="1"/>
      <c r="G101" s="1"/>
      <c r="H101" s="1"/>
      <c r="I101" s="1"/>
      <c r="J101" s="1"/>
      <c r="K101" s="270"/>
      <c r="L101" s="270"/>
      <c r="M101" s="270"/>
      <c r="N101" s="270"/>
      <c r="O101" s="270"/>
      <c r="P101" s="117" t="s">
        <v>172</v>
      </c>
      <c r="Q101" s="1" t="s">
        <v>173</v>
      </c>
      <c r="R101" s="9" t="s">
        <v>175</v>
      </c>
    </row>
    <row r="102" spans="1:18" ht="17" thickBot="1" x14ac:dyDescent="0.25">
      <c r="A102" s="127"/>
      <c r="B102" s="307" t="s">
        <v>60</v>
      </c>
      <c r="C102" s="274">
        <f>(D100*$G$69*$C$69*$E$69-D100*$G$70*$C$70)*D99</f>
        <v>0.31899349657288417</v>
      </c>
      <c r="D102" s="171">
        <f t="shared" ref="D102:N102" si="44">(E100*$G$69*$C$69*$E$69-E100*$G$70*$C$70)*E99</f>
        <v>0.12114596597438911</v>
      </c>
      <c r="E102" s="171">
        <f t="shared" si="44"/>
        <v>3.4506211443424535E-2</v>
      </c>
      <c r="F102" s="171">
        <f t="shared" si="44"/>
        <v>1.092047468818378E-2</v>
      </c>
      <c r="G102" s="171">
        <f t="shared" si="44"/>
        <v>3.3175791659047389E-3</v>
      </c>
      <c r="H102" s="171">
        <f t="shared" si="44"/>
        <v>9.431111436702369E-4</v>
      </c>
      <c r="I102" s="171">
        <f t="shared" si="44"/>
        <v>2.5677191070683469E-4</v>
      </c>
      <c r="J102" s="171">
        <f t="shared" si="44"/>
        <v>0</v>
      </c>
      <c r="K102" s="171">
        <f t="shared" si="44"/>
        <v>0</v>
      </c>
      <c r="L102" s="171">
        <f t="shared" si="44"/>
        <v>0</v>
      </c>
      <c r="M102" s="171">
        <f t="shared" si="44"/>
        <v>0</v>
      </c>
      <c r="N102" s="171">
        <f t="shared" si="44"/>
        <v>0</v>
      </c>
      <c r="O102" s="271"/>
      <c r="P102" s="118">
        <f>SUM(C102:O102)</f>
        <v>0.49008361089916341</v>
      </c>
      <c r="Q102" s="171">
        <f>P102/Q100</f>
        <v>0.10163816511173918</v>
      </c>
      <c r="R102" s="10">
        <f>Q100/Q102</f>
        <v>47.441296286479357</v>
      </c>
    </row>
    <row r="103" spans="1:18" ht="17" thickBot="1" x14ac:dyDescent="0.25">
      <c r="A103" s="309"/>
      <c r="B103" s="451" t="s">
        <v>201</v>
      </c>
      <c r="C103" s="452"/>
      <c r="D103" s="452"/>
      <c r="E103" s="452"/>
      <c r="F103" s="452"/>
      <c r="G103" s="452"/>
      <c r="H103" s="452"/>
      <c r="I103" s="452"/>
      <c r="J103" s="452"/>
      <c r="K103" s="452"/>
      <c r="L103" s="452"/>
      <c r="M103" s="452"/>
      <c r="N103" s="452"/>
      <c r="O103" s="452"/>
      <c r="P103" s="452"/>
      <c r="Q103" s="452"/>
      <c r="R103" s="453"/>
    </row>
    <row r="104" spans="1:18" x14ac:dyDescent="0.2">
      <c r="A104" s="131"/>
      <c r="B104" s="305" t="s">
        <v>8</v>
      </c>
      <c r="C104" s="273">
        <f>B65</f>
        <v>0.25439021484029395</v>
      </c>
      <c r="D104" s="273">
        <f t="shared" ref="D104:N104" si="45">C65</f>
        <v>1.0461736042643002</v>
      </c>
      <c r="E104" s="273">
        <f t="shared" si="45"/>
        <v>0.198655637376004</v>
      </c>
      <c r="F104" s="273">
        <f t="shared" si="45"/>
        <v>3.7722287985070643E-2</v>
      </c>
      <c r="G104" s="273">
        <f t="shared" si="45"/>
        <v>7.1630022778624864E-3</v>
      </c>
      <c r="H104" s="273">
        <f t="shared" si="45"/>
        <v>1.3601618107809889E-3</v>
      </c>
      <c r="I104" s="273">
        <f t="shared" si="45"/>
        <v>2.5825597184141001E-4</v>
      </c>
      <c r="J104" s="273">
        <f t="shared" si="45"/>
        <v>4.8944139241883673E-5</v>
      </c>
      <c r="K104" s="273">
        <f t="shared" si="45"/>
        <v>8.8837038528544226E-6</v>
      </c>
      <c r="L104" s="273">
        <f t="shared" si="45"/>
        <v>1.6124544300430766E-6</v>
      </c>
      <c r="M104" s="273">
        <f t="shared" si="45"/>
        <v>0</v>
      </c>
      <c r="N104" s="273">
        <f t="shared" si="45"/>
        <v>0</v>
      </c>
      <c r="O104" s="273"/>
      <c r="P104" s="169" t="s">
        <v>170</v>
      </c>
      <c r="Q104" s="170" t="s">
        <v>171</v>
      </c>
      <c r="R104" s="63" t="s">
        <v>174</v>
      </c>
    </row>
    <row r="105" spans="1:18" x14ac:dyDescent="0.2">
      <c r="A105" s="126">
        <f>$E$70</f>
        <v>1.5</v>
      </c>
      <c r="B105" s="306" t="s">
        <v>169</v>
      </c>
      <c r="C105" s="247">
        <v>0</v>
      </c>
      <c r="D105" s="1">
        <f>IF(E104&gt;0,POWER($A105,D$72),0)</f>
        <v>1</v>
      </c>
      <c r="E105" s="1">
        <f>IF(F104&gt;0,ROUNDUP(D105*$A105,0),0)</f>
        <v>2</v>
      </c>
      <c r="F105" s="1">
        <f t="shared" ref="F105:N105" si="46">IF(G104&gt;0,ROUNDUP(E105*$A105,0),0)</f>
        <v>3</v>
      </c>
      <c r="G105" s="1">
        <f t="shared" si="46"/>
        <v>5</v>
      </c>
      <c r="H105" s="1">
        <f t="shared" si="46"/>
        <v>8</v>
      </c>
      <c r="I105" s="1">
        <f t="shared" si="46"/>
        <v>12</v>
      </c>
      <c r="J105" s="1">
        <f t="shared" si="46"/>
        <v>18</v>
      </c>
      <c r="K105" s="1">
        <f t="shared" si="46"/>
        <v>27</v>
      </c>
      <c r="L105" s="1">
        <f t="shared" si="46"/>
        <v>0</v>
      </c>
      <c r="M105" s="1">
        <f t="shared" si="46"/>
        <v>0</v>
      </c>
      <c r="N105" s="1">
        <f t="shared" si="46"/>
        <v>0</v>
      </c>
      <c r="O105" s="270"/>
      <c r="P105" s="117">
        <f>SUM(C105:N105)*$G$70</f>
        <v>228</v>
      </c>
      <c r="Q105" s="1">
        <f>(C105*C104+D105*D104+E105*E104+F105*F104+G105*G104+H105*H104+I105*I104+J105*J104+K104*K105+L104*L105+M104*M105+N104*N105)*3</f>
        <v>4.8227039250586756</v>
      </c>
      <c r="R105" s="9">
        <f>P105/Q107</f>
        <v>2243.2518311339149</v>
      </c>
    </row>
    <row r="106" spans="1:18" x14ac:dyDescent="0.2">
      <c r="A106" s="126"/>
      <c r="B106" s="306" t="s">
        <v>58</v>
      </c>
      <c r="C106" s="247"/>
      <c r="D106" s="1"/>
      <c r="E106" s="1"/>
      <c r="F106" s="1"/>
      <c r="G106" s="1"/>
      <c r="H106" s="1"/>
      <c r="I106" s="1"/>
      <c r="J106" s="1"/>
      <c r="K106" s="270"/>
      <c r="L106" s="270"/>
      <c r="M106" s="270"/>
      <c r="N106" s="270"/>
      <c r="O106" s="270"/>
      <c r="P106" s="117" t="s">
        <v>172</v>
      </c>
      <c r="Q106" s="1" t="s">
        <v>173</v>
      </c>
      <c r="R106" s="9" t="s">
        <v>175</v>
      </c>
    </row>
    <row r="107" spans="1:18" ht="17" thickBot="1" x14ac:dyDescent="0.25">
      <c r="A107" s="127"/>
      <c r="B107" s="307" t="s">
        <v>60</v>
      </c>
      <c r="C107" s="274">
        <f>(D105*$G$69*$C$69*$E$69-D105*$G$70*$C$70)*D104</f>
        <v>0.31899349657727455</v>
      </c>
      <c r="D107" s="171">
        <f t="shared" ref="D107:N107" si="47">(E105*$G$69*$C$69*$E$69-E105*$G$70*$C$70)*E104</f>
        <v>0.12114596683200043</v>
      </c>
      <c r="E107" s="171">
        <f t="shared" si="47"/>
        <v>3.4506217211572647E-2</v>
      </c>
      <c r="F107" s="171">
        <f t="shared" si="47"/>
        <v>1.0920516123197267E-2</v>
      </c>
      <c r="G107" s="171">
        <f t="shared" si="47"/>
        <v>3.3178644168681657E-3</v>
      </c>
      <c r="H107" s="171">
        <f t="shared" si="47"/>
        <v>9.4495187185595557E-4</v>
      </c>
      <c r="I107" s="171">
        <f t="shared" si="47"/>
        <v>2.6862799529800028E-4</v>
      </c>
      <c r="J107" s="171">
        <f t="shared" si="47"/>
        <v>7.313679207901708E-5</v>
      </c>
      <c r="K107" s="171">
        <f t="shared" si="47"/>
        <v>0</v>
      </c>
      <c r="L107" s="171">
        <f t="shared" si="47"/>
        <v>0</v>
      </c>
      <c r="M107" s="171">
        <f t="shared" si="47"/>
        <v>0</v>
      </c>
      <c r="N107" s="171">
        <f t="shared" si="47"/>
        <v>0</v>
      </c>
      <c r="O107" s="271"/>
      <c r="P107" s="118">
        <f>SUM(C107:O107)</f>
        <v>0.49017077782014606</v>
      </c>
      <c r="Q107" s="171">
        <f>P107/Q105</f>
        <v>0.10163816511173913</v>
      </c>
      <c r="R107" s="10">
        <f>Q105/Q107</f>
        <v>47.44973425835348</v>
      </c>
    </row>
    <row r="108" spans="1:18" ht="17" thickBot="1" x14ac:dyDescent="0.25">
      <c r="A108" s="309"/>
      <c r="B108" s="451" t="s">
        <v>202</v>
      </c>
      <c r="C108" s="452"/>
      <c r="D108" s="452"/>
      <c r="E108" s="452"/>
      <c r="F108" s="452"/>
      <c r="G108" s="452"/>
      <c r="H108" s="452"/>
      <c r="I108" s="452"/>
      <c r="J108" s="452"/>
      <c r="K108" s="452"/>
      <c r="L108" s="452"/>
      <c r="M108" s="452"/>
      <c r="N108" s="452"/>
      <c r="O108" s="452"/>
      <c r="P108" s="452"/>
      <c r="Q108" s="452"/>
      <c r="R108" s="453"/>
    </row>
    <row r="109" spans="1:18" x14ac:dyDescent="0.2">
      <c r="A109" s="131"/>
      <c r="B109" s="305" t="s">
        <v>8</v>
      </c>
      <c r="C109" s="273">
        <f>B66</f>
        <v>0.25439021484044849</v>
      </c>
      <c r="D109" s="273">
        <f t="shared" ref="D109:N109" si="48">C66</f>
        <v>1.0461736042649357</v>
      </c>
      <c r="E109" s="273">
        <f t="shared" si="48"/>
        <v>0.19865563743807269</v>
      </c>
      <c r="F109" s="273">
        <f t="shared" si="48"/>
        <v>3.7722288263379547E-2</v>
      </c>
      <c r="G109" s="273">
        <f t="shared" si="48"/>
        <v>7.1630034773880365E-3</v>
      </c>
      <c r="H109" s="273">
        <f t="shared" si="48"/>
        <v>1.3601669719814937E-3</v>
      </c>
      <c r="I109" s="273">
        <f t="shared" si="48"/>
        <v>2.582781771956823E-4</v>
      </c>
      <c r="J109" s="273">
        <f t="shared" si="48"/>
        <v>4.9039666551731367E-5</v>
      </c>
      <c r="K109" s="273">
        <f t="shared" si="48"/>
        <v>9.2938964817332632E-6</v>
      </c>
      <c r="L109" s="273">
        <f t="shared" si="48"/>
        <v>1.6869072632939489E-6</v>
      </c>
      <c r="M109" s="273">
        <f t="shared" si="48"/>
        <v>3.0618547565565095E-7</v>
      </c>
      <c r="N109" s="273">
        <f t="shared" si="48"/>
        <v>0</v>
      </c>
      <c r="O109" s="273"/>
      <c r="P109" s="169" t="s">
        <v>170</v>
      </c>
      <c r="Q109" s="170" t="s">
        <v>171</v>
      </c>
      <c r="R109" s="63" t="s">
        <v>174</v>
      </c>
    </row>
    <row r="110" spans="1:18" x14ac:dyDescent="0.2">
      <c r="A110" s="126">
        <f>$E$70</f>
        <v>1.5</v>
      </c>
      <c r="B110" s="306" t="s">
        <v>169</v>
      </c>
      <c r="C110" s="247">
        <v>0</v>
      </c>
      <c r="D110" s="1">
        <f>IF(E109&gt;0,POWER($A110,D$72),0)</f>
        <v>1</v>
      </c>
      <c r="E110" s="1">
        <f>IF(F109&gt;0,ROUNDUP(D110*$A110,0),0)</f>
        <v>2</v>
      </c>
      <c r="F110" s="1">
        <f t="shared" ref="F110:N110" si="49">IF(G109&gt;0,ROUNDUP(E110*$A110,0),0)</f>
        <v>3</v>
      </c>
      <c r="G110" s="1">
        <f t="shared" si="49"/>
        <v>5</v>
      </c>
      <c r="H110" s="1">
        <f t="shared" si="49"/>
        <v>8</v>
      </c>
      <c r="I110" s="1">
        <f t="shared" si="49"/>
        <v>12</v>
      </c>
      <c r="J110" s="1">
        <f t="shared" si="49"/>
        <v>18</v>
      </c>
      <c r="K110" s="1">
        <f t="shared" si="49"/>
        <v>27</v>
      </c>
      <c r="L110" s="1">
        <f t="shared" si="49"/>
        <v>41</v>
      </c>
      <c r="M110" s="1">
        <f t="shared" si="49"/>
        <v>0</v>
      </c>
      <c r="N110" s="1">
        <f t="shared" si="49"/>
        <v>0</v>
      </c>
      <c r="O110" s="270"/>
      <c r="P110" s="117">
        <f>SUM(C110:N110)*$G$70</f>
        <v>351</v>
      </c>
      <c r="Q110" s="1">
        <f>(C110*C109+D110*D109+E110*E109+F110*F109+G110*G109+H110*H109+I110*I109+J110*J109+K109*K110+L109*L110+M109*M110+N109*N110)*3</f>
        <v>4.8229507428632807</v>
      </c>
      <c r="R110" s="9">
        <f>P110/Q112</f>
        <v>3453.4271610877381</v>
      </c>
    </row>
    <row r="111" spans="1:18" x14ac:dyDescent="0.2">
      <c r="A111" s="126"/>
      <c r="B111" s="306" t="s">
        <v>58</v>
      </c>
      <c r="C111" s="247"/>
      <c r="D111" s="1"/>
      <c r="E111" s="1"/>
      <c r="F111" s="1"/>
      <c r="G111" s="1"/>
      <c r="H111" s="1"/>
      <c r="I111" s="1"/>
      <c r="J111" s="1"/>
      <c r="K111" s="270"/>
      <c r="L111" s="270"/>
      <c r="M111" s="270"/>
      <c r="N111" s="270"/>
      <c r="O111" s="270"/>
      <c r="P111" s="117" t="s">
        <v>172</v>
      </c>
      <c r="Q111" s="1" t="s">
        <v>173</v>
      </c>
      <c r="R111" s="9" t="s">
        <v>175</v>
      </c>
    </row>
    <row r="112" spans="1:18" ht="17" thickBot="1" x14ac:dyDescent="0.25">
      <c r="A112" s="127"/>
      <c r="B112" s="307" t="s">
        <v>60</v>
      </c>
      <c r="C112" s="274">
        <f>(D110*$G$69*$C$69*$E$69-D110*$G$70*$C$70)*D109</f>
        <v>0.31899349657746834</v>
      </c>
      <c r="D112" s="171">
        <f t="shared" ref="D112:N112" si="50">(E110*$G$69*$C$69*$E$69-E110*$G$70*$C$70)*E109</f>
        <v>0.12114596686985171</v>
      </c>
      <c r="E112" s="171">
        <f t="shared" si="50"/>
        <v>3.4506217466153899E-2</v>
      </c>
      <c r="F112" s="171">
        <f t="shared" si="50"/>
        <v>1.0920517951960905E-2</v>
      </c>
      <c r="G112" s="171">
        <f t="shared" si="50"/>
        <v>3.3178770066669438E-3</v>
      </c>
      <c r="H112" s="171">
        <f t="shared" si="50"/>
        <v>9.4503312066865569E-4</v>
      </c>
      <c r="I112" s="171">
        <f t="shared" si="50"/>
        <v>2.6915229320451323E-4</v>
      </c>
      <c r="J112" s="171">
        <f t="shared" si="50"/>
        <v>7.6513781396487165E-5</v>
      </c>
      <c r="K112" s="171">
        <f t="shared" si="50"/>
        <v>2.1088861551448075E-5</v>
      </c>
      <c r="L112" s="171">
        <f t="shared" si="50"/>
        <v>0</v>
      </c>
      <c r="M112" s="171">
        <f t="shared" si="50"/>
        <v>0</v>
      </c>
      <c r="N112" s="171">
        <f t="shared" si="50"/>
        <v>0</v>
      </c>
      <c r="O112" s="271"/>
      <c r="P112" s="118">
        <f>SUM(C112:O112)</f>
        <v>0.49019586392892295</v>
      </c>
      <c r="Q112" s="171">
        <f>P112/Q110</f>
        <v>0.10163816511173912</v>
      </c>
      <c r="R112" s="10">
        <f>Q110/Q112</f>
        <v>47.45216265524882</v>
      </c>
    </row>
    <row r="113" spans="1:18" ht="17" thickBot="1" x14ac:dyDescent="0.25">
      <c r="A113" s="309"/>
      <c r="B113" s="451" t="s">
        <v>203</v>
      </c>
      <c r="C113" s="452"/>
      <c r="D113" s="452"/>
      <c r="E113" s="452"/>
      <c r="F113" s="452"/>
      <c r="G113" s="452"/>
      <c r="H113" s="452"/>
      <c r="I113" s="452"/>
      <c r="J113" s="452"/>
      <c r="K113" s="452"/>
      <c r="L113" s="452"/>
      <c r="M113" s="452"/>
      <c r="N113" s="452"/>
      <c r="O113" s="452"/>
      <c r="P113" s="452"/>
      <c r="Q113" s="452"/>
      <c r="R113" s="453"/>
    </row>
    <row r="114" spans="1:18" x14ac:dyDescent="0.2">
      <c r="A114" s="131"/>
      <c r="B114" s="305" t="s">
        <v>8</v>
      </c>
      <c r="C114" s="273">
        <f>B67</f>
        <v>0.25439021484045526</v>
      </c>
      <c r="D114" s="273">
        <f t="shared" ref="D114:N114" si="51">C67</f>
        <v>1.0461736042649636</v>
      </c>
      <c r="E114" s="273">
        <f t="shared" si="51"/>
        <v>0.19865563744081211</v>
      </c>
      <c r="F114" s="273">
        <f t="shared" si="51"/>
        <v>3.7722288275662902E-2</v>
      </c>
      <c r="G114" s="273">
        <f t="shared" si="51"/>
        <v>7.1630035303299373E-3</v>
      </c>
      <c r="H114" s="273">
        <f t="shared" si="51"/>
        <v>1.3601671997747302E-3</v>
      </c>
      <c r="I114" s="273">
        <f t="shared" si="51"/>
        <v>2.5827915724826062E-4</v>
      </c>
      <c r="J114" s="273">
        <f t="shared" si="51"/>
        <v>4.9043883078955817E-5</v>
      </c>
      <c r="K114" s="273">
        <f t="shared" si="51"/>
        <v>9.3120359556041505E-6</v>
      </c>
      <c r="L114" s="273">
        <f t="shared" si="51"/>
        <v>1.7647978522502322E-6</v>
      </c>
      <c r="M114" s="273">
        <f t="shared" si="51"/>
        <v>3.2032316273994838E-7</v>
      </c>
      <c r="N114" s="273">
        <f t="shared" si="51"/>
        <v>5.8140896112771747E-8</v>
      </c>
      <c r="O114" s="273"/>
      <c r="P114" s="169" t="s">
        <v>170</v>
      </c>
      <c r="Q114" s="170" t="s">
        <v>171</v>
      </c>
      <c r="R114" s="63" t="s">
        <v>174</v>
      </c>
    </row>
    <row r="115" spans="1:18" x14ac:dyDescent="0.2">
      <c r="A115" s="126">
        <f>$E$70</f>
        <v>1.5</v>
      </c>
      <c r="B115" s="306" t="s">
        <v>169</v>
      </c>
      <c r="C115" s="247">
        <v>0</v>
      </c>
      <c r="D115" s="1">
        <f>IF(E114&gt;0,POWER($A115,D$72),0)</f>
        <v>1</v>
      </c>
      <c r="E115" s="1">
        <f>IF(F114&gt;0,ROUNDUP(D115*$A115,0),0)</f>
        <v>2</v>
      </c>
      <c r="F115" s="1">
        <f t="shared" ref="F115:N115" si="52">IF(G114&gt;0,ROUNDUP(E115*$A115,0),0)</f>
        <v>3</v>
      </c>
      <c r="G115" s="1">
        <f t="shared" si="52"/>
        <v>5</v>
      </c>
      <c r="H115" s="1">
        <f t="shared" si="52"/>
        <v>8</v>
      </c>
      <c r="I115" s="1">
        <f t="shared" si="52"/>
        <v>12</v>
      </c>
      <c r="J115" s="1">
        <f t="shared" si="52"/>
        <v>18</v>
      </c>
      <c r="K115" s="1">
        <f t="shared" si="52"/>
        <v>27</v>
      </c>
      <c r="L115" s="1">
        <f t="shared" si="52"/>
        <v>41</v>
      </c>
      <c r="M115" s="1">
        <f t="shared" si="52"/>
        <v>62</v>
      </c>
      <c r="N115" s="1">
        <f t="shared" si="52"/>
        <v>0</v>
      </c>
      <c r="O115" s="270"/>
      <c r="P115" s="117">
        <f>SUM(C115:N115)*$G$70</f>
        <v>537</v>
      </c>
      <c r="Q115" s="1">
        <f>(C115*C114+D115*D114+E115*E114+F115*F114+G115*G114+H115*H114+I115*I114+J115*J114+K114*K115+L114*L115+M114*M115+N114*N115)*3</f>
        <v>4.8230216421739724</v>
      </c>
      <c r="R115" s="9">
        <f>P115/Q117</f>
        <v>5283.4483917496136</v>
      </c>
    </row>
    <row r="116" spans="1:18" x14ac:dyDescent="0.2">
      <c r="A116" s="126"/>
      <c r="B116" s="306" t="s">
        <v>58</v>
      </c>
      <c r="C116" s="247"/>
      <c r="D116" s="1"/>
      <c r="E116" s="1"/>
      <c r="F116" s="1"/>
      <c r="G116" s="1"/>
      <c r="H116" s="1"/>
      <c r="I116" s="1"/>
      <c r="J116" s="1"/>
      <c r="K116" s="270"/>
      <c r="L116" s="270"/>
      <c r="M116" s="270"/>
      <c r="N116" s="270"/>
      <c r="O116" s="270"/>
      <c r="P116" s="117" t="s">
        <v>172</v>
      </c>
      <c r="Q116" s="1" t="s">
        <v>173</v>
      </c>
      <c r="R116" s="9" t="s">
        <v>175</v>
      </c>
    </row>
    <row r="117" spans="1:18" ht="17" thickBot="1" x14ac:dyDescent="0.25">
      <c r="A117" s="127"/>
      <c r="B117" s="307" t="s">
        <v>60</v>
      </c>
      <c r="C117" s="274">
        <f>(D115*$G$69*$C$69*$E$69-D115*$G$70*$C$70)*D114</f>
        <v>0.31899349657747683</v>
      </c>
      <c r="D117" s="171">
        <f t="shared" ref="D117:N117" si="53">(E115*$G$69*$C$69*$E$69-E115*$G$70*$C$70)*E114</f>
        <v>0.12114596687152229</v>
      </c>
      <c r="E117" s="171">
        <f t="shared" si="53"/>
        <v>3.4506217477390022E-2</v>
      </c>
      <c r="F117" s="171">
        <f t="shared" si="53"/>
        <v>1.0920518032674671E-2</v>
      </c>
      <c r="G117" s="171">
        <f t="shared" si="53"/>
        <v>3.3178775623266218E-3</v>
      </c>
      <c r="H117" s="171">
        <f t="shared" si="53"/>
        <v>9.4503670665550355E-4</v>
      </c>
      <c r="I117" s="171">
        <f t="shared" si="53"/>
        <v>2.6917543544938599E-4</v>
      </c>
      <c r="J117" s="171">
        <f t="shared" si="53"/>
        <v>7.6663118086553835E-5</v>
      </c>
      <c r="K117" s="171">
        <f t="shared" si="53"/>
        <v>2.2062610305989763E-5</v>
      </c>
      <c r="L117" s="171">
        <f t="shared" si="53"/>
        <v>6.0556128816839881E-6</v>
      </c>
      <c r="M117" s="171">
        <f t="shared" si="53"/>
        <v>0</v>
      </c>
      <c r="N117" s="171">
        <f t="shared" si="53"/>
        <v>0</v>
      </c>
      <c r="O117" s="271"/>
      <c r="P117" s="118">
        <f>SUM(C117:O117)</f>
        <v>0.49020307000476965</v>
      </c>
      <c r="Q117" s="171">
        <f>P117/Q115</f>
        <v>0.10163816511173918</v>
      </c>
      <c r="R117" s="10">
        <f>Q115/Q117</f>
        <v>47.452860221075703</v>
      </c>
    </row>
  </sheetData>
  <sheetProtection sheet="1" objects="1" scenarios="1"/>
  <mergeCells count="9">
    <mergeCell ref="B98:R98"/>
    <mergeCell ref="B103:R103"/>
    <mergeCell ref="B108:R108"/>
    <mergeCell ref="B113:R113"/>
    <mergeCell ref="B73:Q73"/>
    <mergeCell ref="B78:R78"/>
    <mergeCell ref="B83:R83"/>
    <mergeCell ref="B88:R88"/>
    <mergeCell ref="B93:R93"/>
  </mergeCells>
  <conditionalFormatting sqref="Q58:S67">
    <cfRule type="cellIs" dxfId="7" priority="3" operator="lessThanOrEqual">
      <formula>0</formula>
    </cfRule>
    <cfRule type="cellIs" dxfId="6" priority="4" operator="greaterThan">
      <formula>0</formula>
    </cfRule>
  </conditionalFormatting>
  <conditionalFormatting sqref="P58:P67">
    <cfRule type="cellIs" dxfId="5" priority="1" operator="lessThanOrEqual">
      <formula>0</formula>
    </cfRule>
    <cfRule type="cellIs" dxfId="4" priority="2" operator="greaterThan">
      <formula>0</formula>
    </cfRule>
  </conditionalFormatting>
  <pageMargins left="0.25" right="0.25" top="0.75" bottom="0.75" header="0.3" footer="0.3"/>
  <pageSetup paperSize="9" scale="69" orientation="portrait" horizontalDpi="0" verticalDpi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17"/>
  <sheetViews>
    <sheetView workbookViewId="0">
      <selection activeCell="P109" sqref="P109"/>
    </sheetView>
  </sheetViews>
  <sheetFormatPr baseColWidth="10" defaultRowHeight="16" x14ac:dyDescent="0.2"/>
  <cols>
    <col min="11" max="11" width="13.33203125" customWidth="1"/>
    <col min="12" max="12" width="12.6640625" customWidth="1"/>
  </cols>
  <sheetData>
    <row r="1" spans="1:12" ht="17" thickBot="1" x14ac:dyDescent="0.25"/>
    <row r="2" spans="1:12" x14ac:dyDescent="0.2">
      <c r="A2" s="324" t="s">
        <v>179</v>
      </c>
      <c r="B2" s="170" t="s">
        <v>193</v>
      </c>
      <c r="C2" s="325" t="s">
        <v>159</v>
      </c>
      <c r="D2" s="326">
        <f>C47</f>
        <v>0.24316252465496735</v>
      </c>
      <c r="E2" s="325" t="s">
        <v>160</v>
      </c>
      <c r="F2" s="326">
        <f>E47</f>
        <v>0.18150699941725082</v>
      </c>
      <c r="G2" s="325" t="s">
        <v>184</v>
      </c>
      <c r="H2" s="326" t="e">
        <f>L3/L2</f>
        <v>#DIV/0!</v>
      </c>
      <c r="I2" s="325" t="s">
        <v>192</v>
      </c>
      <c r="J2" s="326">
        <f>L47</f>
        <v>1.7466414588190893</v>
      </c>
      <c r="K2" s="325" t="s">
        <v>194</v>
      </c>
      <c r="L2" s="327">
        <f>M75</f>
        <v>0</v>
      </c>
    </row>
    <row r="3" spans="1:12" ht="17" thickBot="1" x14ac:dyDescent="0.25">
      <c r="A3" s="328" t="s">
        <v>159</v>
      </c>
      <c r="B3" s="171">
        <v>2</v>
      </c>
      <c r="C3" s="329" t="s">
        <v>160</v>
      </c>
      <c r="D3" s="330">
        <v>3</v>
      </c>
      <c r="E3" s="329" t="s">
        <v>197</v>
      </c>
      <c r="F3" s="330">
        <v>2</v>
      </c>
      <c r="G3" s="329"/>
      <c r="H3" s="330"/>
      <c r="I3" s="329"/>
      <c r="J3" s="330"/>
      <c r="K3" s="329" t="s">
        <v>195</v>
      </c>
      <c r="L3" s="10">
        <f>L77</f>
        <v>0</v>
      </c>
    </row>
    <row r="4" spans="1:12" ht="17" thickBot="1" x14ac:dyDescent="0.25"/>
    <row r="5" spans="1:12" ht="17" thickBot="1" x14ac:dyDescent="0.25">
      <c r="A5" s="319" t="s">
        <v>56</v>
      </c>
      <c r="B5" s="320" t="s">
        <v>176</v>
      </c>
      <c r="C5" s="322" t="s">
        <v>177</v>
      </c>
      <c r="D5" s="343" t="s">
        <v>170</v>
      </c>
      <c r="E5" s="345" t="s">
        <v>171</v>
      </c>
      <c r="F5" s="277"/>
      <c r="G5" s="344"/>
      <c r="H5" s="19"/>
      <c r="I5" s="20"/>
      <c r="J5" s="277" t="s">
        <v>175</v>
      </c>
      <c r="K5" s="321" t="s">
        <v>174</v>
      </c>
      <c r="L5" s="294" t="s">
        <v>180</v>
      </c>
    </row>
    <row r="6" spans="1:12" x14ac:dyDescent="0.2">
      <c r="A6" s="125">
        <v>100</v>
      </c>
      <c r="B6" s="28">
        <f>A6*1</f>
        <v>100</v>
      </c>
      <c r="C6" s="8">
        <f>B6*$F$3</f>
        <v>200</v>
      </c>
      <c r="D6" s="28">
        <f>SUM(B6:C6)*$D$3</f>
        <v>900</v>
      </c>
      <c r="E6" s="353">
        <f>$L$2*A6</f>
        <v>0</v>
      </c>
      <c r="F6" s="22"/>
      <c r="G6" s="292"/>
      <c r="H6" s="2"/>
      <c r="I6" s="8"/>
      <c r="J6" s="350" t="e">
        <f t="shared" ref="J6:J15" si="0">E6/$H$2</f>
        <v>#DIV/0!</v>
      </c>
      <c r="K6" s="295" t="e">
        <f>D6/$H$2</f>
        <v>#DIV/0!</v>
      </c>
      <c r="L6" s="296" t="e">
        <f>K6*2</f>
        <v>#DIV/0!</v>
      </c>
    </row>
    <row r="7" spans="1:12" x14ac:dyDescent="0.2">
      <c r="A7" s="126">
        <v>200</v>
      </c>
      <c r="B7" s="117">
        <f>A7*1</f>
        <v>200</v>
      </c>
      <c r="C7" s="9">
        <f t="shared" ref="C7:C15" si="1">B7*$F$3</f>
        <v>400</v>
      </c>
      <c r="D7" s="117">
        <f t="shared" ref="D7:D15" si="2">SUM(B7:C7)*$D$3</f>
        <v>1800</v>
      </c>
      <c r="E7" s="354">
        <f t="shared" ref="E7:E15" si="3">$L$2*A7</f>
        <v>0</v>
      </c>
      <c r="F7" s="247"/>
      <c r="G7" s="279"/>
      <c r="H7" s="1"/>
      <c r="I7" s="9"/>
      <c r="J7" s="351" t="e">
        <f t="shared" si="0"/>
        <v>#DIV/0!</v>
      </c>
      <c r="K7" s="276" t="e">
        <f t="shared" ref="K7:K15" si="4">D7/$H$2</f>
        <v>#DIV/0!</v>
      </c>
      <c r="L7" s="286" t="e">
        <f t="shared" ref="L7:L15" si="5">K7*2</f>
        <v>#DIV/0!</v>
      </c>
    </row>
    <row r="8" spans="1:12" x14ac:dyDescent="0.2">
      <c r="A8" s="126">
        <v>300</v>
      </c>
      <c r="B8" s="117">
        <f t="shared" ref="B8:B15" si="6">A8*1</f>
        <v>300</v>
      </c>
      <c r="C8" s="9">
        <f t="shared" si="1"/>
        <v>600</v>
      </c>
      <c r="D8" s="117">
        <f t="shared" si="2"/>
        <v>2700</v>
      </c>
      <c r="E8" s="354">
        <f t="shared" si="3"/>
        <v>0</v>
      </c>
      <c r="F8" s="247"/>
      <c r="G8" s="279"/>
      <c r="H8" s="1"/>
      <c r="I8" s="9"/>
      <c r="J8" s="351" t="e">
        <f t="shared" si="0"/>
        <v>#DIV/0!</v>
      </c>
      <c r="K8" s="276" t="e">
        <f t="shared" si="4"/>
        <v>#DIV/0!</v>
      </c>
      <c r="L8" s="286" t="e">
        <f t="shared" si="5"/>
        <v>#DIV/0!</v>
      </c>
    </row>
    <row r="9" spans="1:12" x14ac:dyDescent="0.2">
      <c r="A9" s="126">
        <v>400</v>
      </c>
      <c r="B9" s="117">
        <f t="shared" si="6"/>
        <v>400</v>
      </c>
      <c r="C9" s="9">
        <f t="shared" si="1"/>
        <v>800</v>
      </c>
      <c r="D9" s="117">
        <f t="shared" si="2"/>
        <v>3600</v>
      </c>
      <c r="E9" s="354">
        <f t="shared" si="3"/>
        <v>0</v>
      </c>
      <c r="F9" s="247"/>
      <c r="G9" s="279"/>
      <c r="H9" s="1"/>
      <c r="I9" s="9"/>
      <c r="J9" s="351" t="e">
        <f t="shared" si="0"/>
        <v>#DIV/0!</v>
      </c>
      <c r="K9" s="276" t="e">
        <f t="shared" si="4"/>
        <v>#DIV/0!</v>
      </c>
      <c r="L9" s="286" t="e">
        <f t="shared" si="5"/>
        <v>#DIV/0!</v>
      </c>
    </row>
    <row r="10" spans="1:12" x14ac:dyDescent="0.2">
      <c r="A10" s="126">
        <v>500</v>
      </c>
      <c r="B10" s="117">
        <f t="shared" si="6"/>
        <v>500</v>
      </c>
      <c r="C10" s="9">
        <f t="shared" si="1"/>
        <v>1000</v>
      </c>
      <c r="D10" s="117">
        <f t="shared" si="2"/>
        <v>4500</v>
      </c>
      <c r="E10" s="354">
        <f t="shared" si="3"/>
        <v>0</v>
      </c>
      <c r="F10" s="247"/>
      <c r="G10" s="279"/>
      <c r="H10" s="1"/>
      <c r="I10" s="9"/>
      <c r="J10" s="351" t="e">
        <f t="shared" si="0"/>
        <v>#DIV/0!</v>
      </c>
      <c r="K10" s="276" t="e">
        <f t="shared" si="4"/>
        <v>#DIV/0!</v>
      </c>
      <c r="L10" s="286" t="e">
        <f t="shared" si="5"/>
        <v>#DIV/0!</v>
      </c>
    </row>
    <row r="11" spans="1:12" x14ac:dyDescent="0.2">
      <c r="A11" s="126">
        <v>600</v>
      </c>
      <c r="B11" s="117">
        <f t="shared" si="6"/>
        <v>600</v>
      </c>
      <c r="C11" s="9">
        <f t="shared" si="1"/>
        <v>1200</v>
      </c>
      <c r="D11" s="117">
        <f t="shared" si="2"/>
        <v>5400</v>
      </c>
      <c r="E11" s="354">
        <f t="shared" si="3"/>
        <v>0</v>
      </c>
      <c r="F11" s="247"/>
      <c r="G11" s="279"/>
      <c r="H11" s="1"/>
      <c r="I11" s="9"/>
      <c r="J11" s="351" t="e">
        <f t="shared" si="0"/>
        <v>#DIV/0!</v>
      </c>
      <c r="K11" s="276" t="e">
        <f t="shared" si="4"/>
        <v>#DIV/0!</v>
      </c>
      <c r="L11" s="286" t="e">
        <f t="shared" si="5"/>
        <v>#DIV/0!</v>
      </c>
    </row>
    <row r="12" spans="1:12" x14ac:dyDescent="0.2">
      <c r="A12" s="126">
        <v>700</v>
      </c>
      <c r="B12" s="117">
        <f t="shared" si="6"/>
        <v>700</v>
      </c>
      <c r="C12" s="9">
        <f t="shared" si="1"/>
        <v>1400</v>
      </c>
      <c r="D12" s="117">
        <f t="shared" si="2"/>
        <v>6300</v>
      </c>
      <c r="E12" s="354">
        <f t="shared" si="3"/>
        <v>0</v>
      </c>
      <c r="F12" s="247"/>
      <c r="G12" s="279"/>
      <c r="H12" s="1"/>
      <c r="I12" s="9"/>
      <c r="J12" s="351" t="e">
        <f t="shared" si="0"/>
        <v>#DIV/0!</v>
      </c>
      <c r="K12" s="276" t="e">
        <f t="shared" si="4"/>
        <v>#DIV/0!</v>
      </c>
      <c r="L12" s="286" t="e">
        <f t="shared" si="5"/>
        <v>#DIV/0!</v>
      </c>
    </row>
    <row r="13" spans="1:12" x14ac:dyDescent="0.2">
      <c r="A13" s="126">
        <v>800</v>
      </c>
      <c r="B13" s="117">
        <f t="shared" si="6"/>
        <v>800</v>
      </c>
      <c r="C13" s="9">
        <f t="shared" si="1"/>
        <v>1600</v>
      </c>
      <c r="D13" s="117">
        <f t="shared" si="2"/>
        <v>7200</v>
      </c>
      <c r="E13" s="354">
        <f t="shared" si="3"/>
        <v>0</v>
      </c>
      <c r="F13" s="247"/>
      <c r="G13" s="279"/>
      <c r="H13" s="1"/>
      <c r="I13" s="9"/>
      <c r="J13" s="351" t="e">
        <f t="shared" si="0"/>
        <v>#DIV/0!</v>
      </c>
      <c r="K13" s="276" t="e">
        <f t="shared" si="4"/>
        <v>#DIV/0!</v>
      </c>
      <c r="L13" s="286" t="e">
        <f t="shared" si="5"/>
        <v>#DIV/0!</v>
      </c>
    </row>
    <row r="14" spans="1:12" x14ac:dyDescent="0.2">
      <c r="A14" s="126">
        <v>900</v>
      </c>
      <c r="B14" s="117">
        <f t="shared" si="6"/>
        <v>900</v>
      </c>
      <c r="C14" s="9">
        <f t="shared" si="1"/>
        <v>1800</v>
      </c>
      <c r="D14" s="117">
        <f t="shared" si="2"/>
        <v>8100</v>
      </c>
      <c r="E14" s="354">
        <f t="shared" si="3"/>
        <v>0</v>
      </c>
      <c r="F14" s="247"/>
      <c r="G14" s="279"/>
      <c r="H14" s="1"/>
      <c r="I14" s="9"/>
      <c r="J14" s="351" t="e">
        <f t="shared" si="0"/>
        <v>#DIV/0!</v>
      </c>
      <c r="K14" s="276" t="e">
        <f t="shared" si="4"/>
        <v>#DIV/0!</v>
      </c>
      <c r="L14" s="286" t="e">
        <f t="shared" si="5"/>
        <v>#DIV/0!</v>
      </c>
    </row>
    <row r="15" spans="1:12" ht="17" thickBot="1" x14ac:dyDescent="0.25">
      <c r="A15" s="127">
        <v>1000</v>
      </c>
      <c r="B15" s="118">
        <f t="shared" si="6"/>
        <v>1000</v>
      </c>
      <c r="C15" s="10">
        <f t="shared" si="1"/>
        <v>2000</v>
      </c>
      <c r="D15" s="118">
        <f t="shared" si="2"/>
        <v>9000</v>
      </c>
      <c r="E15" s="355">
        <f t="shared" si="3"/>
        <v>0</v>
      </c>
      <c r="F15" s="274"/>
      <c r="G15" s="289"/>
      <c r="H15" s="171"/>
      <c r="I15" s="10"/>
      <c r="J15" s="352" t="e">
        <f t="shared" si="0"/>
        <v>#DIV/0!</v>
      </c>
      <c r="K15" s="297" t="e">
        <f t="shared" si="4"/>
        <v>#DIV/0!</v>
      </c>
      <c r="L15" s="290" t="e">
        <f t="shared" si="5"/>
        <v>#DIV/0!</v>
      </c>
    </row>
    <row r="16" spans="1:12" ht="17" thickBot="1" x14ac:dyDescent="0.25"/>
    <row r="17" spans="1:12" x14ac:dyDescent="0.2">
      <c r="A17" s="324" t="s">
        <v>179</v>
      </c>
      <c r="B17" s="170" t="s">
        <v>196</v>
      </c>
      <c r="C17" s="325" t="s">
        <v>159</v>
      </c>
      <c r="D17" s="326">
        <f>D2</f>
        <v>0.24316252465496735</v>
      </c>
      <c r="E17" s="325" t="s">
        <v>160</v>
      </c>
      <c r="F17" s="326">
        <f>F2</f>
        <v>0.18150699941725082</v>
      </c>
      <c r="G17" s="325" t="s">
        <v>184</v>
      </c>
      <c r="H17" s="326" t="e">
        <f>L18/L17</f>
        <v>#DIV/0!</v>
      </c>
      <c r="I17" s="325" t="s">
        <v>192</v>
      </c>
      <c r="J17" s="326">
        <f>J2</f>
        <v>1.7466414588190893</v>
      </c>
      <c r="K17" s="325" t="s">
        <v>194</v>
      </c>
      <c r="L17" s="327">
        <f>M90</f>
        <v>0</v>
      </c>
    </row>
    <row r="18" spans="1:12" ht="17" thickBot="1" x14ac:dyDescent="0.25">
      <c r="A18" s="328" t="s">
        <v>167</v>
      </c>
      <c r="B18" s="171">
        <f>B3</f>
        <v>2</v>
      </c>
      <c r="C18" s="329" t="s">
        <v>168</v>
      </c>
      <c r="D18" s="330">
        <f>D3</f>
        <v>3</v>
      </c>
      <c r="E18" s="329" t="s">
        <v>57</v>
      </c>
      <c r="F18" s="330">
        <v>2</v>
      </c>
      <c r="G18" s="329"/>
      <c r="H18" s="330"/>
      <c r="I18" s="329"/>
      <c r="J18" s="330"/>
      <c r="K18" s="329" t="s">
        <v>195</v>
      </c>
      <c r="L18" s="10">
        <f>L92</f>
        <v>0</v>
      </c>
    </row>
    <row r="19" spans="1:12" ht="17" thickBot="1" x14ac:dyDescent="0.25">
      <c r="K19" s="323"/>
      <c r="L19" s="164"/>
    </row>
    <row r="20" spans="1:12" ht="17" thickBot="1" x14ac:dyDescent="0.25">
      <c r="A20" s="319" t="s">
        <v>56</v>
      </c>
      <c r="B20" s="320" t="s">
        <v>176</v>
      </c>
      <c r="C20" s="321" t="s">
        <v>177</v>
      </c>
      <c r="D20" s="321" t="s">
        <v>181</v>
      </c>
      <c r="E20" s="321" t="s">
        <v>182</v>
      </c>
      <c r="F20" s="278" t="s">
        <v>183</v>
      </c>
      <c r="G20" s="320" t="s">
        <v>170</v>
      </c>
      <c r="H20" s="321" t="s">
        <v>171</v>
      </c>
      <c r="I20" s="322"/>
      <c r="J20" s="277" t="s">
        <v>178</v>
      </c>
      <c r="K20" s="321" t="s">
        <v>174</v>
      </c>
      <c r="L20" s="322" t="s">
        <v>180</v>
      </c>
    </row>
    <row r="21" spans="1:12" x14ac:dyDescent="0.2">
      <c r="A21" s="280">
        <v>100</v>
      </c>
      <c r="B21" s="281">
        <f>A21</f>
        <v>100</v>
      </c>
      <c r="C21" s="291">
        <f t="shared" ref="C21:F30" si="7">B21*$F$18</f>
        <v>200</v>
      </c>
      <c r="D21" s="291">
        <f t="shared" si="7"/>
        <v>400</v>
      </c>
      <c r="E21" s="291">
        <f t="shared" si="7"/>
        <v>800</v>
      </c>
      <c r="F21" s="291">
        <f t="shared" si="7"/>
        <v>1600</v>
      </c>
      <c r="G21" s="281">
        <f>SUM(B21:F21)*$D$18</f>
        <v>9300</v>
      </c>
      <c r="H21" s="331">
        <f t="shared" ref="H21:H30" si="8">$L$17*A21</f>
        <v>0</v>
      </c>
      <c r="I21" s="332"/>
      <c r="J21" s="300" t="e">
        <f t="shared" ref="J21:J30" si="9">H21/$H$17</f>
        <v>#DIV/0!</v>
      </c>
      <c r="K21" s="292" t="e">
        <f>G21/$H$17</f>
        <v>#DIV/0!</v>
      </c>
      <c r="L21" s="293" t="e">
        <f>K21*2</f>
        <v>#DIV/0!</v>
      </c>
    </row>
    <row r="22" spans="1:12" x14ac:dyDescent="0.2">
      <c r="A22" s="282">
        <v>200</v>
      </c>
      <c r="B22" s="133">
        <f t="shared" ref="B22:B30" si="10">A22</f>
        <v>200</v>
      </c>
      <c r="C22" s="284">
        <f t="shared" si="7"/>
        <v>400</v>
      </c>
      <c r="D22" s="284">
        <f t="shared" si="7"/>
        <v>800</v>
      </c>
      <c r="E22" s="284">
        <f t="shared" si="7"/>
        <v>1600</v>
      </c>
      <c r="F22" s="298">
        <f t="shared" si="7"/>
        <v>3200</v>
      </c>
      <c r="G22" s="133">
        <f t="shared" ref="G22:G30" si="11">SUM(B22:F22)*$D$18</f>
        <v>18600</v>
      </c>
      <c r="H22" s="285">
        <f t="shared" si="8"/>
        <v>0</v>
      </c>
      <c r="I22" s="303"/>
      <c r="J22" s="301" t="e">
        <f t="shared" si="9"/>
        <v>#DIV/0!</v>
      </c>
      <c r="K22" s="279" t="e">
        <f t="shared" ref="K22:K30" si="12">G22/$H$17</f>
        <v>#DIV/0!</v>
      </c>
      <c r="L22" s="286" t="e">
        <f t="shared" ref="L22:L30" si="13">K22*2</f>
        <v>#DIV/0!</v>
      </c>
    </row>
    <row r="23" spans="1:12" x14ac:dyDescent="0.2">
      <c r="A23" s="282">
        <v>300</v>
      </c>
      <c r="B23" s="133">
        <f t="shared" si="10"/>
        <v>300</v>
      </c>
      <c r="C23" s="284">
        <f t="shared" si="7"/>
        <v>600</v>
      </c>
      <c r="D23" s="284">
        <f t="shared" si="7"/>
        <v>1200</v>
      </c>
      <c r="E23" s="284">
        <f t="shared" si="7"/>
        <v>2400</v>
      </c>
      <c r="F23" s="298">
        <f t="shared" si="7"/>
        <v>4800</v>
      </c>
      <c r="G23" s="133">
        <f t="shared" si="11"/>
        <v>27900</v>
      </c>
      <c r="H23" s="285">
        <f t="shared" si="8"/>
        <v>0</v>
      </c>
      <c r="I23" s="303"/>
      <c r="J23" s="301" t="e">
        <f t="shared" si="9"/>
        <v>#DIV/0!</v>
      </c>
      <c r="K23" s="279" t="e">
        <f t="shared" si="12"/>
        <v>#DIV/0!</v>
      </c>
      <c r="L23" s="286" t="e">
        <f t="shared" si="13"/>
        <v>#DIV/0!</v>
      </c>
    </row>
    <row r="24" spans="1:12" x14ac:dyDescent="0.2">
      <c r="A24" s="282">
        <v>400</v>
      </c>
      <c r="B24" s="133">
        <f t="shared" si="10"/>
        <v>400</v>
      </c>
      <c r="C24" s="284">
        <f t="shared" si="7"/>
        <v>800</v>
      </c>
      <c r="D24" s="284">
        <f t="shared" si="7"/>
        <v>1600</v>
      </c>
      <c r="E24" s="284">
        <f t="shared" si="7"/>
        <v>3200</v>
      </c>
      <c r="F24" s="298">
        <f t="shared" si="7"/>
        <v>6400</v>
      </c>
      <c r="G24" s="133">
        <f t="shared" si="11"/>
        <v>37200</v>
      </c>
      <c r="H24" s="285">
        <f t="shared" si="8"/>
        <v>0</v>
      </c>
      <c r="I24" s="303"/>
      <c r="J24" s="301" t="e">
        <f t="shared" si="9"/>
        <v>#DIV/0!</v>
      </c>
      <c r="K24" s="279" t="e">
        <f t="shared" si="12"/>
        <v>#DIV/0!</v>
      </c>
      <c r="L24" s="286" t="e">
        <f t="shared" si="13"/>
        <v>#DIV/0!</v>
      </c>
    </row>
    <row r="25" spans="1:12" x14ac:dyDescent="0.2">
      <c r="A25" s="282">
        <v>500</v>
      </c>
      <c r="B25" s="133">
        <f t="shared" si="10"/>
        <v>500</v>
      </c>
      <c r="C25" s="284">
        <f t="shared" si="7"/>
        <v>1000</v>
      </c>
      <c r="D25" s="284">
        <f t="shared" si="7"/>
        <v>2000</v>
      </c>
      <c r="E25" s="284">
        <f t="shared" si="7"/>
        <v>4000</v>
      </c>
      <c r="F25" s="298">
        <f t="shared" si="7"/>
        <v>8000</v>
      </c>
      <c r="G25" s="133">
        <f t="shared" si="11"/>
        <v>46500</v>
      </c>
      <c r="H25" s="285">
        <f t="shared" si="8"/>
        <v>0</v>
      </c>
      <c r="I25" s="303"/>
      <c r="J25" s="301" t="e">
        <f t="shared" si="9"/>
        <v>#DIV/0!</v>
      </c>
      <c r="K25" s="279" t="e">
        <f t="shared" si="12"/>
        <v>#DIV/0!</v>
      </c>
      <c r="L25" s="286" t="e">
        <f t="shared" si="13"/>
        <v>#DIV/0!</v>
      </c>
    </row>
    <row r="26" spans="1:12" x14ac:dyDescent="0.2">
      <c r="A26" s="282">
        <v>600</v>
      </c>
      <c r="B26" s="133">
        <f t="shared" si="10"/>
        <v>600</v>
      </c>
      <c r="C26" s="284">
        <f t="shared" si="7"/>
        <v>1200</v>
      </c>
      <c r="D26" s="284">
        <f t="shared" si="7"/>
        <v>2400</v>
      </c>
      <c r="E26" s="284">
        <f t="shared" si="7"/>
        <v>4800</v>
      </c>
      <c r="F26" s="298">
        <f t="shared" si="7"/>
        <v>9600</v>
      </c>
      <c r="G26" s="133">
        <f t="shared" si="11"/>
        <v>55800</v>
      </c>
      <c r="H26" s="285">
        <f t="shared" si="8"/>
        <v>0</v>
      </c>
      <c r="I26" s="303"/>
      <c r="J26" s="301" t="e">
        <f t="shared" si="9"/>
        <v>#DIV/0!</v>
      </c>
      <c r="K26" s="279" t="e">
        <f t="shared" si="12"/>
        <v>#DIV/0!</v>
      </c>
      <c r="L26" s="286" t="e">
        <f t="shared" si="13"/>
        <v>#DIV/0!</v>
      </c>
    </row>
    <row r="27" spans="1:12" x14ac:dyDescent="0.2">
      <c r="A27" s="282">
        <v>700</v>
      </c>
      <c r="B27" s="133">
        <f t="shared" si="10"/>
        <v>700</v>
      </c>
      <c r="C27" s="284">
        <f t="shared" si="7"/>
        <v>1400</v>
      </c>
      <c r="D27" s="284">
        <f t="shared" si="7"/>
        <v>2800</v>
      </c>
      <c r="E27" s="284">
        <f t="shared" si="7"/>
        <v>5600</v>
      </c>
      <c r="F27" s="298">
        <f t="shared" si="7"/>
        <v>11200</v>
      </c>
      <c r="G27" s="133">
        <f t="shared" si="11"/>
        <v>65100</v>
      </c>
      <c r="H27" s="285">
        <f t="shared" si="8"/>
        <v>0</v>
      </c>
      <c r="I27" s="303"/>
      <c r="J27" s="301" t="e">
        <f t="shared" si="9"/>
        <v>#DIV/0!</v>
      </c>
      <c r="K27" s="279" t="e">
        <f t="shared" si="12"/>
        <v>#DIV/0!</v>
      </c>
      <c r="L27" s="286" t="e">
        <f t="shared" si="13"/>
        <v>#DIV/0!</v>
      </c>
    </row>
    <row r="28" spans="1:12" x14ac:dyDescent="0.2">
      <c r="A28" s="282">
        <v>800</v>
      </c>
      <c r="B28" s="133">
        <f t="shared" si="10"/>
        <v>800</v>
      </c>
      <c r="C28" s="284">
        <f t="shared" si="7"/>
        <v>1600</v>
      </c>
      <c r="D28" s="284">
        <f t="shared" si="7"/>
        <v>3200</v>
      </c>
      <c r="E28" s="284">
        <f t="shared" si="7"/>
        <v>6400</v>
      </c>
      <c r="F28" s="298">
        <f t="shared" si="7"/>
        <v>12800</v>
      </c>
      <c r="G28" s="133">
        <f t="shared" si="11"/>
        <v>74400</v>
      </c>
      <c r="H28" s="285">
        <f t="shared" si="8"/>
        <v>0</v>
      </c>
      <c r="I28" s="303"/>
      <c r="J28" s="301" t="e">
        <f t="shared" si="9"/>
        <v>#DIV/0!</v>
      </c>
      <c r="K28" s="279" t="e">
        <f t="shared" si="12"/>
        <v>#DIV/0!</v>
      </c>
      <c r="L28" s="286" t="e">
        <f t="shared" si="13"/>
        <v>#DIV/0!</v>
      </c>
    </row>
    <row r="29" spans="1:12" x14ac:dyDescent="0.2">
      <c r="A29" s="282">
        <v>900</v>
      </c>
      <c r="B29" s="133">
        <f t="shared" si="10"/>
        <v>900</v>
      </c>
      <c r="C29" s="284">
        <f t="shared" si="7"/>
        <v>1800</v>
      </c>
      <c r="D29" s="284">
        <f t="shared" si="7"/>
        <v>3600</v>
      </c>
      <c r="E29" s="284">
        <f t="shared" si="7"/>
        <v>7200</v>
      </c>
      <c r="F29" s="298">
        <f t="shared" si="7"/>
        <v>14400</v>
      </c>
      <c r="G29" s="133">
        <f t="shared" si="11"/>
        <v>83700</v>
      </c>
      <c r="H29" s="285">
        <f t="shared" si="8"/>
        <v>0</v>
      </c>
      <c r="I29" s="303"/>
      <c r="J29" s="301" t="e">
        <f t="shared" si="9"/>
        <v>#DIV/0!</v>
      </c>
      <c r="K29" s="279" t="e">
        <f t="shared" si="12"/>
        <v>#DIV/0!</v>
      </c>
      <c r="L29" s="286" t="e">
        <f t="shared" si="13"/>
        <v>#DIV/0!</v>
      </c>
    </row>
    <row r="30" spans="1:12" ht="17" thickBot="1" x14ac:dyDescent="0.25">
      <c r="A30" s="283">
        <v>1000</v>
      </c>
      <c r="B30" s="134">
        <f t="shared" si="10"/>
        <v>1000</v>
      </c>
      <c r="C30" s="287">
        <f t="shared" si="7"/>
        <v>2000</v>
      </c>
      <c r="D30" s="287">
        <f t="shared" si="7"/>
        <v>4000</v>
      </c>
      <c r="E30" s="287">
        <f t="shared" si="7"/>
        <v>8000</v>
      </c>
      <c r="F30" s="299">
        <f t="shared" si="7"/>
        <v>16000</v>
      </c>
      <c r="G30" s="134">
        <f t="shared" si="11"/>
        <v>93000</v>
      </c>
      <c r="H30" s="288">
        <f t="shared" si="8"/>
        <v>0</v>
      </c>
      <c r="I30" s="304"/>
      <c r="J30" s="302" t="e">
        <f t="shared" si="9"/>
        <v>#DIV/0!</v>
      </c>
      <c r="K30" s="289" t="e">
        <f t="shared" si="12"/>
        <v>#DIV/0!</v>
      </c>
      <c r="L30" s="290" t="e">
        <f t="shared" si="13"/>
        <v>#DIV/0!</v>
      </c>
    </row>
    <row r="31" spans="1:12" ht="17" thickBot="1" x14ac:dyDescent="0.25"/>
    <row r="32" spans="1:12" x14ac:dyDescent="0.2">
      <c r="A32" s="324" t="s">
        <v>179</v>
      </c>
      <c r="B32" s="170" t="s">
        <v>198</v>
      </c>
      <c r="C32" s="325" t="s">
        <v>159</v>
      </c>
      <c r="D32" s="326">
        <f>D17</f>
        <v>0.24316252465496735</v>
      </c>
      <c r="E32" s="325" t="s">
        <v>160</v>
      </c>
      <c r="F32" s="326">
        <f>F17</f>
        <v>0.18150699941725082</v>
      </c>
      <c r="G32" s="325" t="s">
        <v>184</v>
      </c>
      <c r="H32" s="326" t="e">
        <f>L33/L32</f>
        <v>#DIV/0!</v>
      </c>
      <c r="I32" s="325" t="s">
        <v>192</v>
      </c>
      <c r="J32" s="326">
        <f>J17</f>
        <v>1.7466414588190893</v>
      </c>
      <c r="K32" s="325" t="s">
        <v>194</v>
      </c>
      <c r="L32" s="327">
        <f>M95</f>
        <v>0</v>
      </c>
    </row>
    <row r="33" spans="1:12" ht="17" thickBot="1" x14ac:dyDescent="0.25">
      <c r="A33" s="328" t="s">
        <v>167</v>
      </c>
      <c r="B33" s="171">
        <f>B18</f>
        <v>2</v>
      </c>
      <c r="C33" s="329" t="s">
        <v>168</v>
      </c>
      <c r="D33" s="330">
        <f>D18</f>
        <v>3</v>
      </c>
      <c r="E33" s="329" t="s">
        <v>57</v>
      </c>
      <c r="F33" s="330">
        <v>2</v>
      </c>
      <c r="G33" s="329"/>
      <c r="H33" s="330"/>
      <c r="I33" s="329"/>
      <c r="J33" s="330"/>
      <c r="K33" s="329" t="s">
        <v>195</v>
      </c>
      <c r="L33" s="10">
        <f>L97</f>
        <v>0</v>
      </c>
    </row>
    <row r="34" spans="1:12" ht="17" thickBot="1" x14ac:dyDescent="0.25">
      <c r="K34" s="323"/>
      <c r="L34" s="164"/>
    </row>
    <row r="35" spans="1:12" ht="17" thickBot="1" x14ac:dyDescent="0.25">
      <c r="A35" s="342" t="s">
        <v>56</v>
      </c>
      <c r="B35" s="343" t="s">
        <v>176</v>
      </c>
      <c r="C35" s="344" t="s">
        <v>177</v>
      </c>
      <c r="D35" s="344" t="s">
        <v>181</v>
      </c>
      <c r="E35" s="344" t="s">
        <v>182</v>
      </c>
      <c r="F35" s="278" t="s">
        <v>183</v>
      </c>
      <c r="G35" s="347" t="s">
        <v>199</v>
      </c>
      <c r="H35" s="343" t="s">
        <v>170</v>
      </c>
      <c r="I35" s="345" t="s">
        <v>171</v>
      </c>
      <c r="J35" s="277" t="s">
        <v>178</v>
      </c>
      <c r="K35" s="344" t="s">
        <v>174</v>
      </c>
      <c r="L35" s="345" t="s">
        <v>180</v>
      </c>
    </row>
    <row r="36" spans="1:12" x14ac:dyDescent="0.2">
      <c r="A36" s="280">
        <v>100</v>
      </c>
      <c r="B36" s="281">
        <f>A36</f>
        <v>100</v>
      </c>
      <c r="C36" s="291">
        <f>B36*$F$18</f>
        <v>200</v>
      </c>
      <c r="D36" s="291">
        <f t="shared" ref="D36:D45" si="14">C36*$F$18</f>
        <v>400</v>
      </c>
      <c r="E36" s="291">
        <f t="shared" ref="E36:E45" si="15">D36*$F$18</f>
        <v>800</v>
      </c>
      <c r="F36" s="291">
        <f t="shared" ref="F36:G45" si="16">E36*$F$18</f>
        <v>1600</v>
      </c>
      <c r="G36" s="348">
        <f t="shared" si="16"/>
        <v>3200</v>
      </c>
      <c r="H36" s="281">
        <f>SUM(B36:G36)*$D$33</f>
        <v>18900</v>
      </c>
      <c r="I36" s="332">
        <f>$L$32*A36</f>
        <v>0</v>
      </c>
      <c r="J36" s="300" t="e">
        <f>I36/$H$32</f>
        <v>#DIV/0!</v>
      </c>
      <c r="K36" s="292" t="e">
        <f>H36/$H$32</f>
        <v>#DIV/0!</v>
      </c>
      <c r="L36" s="293" t="e">
        <f>K36*2</f>
        <v>#DIV/0!</v>
      </c>
    </row>
    <row r="37" spans="1:12" x14ac:dyDescent="0.2">
      <c r="A37" s="282">
        <v>200</v>
      </c>
      <c r="B37" s="133">
        <f t="shared" ref="B37:B45" si="17">A37</f>
        <v>200</v>
      </c>
      <c r="C37" s="284">
        <f t="shared" ref="C37:C45" si="18">B37*$F$18</f>
        <v>400</v>
      </c>
      <c r="D37" s="284">
        <f t="shared" si="14"/>
        <v>800</v>
      </c>
      <c r="E37" s="284">
        <f t="shared" si="15"/>
        <v>1600</v>
      </c>
      <c r="F37" s="298">
        <f t="shared" si="16"/>
        <v>3200</v>
      </c>
      <c r="G37" s="348">
        <f t="shared" si="16"/>
        <v>6400</v>
      </c>
      <c r="H37" s="281">
        <f t="shared" ref="H37:H45" si="19">SUM(B37:G37)*$D$33</f>
        <v>37800</v>
      </c>
      <c r="I37" s="303">
        <f t="shared" ref="I37:I45" si="20">$L$32*A37</f>
        <v>0</v>
      </c>
      <c r="J37" s="301" t="e">
        <f t="shared" ref="J37:J45" si="21">I37/$H$32</f>
        <v>#DIV/0!</v>
      </c>
      <c r="K37" s="279" t="e">
        <f t="shared" ref="K37:K45" si="22">H37/$H$32</f>
        <v>#DIV/0!</v>
      </c>
      <c r="L37" s="286" t="e">
        <f t="shared" ref="L37:L45" si="23">K37*2</f>
        <v>#DIV/0!</v>
      </c>
    </row>
    <row r="38" spans="1:12" x14ac:dyDescent="0.2">
      <c r="A38" s="282">
        <v>300</v>
      </c>
      <c r="B38" s="133">
        <f t="shared" si="17"/>
        <v>300</v>
      </c>
      <c r="C38" s="284">
        <f t="shared" si="18"/>
        <v>600</v>
      </c>
      <c r="D38" s="284">
        <f t="shared" si="14"/>
        <v>1200</v>
      </c>
      <c r="E38" s="284">
        <f t="shared" si="15"/>
        <v>2400</v>
      </c>
      <c r="F38" s="298">
        <f t="shared" si="16"/>
        <v>4800</v>
      </c>
      <c r="G38" s="348">
        <f t="shared" si="16"/>
        <v>9600</v>
      </c>
      <c r="H38" s="281">
        <f t="shared" si="19"/>
        <v>56700</v>
      </c>
      <c r="I38" s="303">
        <f t="shared" si="20"/>
        <v>0</v>
      </c>
      <c r="J38" s="301" t="e">
        <f t="shared" si="21"/>
        <v>#DIV/0!</v>
      </c>
      <c r="K38" s="279" t="e">
        <f t="shared" si="22"/>
        <v>#DIV/0!</v>
      </c>
      <c r="L38" s="286" t="e">
        <f t="shared" si="23"/>
        <v>#DIV/0!</v>
      </c>
    </row>
    <row r="39" spans="1:12" x14ac:dyDescent="0.2">
      <c r="A39" s="282">
        <v>400</v>
      </c>
      <c r="B39" s="133">
        <f t="shared" si="17"/>
        <v>400</v>
      </c>
      <c r="C39" s="284">
        <f t="shared" si="18"/>
        <v>800</v>
      </c>
      <c r="D39" s="284">
        <f t="shared" si="14"/>
        <v>1600</v>
      </c>
      <c r="E39" s="284">
        <f t="shared" si="15"/>
        <v>3200</v>
      </c>
      <c r="F39" s="298">
        <f t="shared" si="16"/>
        <v>6400</v>
      </c>
      <c r="G39" s="348">
        <f t="shared" si="16"/>
        <v>12800</v>
      </c>
      <c r="H39" s="281">
        <f t="shared" si="19"/>
        <v>75600</v>
      </c>
      <c r="I39" s="303">
        <f t="shared" si="20"/>
        <v>0</v>
      </c>
      <c r="J39" s="301" t="e">
        <f t="shared" si="21"/>
        <v>#DIV/0!</v>
      </c>
      <c r="K39" s="279" t="e">
        <f t="shared" si="22"/>
        <v>#DIV/0!</v>
      </c>
      <c r="L39" s="286" t="e">
        <f t="shared" si="23"/>
        <v>#DIV/0!</v>
      </c>
    </row>
    <row r="40" spans="1:12" x14ac:dyDescent="0.2">
      <c r="A40" s="282">
        <v>500</v>
      </c>
      <c r="B40" s="133">
        <f t="shared" si="17"/>
        <v>500</v>
      </c>
      <c r="C40" s="284">
        <f t="shared" si="18"/>
        <v>1000</v>
      </c>
      <c r="D40" s="284">
        <f t="shared" si="14"/>
        <v>2000</v>
      </c>
      <c r="E40" s="284">
        <f t="shared" si="15"/>
        <v>4000</v>
      </c>
      <c r="F40" s="298">
        <f t="shared" si="16"/>
        <v>8000</v>
      </c>
      <c r="G40" s="348">
        <f t="shared" si="16"/>
        <v>16000</v>
      </c>
      <c r="H40" s="281">
        <f t="shared" si="19"/>
        <v>94500</v>
      </c>
      <c r="I40" s="303">
        <f t="shared" si="20"/>
        <v>0</v>
      </c>
      <c r="J40" s="301" t="e">
        <f t="shared" si="21"/>
        <v>#DIV/0!</v>
      </c>
      <c r="K40" s="279" t="e">
        <f t="shared" si="22"/>
        <v>#DIV/0!</v>
      </c>
      <c r="L40" s="286" t="e">
        <f t="shared" si="23"/>
        <v>#DIV/0!</v>
      </c>
    </row>
    <row r="41" spans="1:12" x14ac:dyDescent="0.2">
      <c r="A41" s="282">
        <v>600</v>
      </c>
      <c r="B41" s="133">
        <f t="shared" si="17"/>
        <v>600</v>
      </c>
      <c r="C41" s="284">
        <f t="shared" si="18"/>
        <v>1200</v>
      </c>
      <c r="D41" s="284">
        <f t="shared" si="14"/>
        <v>2400</v>
      </c>
      <c r="E41" s="284">
        <f t="shared" si="15"/>
        <v>4800</v>
      </c>
      <c r="F41" s="298">
        <f t="shared" si="16"/>
        <v>9600</v>
      </c>
      <c r="G41" s="348">
        <f t="shared" si="16"/>
        <v>19200</v>
      </c>
      <c r="H41" s="281">
        <f t="shared" si="19"/>
        <v>113400</v>
      </c>
      <c r="I41" s="303">
        <f t="shared" si="20"/>
        <v>0</v>
      </c>
      <c r="J41" s="301" t="e">
        <f t="shared" si="21"/>
        <v>#DIV/0!</v>
      </c>
      <c r="K41" s="279" t="e">
        <f t="shared" si="22"/>
        <v>#DIV/0!</v>
      </c>
      <c r="L41" s="286" t="e">
        <f t="shared" si="23"/>
        <v>#DIV/0!</v>
      </c>
    </row>
    <row r="42" spans="1:12" x14ac:dyDescent="0.2">
      <c r="A42" s="282">
        <v>700</v>
      </c>
      <c r="B42" s="133">
        <f t="shared" si="17"/>
        <v>700</v>
      </c>
      <c r="C42" s="284">
        <f t="shared" si="18"/>
        <v>1400</v>
      </c>
      <c r="D42" s="284">
        <f t="shared" si="14"/>
        <v>2800</v>
      </c>
      <c r="E42" s="284">
        <f t="shared" si="15"/>
        <v>5600</v>
      </c>
      <c r="F42" s="298">
        <f t="shared" si="16"/>
        <v>11200</v>
      </c>
      <c r="G42" s="348">
        <f t="shared" si="16"/>
        <v>22400</v>
      </c>
      <c r="H42" s="281">
        <f t="shared" si="19"/>
        <v>132300</v>
      </c>
      <c r="I42" s="303">
        <f t="shared" si="20"/>
        <v>0</v>
      </c>
      <c r="J42" s="301" t="e">
        <f t="shared" si="21"/>
        <v>#DIV/0!</v>
      </c>
      <c r="K42" s="279" t="e">
        <f t="shared" si="22"/>
        <v>#DIV/0!</v>
      </c>
      <c r="L42" s="286" t="e">
        <f t="shared" si="23"/>
        <v>#DIV/0!</v>
      </c>
    </row>
    <row r="43" spans="1:12" x14ac:dyDescent="0.2">
      <c r="A43" s="282">
        <v>800</v>
      </c>
      <c r="B43" s="133">
        <f t="shared" si="17"/>
        <v>800</v>
      </c>
      <c r="C43" s="284">
        <f t="shared" si="18"/>
        <v>1600</v>
      </c>
      <c r="D43" s="284">
        <f t="shared" si="14"/>
        <v>3200</v>
      </c>
      <c r="E43" s="284">
        <f t="shared" si="15"/>
        <v>6400</v>
      </c>
      <c r="F43" s="298">
        <f t="shared" si="16"/>
        <v>12800</v>
      </c>
      <c r="G43" s="348">
        <f t="shared" si="16"/>
        <v>25600</v>
      </c>
      <c r="H43" s="281">
        <f t="shared" si="19"/>
        <v>151200</v>
      </c>
      <c r="I43" s="303">
        <f t="shared" si="20"/>
        <v>0</v>
      </c>
      <c r="J43" s="301" t="e">
        <f t="shared" si="21"/>
        <v>#DIV/0!</v>
      </c>
      <c r="K43" s="279" t="e">
        <f t="shared" si="22"/>
        <v>#DIV/0!</v>
      </c>
      <c r="L43" s="286" t="e">
        <f t="shared" si="23"/>
        <v>#DIV/0!</v>
      </c>
    </row>
    <row r="44" spans="1:12" x14ac:dyDescent="0.2">
      <c r="A44" s="282">
        <v>900</v>
      </c>
      <c r="B44" s="133">
        <f t="shared" si="17"/>
        <v>900</v>
      </c>
      <c r="C44" s="284">
        <f t="shared" si="18"/>
        <v>1800</v>
      </c>
      <c r="D44" s="284">
        <f t="shared" si="14"/>
        <v>3600</v>
      </c>
      <c r="E44" s="284">
        <f t="shared" si="15"/>
        <v>7200</v>
      </c>
      <c r="F44" s="298">
        <f t="shared" si="16"/>
        <v>14400</v>
      </c>
      <c r="G44" s="348">
        <f t="shared" si="16"/>
        <v>28800</v>
      </c>
      <c r="H44" s="281">
        <f t="shared" si="19"/>
        <v>170100</v>
      </c>
      <c r="I44" s="303">
        <f t="shared" si="20"/>
        <v>0</v>
      </c>
      <c r="J44" s="301" t="e">
        <f t="shared" si="21"/>
        <v>#DIV/0!</v>
      </c>
      <c r="K44" s="279" t="e">
        <f t="shared" si="22"/>
        <v>#DIV/0!</v>
      </c>
      <c r="L44" s="286" t="e">
        <f t="shared" si="23"/>
        <v>#DIV/0!</v>
      </c>
    </row>
    <row r="45" spans="1:12" ht="17" thickBot="1" x14ac:dyDescent="0.25">
      <c r="A45" s="283">
        <v>1000</v>
      </c>
      <c r="B45" s="134">
        <f t="shared" si="17"/>
        <v>1000</v>
      </c>
      <c r="C45" s="287">
        <f t="shared" si="18"/>
        <v>2000</v>
      </c>
      <c r="D45" s="287">
        <f t="shared" si="14"/>
        <v>4000</v>
      </c>
      <c r="E45" s="287">
        <f t="shared" si="15"/>
        <v>8000</v>
      </c>
      <c r="F45" s="299">
        <f t="shared" si="16"/>
        <v>16000</v>
      </c>
      <c r="G45" s="349">
        <f t="shared" si="16"/>
        <v>32000</v>
      </c>
      <c r="H45" s="346">
        <f t="shared" si="19"/>
        <v>189000</v>
      </c>
      <c r="I45" s="304">
        <f t="shared" si="20"/>
        <v>0</v>
      </c>
      <c r="J45" s="302" t="e">
        <f t="shared" si="21"/>
        <v>#DIV/0!</v>
      </c>
      <c r="K45" s="289" t="e">
        <f t="shared" si="22"/>
        <v>#DIV/0!</v>
      </c>
      <c r="L45" s="290" t="e">
        <f t="shared" si="23"/>
        <v>#DIV/0!</v>
      </c>
    </row>
    <row r="46" spans="1:12" x14ac:dyDescent="0.2">
      <c r="B46" s="255"/>
    </row>
    <row r="47" spans="1:12" x14ac:dyDescent="0.2">
      <c r="A47" t="s">
        <v>40</v>
      </c>
      <c r="B47" s="254" t="s">
        <v>159</v>
      </c>
      <c r="C47" s="253">
        <f>Analysis!B36</f>
        <v>0.24316252465496735</v>
      </c>
      <c r="D47" s="252" t="s">
        <v>160</v>
      </c>
      <c r="E47" s="253">
        <f>Analysis!G36</f>
        <v>0.18150699941725082</v>
      </c>
      <c r="G47" t="s">
        <v>190</v>
      </c>
      <c r="H47">
        <v>3</v>
      </c>
      <c r="I47" t="s">
        <v>58</v>
      </c>
      <c r="J47">
        <f>COUNT(Analysis!B36:C36)</f>
        <v>2</v>
      </c>
      <c r="K47" s="252" t="s">
        <v>191</v>
      </c>
      <c r="L47" s="253">
        <f>Analysis!R36</f>
        <v>1.7466414588190893</v>
      </c>
    </row>
    <row r="48" spans="1:12" x14ac:dyDescent="0.2">
      <c r="B48" s="255"/>
    </row>
    <row r="49" spans="1:19" x14ac:dyDescent="0.2">
      <c r="B49" s="255" t="s">
        <v>162</v>
      </c>
    </row>
    <row r="50" spans="1:19" x14ac:dyDescent="0.2">
      <c r="A50" t="s">
        <v>163</v>
      </c>
      <c r="B50" s="255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</row>
    <row r="51" spans="1:19" x14ac:dyDescent="0.2">
      <c r="A51" t="s">
        <v>157</v>
      </c>
      <c r="B51" s="255">
        <f>$C$47</f>
        <v>0.24316252465496735</v>
      </c>
      <c r="C51">
        <f>B51*$C$47</f>
        <v>5.9128013396577604E-2</v>
      </c>
      <c r="D51">
        <f t="shared" ref="D51:K51" si="24">C51*$C$47</f>
        <v>1.4377717015344542E-2</v>
      </c>
      <c r="E51">
        <f t="shared" si="24"/>
        <v>3.4961219682258606E-3</v>
      </c>
      <c r="F51">
        <f t="shared" si="24"/>
        <v>8.5012584429549384E-4</v>
      </c>
      <c r="G51">
        <f t="shared" si="24"/>
        <v>2.0671874657332795E-4</v>
      </c>
      <c r="H51">
        <f t="shared" si="24"/>
        <v>5.0266252310280805E-5</v>
      </c>
      <c r="I51">
        <f t="shared" si="24"/>
        <v>1.2222868816711465E-5</v>
      </c>
      <c r="J51">
        <f t="shared" si="24"/>
        <v>2.9721436399980334E-6</v>
      </c>
      <c r="K51">
        <f t="shared" si="24"/>
        <v>7.227139511391262E-7</v>
      </c>
    </row>
    <row r="52" spans="1:19" x14ac:dyDescent="0.2">
      <c r="A52" t="s">
        <v>158</v>
      </c>
      <c r="B52" s="255">
        <f>$E$47</f>
        <v>0.18150699941725082</v>
      </c>
      <c r="C52">
        <f>B52*$E$47</f>
        <v>3.2944790837453893E-2</v>
      </c>
      <c r="D52">
        <f t="shared" ref="D52:K52" si="25">C52*$E$47</f>
        <v>5.9797101313351936E-3</v>
      </c>
      <c r="E52">
        <f t="shared" si="25"/>
        <v>1.0853592433235858E-3</v>
      </c>
      <c r="F52">
        <f t="shared" si="25"/>
        <v>1.9700029954544188E-4</v>
      </c>
      <c r="G52">
        <f t="shared" si="25"/>
        <v>3.5756933254792755E-5</v>
      </c>
      <c r="H52">
        <f t="shared" si="25"/>
        <v>6.4901336634403451E-6</v>
      </c>
      <c r="I52">
        <f t="shared" si="25"/>
        <v>1.1780046870679466E-6</v>
      </c>
      <c r="J52">
        <f t="shared" si="25"/>
        <v>2.1381609604916051E-7</v>
      </c>
      <c r="K52">
        <f t="shared" si="25"/>
        <v>3.8809118020993822E-8</v>
      </c>
    </row>
    <row r="53" spans="1:19" x14ac:dyDescent="0.2">
      <c r="B53" s="255">
        <v>1</v>
      </c>
      <c r="C53">
        <v>2</v>
      </c>
      <c r="D53">
        <v>3</v>
      </c>
      <c r="E53" s="255">
        <v>4</v>
      </c>
      <c r="F53">
        <v>5</v>
      </c>
      <c r="G53">
        <v>6</v>
      </c>
      <c r="H53" s="255">
        <v>7</v>
      </c>
      <c r="I53">
        <v>8</v>
      </c>
      <c r="J53">
        <v>9</v>
      </c>
      <c r="K53" s="255"/>
    </row>
    <row r="54" spans="1:19" x14ac:dyDescent="0.2">
      <c r="B54" s="255">
        <f>B51+C51*B52</f>
        <v>0.25389467294808316</v>
      </c>
      <c r="C54">
        <f>B54+D51*C52</f>
        <v>0.25436834382787377</v>
      </c>
      <c r="D54">
        <f>C54+E51*D52</f>
        <v>0.25438924962382753</v>
      </c>
      <c r="E54">
        <f t="shared" ref="E54:J54" si="26">D54+F51*E52</f>
        <v>0.2543901723157706</v>
      </c>
      <c r="F54">
        <f t="shared" si="26"/>
        <v>0.25439021303942561</v>
      </c>
      <c r="G54">
        <f t="shared" si="26"/>
        <v>0.25439021483679264</v>
      </c>
      <c r="H54">
        <f t="shared" si="26"/>
        <v>0.25439021491612068</v>
      </c>
      <c r="I54">
        <f t="shared" si="26"/>
        <v>0.25439021491962188</v>
      </c>
      <c r="J54">
        <f t="shared" si="26"/>
        <v>0.25439021491977643</v>
      </c>
    </row>
    <row r="55" spans="1:19" x14ac:dyDescent="0.2">
      <c r="B55" s="255">
        <v>-1</v>
      </c>
      <c r="C55">
        <v>-2</v>
      </c>
      <c r="D55" s="255">
        <v>-3</v>
      </c>
      <c r="E55">
        <v>-4</v>
      </c>
      <c r="F55" s="255">
        <v>-5</v>
      </c>
      <c r="G55">
        <v>-6</v>
      </c>
      <c r="H55" s="255">
        <v>-7</v>
      </c>
      <c r="I55">
        <v>-8</v>
      </c>
      <c r="J55" s="255">
        <v>-9</v>
      </c>
      <c r="K55" s="255"/>
    </row>
    <row r="56" spans="1:19" ht="17" thickBot="1" x14ac:dyDescent="0.25">
      <c r="B56" s="255">
        <f>B52+B51*C52</f>
        <v>0.18951793793151595</v>
      </c>
      <c r="C56">
        <f t="shared" ref="C56:J56" si="27">B56+C51*D52</f>
        <v>0.18987150631226918</v>
      </c>
      <c r="D56">
        <f t="shared" si="27"/>
        <v>0.18988711130032968</v>
      </c>
      <c r="E56">
        <f t="shared" si="27"/>
        <v>0.18988780003740466</v>
      </c>
      <c r="F56">
        <f t="shared" si="27"/>
        <v>0.18988783043529772</v>
      </c>
      <c r="G56">
        <f t="shared" si="27"/>
        <v>0.18988783177693003</v>
      </c>
      <c r="H56">
        <f t="shared" si="27"/>
        <v>0.18988783183614391</v>
      </c>
      <c r="I56">
        <f t="shared" si="27"/>
        <v>0.18988783183875735</v>
      </c>
      <c r="J56">
        <f t="shared" si="27"/>
        <v>0.1898878318388727</v>
      </c>
    </row>
    <row r="57" spans="1:19" ht="17" thickBot="1" x14ac:dyDescent="0.25">
      <c r="A57" s="264"/>
      <c r="B57" s="140">
        <v>1</v>
      </c>
      <c r="C57" s="275">
        <v>0</v>
      </c>
      <c r="D57" s="272">
        <v>-1</v>
      </c>
      <c r="E57" s="183">
        <v>-2</v>
      </c>
      <c r="F57" s="183">
        <v>-3</v>
      </c>
      <c r="G57" s="183">
        <v>-4</v>
      </c>
      <c r="H57" s="183">
        <v>-5</v>
      </c>
      <c r="I57" s="183">
        <v>-6</v>
      </c>
      <c r="J57" s="183">
        <v>-7</v>
      </c>
      <c r="K57" s="183">
        <v>-8</v>
      </c>
      <c r="L57" s="183">
        <v>-9</v>
      </c>
      <c r="M57" s="144">
        <v>-10</v>
      </c>
      <c r="P57" s="19" t="s">
        <v>37</v>
      </c>
      <c r="Q57" s="29" t="s">
        <v>61</v>
      </c>
      <c r="R57" s="19" t="s">
        <v>58</v>
      </c>
      <c r="S57" s="20" t="s">
        <v>60</v>
      </c>
    </row>
    <row r="58" spans="1:19" x14ac:dyDescent="0.2">
      <c r="A58" s="265">
        <v>1</v>
      </c>
      <c r="B58" s="131">
        <f>C58*$B$51</f>
        <v>0.24316252465496735</v>
      </c>
      <c r="C58" s="119">
        <v>1</v>
      </c>
      <c r="D58" s="273">
        <f>C58*B52</f>
        <v>0.18150699941725082</v>
      </c>
      <c r="E58" s="170"/>
      <c r="F58" s="170"/>
      <c r="G58" s="170"/>
      <c r="H58" s="170"/>
      <c r="I58" s="170"/>
      <c r="J58" s="170"/>
      <c r="K58" s="170"/>
      <c r="L58" s="170"/>
      <c r="M58" s="63"/>
      <c r="P58" s="2">
        <f>B58/(B58+D58)</f>
        <v>0.57259235916730344</v>
      </c>
      <c r="Q58" s="28">
        <f>B58-D58</f>
        <v>6.165552523771653E-2</v>
      </c>
      <c r="R58" s="2">
        <f>1+$L$47*SUM(C58)</f>
        <v>2.7466414588190893</v>
      </c>
      <c r="S58" s="8">
        <f>B58*R58-D58*COUNT(D58:M58)</f>
        <v>0.48637327203120151</v>
      </c>
    </row>
    <row r="59" spans="1:19" x14ac:dyDescent="0.2">
      <c r="A59" s="266">
        <v>2</v>
      </c>
      <c r="B59" s="126">
        <f t="shared" ref="B59:B67" si="28">C59*$B$51</f>
        <v>0.25389467294808316</v>
      </c>
      <c r="C59" s="121">
        <f>C58+B52*B51</f>
        <v>1.0441357002208465</v>
      </c>
      <c r="D59" s="247">
        <f>C59*B52</f>
        <v>0.18951793793151595</v>
      </c>
      <c r="E59" s="1">
        <f>D59*B52</f>
        <v>3.4398832249694242E-2</v>
      </c>
      <c r="F59" s="1"/>
      <c r="G59" s="1"/>
      <c r="H59" s="1"/>
      <c r="I59" s="1"/>
      <c r="J59" s="1"/>
      <c r="K59" s="1"/>
      <c r="L59" s="1"/>
      <c r="M59" s="9"/>
      <c r="P59" s="1">
        <f>B59/(B59+E59)</f>
        <v>0.88068120984516907</v>
      </c>
      <c r="Q59" s="117">
        <f>B59-E59</f>
        <v>0.2194958406983889</v>
      </c>
      <c r="R59" s="1">
        <f>1+$L$47*SUM(C59:D59)*$C$47</f>
        <v>1.5239545935196566</v>
      </c>
      <c r="S59" s="9">
        <f>B59*R59-E59*COUNT(D59:M59)</f>
        <v>0.31812628861001369</v>
      </c>
    </row>
    <row r="60" spans="1:19" x14ac:dyDescent="0.2">
      <c r="A60" s="266">
        <v>3</v>
      </c>
      <c r="B60" s="126">
        <f t="shared" si="28"/>
        <v>0.25436834382787382</v>
      </c>
      <c r="C60" s="121">
        <f>C59+C51*C52</f>
        <v>1.0460836602548309</v>
      </c>
      <c r="D60" s="247">
        <f>C60*$B$56</f>
        <v>0.19825161819534806</v>
      </c>
      <c r="E60" s="1">
        <f>D60*B51</f>
        <v>4.8207363997313499E-2</v>
      </c>
      <c r="F60" s="1">
        <f>E60*B51</f>
        <v>1.1722224336547729E-2</v>
      </c>
      <c r="G60" s="1"/>
      <c r="H60" s="1"/>
      <c r="I60" s="1"/>
      <c r="J60" s="1"/>
      <c r="K60" s="1"/>
      <c r="L60" s="1"/>
      <c r="M60" s="9"/>
      <c r="P60" s="1">
        <f>B60/(B60+F60)</f>
        <v>0.95594648687696293</v>
      </c>
      <c r="Q60" s="117">
        <f>B60-F60</f>
        <v>0.24264611949132608</v>
      </c>
      <c r="R60" s="1">
        <f>1+$L$47*SUM(C60:E60)*$C$47</f>
        <v>1.548965798734796</v>
      </c>
      <c r="S60" s="9">
        <f>B60*R60-F60*COUNT(D60:M60)</f>
        <v>0.35884119186054664</v>
      </c>
    </row>
    <row r="61" spans="1:19" x14ac:dyDescent="0.2">
      <c r="A61" s="266">
        <v>4</v>
      </c>
      <c r="B61" s="126">
        <f t="shared" si="28"/>
        <v>0.25438924962382758</v>
      </c>
      <c r="C61" s="121">
        <f>C60+D51*D52</f>
        <v>1.046169634834933</v>
      </c>
      <c r="D61" s="247">
        <f>C61*$C$56</f>
        <v>0.19863780442426532</v>
      </c>
      <c r="E61" s="1">
        <f>D61*$B$56</f>
        <v>3.7645427089730517E-2</v>
      </c>
      <c r="F61" s="1">
        <f>E61*B52</f>
        <v>6.832908512837875E-3</v>
      </c>
      <c r="G61" s="1">
        <f>F61*B52</f>
        <v>1.2402207214577924E-3</v>
      </c>
      <c r="H61" s="1"/>
      <c r="I61" s="1"/>
      <c r="J61" s="1"/>
      <c r="K61" s="1"/>
      <c r="L61" s="1"/>
      <c r="M61" s="9"/>
      <c r="P61" s="1">
        <f>B61/(B61+G61)</f>
        <v>0.99514836564116571</v>
      </c>
      <c r="Q61" s="117">
        <f>B61-G61</f>
        <v>0.25314902890236979</v>
      </c>
      <c r="R61" s="1">
        <f>1+$L$47*SUM(C61:F61)*$C$47</f>
        <v>1.5475825492721818</v>
      </c>
      <c r="S61" s="9">
        <f>B61*R61-G61*COUNT(D61:M61)</f>
        <v>0.38872748055444933</v>
      </c>
    </row>
    <row r="62" spans="1:19" x14ac:dyDescent="0.2">
      <c r="A62" s="266">
        <v>5</v>
      </c>
      <c r="B62" s="126">
        <f t="shared" si="28"/>
        <v>0.25439017231577066</v>
      </c>
      <c r="C62" s="121">
        <f>C61+E51*E52</f>
        <v>1.046173429383227</v>
      </c>
      <c r="D62" s="247">
        <f>C62*$D$56</f>
        <v>0.1986548504247404</v>
      </c>
      <c r="E62" s="1">
        <f>D62*$C$56</f>
        <v>3.7718895686383987E-2</v>
      </c>
      <c r="F62" s="1">
        <f>E62*$B$56</f>
        <v>7.1484073315374449E-3</v>
      </c>
      <c r="G62" s="1">
        <f>F62*B52</f>
        <v>1.2974859653596385E-3</v>
      </c>
      <c r="H62" s="1">
        <f>G62*B52</f>
        <v>2.3550278435842303E-4</v>
      </c>
      <c r="I62" s="1"/>
      <c r="J62" s="1"/>
      <c r="K62" s="1"/>
      <c r="L62" s="1"/>
      <c r="M62" s="9"/>
      <c r="P62" s="1">
        <f>B62/(B62+H62)</f>
        <v>0.99907510197364902</v>
      </c>
      <c r="Q62" s="117">
        <f>B62-H62</f>
        <v>0.25415466953141225</v>
      </c>
      <c r="R62" s="1">
        <f>1+$L$47*SUM(C62:G62)*$C$47</f>
        <v>1.5483076673030256</v>
      </c>
      <c r="S62" s="9">
        <f>B62*R62-H62*COUNT(D62:M62)</f>
        <v>0.39269674036125346</v>
      </c>
    </row>
    <row r="63" spans="1:19" x14ac:dyDescent="0.2">
      <c r="A63" s="266">
        <v>6</v>
      </c>
      <c r="B63" s="126">
        <f t="shared" si="28"/>
        <v>0.25439021303942572</v>
      </c>
      <c r="C63" s="121">
        <f>C62+F51*F52</f>
        <v>1.046173596858273</v>
      </c>
      <c r="D63" s="247">
        <f>C63*$E$56</f>
        <v>0.19865560276463615</v>
      </c>
      <c r="E63" s="1">
        <f>D63*$D$56</f>
        <v>3.7722138552602542E-2</v>
      </c>
      <c r="F63" s="1">
        <f>E63*$C$56</f>
        <v>7.1623592683027664E-3</v>
      </c>
      <c r="G63" s="1">
        <f>F63*$B$56</f>
        <v>1.3573955592534217E-3</v>
      </c>
      <c r="H63" s="1">
        <f>G63*B52</f>
        <v>2.4637679498238968E-4</v>
      </c>
      <c r="I63" s="1">
        <f>H63*B52</f>
        <v>4.4719112783292725E-5</v>
      </c>
      <c r="J63" s="1"/>
      <c r="K63" s="1"/>
      <c r="L63" s="1"/>
      <c r="M63" s="9"/>
      <c r="P63" s="1">
        <f>B63/(B63+I63)</f>
        <v>0.99982424145770776</v>
      </c>
      <c r="Q63" s="117">
        <f>B63-I63</f>
        <v>0.25434549392664241</v>
      </c>
      <c r="R63" s="1">
        <f>1+$L$47*SUM(C63:H63)*$C$47</f>
        <v>1.548445446167692</v>
      </c>
      <c r="S63" s="9">
        <f>B63*R63-I63*COUNT(D63:M63)</f>
        <v>0.39364105225382801</v>
      </c>
    </row>
    <row r="64" spans="1:19" x14ac:dyDescent="0.2">
      <c r="A64" s="266">
        <v>7</v>
      </c>
      <c r="B64" s="126">
        <f t="shared" si="28"/>
        <v>0.25439021483679269</v>
      </c>
      <c r="C64" s="121">
        <f>C63+G51*G52</f>
        <v>1.0461736042499015</v>
      </c>
      <c r="D64" s="247">
        <f>C64*$F$56</f>
        <v>0.19865563596968955</v>
      </c>
      <c r="E64" s="1">
        <f>D64*$E$56</f>
        <v>3.7722281679315864E-2</v>
      </c>
      <c r="F64" s="1">
        <f>E64*$D$56</f>
        <v>7.1629750997426389E-3</v>
      </c>
      <c r="G64" s="1">
        <f>F64*$C$56</f>
        <v>1.3600448718654114E-3</v>
      </c>
      <c r="H64" s="1">
        <f>G64*$B$56</f>
        <v>2.577528996102656E-4</v>
      </c>
      <c r="I64" s="1">
        <f>H64*B52</f>
        <v>4.6783955399355186E-5</v>
      </c>
      <c r="J64" s="1">
        <f>I64*B52</f>
        <v>8.4916153654074498E-6</v>
      </c>
      <c r="K64" s="1"/>
      <c r="L64" s="1"/>
      <c r="M64" s="9"/>
      <c r="P64" s="1">
        <f>B64/(B64+J64)</f>
        <v>0.99996662083906063</v>
      </c>
      <c r="Q64" s="117">
        <f>B64-J64</f>
        <v>0.25438172322142727</v>
      </c>
      <c r="R64" s="1">
        <f>1+$L$47*SUM(C64:I64)*$C$47</f>
        <v>1.5484716125725511</v>
      </c>
      <c r="S64" s="9">
        <f>B64*R64-J64*COUNT(D64:M64)</f>
        <v>0.39385658488344821</v>
      </c>
    </row>
    <row r="65" spans="1:19" x14ac:dyDescent="0.2">
      <c r="A65" s="266">
        <v>8</v>
      </c>
      <c r="B65" s="126">
        <f t="shared" si="28"/>
        <v>0.25439021484029395</v>
      </c>
      <c r="C65" s="121">
        <f>C64+I51*I52</f>
        <v>1.0461736042643002</v>
      </c>
      <c r="D65" s="247">
        <f>C65*$G$56</f>
        <v>0.198655637376004</v>
      </c>
      <c r="E65" s="1">
        <f>D65*$F$56</f>
        <v>3.7722287985070643E-2</v>
      </c>
      <c r="F65" s="1">
        <f>E65*$E$56</f>
        <v>7.1630022778624864E-3</v>
      </c>
      <c r="G65" s="1">
        <f>F65*$D$56</f>
        <v>1.3601618107809889E-3</v>
      </c>
      <c r="H65" s="1">
        <f>G65*$C$56</f>
        <v>2.5825597184141001E-4</v>
      </c>
      <c r="I65" s="1">
        <f>H65*$B$56</f>
        <v>4.8944139241883673E-5</v>
      </c>
      <c r="J65" s="1">
        <f>I65*$B$52</f>
        <v>8.8837038528544226E-6</v>
      </c>
      <c r="K65" s="1">
        <f>J65*$B$52</f>
        <v>1.6124544300430766E-6</v>
      </c>
      <c r="L65" s="1"/>
      <c r="M65" s="9"/>
      <c r="P65" s="1">
        <f>B65/(B65+K65)</f>
        <v>0.99999366153210512</v>
      </c>
      <c r="Q65" s="117">
        <f>B65-K65</f>
        <v>0.25438860238586392</v>
      </c>
      <c r="R65" s="1">
        <f>1+$L$47*SUM(C65:J65)*$C$47</f>
        <v>1.5484765812619843</v>
      </c>
      <c r="S65" s="9">
        <f>B65*R65-K65*COUNT(D65:M65)</f>
        <v>0.39390439054695975</v>
      </c>
    </row>
    <row r="66" spans="1:19" x14ac:dyDescent="0.2">
      <c r="A66" s="266">
        <v>9</v>
      </c>
      <c r="B66" s="126">
        <f>C66*$B$51</f>
        <v>0.25439021484044849</v>
      </c>
      <c r="C66" s="121">
        <f>C65+J51*J52</f>
        <v>1.0461736042649357</v>
      </c>
      <c r="D66" s="247">
        <f>C66*$H$56</f>
        <v>0.19865563743807269</v>
      </c>
      <c r="E66" s="1">
        <f>D66*$G$56</f>
        <v>3.7722288263379547E-2</v>
      </c>
      <c r="F66" s="1">
        <f>E66*$F$56</f>
        <v>7.1630034773880365E-3</v>
      </c>
      <c r="G66" s="1">
        <f>F66*$E$56</f>
        <v>1.3601669719814937E-3</v>
      </c>
      <c r="H66" s="1">
        <f>G66*$D$56</f>
        <v>2.582781771956823E-4</v>
      </c>
      <c r="I66" s="1">
        <f>H66*$C$56</f>
        <v>4.9039666551731367E-5</v>
      </c>
      <c r="J66" s="1">
        <f>I66*$B$56</f>
        <v>9.2938964817332632E-6</v>
      </c>
      <c r="K66" s="1">
        <f>J66*$B$52</f>
        <v>1.6869072632939489E-6</v>
      </c>
      <c r="L66" s="1">
        <f>K66*$B$52</f>
        <v>3.0618547565565095E-7</v>
      </c>
      <c r="M66" s="9"/>
      <c r="P66" s="1">
        <f>B66/(B66+L66)</f>
        <v>0.99999879639589395</v>
      </c>
      <c r="Q66" s="117">
        <f>B66-L66</f>
        <v>0.25438990865497285</v>
      </c>
      <c r="R66" s="1">
        <f>1+$L$47*SUM(C66:K66)*$C$47</f>
        <v>1.5484775247870246</v>
      </c>
      <c r="S66" s="9">
        <f>B66*R66-L66*COUNT(D66:M66)</f>
        <v>0.39391477453689622</v>
      </c>
    </row>
    <row r="67" spans="1:19" ht="17" thickBot="1" x14ac:dyDescent="0.25">
      <c r="A67" s="267">
        <v>10</v>
      </c>
      <c r="B67" s="127">
        <f t="shared" si="28"/>
        <v>0.25439021484045526</v>
      </c>
      <c r="C67" s="248">
        <f>C66+K51*K52</f>
        <v>1.0461736042649636</v>
      </c>
      <c r="D67" s="274">
        <f>C67*$I$56</f>
        <v>0.19865563744081211</v>
      </c>
      <c r="E67" s="171">
        <f>D67*$H$56</f>
        <v>3.7722288275662902E-2</v>
      </c>
      <c r="F67" s="171">
        <f>E67*$G$56</f>
        <v>7.1630035303299373E-3</v>
      </c>
      <c r="G67" s="171">
        <f>F67*$F$56</f>
        <v>1.3601671997747302E-3</v>
      </c>
      <c r="H67" s="171">
        <f>G67*$E$56</f>
        <v>2.5827915724826062E-4</v>
      </c>
      <c r="I67" s="171">
        <f>H67*$D$56</f>
        <v>4.9043883078955817E-5</v>
      </c>
      <c r="J67" s="171">
        <f>I67*$C$56</f>
        <v>9.3120359556041505E-6</v>
      </c>
      <c r="K67" s="171">
        <f>J67*$B$56</f>
        <v>1.7647978522502322E-6</v>
      </c>
      <c r="L67" s="171">
        <f>K67*$B$52</f>
        <v>3.2032316273994838E-7</v>
      </c>
      <c r="M67" s="10">
        <f>L67*$B$52</f>
        <v>5.8140896112771747E-8</v>
      </c>
      <c r="P67" s="171">
        <f>B67/(B67+M67)</f>
        <v>0.99999977145000307</v>
      </c>
      <c r="Q67" s="118">
        <f>B67-M67</f>
        <v>0.25439015669955917</v>
      </c>
      <c r="R67" s="171">
        <f>1+$L$47*SUM(C67:L67)*$C$47</f>
        <v>1.5484777039523334</v>
      </c>
      <c r="S67" s="10">
        <f>B67*R67-M67*COUNT(D67:M67)</f>
        <v>0.39391699437512784</v>
      </c>
    </row>
    <row r="69" spans="1:19" x14ac:dyDescent="0.2">
      <c r="B69" t="s">
        <v>167</v>
      </c>
      <c r="C69">
        <f>C47</f>
        <v>0.24316252465496735</v>
      </c>
      <c r="D69" t="s">
        <v>60</v>
      </c>
      <c r="E69">
        <f>L47</f>
        <v>1.7466414588190893</v>
      </c>
      <c r="F69" t="s">
        <v>58</v>
      </c>
      <c r="G69">
        <f>J47</f>
        <v>2</v>
      </c>
    </row>
    <row r="70" spans="1:19" x14ac:dyDescent="0.2">
      <c r="B70" t="s">
        <v>168</v>
      </c>
      <c r="C70">
        <f>E47</f>
        <v>0.18150699941725082</v>
      </c>
      <c r="D70" t="s">
        <v>57</v>
      </c>
      <c r="E70">
        <v>2</v>
      </c>
      <c r="F70" t="s">
        <v>190</v>
      </c>
      <c r="G70">
        <f>H47</f>
        <v>3</v>
      </c>
    </row>
    <row r="72" spans="1:19" ht="17" thickBot="1" x14ac:dyDescent="0.25">
      <c r="A72" s="1"/>
      <c r="B72" s="26"/>
      <c r="C72" s="26">
        <v>1</v>
      </c>
      <c r="D72" s="26">
        <v>0</v>
      </c>
      <c r="E72" s="26">
        <v>1</v>
      </c>
      <c r="F72" s="26">
        <v>2</v>
      </c>
      <c r="G72" s="26">
        <v>3</v>
      </c>
      <c r="H72" s="26">
        <v>4</v>
      </c>
      <c r="I72" s="26">
        <v>5</v>
      </c>
      <c r="J72" s="26">
        <v>6</v>
      </c>
      <c r="K72" s="26">
        <v>7</v>
      </c>
      <c r="L72" s="26">
        <v>8</v>
      </c>
      <c r="M72" s="26">
        <v>9</v>
      </c>
      <c r="N72" s="26">
        <v>10</v>
      </c>
    </row>
    <row r="73" spans="1:19" ht="17" thickBot="1" x14ac:dyDescent="0.25">
      <c r="A73" s="308"/>
      <c r="B73" s="451" t="s">
        <v>185</v>
      </c>
      <c r="C73" s="452"/>
      <c r="D73" s="452"/>
      <c r="E73" s="452"/>
      <c r="F73" s="452"/>
      <c r="G73" s="452"/>
      <c r="H73" s="452"/>
      <c r="I73" s="452"/>
      <c r="J73" s="452"/>
      <c r="K73" s="452"/>
      <c r="L73" s="452"/>
      <c r="M73" s="452"/>
      <c r="N73" s="452"/>
      <c r="O73" s="452"/>
      <c r="P73" s="452"/>
      <c r="Q73" s="453"/>
    </row>
    <row r="74" spans="1:19" x14ac:dyDescent="0.2">
      <c r="A74" s="131"/>
      <c r="B74" s="305" t="s">
        <v>8</v>
      </c>
      <c r="C74" s="273">
        <f t="shared" ref="C74:N74" si="29">B59</f>
        <v>0.25389467294808316</v>
      </c>
      <c r="D74" s="170">
        <f t="shared" si="29"/>
        <v>1.0441357002208465</v>
      </c>
      <c r="E74" s="170">
        <f t="shared" si="29"/>
        <v>0.18951793793151595</v>
      </c>
      <c r="F74" s="170">
        <f t="shared" si="29"/>
        <v>3.4398832249694242E-2</v>
      </c>
      <c r="G74" s="170">
        <f t="shared" si="29"/>
        <v>0</v>
      </c>
      <c r="H74" s="170">
        <f t="shared" si="29"/>
        <v>0</v>
      </c>
      <c r="I74" s="170">
        <f t="shared" si="29"/>
        <v>0</v>
      </c>
      <c r="J74" s="170">
        <f t="shared" si="29"/>
        <v>0</v>
      </c>
      <c r="K74" s="170">
        <f t="shared" si="29"/>
        <v>0</v>
      </c>
      <c r="L74" s="170">
        <f t="shared" si="29"/>
        <v>0</v>
      </c>
      <c r="M74" s="170">
        <f t="shared" si="29"/>
        <v>0</v>
      </c>
      <c r="N74" s="170">
        <f t="shared" si="29"/>
        <v>0</v>
      </c>
      <c r="O74" s="170"/>
      <c r="P74" s="169" t="s">
        <v>170</v>
      </c>
      <c r="Q74" s="170" t="s">
        <v>171</v>
      </c>
      <c r="R74" s="63" t="s">
        <v>174</v>
      </c>
    </row>
    <row r="75" spans="1:19" x14ac:dyDescent="0.2">
      <c r="A75" s="375">
        <f>$E$70</f>
        <v>2</v>
      </c>
      <c r="B75" s="306" t="s">
        <v>169</v>
      </c>
      <c r="C75" s="247">
        <v>0</v>
      </c>
      <c r="D75" s="1">
        <v>1</v>
      </c>
      <c r="E75" s="1">
        <f>IF(F74&gt;0,ROUNDUP(D75*$A75,0),0)</f>
        <v>2</v>
      </c>
      <c r="F75" s="1">
        <f t="shared" ref="F75:N75" si="30">IF(G74&gt;0,ROUNDUP(E75*$A75,0),0)</f>
        <v>0</v>
      </c>
      <c r="G75" s="1">
        <f t="shared" si="30"/>
        <v>0</v>
      </c>
      <c r="H75" s="1">
        <f t="shared" si="30"/>
        <v>0</v>
      </c>
      <c r="I75" s="1">
        <f t="shared" si="30"/>
        <v>0</v>
      </c>
      <c r="J75" s="1">
        <f t="shared" si="30"/>
        <v>0</v>
      </c>
      <c r="K75" s="1">
        <f t="shared" si="30"/>
        <v>0</v>
      </c>
      <c r="L75" s="1">
        <f t="shared" si="30"/>
        <v>0</v>
      </c>
      <c r="M75" s="1">
        <f t="shared" si="30"/>
        <v>0</v>
      </c>
      <c r="N75" s="1">
        <f t="shared" si="30"/>
        <v>0</v>
      </c>
      <c r="O75" s="1"/>
      <c r="P75" s="117">
        <f>SUM(C75:N75)*$G$70</f>
        <v>9</v>
      </c>
      <c r="Q75" s="1">
        <f>(C75*C74+D75*D74+E75*E74+F75*F74+G75*G74+H75*H74+I75*I74+J75*J74+K74*K75+L74*L75+M74*M75+N74*N75)*3</f>
        <v>4.269514728251635</v>
      </c>
      <c r="R75" s="9">
        <f>P75/Q77</f>
        <v>88.549414386865067</v>
      </c>
    </row>
    <row r="76" spans="1:19" x14ac:dyDescent="0.2">
      <c r="A76" s="126"/>
      <c r="B76" s="306" t="s">
        <v>58</v>
      </c>
      <c r="C76" s="247"/>
      <c r="D76" s="1"/>
      <c r="E76" s="1"/>
      <c r="F76" s="1"/>
      <c r="G76" s="1"/>
      <c r="H76" s="1"/>
      <c r="I76" s="1"/>
      <c r="J76" s="1"/>
      <c r="K76" s="270"/>
      <c r="L76" s="270"/>
      <c r="M76" s="270"/>
      <c r="N76" s="270"/>
      <c r="O76" s="270"/>
      <c r="P76" s="117" t="s">
        <v>172</v>
      </c>
      <c r="Q76" s="1" t="s">
        <v>173</v>
      </c>
      <c r="R76" s="9" t="s">
        <v>175</v>
      </c>
    </row>
    <row r="77" spans="1:19" ht="17" thickBot="1" x14ac:dyDescent="0.25">
      <c r="A77" s="127"/>
      <c r="B77" s="307" t="s">
        <v>60</v>
      </c>
      <c r="C77" s="274">
        <f>(D75*$G$69*$C$69*$E$69-D75*$G$70*$C$70)*D74</f>
        <v>0.31837211009432326</v>
      </c>
      <c r="D77" s="171">
        <f t="shared" ref="D77:N77" si="31">(E75*$G$69*$C$69*$E$69-E75*$G$70*$C$70)*E74</f>
        <v>0.11557353280271848</v>
      </c>
      <c r="E77" s="171">
        <f t="shared" si="31"/>
        <v>0</v>
      </c>
      <c r="F77" s="171">
        <f t="shared" si="31"/>
        <v>0</v>
      </c>
      <c r="G77" s="171">
        <f t="shared" si="31"/>
        <v>0</v>
      </c>
      <c r="H77" s="171">
        <f t="shared" si="31"/>
        <v>0</v>
      </c>
      <c r="I77" s="171">
        <f t="shared" si="31"/>
        <v>0</v>
      </c>
      <c r="J77" s="171">
        <f t="shared" si="31"/>
        <v>0</v>
      </c>
      <c r="K77" s="171">
        <f t="shared" si="31"/>
        <v>0</v>
      </c>
      <c r="L77" s="171">
        <f t="shared" si="31"/>
        <v>0</v>
      </c>
      <c r="M77" s="171">
        <f t="shared" si="31"/>
        <v>0</v>
      </c>
      <c r="N77" s="171">
        <f t="shared" si="31"/>
        <v>0</v>
      </c>
      <c r="O77" s="271"/>
      <c r="P77" s="118">
        <f>SUM(C77:O77)</f>
        <v>0.43394564289704174</v>
      </c>
      <c r="Q77" s="171">
        <f>P77/Q75</f>
        <v>0.10163816511173913</v>
      </c>
      <c r="R77" s="10">
        <f>Q75/Q77</f>
        <v>42.007003211419736</v>
      </c>
    </row>
    <row r="78" spans="1:19" ht="17" thickBot="1" x14ac:dyDescent="0.25">
      <c r="A78" s="309"/>
      <c r="B78" s="451" t="s">
        <v>186</v>
      </c>
      <c r="C78" s="452"/>
      <c r="D78" s="452"/>
      <c r="E78" s="452"/>
      <c r="F78" s="452"/>
      <c r="G78" s="452"/>
      <c r="H78" s="452"/>
      <c r="I78" s="452"/>
      <c r="J78" s="452"/>
      <c r="K78" s="452"/>
      <c r="L78" s="452"/>
      <c r="M78" s="452"/>
      <c r="N78" s="452"/>
      <c r="O78" s="452"/>
      <c r="P78" s="452"/>
      <c r="Q78" s="452"/>
      <c r="R78" s="453"/>
    </row>
    <row r="79" spans="1:19" x14ac:dyDescent="0.2">
      <c r="A79" s="131"/>
      <c r="B79" s="305" t="s">
        <v>8</v>
      </c>
      <c r="C79" s="273">
        <f t="shared" ref="C79:N79" si="32">B60</f>
        <v>0.25436834382787382</v>
      </c>
      <c r="D79" s="170">
        <f t="shared" si="32"/>
        <v>1.0460836602548309</v>
      </c>
      <c r="E79" s="170">
        <f t="shared" si="32"/>
        <v>0.19825161819534806</v>
      </c>
      <c r="F79" s="170">
        <f t="shared" si="32"/>
        <v>4.8207363997313499E-2</v>
      </c>
      <c r="G79" s="170">
        <f t="shared" si="32"/>
        <v>1.1722224336547729E-2</v>
      </c>
      <c r="H79" s="170">
        <f t="shared" si="32"/>
        <v>0</v>
      </c>
      <c r="I79" s="170">
        <f t="shared" si="32"/>
        <v>0</v>
      </c>
      <c r="J79" s="170">
        <f t="shared" si="32"/>
        <v>0</v>
      </c>
      <c r="K79" s="170">
        <f t="shared" si="32"/>
        <v>0</v>
      </c>
      <c r="L79" s="170">
        <f t="shared" si="32"/>
        <v>0</v>
      </c>
      <c r="M79" s="170">
        <f t="shared" si="32"/>
        <v>0</v>
      </c>
      <c r="N79" s="170">
        <f t="shared" si="32"/>
        <v>0</v>
      </c>
      <c r="O79" s="170"/>
      <c r="P79" s="169" t="s">
        <v>170</v>
      </c>
      <c r="Q79" s="170" t="s">
        <v>171</v>
      </c>
      <c r="R79" s="63" t="s">
        <v>174</v>
      </c>
    </row>
    <row r="80" spans="1:19" x14ac:dyDescent="0.2">
      <c r="A80" s="126">
        <f>$E$70</f>
        <v>2</v>
      </c>
      <c r="B80" s="306" t="s">
        <v>169</v>
      </c>
      <c r="C80" s="247">
        <v>0</v>
      </c>
      <c r="D80" s="1">
        <v>1</v>
      </c>
      <c r="E80" s="1">
        <f>IF(F79&gt;0,ROUNDUP(D80*$A80,0),0)</f>
        <v>2</v>
      </c>
      <c r="F80" s="1">
        <f t="shared" ref="F80:N80" si="33">IF(G79&gt;0,ROUNDUP(E80*$A80,0),0)</f>
        <v>4</v>
      </c>
      <c r="G80" s="1">
        <f t="shared" si="33"/>
        <v>0</v>
      </c>
      <c r="H80" s="1">
        <f t="shared" si="33"/>
        <v>0</v>
      </c>
      <c r="I80" s="1">
        <f t="shared" si="33"/>
        <v>0</v>
      </c>
      <c r="J80" s="1">
        <f t="shared" si="33"/>
        <v>0</v>
      </c>
      <c r="K80" s="1">
        <f t="shared" si="33"/>
        <v>0</v>
      </c>
      <c r="L80" s="1">
        <f t="shared" si="33"/>
        <v>0</v>
      </c>
      <c r="M80" s="1">
        <f t="shared" si="33"/>
        <v>0</v>
      </c>
      <c r="N80" s="1">
        <f t="shared" si="33"/>
        <v>0</v>
      </c>
      <c r="O80" s="1"/>
      <c r="P80" s="117">
        <f>SUM(C80:N80)*$G$70</f>
        <v>21</v>
      </c>
      <c r="Q80" s="1">
        <f>(C80*C79+D80*D79+E80*E79+F80*F79+G80*G79+H80*H79+I80*I79+J80*J79+K79*K80+L79*L80+M79*M80+N79*N80)*3</f>
        <v>4.9062490579043434</v>
      </c>
      <c r="R80" s="9">
        <f>P80/Q82</f>
        <v>206.61530023601847</v>
      </c>
    </row>
    <row r="81" spans="1:18" x14ac:dyDescent="0.2">
      <c r="A81" s="126"/>
      <c r="B81" s="306" t="s">
        <v>58</v>
      </c>
      <c r="C81" s="247"/>
      <c r="D81" s="1"/>
      <c r="E81" s="1"/>
      <c r="F81" s="1"/>
      <c r="G81" s="1"/>
      <c r="H81" s="1"/>
      <c r="I81" s="1"/>
      <c r="J81" s="1"/>
      <c r="K81" s="270"/>
      <c r="L81" s="270"/>
      <c r="M81" s="270"/>
      <c r="N81" s="270"/>
      <c r="O81" s="270"/>
      <c r="P81" s="117" t="s">
        <v>172</v>
      </c>
      <c r="Q81" s="1" t="s">
        <v>173</v>
      </c>
      <c r="R81" s="9" t="s">
        <v>175</v>
      </c>
    </row>
    <row r="82" spans="1:18" ht="17" thickBot="1" x14ac:dyDescent="0.25">
      <c r="A82" s="127"/>
      <c r="B82" s="307" t="s">
        <v>60</v>
      </c>
      <c r="C82" s="274">
        <f>(D80*$G$69*$C$69*$E$69-D80*$G$70*$C$70)*D79</f>
        <v>0.31896607134501881</v>
      </c>
      <c r="D82" s="171">
        <f t="shared" ref="D82:N82" si="34">(E80*$G$69*$C$69*$E$69-E80*$G$70*$C$70)*E79</f>
        <v>0.12089958422284952</v>
      </c>
      <c r="E82" s="171">
        <f t="shared" si="34"/>
        <v>5.8796496258727897E-2</v>
      </c>
      <c r="F82" s="171">
        <f t="shared" si="34"/>
        <v>0</v>
      </c>
      <c r="G82" s="171">
        <f t="shared" si="34"/>
        <v>0</v>
      </c>
      <c r="H82" s="171">
        <f t="shared" si="34"/>
        <v>0</v>
      </c>
      <c r="I82" s="171">
        <f t="shared" si="34"/>
        <v>0</v>
      </c>
      <c r="J82" s="171">
        <f t="shared" si="34"/>
        <v>0</v>
      </c>
      <c r="K82" s="171">
        <f t="shared" si="34"/>
        <v>0</v>
      </c>
      <c r="L82" s="171">
        <f t="shared" si="34"/>
        <v>0</v>
      </c>
      <c r="M82" s="171">
        <f t="shared" si="34"/>
        <v>0</v>
      </c>
      <c r="N82" s="171">
        <f t="shared" si="34"/>
        <v>0</v>
      </c>
      <c r="O82" s="271"/>
      <c r="P82" s="118">
        <f>SUM(C82:O82)</f>
        <v>0.49866215182659623</v>
      </c>
      <c r="Q82" s="171">
        <f>P82/Q80</f>
        <v>0.10163816511173913</v>
      </c>
      <c r="R82" s="10">
        <f>Q80/Q82</f>
        <v>48.271720101504222</v>
      </c>
    </row>
    <row r="83" spans="1:18" ht="17" thickBot="1" x14ac:dyDescent="0.25">
      <c r="A83" s="309"/>
      <c r="B83" s="451" t="s">
        <v>187</v>
      </c>
      <c r="C83" s="452"/>
      <c r="D83" s="452"/>
      <c r="E83" s="452"/>
      <c r="F83" s="452"/>
      <c r="G83" s="452"/>
      <c r="H83" s="452"/>
      <c r="I83" s="452"/>
      <c r="J83" s="452"/>
      <c r="K83" s="452"/>
      <c r="L83" s="452"/>
      <c r="M83" s="452"/>
      <c r="N83" s="452"/>
      <c r="O83" s="452"/>
      <c r="P83" s="452"/>
      <c r="Q83" s="452"/>
      <c r="R83" s="453"/>
    </row>
    <row r="84" spans="1:18" x14ac:dyDescent="0.2">
      <c r="A84" s="131"/>
      <c r="B84" s="305" t="s">
        <v>8</v>
      </c>
      <c r="C84" s="273">
        <f>B61</f>
        <v>0.25438924962382758</v>
      </c>
      <c r="D84" s="170">
        <f t="shared" ref="D84:I84" si="35">C61</f>
        <v>1.046169634834933</v>
      </c>
      <c r="E84" s="170">
        <f t="shared" si="35"/>
        <v>0.19863780442426532</v>
      </c>
      <c r="F84" s="170">
        <f t="shared" si="35"/>
        <v>3.7645427089730517E-2</v>
      </c>
      <c r="G84" s="170">
        <f t="shared" si="35"/>
        <v>6.832908512837875E-3</v>
      </c>
      <c r="H84" s="170">
        <f t="shared" si="35"/>
        <v>1.2402207214577924E-3</v>
      </c>
      <c r="I84" s="170">
        <f t="shared" si="35"/>
        <v>0</v>
      </c>
      <c r="J84" s="170">
        <f>I61</f>
        <v>0</v>
      </c>
      <c r="K84" s="170">
        <f>J61</f>
        <v>0</v>
      </c>
      <c r="L84" s="170">
        <f>K61</f>
        <v>0</v>
      </c>
      <c r="M84" s="170">
        <f>L61</f>
        <v>0</v>
      </c>
      <c r="N84" s="170">
        <f>M61</f>
        <v>0</v>
      </c>
      <c r="O84" s="269"/>
      <c r="P84" s="169" t="s">
        <v>170</v>
      </c>
      <c r="Q84" s="170" t="s">
        <v>171</v>
      </c>
      <c r="R84" s="63" t="s">
        <v>174</v>
      </c>
    </row>
    <row r="85" spans="1:18" x14ac:dyDescent="0.2">
      <c r="A85" s="126">
        <f>$E$70</f>
        <v>2</v>
      </c>
      <c r="B85" s="306" t="s">
        <v>169</v>
      </c>
      <c r="C85" s="247">
        <v>0</v>
      </c>
      <c r="D85" s="1">
        <v>1</v>
      </c>
      <c r="E85" s="1">
        <f>IF(F84&gt;0,ROUNDUP(D85*$A85,0),0)</f>
        <v>2</v>
      </c>
      <c r="F85" s="1">
        <f t="shared" ref="F85:N85" si="36">IF(G84&gt;0,ROUNDUP(E85*$A85,0),0)</f>
        <v>4</v>
      </c>
      <c r="G85" s="1">
        <f t="shared" si="36"/>
        <v>8</v>
      </c>
      <c r="H85" s="1">
        <f t="shared" si="36"/>
        <v>0</v>
      </c>
      <c r="I85" s="1">
        <f t="shared" si="36"/>
        <v>0</v>
      </c>
      <c r="J85" s="1">
        <f t="shared" si="36"/>
        <v>0</v>
      </c>
      <c r="K85" s="1">
        <f t="shared" si="36"/>
        <v>0</v>
      </c>
      <c r="L85" s="1">
        <f t="shared" si="36"/>
        <v>0</v>
      </c>
      <c r="M85" s="1">
        <f t="shared" si="36"/>
        <v>0</v>
      </c>
      <c r="N85" s="1">
        <f t="shared" si="36"/>
        <v>0</v>
      </c>
      <c r="O85" s="270"/>
      <c r="P85" s="117">
        <f>SUM(C85:N85)*$G$70</f>
        <v>45</v>
      </c>
      <c r="Q85" s="1">
        <f>(C85*C84+D85*D84+E85*E84+F85*F84+G85*G84+H85*H84+I85*I84+J85*J84+K84*K85+L84*L85+M84*M85+N84*N85)*3</f>
        <v>4.9460706604352662</v>
      </c>
      <c r="R85" s="9">
        <f>P85/Q87</f>
        <v>442.74707193432528</v>
      </c>
    </row>
    <row r="86" spans="1:18" x14ac:dyDescent="0.2">
      <c r="A86" s="126"/>
      <c r="B86" s="306" t="s">
        <v>58</v>
      </c>
      <c r="C86" s="247"/>
      <c r="D86" s="1"/>
      <c r="E86" s="1"/>
      <c r="F86" s="1"/>
      <c r="G86" s="1"/>
      <c r="H86" s="1"/>
      <c r="I86" s="1"/>
      <c r="J86" s="1"/>
      <c r="K86" s="270"/>
      <c r="L86" s="270"/>
      <c r="M86" s="270"/>
      <c r="N86" s="270"/>
      <c r="O86" s="270"/>
      <c r="P86" s="117" t="s">
        <v>172</v>
      </c>
      <c r="Q86" s="1" t="s">
        <v>173</v>
      </c>
      <c r="R86" s="9" t="s">
        <v>175</v>
      </c>
    </row>
    <row r="87" spans="1:18" ht="17" thickBot="1" x14ac:dyDescent="0.25">
      <c r="A87" s="127"/>
      <c r="B87" s="307" t="s">
        <v>60</v>
      </c>
      <c r="C87" s="274">
        <f>(D85*$G$69*$C$69*$E$69-D85*$G$70*$C$70)*D84</f>
        <v>0.31899228624072229</v>
      </c>
      <c r="D87" s="171">
        <f t="shared" ref="D87:N87" si="37">(E85*$G$69*$C$69*$E$69-E85*$G$70*$C$70)*E84</f>
        <v>0.12113509178104095</v>
      </c>
      <c r="E87" s="171">
        <f t="shared" si="37"/>
        <v>4.5914545610975611E-2</v>
      </c>
      <c r="F87" s="171">
        <f t="shared" si="37"/>
        <v>1.6667622806909373E-2</v>
      </c>
      <c r="G87" s="171">
        <f t="shared" si="37"/>
        <v>0</v>
      </c>
      <c r="H87" s="171">
        <f t="shared" si="37"/>
        <v>0</v>
      </c>
      <c r="I87" s="171">
        <f t="shared" si="37"/>
        <v>0</v>
      </c>
      <c r="J87" s="171">
        <f t="shared" si="37"/>
        <v>0</v>
      </c>
      <c r="K87" s="171">
        <f t="shared" si="37"/>
        <v>0</v>
      </c>
      <c r="L87" s="171">
        <f t="shared" si="37"/>
        <v>0</v>
      </c>
      <c r="M87" s="171">
        <f t="shared" si="37"/>
        <v>0</v>
      </c>
      <c r="N87" s="171">
        <f t="shared" si="37"/>
        <v>0</v>
      </c>
      <c r="O87" s="271"/>
      <c r="P87" s="118">
        <f>SUM(C87:O87)</f>
        <v>0.50270954643964827</v>
      </c>
      <c r="Q87" s="171">
        <f>P87/Q85</f>
        <v>0.10163816511173915</v>
      </c>
      <c r="R87" s="10">
        <f>Q85/Q87</f>
        <v>48.663517833066408</v>
      </c>
    </row>
    <row r="88" spans="1:18" ht="17" thickBot="1" x14ac:dyDescent="0.25">
      <c r="A88" s="309"/>
      <c r="B88" s="451" t="s">
        <v>188</v>
      </c>
      <c r="C88" s="452"/>
      <c r="D88" s="452"/>
      <c r="E88" s="452"/>
      <c r="F88" s="452"/>
      <c r="G88" s="452"/>
      <c r="H88" s="452"/>
      <c r="I88" s="452"/>
      <c r="J88" s="452"/>
      <c r="K88" s="452"/>
      <c r="L88" s="452"/>
      <c r="M88" s="452"/>
      <c r="N88" s="452"/>
      <c r="O88" s="452"/>
      <c r="P88" s="452"/>
      <c r="Q88" s="452"/>
      <c r="R88" s="453"/>
    </row>
    <row r="89" spans="1:18" x14ac:dyDescent="0.2">
      <c r="A89" s="131"/>
      <c r="B89" s="305" t="s">
        <v>8</v>
      </c>
      <c r="C89" s="273">
        <f>B62</f>
        <v>0.25439017231577066</v>
      </c>
      <c r="D89" s="170">
        <f t="shared" ref="D89:I89" si="38">C62</f>
        <v>1.046173429383227</v>
      </c>
      <c r="E89" s="170">
        <f t="shared" si="38"/>
        <v>0.1986548504247404</v>
      </c>
      <c r="F89" s="170">
        <f t="shared" si="38"/>
        <v>3.7718895686383987E-2</v>
      </c>
      <c r="G89" s="170">
        <f t="shared" si="38"/>
        <v>7.1484073315374449E-3</v>
      </c>
      <c r="H89" s="170">
        <f t="shared" si="38"/>
        <v>1.2974859653596385E-3</v>
      </c>
      <c r="I89" s="170">
        <f t="shared" si="38"/>
        <v>2.3550278435842303E-4</v>
      </c>
      <c r="J89" s="170">
        <f>I62</f>
        <v>0</v>
      </c>
      <c r="K89" s="170">
        <f>J62</f>
        <v>0</v>
      </c>
      <c r="L89" s="170">
        <f>K62</f>
        <v>0</v>
      </c>
      <c r="M89" s="170">
        <f>L62</f>
        <v>0</v>
      </c>
      <c r="N89" s="170">
        <f>M62</f>
        <v>0</v>
      </c>
      <c r="O89" s="269"/>
      <c r="P89" s="169" t="s">
        <v>170</v>
      </c>
      <c r="Q89" s="170" t="s">
        <v>171</v>
      </c>
      <c r="R89" s="63" t="s">
        <v>174</v>
      </c>
    </row>
    <row r="90" spans="1:18" x14ac:dyDescent="0.2">
      <c r="A90" s="126">
        <f>$E$70</f>
        <v>2</v>
      </c>
      <c r="B90" s="306" t="s">
        <v>169</v>
      </c>
      <c r="C90" s="247">
        <v>0</v>
      </c>
      <c r="D90" s="1">
        <f>IF(E89&gt;0,POWER($A90,D$72),0)</f>
        <v>1</v>
      </c>
      <c r="E90" s="1">
        <f>IF(F89&gt;0,ROUNDUP(D90*$A90,0),0)</f>
        <v>2</v>
      </c>
      <c r="F90" s="1">
        <f t="shared" ref="F90:N90" si="39">IF(G89&gt;0,ROUNDUP(E90*$A90,0),0)</f>
        <v>4</v>
      </c>
      <c r="G90" s="1">
        <f t="shared" si="39"/>
        <v>8</v>
      </c>
      <c r="H90" s="1">
        <f t="shared" si="39"/>
        <v>16</v>
      </c>
      <c r="I90" s="1">
        <f t="shared" si="39"/>
        <v>0</v>
      </c>
      <c r="J90" s="1">
        <f t="shared" si="39"/>
        <v>0</v>
      </c>
      <c r="K90" s="1">
        <f t="shared" si="39"/>
        <v>0</v>
      </c>
      <c r="L90" s="1">
        <f t="shared" si="39"/>
        <v>0</v>
      </c>
      <c r="M90" s="1">
        <f t="shared" si="39"/>
        <v>0</v>
      </c>
      <c r="N90" s="1">
        <f t="shared" si="39"/>
        <v>0</v>
      </c>
      <c r="O90" s="270"/>
      <c r="P90" s="117">
        <f>SUM(C90:N90)*$G$70</f>
        <v>93</v>
      </c>
      <c r="Q90" s="1">
        <f>(C90*C89+D90*D89+E90*E89+F90*F89+G90*G89+H90*H89+I90*I89+J90*J89+K89*K90+L89*L90+M89*M90+N89*N90)*3</f>
        <v>5.0169172412288923</v>
      </c>
      <c r="R90" s="9">
        <f>P90/Q92</f>
        <v>915.01061533093889</v>
      </c>
    </row>
    <row r="91" spans="1:18" x14ac:dyDescent="0.2">
      <c r="A91" s="126"/>
      <c r="B91" s="306" t="s">
        <v>58</v>
      </c>
      <c r="C91" s="247"/>
      <c r="D91" s="1"/>
      <c r="E91" s="1"/>
      <c r="F91" s="1"/>
      <c r="G91" s="1"/>
      <c r="H91" s="1"/>
      <c r="I91" s="1"/>
      <c r="J91" s="1"/>
      <c r="K91" s="270"/>
      <c r="L91" s="270"/>
      <c r="M91" s="270"/>
      <c r="N91" s="270"/>
      <c r="O91" s="270"/>
      <c r="P91" s="117" t="s">
        <v>172</v>
      </c>
      <c r="Q91" s="1" t="s">
        <v>173</v>
      </c>
      <c r="R91" s="9" t="s">
        <v>175</v>
      </c>
    </row>
    <row r="92" spans="1:18" ht="17" thickBot="1" x14ac:dyDescent="0.25">
      <c r="A92" s="127"/>
      <c r="B92" s="307" t="s">
        <v>60</v>
      </c>
      <c r="C92" s="274">
        <f>(D90*$G$69*$C$69*$E$69-D90*$G$70*$C$70)*D89</f>
        <v>0.31899344325350037</v>
      </c>
      <c r="D92" s="171">
        <f t="shared" ref="D92:N92" si="40">(E90*$G$69*$C$69*$E$69-E90*$G$70*$C$70)*E89</f>
        <v>0.12114548692630564</v>
      </c>
      <c r="E92" s="171">
        <f t="shared" si="40"/>
        <v>4.6004152171261928E-2</v>
      </c>
      <c r="F92" s="171">
        <f t="shared" si="40"/>
        <v>1.7437224111570466E-2</v>
      </c>
      <c r="G92" s="171">
        <f t="shared" si="40"/>
        <v>6.329956453314585E-3</v>
      </c>
      <c r="H92" s="171">
        <f t="shared" si="40"/>
        <v>0</v>
      </c>
      <c r="I92" s="171">
        <f t="shared" si="40"/>
        <v>0</v>
      </c>
      <c r="J92" s="171">
        <f t="shared" si="40"/>
        <v>0</v>
      </c>
      <c r="K92" s="171">
        <f t="shared" si="40"/>
        <v>0</v>
      </c>
      <c r="L92" s="171">
        <f t="shared" si="40"/>
        <v>0</v>
      </c>
      <c r="M92" s="171">
        <f t="shared" si="40"/>
        <v>0</v>
      </c>
      <c r="N92" s="171">
        <f t="shared" si="40"/>
        <v>0</v>
      </c>
      <c r="O92" s="271"/>
      <c r="P92" s="118">
        <f>SUM(C92:O92)</f>
        <v>0.50991026291595298</v>
      </c>
      <c r="Q92" s="171">
        <f>P92/Q90</f>
        <v>0.10163816511173915</v>
      </c>
      <c r="R92" s="10">
        <f>Q90/Q92</f>
        <v>49.36056485979833</v>
      </c>
    </row>
    <row r="93" spans="1:18" ht="17" thickBot="1" x14ac:dyDescent="0.25">
      <c r="A93" s="309"/>
      <c r="B93" s="451" t="s">
        <v>189</v>
      </c>
      <c r="C93" s="452"/>
      <c r="D93" s="452"/>
      <c r="E93" s="452"/>
      <c r="F93" s="452"/>
      <c r="G93" s="452"/>
      <c r="H93" s="452"/>
      <c r="I93" s="452"/>
      <c r="J93" s="452"/>
      <c r="K93" s="452"/>
      <c r="L93" s="452"/>
      <c r="M93" s="452"/>
      <c r="N93" s="452"/>
      <c r="O93" s="452"/>
      <c r="P93" s="452"/>
      <c r="Q93" s="452"/>
      <c r="R93" s="453"/>
    </row>
    <row r="94" spans="1:18" x14ac:dyDescent="0.2">
      <c r="A94" s="131"/>
      <c r="B94" s="305" t="s">
        <v>8</v>
      </c>
      <c r="C94" s="273">
        <f>B63</f>
        <v>0.25439021303942572</v>
      </c>
      <c r="D94" s="170">
        <f t="shared" ref="D94:I94" si="41">C63</f>
        <v>1.046173596858273</v>
      </c>
      <c r="E94" s="170">
        <f t="shared" si="41"/>
        <v>0.19865560276463615</v>
      </c>
      <c r="F94" s="170">
        <f t="shared" si="41"/>
        <v>3.7722138552602542E-2</v>
      </c>
      <c r="G94" s="170">
        <f t="shared" si="41"/>
        <v>7.1623592683027664E-3</v>
      </c>
      <c r="H94" s="170">
        <f t="shared" si="41"/>
        <v>1.3573955592534217E-3</v>
      </c>
      <c r="I94" s="170">
        <f t="shared" si="41"/>
        <v>2.4637679498238968E-4</v>
      </c>
      <c r="J94" s="170">
        <f>I63</f>
        <v>4.4719112783292725E-5</v>
      </c>
      <c r="K94" s="170">
        <f>J63</f>
        <v>0</v>
      </c>
      <c r="L94" s="170">
        <f>K63</f>
        <v>0</v>
      </c>
      <c r="M94" s="170">
        <f>L63</f>
        <v>0</v>
      </c>
      <c r="N94" s="170">
        <f>M63</f>
        <v>0</v>
      </c>
      <c r="O94" s="269"/>
      <c r="P94" s="169" t="s">
        <v>170</v>
      </c>
      <c r="Q94" s="170" t="s">
        <v>171</v>
      </c>
      <c r="R94" s="63" t="s">
        <v>174</v>
      </c>
    </row>
    <row r="95" spans="1:18" x14ac:dyDescent="0.2">
      <c r="A95" s="126">
        <f>$E$70</f>
        <v>2</v>
      </c>
      <c r="B95" s="306" t="s">
        <v>169</v>
      </c>
      <c r="C95" s="247">
        <v>0</v>
      </c>
      <c r="D95" s="1">
        <f>IF(E94&gt;0,POWER($A95,D$72),0)</f>
        <v>1</v>
      </c>
      <c r="E95" s="1">
        <f>IF(F94&gt;0,ROUNDUP(D95*$A95,0),0)</f>
        <v>2</v>
      </c>
      <c r="F95" s="1">
        <f t="shared" ref="F95:N95" si="42">IF(G94&gt;0,ROUNDUP(E95*$A95,0),0)</f>
        <v>4</v>
      </c>
      <c r="G95" s="1">
        <f t="shared" si="42"/>
        <v>8</v>
      </c>
      <c r="H95" s="1">
        <f t="shared" si="42"/>
        <v>16</v>
      </c>
      <c r="I95" s="1">
        <f t="shared" si="42"/>
        <v>32</v>
      </c>
      <c r="J95" s="1">
        <f t="shared" si="42"/>
        <v>0</v>
      </c>
      <c r="K95" s="1">
        <f t="shared" si="42"/>
        <v>0</v>
      </c>
      <c r="L95" s="1">
        <f t="shared" si="42"/>
        <v>0</v>
      </c>
      <c r="M95" s="1">
        <f t="shared" si="42"/>
        <v>0</v>
      </c>
      <c r="N95" s="1">
        <f t="shared" si="42"/>
        <v>0</v>
      </c>
      <c r="O95" s="270"/>
      <c r="P95" s="117">
        <f>SUM(C95:N95)*$G$70</f>
        <v>189</v>
      </c>
      <c r="Q95" s="1">
        <f>(C95*C94+D95*D94+E95*E94+F95*F94+G95*G94+H95*H94+I95*I94+J95*J94+K94*K95+L94*L95+M94*M95+N94*N95)*3</f>
        <v>5.0438238513956062</v>
      </c>
      <c r="R95" s="9">
        <f>P95/Q97</f>
        <v>1859.5377021241661</v>
      </c>
    </row>
    <row r="96" spans="1:18" x14ac:dyDescent="0.2">
      <c r="A96" s="126"/>
      <c r="B96" s="306" t="s">
        <v>58</v>
      </c>
      <c r="C96" s="247"/>
      <c r="D96" s="1"/>
      <c r="E96" s="1"/>
      <c r="F96" s="1"/>
      <c r="G96" s="1"/>
      <c r="H96" s="1"/>
      <c r="I96" s="1"/>
      <c r="J96" s="1"/>
      <c r="K96" s="270"/>
      <c r="L96" s="270"/>
      <c r="M96" s="270"/>
      <c r="N96" s="270"/>
      <c r="O96" s="270"/>
      <c r="P96" s="117" t="s">
        <v>172</v>
      </c>
      <c r="Q96" s="1" t="s">
        <v>173</v>
      </c>
      <c r="R96" s="9" t="s">
        <v>175</v>
      </c>
    </row>
    <row r="97" spans="1:18" ht="17" thickBot="1" x14ac:dyDescent="0.25">
      <c r="A97" s="127"/>
      <c r="B97" s="307" t="s">
        <v>60</v>
      </c>
      <c r="C97" s="274">
        <f>(D95*$G$69*$C$69*$E$69-D95*$G$70*$C$70)*D94</f>
        <v>0.31899349431906954</v>
      </c>
      <c r="D97" s="171">
        <f t="shared" ref="D97:N97" si="43">(E95*$G$69*$C$69*$E$69-E95*$G$70*$C$70)*E94</f>
        <v>0.12114594572498491</v>
      </c>
      <c r="E97" s="171">
        <f t="shared" si="43"/>
        <v>4.6008107358927811E-2</v>
      </c>
      <c r="F97" s="171">
        <f t="shared" si="43"/>
        <v>1.7471257293632442E-2</v>
      </c>
      <c r="G97" s="171">
        <f t="shared" si="43"/>
        <v>6.6222333107203565E-3</v>
      </c>
      <c r="H97" s="171">
        <f t="shared" si="43"/>
        <v>2.4039633953396376E-3</v>
      </c>
      <c r="I97" s="171">
        <f t="shared" si="43"/>
        <v>0</v>
      </c>
      <c r="J97" s="171">
        <f t="shared" si="43"/>
        <v>0</v>
      </c>
      <c r="K97" s="171">
        <f t="shared" si="43"/>
        <v>0</v>
      </c>
      <c r="L97" s="171">
        <f t="shared" si="43"/>
        <v>0</v>
      </c>
      <c r="M97" s="171">
        <f t="shared" si="43"/>
        <v>0</v>
      </c>
      <c r="N97" s="171">
        <f t="shared" si="43"/>
        <v>0</v>
      </c>
      <c r="O97" s="271"/>
      <c r="P97" s="118">
        <f>SUM(C97:O97)</f>
        <v>0.51264500140267466</v>
      </c>
      <c r="Q97" s="171">
        <f>P97/Q95</f>
        <v>0.10163816511173915</v>
      </c>
      <c r="R97" s="10">
        <f>Q95/Q97</f>
        <v>49.625294256842572</v>
      </c>
    </row>
    <row r="98" spans="1:18" ht="17" thickBot="1" x14ac:dyDescent="0.25">
      <c r="A98" s="309"/>
      <c r="B98" s="451" t="s">
        <v>200</v>
      </c>
      <c r="C98" s="452"/>
      <c r="D98" s="452"/>
      <c r="E98" s="452"/>
      <c r="F98" s="452"/>
      <c r="G98" s="452"/>
      <c r="H98" s="452"/>
      <c r="I98" s="452"/>
      <c r="J98" s="452"/>
      <c r="K98" s="452"/>
      <c r="L98" s="452"/>
      <c r="M98" s="452"/>
      <c r="N98" s="452"/>
      <c r="O98" s="452"/>
      <c r="P98" s="452"/>
      <c r="Q98" s="452"/>
      <c r="R98" s="453"/>
    </row>
    <row r="99" spans="1:18" x14ac:dyDescent="0.2">
      <c r="A99" s="131"/>
      <c r="B99" s="305" t="s">
        <v>8</v>
      </c>
      <c r="C99" s="273">
        <f>B64</f>
        <v>0.25439021483679269</v>
      </c>
      <c r="D99" s="273">
        <f t="shared" ref="D99:N99" si="44">C64</f>
        <v>1.0461736042499015</v>
      </c>
      <c r="E99" s="273">
        <f t="shared" si="44"/>
        <v>0.19865563596968955</v>
      </c>
      <c r="F99" s="273">
        <f t="shared" si="44"/>
        <v>3.7722281679315864E-2</v>
      </c>
      <c r="G99" s="273">
        <f t="shared" si="44"/>
        <v>7.1629750997426389E-3</v>
      </c>
      <c r="H99" s="273">
        <f t="shared" si="44"/>
        <v>1.3600448718654114E-3</v>
      </c>
      <c r="I99" s="273">
        <f t="shared" si="44"/>
        <v>2.577528996102656E-4</v>
      </c>
      <c r="J99" s="273">
        <f t="shared" si="44"/>
        <v>4.6783955399355186E-5</v>
      </c>
      <c r="K99" s="273">
        <f t="shared" si="44"/>
        <v>8.4916153654074498E-6</v>
      </c>
      <c r="L99" s="273">
        <f t="shared" si="44"/>
        <v>0</v>
      </c>
      <c r="M99" s="273">
        <f t="shared" si="44"/>
        <v>0</v>
      </c>
      <c r="N99" s="273">
        <f t="shared" si="44"/>
        <v>0</v>
      </c>
      <c r="O99" s="273"/>
      <c r="P99" s="169" t="s">
        <v>170</v>
      </c>
      <c r="Q99" s="170" t="s">
        <v>171</v>
      </c>
      <c r="R99" s="63" t="s">
        <v>174</v>
      </c>
    </row>
    <row r="100" spans="1:18" x14ac:dyDescent="0.2">
      <c r="A100" s="126">
        <f>$E$70</f>
        <v>2</v>
      </c>
      <c r="B100" s="306" t="s">
        <v>169</v>
      </c>
      <c r="C100" s="247">
        <v>0</v>
      </c>
      <c r="D100" s="1">
        <f>IF(E99&gt;0,POWER($A100,D$72),0)</f>
        <v>1</v>
      </c>
      <c r="E100" s="1">
        <f>IF(F99&gt;0,ROUNDUP(D100*$A100,0),0)</f>
        <v>2</v>
      </c>
      <c r="F100" s="1">
        <f t="shared" ref="F100:N100" si="45">IF(G99&gt;0,ROUNDUP(E100*$A100,0),0)</f>
        <v>4</v>
      </c>
      <c r="G100" s="1">
        <f t="shared" si="45"/>
        <v>8</v>
      </c>
      <c r="H100" s="1">
        <f t="shared" si="45"/>
        <v>16</v>
      </c>
      <c r="I100" s="1">
        <f t="shared" si="45"/>
        <v>32</v>
      </c>
      <c r="J100" s="1">
        <f t="shared" si="45"/>
        <v>64</v>
      </c>
      <c r="K100" s="1">
        <f t="shared" si="45"/>
        <v>0</v>
      </c>
      <c r="L100" s="1">
        <f t="shared" si="45"/>
        <v>0</v>
      </c>
      <c r="M100" s="1">
        <f t="shared" si="45"/>
        <v>0</v>
      </c>
      <c r="N100" s="1">
        <f t="shared" si="45"/>
        <v>0</v>
      </c>
      <c r="O100" s="270"/>
      <c r="P100" s="117">
        <f>SUM(C100:N100)*$G$70</f>
        <v>381</v>
      </c>
      <c r="Q100" s="1">
        <f>(C100*C99+D100*D99+E100*E99+F100*F99+G100*G99+H100*H99+I100*I99+J100*J99+K99*K100+L99*L100+M99*M100+N99*N100)*3</f>
        <v>5.0540423627622566</v>
      </c>
      <c r="R100" s="9">
        <f>P100/Q102</f>
        <v>3748.591875710621</v>
      </c>
    </row>
    <row r="101" spans="1:18" x14ac:dyDescent="0.2">
      <c r="A101" s="126"/>
      <c r="B101" s="306" t="s">
        <v>58</v>
      </c>
      <c r="C101" s="247"/>
      <c r="D101" s="1"/>
      <c r="E101" s="1"/>
      <c r="F101" s="1"/>
      <c r="G101" s="1"/>
      <c r="H101" s="1"/>
      <c r="I101" s="1"/>
      <c r="J101" s="1"/>
      <c r="K101" s="270"/>
      <c r="L101" s="270"/>
      <c r="M101" s="270"/>
      <c r="N101" s="270"/>
      <c r="O101" s="270"/>
      <c r="P101" s="117" t="s">
        <v>172</v>
      </c>
      <c r="Q101" s="1" t="s">
        <v>173</v>
      </c>
      <c r="R101" s="9" t="s">
        <v>175</v>
      </c>
    </row>
    <row r="102" spans="1:18" ht="17" thickBot="1" x14ac:dyDescent="0.25">
      <c r="A102" s="127"/>
      <c r="B102" s="307" t="s">
        <v>60</v>
      </c>
      <c r="C102" s="274">
        <f>(D100*$G$69*$C$69*$E$69-D100*$G$70*$C$70)*D99</f>
        <v>0.31899349657288417</v>
      </c>
      <c r="D102" s="171">
        <f t="shared" ref="D102:N102" si="46">(E100*$G$69*$C$69*$E$69-E100*$G$70*$C$70)*E99</f>
        <v>0.12114596597438911</v>
      </c>
      <c r="E102" s="171">
        <f t="shared" si="46"/>
        <v>4.6008281924566061E-2</v>
      </c>
      <c r="F102" s="171">
        <f t="shared" si="46"/>
        <v>1.7472759501094042E-2</v>
      </c>
      <c r="G102" s="171">
        <f t="shared" si="46"/>
        <v>6.6351583318094778E-3</v>
      </c>
      <c r="H102" s="171">
        <f t="shared" si="46"/>
        <v>2.5149630497872991E-3</v>
      </c>
      <c r="I102" s="171">
        <f t="shared" si="46"/>
        <v>9.1296679362430123E-4</v>
      </c>
      <c r="J102" s="171">
        <f t="shared" si="46"/>
        <v>0</v>
      </c>
      <c r="K102" s="171">
        <f t="shared" si="46"/>
        <v>0</v>
      </c>
      <c r="L102" s="171">
        <f t="shared" si="46"/>
        <v>0</v>
      </c>
      <c r="M102" s="171">
        <f t="shared" si="46"/>
        <v>0</v>
      </c>
      <c r="N102" s="171">
        <f t="shared" si="46"/>
        <v>0</v>
      </c>
      <c r="O102" s="271"/>
      <c r="P102" s="118">
        <f>SUM(C102:O102)</f>
        <v>0.5136835921481544</v>
      </c>
      <c r="Q102" s="171">
        <f>P102/Q100</f>
        <v>0.10163816511173913</v>
      </c>
      <c r="R102" s="10">
        <f>Q100/Q102</f>
        <v>49.725832389889518</v>
      </c>
    </row>
    <row r="103" spans="1:18" ht="17" thickBot="1" x14ac:dyDescent="0.25">
      <c r="A103" s="309"/>
      <c r="B103" s="451" t="s">
        <v>201</v>
      </c>
      <c r="C103" s="452"/>
      <c r="D103" s="452"/>
      <c r="E103" s="452"/>
      <c r="F103" s="452"/>
      <c r="G103" s="452"/>
      <c r="H103" s="452"/>
      <c r="I103" s="452"/>
      <c r="J103" s="452"/>
      <c r="K103" s="452"/>
      <c r="L103" s="452"/>
      <c r="M103" s="452"/>
      <c r="N103" s="452"/>
      <c r="O103" s="452"/>
      <c r="P103" s="452"/>
      <c r="Q103" s="452"/>
      <c r="R103" s="453"/>
    </row>
    <row r="104" spans="1:18" x14ac:dyDescent="0.2">
      <c r="A104" s="131"/>
      <c r="B104" s="305" t="s">
        <v>8</v>
      </c>
      <c r="C104" s="273">
        <f>B65</f>
        <v>0.25439021484029395</v>
      </c>
      <c r="D104" s="273">
        <f t="shared" ref="D104:N104" si="47">C65</f>
        <v>1.0461736042643002</v>
      </c>
      <c r="E104" s="273">
        <f t="shared" si="47"/>
        <v>0.198655637376004</v>
      </c>
      <c r="F104" s="273">
        <f t="shared" si="47"/>
        <v>3.7722287985070643E-2</v>
      </c>
      <c r="G104" s="273">
        <f t="shared" si="47"/>
        <v>7.1630022778624864E-3</v>
      </c>
      <c r="H104" s="273">
        <f t="shared" si="47"/>
        <v>1.3601618107809889E-3</v>
      </c>
      <c r="I104" s="273">
        <f t="shared" si="47"/>
        <v>2.5825597184141001E-4</v>
      </c>
      <c r="J104" s="273">
        <f t="shared" si="47"/>
        <v>4.8944139241883673E-5</v>
      </c>
      <c r="K104" s="273">
        <f t="shared" si="47"/>
        <v>8.8837038528544226E-6</v>
      </c>
      <c r="L104" s="273">
        <f t="shared" si="47"/>
        <v>1.6124544300430766E-6</v>
      </c>
      <c r="M104" s="273">
        <f t="shared" si="47"/>
        <v>0</v>
      </c>
      <c r="N104" s="273">
        <f t="shared" si="47"/>
        <v>0</v>
      </c>
      <c r="O104" s="273"/>
      <c r="P104" s="169" t="s">
        <v>170</v>
      </c>
      <c r="Q104" s="170" t="s">
        <v>171</v>
      </c>
      <c r="R104" s="63" t="s">
        <v>174</v>
      </c>
    </row>
    <row r="105" spans="1:18" x14ac:dyDescent="0.2">
      <c r="A105" s="126">
        <f>$E$70</f>
        <v>2</v>
      </c>
      <c r="B105" s="306" t="s">
        <v>169</v>
      </c>
      <c r="C105" s="247">
        <v>0</v>
      </c>
      <c r="D105" s="1">
        <f>IF(E104&gt;0,POWER($A105,D$72),0)</f>
        <v>1</v>
      </c>
      <c r="E105" s="1">
        <f>IF(F104&gt;0,ROUNDUP(D105*$A105,0),0)</f>
        <v>2</v>
      </c>
      <c r="F105" s="1">
        <f t="shared" ref="F105:N105" si="48">IF(G104&gt;0,ROUNDUP(E105*$A105,0),0)</f>
        <v>4</v>
      </c>
      <c r="G105" s="1">
        <f t="shared" si="48"/>
        <v>8</v>
      </c>
      <c r="H105" s="1">
        <f t="shared" si="48"/>
        <v>16</v>
      </c>
      <c r="I105" s="1">
        <f t="shared" si="48"/>
        <v>32</v>
      </c>
      <c r="J105" s="1">
        <f t="shared" si="48"/>
        <v>64</v>
      </c>
      <c r="K105" s="1">
        <f t="shared" si="48"/>
        <v>128</v>
      </c>
      <c r="L105" s="1">
        <f t="shared" si="48"/>
        <v>0</v>
      </c>
      <c r="M105" s="1">
        <f t="shared" si="48"/>
        <v>0</v>
      </c>
      <c r="N105" s="1">
        <f t="shared" si="48"/>
        <v>0</v>
      </c>
      <c r="O105" s="270"/>
      <c r="P105" s="117">
        <f>SUM(C105:N105)*$G$70</f>
        <v>765</v>
      </c>
      <c r="Q105" s="1">
        <f>(C105*C104+D105*D104+E105*E104+F105*F104+G105*G104+H105*H104+I105*I104+J105*J104+K104*K105+L104*L105+M104*M105+N104*N105)*3</f>
        <v>5.0579231047666724</v>
      </c>
      <c r="R105" s="9">
        <f>P105/Q107</f>
        <v>7526.7002228835272</v>
      </c>
    </row>
    <row r="106" spans="1:18" x14ac:dyDescent="0.2">
      <c r="A106" s="126"/>
      <c r="B106" s="306" t="s">
        <v>58</v>
      </c>
      <c r="C106" s="247"/>
      <c r="D106" s="1"/>
      <c r="E106" s="1"/>
      <c r="F106" s="1"/>
      <c r="G106" s="1"/>
      <c r="H106" s="1"/>
      <c r="I106" s="1"/>
      <c r="J106" s="1"/>
      <c r="K106" s="270"/>
      <c r="L106" s="270"/>
      <c r="M106" s="270"/>
      <c r="N106" s="270"/>
      <c r="O106" s="270"/>
      <c r="P106" s="117" t="s">
        <v>172</v>
      </c>
      <c r="Q106" s="1" t="s">
        <v>173</v>
      </c>
      <c r="R106" s="9" t="s">
        <v>175</v>
      </c>
    </row>
    <row r="107" spans="1:18" ht="17" thickBot="1" x14ac:dyDescent="0.25">
      <c r="A107" s="127"/>
      <c r="B107" s="307" t="s">
        <v>60</v>
      </c>
      <c r="C107" s="274">
        <f>(D105*$G$69*$C$69*$E$69-D105*$G$70*$C$70)*D104</f>
        <v>0.31899349657727455</v>
      </c>
      <c r="D107" s="171">
        <f t="shared" ref="D107:N107" si="49">(E105*$G$69*$C$69*$E$69-E105*$G$70*$C$70)*E104</f>
        <v>0.12114596683200043</v>
      </c>
      <c r="E107" s="171">
        <f t="shared" si="49"/>
        <v>4.6008289615430201E-2</v>
      </c>
      <c r="F107" s="171">
        <f t="shared" si="49"/>
        <v>1.7472825797115624E-2</v>
      </c>
      <c r="G107" s="171">
        <f t="shared" si="49"/>
        <v>6.6357288337363313E-3</v>
      </c>
      <c r="H107" s="171">
        <f t="shared" si="49"/>
        <v>2.519871658282549E-3</v>
      </c>
      <c r="I107" s="171">
        <f t="shared" si="49"/>
        <v>9.5512176105955649E-4</v>
      </c>
      <c r="J107" s="171">
        <f t="shared" si="49"/>
        <v>3.4672256985608099E-4</v>
      </c>
      <c r="K107" s="171">
        <f t="shared" si="49"/>
        <v>0</v>
      </c>
      <c r="L107" s="171">
        <f t="shared" si="49"/>
        <v>0</v>
      </c>
      <c r="M107" s="171">
        <f t="shared" si="49"/>
        <v>0</v>
      </c>
      <c r="N107" s="171">
        <f t="shared" si="49"/>
        <v>0</v>
      </c>
      <c r="O107" s="271"/>
      <c r="P107" s="118">
        <f>SUM(C107:O107)</f>
        <v>0.51407802364475552</v>
      </c>
      <c r="Q107" s="171">
        <f>P107/Q105</f>
        <v>0.10163816511173918</v>
      </c>
      <c r="R107" s="10">
        <f>Q105/Q107</f>
        <v>49.76401432676478</v>
      </c>
    </row>
    <row r="108" spans="1:18" ht="17" thickBot="1" x14ac:dyDescent="0.25">
      <c r="A108" s="309"/>
      <c r="B108" s="451" t="s">
        <v>202</v>
      </c>
      <c r="C108" s="452"/>
      <c r="D108" s="452"/>
      <c r="E108" s="452"/>
      <c r="F108" s="452"/>
      <c r="G108" s="452"/>
      <c r="H108" s="452"/>
      <c r="I108" s="452"/>
      <c r="J108" s="452"/>
      <c r="K108" s="452"/>
      <c r="L108" s="452"/>
      <c r="M108" s="452"/>
      <c r="N108" s="452"/>
      <c r="O108" s="452"/>
      <c r="P108" s="452"/>
      <c r="Q108" s="452"/>
      <c r="R108" s="453"/>
    </row>
    <row r="109" spans="1:18" x14ac:dyDescent="0.2">
      <c r="A109" s="131"/>
      <c r="B109" s="305" t="s">
        <v>8</v>
      </c>
      <c r="C109" s="273">
        <f>B66</f>
        <v>0.25439021484044849</v>
      </c>
      <c r="D109" s="273">
        <f t="shared" ref="D109:N109" si="50">C66</f>
        <v>1.0461736042649357</v>
      </c>
      <c r="E109" s="273">
        <f t="shared" si="50"/>
        <v>0.19865563743807269</v>
      </c>
      <c r="F109" s="273">
        <f t="shared" si="50"/>
        <v>3.7722288263379547E-2</v>
      </c>
      <c r="G109" s="273">
        <f t="shared" si="50"/>
        <v>7.1630034773880365E-3</v>
      </c>
      <c r="H109" s="273">
        <f t="shared" si="50"/>
        <v>1.3601669719814937E-3</v>
      </c>
      <c r="I109" s="273">
        <f t="shared" si="50"/>
        <v>2.582781771956823E-4</v>
      </c>
      <c r="J109" s="273">
        <f t="shared" si="50"/>
        <v>4.9039666551731367E-5</v>
      </c>
      <c r="K109" s="273">
        <f t="shared" si="50"/>
        <v>9.2938964817332632E-6</v>
      </c>
      <c r="L109" s="273">
        <f t="shared" si="50"/>
        <v>1.6869072632939489E-6</v>
      </c>
      <c r="M109" s="273">
        <f t="shared" si="50"/>
        <v>3.0618547565565095E-7</v>
      </c>
      <c r="N109" s="273">
        <f t="shared" si="50"/>
        <v>0</v>
      </c>
      <c r="O109" s="273"/>
      <c r="P109" s="169" t="s">
        <v>170</v>
      </c>
      <c r="Q109" s="170" t="s">
        <v>171</v>
      </c>
      <c r="R109" s="63" t="s">
        <v>174</v>
      </c>
    </row>
    <row r="110" spans="1:18" x14ac:dyDescent="0.2">
      <c r="A110" s="126">
        <f>$E$70</f>
        <v>2</v>
      </c>
      <c r="B110" s="306" t="s">
        <v>169</v>
      </c>
      <c r="C110" s="247">
        <v>0</v>
      </c>
      <c r="D110" s="1">
        <f>IF(E109&gt;0,POWER($A110,D$72),0)</f>
        <v>1</v>
      </c>
      <c r="E110" s="1">
        <f>IF(F109&gt;0,ROUNDUP(D110*$A110,0),0)</f>
        <v>2</v>
      </c>
      <c r="F110" s="1">
        <f t="shared" ref="F110:N110" si="51">IF(G109&gt;0,ROUNDUP(E110*$A110,0),0)</f>
        <v>4</v>
      </c>
      <c r="G110" s="1">
        <f t="shared" si="51"/>
        <v>8</v>
      </c>
      <c r="H110" s="1">
        <f t="shared" si="51"/>
        <v>16</v>
      </c>
      <c r="I110" s="1">
        <f t="shared" si="51"/>
        <v>32</v>
      </c>
      <c r="J110" s="1">
        <f t="shared" si="51"/>
        <v>64</v>
      </c>
      <c r="K110" s="1">
        <f t="shared" si="51"/>
        <v>128</v>
      </c>
      <c r="L110" s="1">
        <f t="shared" si="51"/>
        <v>256</v>
      </c>
      <c r="M110" s="1">
        <f t="shared" si="51"/>
        <v>0</v>
      </c>
      <c r="N110" s="1">
        <f t="shared" si="51"/>
        <v>0</v>
      </c>
      <c r="O110" s="270"/>
      <c r="P110" s="117">
        <f>SUM(C110:N110)*$G$70</f>
        <v>1533</v>
      </c>
      <c r="Q110" s="1">
        <f>(C110*C109+D110*D109+E110*E109+F110*F109+G110*G109+H110*H109+I110*I109+J110*J109+K109*K110+L109*L110+M109*M110+N109*N110)*3</f>
        <v>5.0593969167121351</v>
      </c>
      <c r="R110" s="9">
        <f>P110/Q112</f>
        <v>15082.916917229348</v>
      </c>
    </row>
    <row r="111" spans="1:18" x14ac:dyDescent="0.2">
      <c r="A111" s="126"/>
      <c r="B111" s="306" t="s">
        <v>58</v>
      </c>
      <c r="C111" s="247"/>
      <c r="D111" s="1"/>
      <c r="E111" s="1"/>
      <c r="F111" s="1"/>
      <c r="G111" s="1"/>
      <c r="H111" s="1"/>
      <c r="I111" s="1"/>
      <c r="J111" s="1"/>
      <c r="K111" s="270"/>
      <c r="L111" s="270"/>
      <c r="M111" s="270"/>
      <c r="N111" s="270"/>
      <c r="O111" s="270"/>
      <c r="P111" s="117" t="s">
        <v>172</v>
      </c>
      <c r="Q111" s="1" t="s">
        <v>173</v>
      </c>
      <c r="R111" s="9" t="s">
        <v>175</v>
      </c>
    </row>
    <row r="112" spans="1:18" ht="17" thickBot="1" x14ac:dyDescent="0.25">
      <c r="A112" s="127"/>
      <c r="B112" s="307" t="s">
        <v>60</v>
      </c>
      <c r="C112" s="274">
        <f>(D110*$G$69*$C$69*$E$69-D110*$G$70*$C$70)*D109</f>
        <v>0.31899349657746834</v>
      </c>
      <c r="D112" s="171">
        <f t="shared" ref="D112:N112" si="52">(E110*$G$69*$C$69*$E$69-E110*$G$70*$C$70)*E109</f>
        <v>0.12114596686985171</v>
      </c>
      <c r="E112" s="171">
        <f t="shared" si="52"/>
        <v>4.6008289954871877E-2</v>
      </c>
      <c r="F112" s="171">
        <f t="shared" si="52"/>
        <v>1.7472828723137445E-2</v>
      </c>
      <c r="G112" s="171">
        <f t="shared" si="52"/>
        <v>6.6357540133338876E-3</v>
      </c>
      <c r="H112" s="171">
        <f t="shared" si="52"/>
        <v>2.5200883217830826E-3</v>
      </c>
      <c r="I112" s="171">
        <f t="shared" si="52"/>
        <v>9.5698593139382474E-4</v>
      </c>
      <c r="J112" s="171">
        <f t="shared" si="52"/>
        <v>3.6273200069445767E-4</v>
      </c>
      <c r="K112" s="171">
        <f t="shared" si="52"/>
        <v>1.316767940773343E-4</v>
      </c>
      <c r="L112" s="171">
        <f t="shared" si="52"/>
        <v>0</v>
      </c>
      <c r="M112" s="171">
        <f t="shared" si="52"/>
        <v>0</v>
      </c>
      <c r="N112" s="171">
        <f t="shared" si="52"/>
        <v>0</v>
      </c>
      <c r="O112" s="271"/>
      <c r="P112" s="118">
        <f>SUM(C112:O112)</f>
        <v>0.51422781918661198</v>
      </c>
      <c r="Q112" s="171">
        <f>P112/Q110</f>
        <v>0.10163816511173915</v>
      </c>
      <c r="R112" s="10">
        <f>Q110/Q112</f>
        <v>49.778514902841138</v>
      </c>
    </row>
    <row r="113" spans="1:18" ht="17" thickBot="1" x14ac:dyDescent="0.25">
      <c r="A113" s="309"/>
      <c r="B113" s="451" t="s">
        <v>203</v>
      </c>
      <c r="C113" s="452"/>
      <c r="D113" s="452"/>
      <c r="E113" s="452"/>
      <c r="F113" s="452"/>
      <c r="G113" s="452"/>
      <c r="H113" s="452"/>
      <c r="I113" s="452"/>
      <c r="J113" s="452"/>
      <c r="K113" s="452"/>
      <c r="L113" s="452"/>
      <c r="M113" s="452"/>
      <c r="N113" s="452"/>
      <c r="O113" s="452"/>
      <c r="P113" s="452"/>
      <c r="Q113" s="452"/>
      <c r="R113" s="453"/>
    </row>
    <row r="114" spans="1:18" x14ac:dyDescent="0.2">
      <c r="A114" s="131"/>
      <c r="B114" s="305" t="s">
        <v>8</v>
      </c>
      <c r="C114" s="273">
        <f>B67</f>
        <v>0.25439021484045526</v>
      </c>
      <c r="D114" s="273">
        <f t="shared" ref="D114:N114" si="53">C67</f>
        <v>1.0461736042649636</v>
      </c>
      <c r="E114" s="273">
        <f t="shared" si="53"/>
        <v>0.19865563744081211</v>
      </c>
      <c r="F114" s="273">
        <f t="shared" si="53"/>
        <v>3.7722288275662902E-2</v>
      </c>
      <c r="G114" s="273">
        <f t="shared" si="53"/>
        <v>7.1630035303299373E-3</v>
      </c>
      <c r="H114" s="273">
        <f t="shared" si="53"/>
        <v>1.3601671997747302E-3</v>
      </c>
      <c r="I114" s="273">
        <f t="shared" si="53"/>
        <v>2.5827915724826062E-4</v>
      </c>
      <c r="J114" s="273">
        <f t="shared" si="53"/>
        <v>4.9043883078955817E-5</v>
      </c>
      <c r="K114" s="273">
        <f t="shared" si="53"/>
        <v>9.3120359556041505E-6</v>
      </c>
      <c r="L114" s="273">
        <f t="shared" si="53"/>
        <v>1.7647978522502322E-6</v>
      </c>
      <c r="M114" s="273">
        <f t="shared" si="53"/>
        <v>3.2032316273994838E-7</v>
      </c>
      <c r="N114" s="273">
        <f t="shared" si="53"/>
        <v>5.8140896112771747E-8</v>
      </c>
      <c r="O114" s="273"/>
      <c r="P114" s="169" t="s">
        <v>170</v>
      </c>
      <c r="Q114" s="170" t="s">
        <v>171</v>
      </c>
      <c r="R114" s="63" t="s">
        <v>174</v>
      </c>
    </row>
    <row r="115" spans="1:18" x14ac:dyDescent="0.2">
      <c r="A115" s="126">
        <f>$E$70</f>
        <v>2</v>
      </c>
      <c r="B115" s="306" t="s">
        <v>169</v>
      </c>
      <c r="C115" s="247">
        <v>0</v>
      </c>
      <c r="D115" s="1">
        <f>IF(E114&gt;0,POWER($A115,D$72),0)</f>
        <v>1</v>
      </c>
      <c r="E115" s="1">
        <f>IF(F114&gt;0,ROUNDUP(D115*$A115,0),0)</f>
        <v>2</v>
      </c>
      <c r="F115" s="1">
        <f t="shared" ref="F115:N115" si="54">IF(G114&gt;0,ROUNDUP(E115*$A115,0),0)</f>
        <v>4</v>
      </c>
      <c r="G115" s="1">
        <f t="shared" si="54"/>
        <v>8</v>
      </c>
      <c r="H115" s="1">
        <f t="shared" si="54"/>
        <v>16</v>
      </c>
      <c r="I115" s="1">
        <f t="shared" si="54"/>
        <v>32</v>
      </c>
      <c r="J115" s="1">
        <f t="shared" si="54"/>
        <v>64</v>
      </c>
      <c r="K115" s="1">
        <f t="shared" si="54"/>
        <v>128</v>
      </c>
      <c r="L115" s="1">
        <f t="shared" si="54"/>
        <v>256</v>
      </c>
      <c r="M115" s="1">
        <f t="shared" si="54"/>
        <v>512</v>
      </c>
      <c r="N115" s="1">
        <f t="shared" si="54"/>
        <v>0</v>
      </c>
      <c r="O115" s="270"/>
      <c r="P115" s="117">
        <f>SUM(C115:N115)*$G$70</f>
        <v>3069</v>
      </c>
      <c r="Q115" s="1">
        <f>(C115*C114+D115*D114+E115*E114+F115*F114+G115*G114+H115*H114+I115*I114+J115*J114+K114*K115+L114*L115+M114*M115+N114*N115)*3</f>
        <v>5.059956634647266</v>
      </c>
      <c r="R115" s="9">
        <f>P115/Q117</f>
        <v>30195.350305920991</v>
      </c>
    </row>
    <row r="116" spans="1:18" x14ac:dyDescent="0.2">
      <c r="A116" s="126"/>
      <c r="B116" s="306" t="s">
        <v>58</v>
      </c>
      <c r="C116" s="247"/>
      <c r="D116" s="1"/>
      <c r="E116" s="1"/>
      <c r="F116" s="1"/>
      <c r="G116" s="1"/>
      <c r="H116" s="1"/>
      <c r="I116" s="1"/>
      <c r="J116" s="1"/>
      <c r="K116" s="270"/>
      <c r="L116" s="270"/>
      <c r="M116" s="270"/>
      <c r="N116" s="270"/>
      <c r="O116" s="270"/>
      <c r="P116" s="117" t="s">
        <v>172</v>
      </c>
      <c r="Q116" s="1" t="s">
        <v>173</v>
      </c>
      <c r="R116" s="9" t="s">
        <v>175</v>
      </c>
    </row>
    <row r="117" spans="1:18" ht="17" thickBot="1" x14ac:dyDescent="0.25">
      <c r="A117" s="127"/>
      <c r="B117" s="307" t="s">
        <v>60</v>
      </c>
      <c r="C117" s="274">
        <f>(D115*$G$69*$C$69*$E$69-D115*$G$70*$C$70)*D114</f>
        <v>0.31899349657747683</v>
      </c>
      <c r="D117" s="171">
        <f t="shared" ref="D117:N117" si="55">(E115*$G$69*$C$69*$E$69-E115*$G$70*$C$70)*E114</f>
        <v>0.12114596687152229</v>
      </c>
      <c r="E117" s="171">
        <f t="shared" si="55"/>
        <v>4.6008289969853372E-2</v>
      </c>
      <c r="F117" s="171">
        <f t="shared" si="55"/>
        <v>1.7472828852279468E-2</v>
      </c>
      <c r="G117" s="171">
        <f t="shared" si="55"/>
        <v>6.6357551246532436E-3</v>
      </c>
      <c r="H117" s="171">
        <f t="shared" si="55"/>
        <v>2.5200978844146767E-3</v>
      </c>
      <c r="I117" s="171">
        <f t="shared" si="55"/>
        <v>9.5706821493115018E-4</v>
      </c>
      <c r="J117" s="171">
        <f t="shared" si="55"/>
        <v>3.6343996722514412E-4</v>
      </c>
      <c r="K117" s="171">
        <f t="shared" si="55"/>
        <v>1.3775678630081412E-4</v>
      </c>
      <c r="L117" s="171">
        <f t="shared" si="55"/>
        <v>5.0007641861648424E-5</v>
      </c>
      <c r="M117" s="171">
        <f t="shared" si="55"/>
        <v>0</v>
      </c>
      <c r="N117" s="171">
        <f t="shared" si="55"/>
        <v>0</v>
      </c>
      <c r="O117" s="271"/>
      <c r="P117" s="118">
        <f>SUM(C117:O117)</f>
        <v>0.51428470789051861</v>
      </c>
      <c r="Q117" s="171">
        <f>P117/Q115</f>
        <v>0.10163816511173912</v>
      </c>
      <c r="R117" s="10">
        <f>Q115/Q117</f>
        <v>49.784021868994223</v>
      </c>
    </row>
  </sheetData>
  <sheetProtection sheet="1" objects="1" scenarios="1"/>
  <mergeCells count="9">
    <mergeCell ref="B98:R98"/>
    <mergeCell ref="B103:R103"/>
    <mergeCell ref="B108:R108"/>
    <mergeCell ref="B113:R113"/>
    <mergeCell ref="B73:Q73"/>
    <mergeCell ref="B78:R78"/>
    <mergeCell ref="B83:R83"/>
    <mergeCell ref="B88:R88"/>
    <mergeCell ref="B93:R93"/>
  </mergeCells>
  <phoneticPr fontId="14" type="noConversion"/>
  <conditionalFormatting sqref="Q58:S67">
    <cfRule type="cellIs" dxfId="3" priority="3" operator="lessThanOrEqual">
      <formula>0</formula>
    </cfRule>
    <cfRule type="cellIs" dxfId="2" priority="4" operator="greaterThan">
      <formula>0</formula>
    </cfRule>
  </conditionalFormatting>
  <conditionalFormatting sqref="P58:P67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25" right="0.25" top="0.75" bottom="0.75" header="0.3" footer="0.3"/>
  <pageSetup paperSize="9" scale="69" orientation="portrait" horizontalDpi="0" verticalDpi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44"/>
  <sheetViews>
    <sheetView tabSelected="1" topLeftCell="A23" workbookViewId="0">
      <selection activeCell="K39" sqref="K39"/>
    </sheetView>
  </sheetViews>
  <sheetFormatPr baseColWidth="10" defaultRowHeight="16" x14ac:dyDescent="0.2"/>
  <cols>
    <col min="1" max="1" width="11" bestFit="1" customWidth="1"/>
    <col min="2" max="2" width="11.1640625" bestFit="1" customWidth="1"/>
    <col min="3" max="3" width="11.33203125" bestFit="1" customWidth="1"/>
    <col min="4" max="4" width="12.1640625" bestFit="1" customWidth="1"/>
    <col min="5" max="5" width="11.33203125" bestFit="1" customWidth="1"/>
    <col min="6" max="6" width="19" customWidth="1"/>
  </cols>
  <sheetData>
    <row r="1" spans="1:8" ht="25" thickBot="1" x14ac:dyDescent="0.35">
      <c r="A1" s="455" t="s">
        <v>213</v>
      </c>
      <c r="B1" s="456"/>
      <c r="C1" s="456"/>
      <c r="D1" s="456"/>
      <c r="E1" s="456"/>
      <c r="F1" s="456"/>
      <c r="G1" s="456"/>
      <c r="H1" s="457"/>
    </row>
    <row r="2" spans="1:8" ht="17" thickBot="1" x14ac:dyDescent="0.25"/>
    <row r="3" spans="1:8" x14ac:dyDescent="0.2">
      <c r="A3" s="367" t="s">
        <v>212</v>
      </c>
      <c r="B3" s="326" t="s">
        <v>208</v>
      </c>
      <c r="C3" s="364" t="s">
        <v>190</v>
      </c>
      <c r="D3" s="326">
        <v>3</v>
      </c>
      <c r="E3" s="364" t="s">
        <v>58</v>
      </c>
      <c r="F3" s="326">
        <v>2</v>
      </c>
      <c r="G3" s="364" t="s">
        <v>210</v>
      </c>
      <c r="H3" s="63" t="s">
        <v>211</v>
      </c>
    </row>
    <row r="4" spans="1:8" x14ac:dyDescent="0.2">
      <c r="A4" s="368" t="s">
        <v>175</v>
      </c>
      <c r="B4" s="370">
        <f>'2x3 M2  Plan'!R117</f>
        <v>49.784021868994223</v>
      </c>
      <c r="C4" s="365" t="s">
        <v>174</v>
      </c>
      <c r="D4" s="370">
        <f>'2x3 M2  Plan'!R115</f>
        <v>30195.350305920991</v>
      </c>
      <c r="E4" s="365" t="s">
        <v>180</v>
      </c>
      <c r="F4" s="370">
        <f>D4*2</f>
        <v>60390.700611841981</v>
      </c>
      <c r="G4" s="365" t="s">
        <v>57</v>
      </c>
      <c r="H4" s="9">
        <v>2</v>
      </c>
    </row>
    <row r="5" spans="1:8" x14ac:dyDescent="0.2">
      <c r="A5" s="368" t="s">
        <v>204</v>
      </c>
      <c r="B5" s="370">
        <f>ROUNDUP(B4,0)</f>
        <v>50</v>
      </c>
      <c r="C5" s="365" t="s">
        <v>61</v>
      </c>
      <c r="D5" s="370">
        <f>ROUNDUP(D4,0)</f>
        <v>30196</v>
      </c>
      <c r="E5" s="365" t="s">
        <v>205</v>
      </c>
      <c r="F5" s="370">
        <f>ROUNDUP(F4,0)</f>
        <v>60391</v>
      </c>
      <c r="G5" s="365" t="s">
        <v>173</v>
      </c>
      <c r="H5" s="9">
        <f>'2x3 M2  Plan'!Q117</f>
        <v>0.10163816511173912</v>
      </c>
    </row>
    <row r="6" spans="1:8" ht="17" thickBot="1" x14ac:dyDescent="0.25">
      <c r="A6" s="369" t="s">
        <v>214</v>
      </c>
      <c r="B6" s="330">
        <f>B5*2</f>
        <v>100</v>
      </c>
      <c r="C6" s="366" t="s">
        <v>167</v>
      </c>
      <c r="D6" s="330">
        <f>'2x3 M2  Plan'!D2</f>
        <v>0.24316252465496735</v>
      </c>
      <c r="E6" s="366" t="s">
        <v>168</v>
      </c>
      <c r="F6" s="330">
        <f>'2x3 M2  Plan'!F2</f>
        <v>0.18150699941725082</v>
      </c>
      <c r="G6" s="366" t="s">
        <v>209</v>
      </c>
      <c r="H6" s="10">
        <f>'2x3 M2  Plan'!J2</f>
        <v>1.7466414588190893</v>
      </c>
    </row>
    <row r="7" spans="1:8" ht="17" thickBot="1" x14ac:dyDescent="0.25">
      <c r="A7" s="454"/>
      <c r="B7" s="454"/>
      <c r="C7" s="454"/>
      <c r="D7" s="454"/>
      <c r="E7" s="454"/>
      <c r="F7" s="454"/>
      <c r="G7" s="454"/>
    </row>
    <row r="8" spans="1:8" ht="17" thickBot="1" x14ac:dyDescent="0.25">
      <c r="B8" s="358"/>
      <c r="C8" s="359" t="s">
        <v>175</v>
      </c>
      <c r="D8" s="359" t="s">
        <v>174</v>
      </c>
      <c r="E8" s="359" t="s">
        <v>206</v>
      </c>
      <c r="F8" s="359" t="s">
        <v>180</v>
      </c>
      <c r="G8" s="360" t="s">
        <v>207</v>
      </c>
    </row>
    <row r="9" spans="1:8" x14ac:dyDescent="0.2">
      <c r="B9" s="361">
        <v>100</v>
      </c>
      <c r="C9" s="362">
        <f>B9*B5</f>
        <v>5000</v>
      </c>
      <c r="D9" s="362">
        <f>B9*D5</f>
        <v>3019600</v>
      </c>
      <c r="E9" s="362">
        <f>C9*2</f>
        <v>10000</v>
      </c>
      <c r="F9" s="362">
        <f>B9*F5</f>
        <v>6039100</v>
      </c>
      <c r="G9" s="132">
        <f>E9*2</f>
        <v>20000</v>
      </c>
    </row>
    <row r="10" spans="1:8" x14ac:dyDescent="0.2">
      <c r="B10" s="356">
        <v>200</v>
      </c>
      <c r="C10" s="284">
        <f>B10*B5</f>
        <v>10000</v>
      </c>
      <c r="D10" s="291">
        <f>B10*D5</f>
        <v>6039200</v>
      </c>
      <c r="E10" s="284">
        <f t="shared" ref="E10:E18" si="0">C10*2</f>
        <v>20000</v>
      </c>
      <c r="F10" s="284">
        <f>B10*F5</f>
        <v>12078200</v>
      </c>
      <c r="G10" s="128">
        <f t="shared" ref="G10:G18" si="1">E10*2</f>
        <v>40000</v>
      </c>
    </row>
    <row r="11" spans="1:8" x14ac:dyDescent="0.2">
      <c r="B11" s="356">
        <v>300</v>
      </c>
      <c r="C11" s="284">
        <f>B11*B5</f>
        <v>15000</v>
      </c>
      <c r="D11" s="291">
        <f>B11*D5</f>
        <v>9058800</v>
      </c>
      <c r="E11" s="284">
        <f t="shared" si="0"/>
        <v>30000</v>
      </c>
      <c r="F11" s="284">
        <f>B11*F5</f>
        <v>18117300</v>
      </c>
      <c r="G11" s="128">
        <f t="shared" si="1"/>
        <v>60000</v>
      </c>
    </row>
    <row r="12" spans="1:8" x14ac:dyDescent="0.2">
      <c r="B12" s="356">
        <v>400</v>
      </c>
      <c r="C12" s="284">
        <f>B12*B5</f>
        <v>20000</v>
      </c>
      <c r="D12" s="291">
        <f>B12*D5</f>
        <v>12078400</v>
      </c>
      <c r="E12" s="284">
        <f t="shared" si="0"/>
        <v>40000</v>
      </c>
      <c r="F12" s="284">
        <f>B12*F5</f>
        <v>24156400</v>
      </c>
      <c r="G12" s="128">
        <f t="shared" si="1"/>
        <v>80000</v>
      </c>
    </row>
    <row r="13" spans="1:8" x14ac:dyDescent="0.2">
      <c r="B13" s="356">
        <v>500</v>
      </c>
      <c r="C13" s="284">
        <f>B13*B5</f>
        <v>25000</v>
      </c>
      <c r="D13" s="291">
        <f>B13*D5</f>
        <v>15098000</v>
      </c>
      <c r="E13" s="284">
        <f t="shared" si="0"/>
        <v>50000</v>
      </c>
      <c r="F13" s="284">
        <f>B13*F5</f>
        <v>30195500</v>
      </c>
      <c r="G13" s="128">
        <f t="shared" si="1"/>
        <v>100000</v>
      </c>
    </row>
    <row r="14" spans="1:8" x14ac:dyDescent="0.2">
      <c r="B14" s="356">
        <v>600</v>
      </c>
      <c r="C14" s="284">
        <f>B14*B5</f>
        <v>30000</v>
      </c>
      <c r="D14" s="291">
        <f>B14*D5</f>
        <v>18117600</v>
      </c>
      <c r="E14" s="284">
        <f t="shared" si="0"/>
        <v>60000</v>
      </c>
      <c r="F14" s="284">
        <f>B14*F5</f>
        <v>36234600</v>
      </c>
      <c r="G14" s="128">
        <f t="shared" si="1"/>
        <v>120000</v>
      </c>
    </row>
    <row r="15" spans="1:8" x14ac:dyDescent="0.2">
      <c r="B15" s="356">
        <v>700</v>
      </c>
      <c r="C15" s="284">
        <f>B15*B5</f>
        <v>35000</v>
      </c>
      <c r="D15" s="291">
        <f>B15*D5</f>
        <v>21137200</v>
      </c>
      <c r="E15" s="284">
        <f t="shared" si="0"/>
        <v>70000</v>
      </c>
      <c r="F15" s="284">
        <f>B15*F5</f>
        <v>42273700</v>
      </c>
      <c r="G15" s="128">
        <f t="shared" si="1"/>
        <v>140000</v>
      </c>
    </row>
    <row r="16" spans="1:8" x14ac:dyDescent="0.2">
      <c r="B16" s="356">
        <v>800</v>
      </c>
      <c r="C16" s="284">
        <f>B16*B5</f>
        <v>40000</v>
      </c>
      <c r="D16" s="291">
        <f>B16*D5</f>
        <v>24156800</v>
      </c>
      <c r="E16" s="284">
        <f t="shared" si="0"/>
        <v>80000</v>
      </c>
      <c r="F16" s="284">
        <f>B16*F5</f>
        <v>48312800</v>
      </c>
      <c r="G16" s="128">
        <f t="shared" si="1"/>
        <v>160000</v>
      </c>
    </row>
    <row r="17" spans="1:8" x14ac:dyDescent="0.2">
      <c r="B17" s="356">
        <v>900</v>
      </c>
      <c r="C17" s="284">
        <f>B17*B5</f>
        <v>45000</v>
      </c>
      <c r="D17" s="291">
        <f>B17*D5</f>
        <v>27176400</v>
      </c>
      <c r="E17" s="284">
        <f t="shared" si="0"/>
        <v>90000</v>
      </c>
      <c r="F17" s="284">
        <f>B17*F5</f>
        <v>54351900</v>
      </c>
      <c r="G17" s="128">
        <f t="shared" si="1"/>
        <v>180000</v>
      </c>
    </row>
    <row r="18" spans="1:8" ht="17" thickBot="1" x14ac:dyDescent="0.25">
      <c r="B18" s="357">
        <v>1000</v>
      </c>
      <c r="C18" s="287">
        <f>B18*B5</f>
        <v>50000</v>
      </c>
      <c r="D18" s="363">
        <f>B18*D5</f>
        <v>30196000</v>
      </c>
      <c r="E18" s="287">
        <f t="shared" si="0"/>
        <v>100000</v>
      </c>
      <c r="F18" s="287">
        <f>B18*F5</f>
        <v>60391000</v>
      </c>
      <c r="G18" s="129">
        <f t="shared" si="1"/>
        <v>200000</v>
      </c>
    </row>
    <row r="19" spans="1:8" ht="17" thickBot="1" x14ac:dyDescent="0.25"/>
    <row r="20" spans="1:8" x14ac:dyDescent="0.2">
      <c r="A20" s="367" t="s">
        <v>212</v>
      </c>
      <c r="B20" s="326" t="s">
        <v>208</v>
      </c>
      <c r="C20" s="364" t="s">
        <v>190</v>
      </c>
      <c r="D20" s="326">
        <v>3</v>
      </c>
      <c r="E20" s="364" t="s">
        <v>58</v>
      </c>
      <c r="F20" s="326">
        <v>2</v>
      </c>
      <c r="G20" s="364" t="s">
        <v>210</v>
      </c>
      <c r="H20" s="63" t="s">
        <v>211</v>
      </c>
    </row>
    <row r="21" spans="1:8" x14ac:dyDescent="0.2">
      <c r="A21" s="368" t="s">
        <v>175</v>
      </c>
      <c r="B21" s="370">
        <f>'2x3 M1.5  Plan'!R117</f>
        <v>47.452860221075703</v>
      </c>
      <c r="C21" s="365" t="s">
        <v>174</v>
      </c>
      <c r="D21" s="370">
        <f>'2x3 M1.5  Plan'!R115</f>
        <v>5283.4483917496136</v>
      </c>
      <c r="E21" s="365" t="s">
        <v>180</v>
      </c>
      <c r="F21" s="370">
        <f>D21*2</f>
        <v>10566.896783499227</v>
      </c>
      <c r="G21" s="365" t="s">
        <v>57</v>
      </c>
      <c r="H21" s="9">
        <v>1.5</v>
      </c>
    </row>
    <row r="22" spans="1:8" x14ac:dyDescent="0.2">
      <c r="A22" s="368" t="s">
        <v>204</v>
      </c>
      <c r="B22" s="370">
        <f>ROUNDUP(B21,0)</f>
        <v>48</v>
      </c>
      <c r="C22" s="365" t="s">
        <v>61</v>
      </c>
      <c r="D22" s="370">
        <f>ROUNDUP(D21,0)</f>
        <v>5284</v>
      </c>
      <c r="E22" s="365" t="s">
        <v>205</v>
      </c>
      <c r="F22" s="370">
        <f>ROUNDUP(F21,0)</f>
        <v>10567</v>
      </c>
      <c r="G22" s="365" t="s">
        <v>173</v>
      </c>
      <c r="H22" s="9">
        <f>'2x3 M1.5  Plan'!Q77</f>
        <v>0.10163816511173913</v>
      </c>
    </row>
    <row r="23" spans="1:8" ht="17" thickBot="1" x14ac:dyDescent="0.25">
      <c r="A23" s="369" t="s">
        <v>205</v>
      </c>
      <c r="B23" s="330">
        <f>B22*2</f>
        <v>96</v>
      </c>
      <c r="C23" s="366" t="s">
        <v>167</v>
      </c>
      <c r="D23" s="330">
        <f>'2x3 M1.5  Plan'!D2</f>
        <v>0.24316252465496735</v>
      </c>
      <c r="E23" s="366" t="s">
        <v>168</v>
      </c>
      <c r="F23" s="330">
        <f>'2x3 M1.5  Plan'!F2</f>
        <v>0.18150699941725082</v>
      </c>
      <c r="G23" s="366" t="s">
        <v>209</v>
      </c>
      <c r="H23" s="10">
        <f>'2x3 M1.5  Plan'!J2</f>
        <v>1.7466414588190893</v>
      </c>
    </row>
    <row r="24" spans="1:8" ht="17" thickBot="1" x14ac:dyDescent="0.25">
      <c r="A24" s="454"/>
      <c r="B24" s="454"/>
      <c r="C24" s="454"/>
      <c r="D24" s="454"/>
      <c r="E24" s="454"/>
      <c r="F24" s="454"/>
      <c r="G24" s="454"/>
    </row>
    <row r="25" spans="1:8" ht="17" thickBot="1" x14ac:dyDescent="0.25">
      <c r="A25" s="358"/>
      <c r="B25" s="373" t="s">
        <v>175</v>
      </c>
      <c r="C25" s="373" t="s">
        <v>174</v>
      </c>
      <c r="D25" s="373" t="s">
        <v>206</v>
      </c>
      <c r="E25" s="373" t="s">
        <v>180</v>
      </c>
      <c r="F25" s="278" t="s">
        <v>207</v>
      </c>
      <c r="G25" s="378" t="s">
        <v>216</v>
      </c>
      <c r="H25" s="294" t="s">
        <v>215</v>
      </c>
    </row>
    <row r="26" spans="1:8" x14ac:dyDescent="0.2">
      <c r="A26" s="361">
        <v>100</v>
      </c>
      <c r="B26" s="362">
        <f>A26*B22</f>
        <v>4800</v>
      </c>
      <c r="C26" s="362">
        <f>A26*D22</f>
        <v>528400</v>
      </c>
      <c r="D26" s="362">
        <f>B26*2</f>
        <v>9600</v>
      </c>
      <c r="E26" s="362">
        <f>A26*F22</f>
        <v>1056700</v>
      </c>
      <c r="F26" s="377">
        <f>D26*2</f>
        <v>19200</v>
      </c>
      <c r="G26" s="28">
        <v>2</v>
      </c>
      <c r="H26" s="8">
        <f>'2x3 M1.5  Plan'!P75</f>
        <v>9</v>
      </c>
    </row>
    <row r="27" spans="1:8" x14ac:dyDescent="0.2">
      <c r="A27" s="356">
        <v>200</v>
      </c>
      <c r="B27" s="284">
        <f>A27*B22</f>
        <v>9600</v>
      </c>
      <c r="C27" s="291">
        <f>A27*D22</f>
        <v>1056800</v>
      </c>
      <c r="D27" s="284">
        <f t="shared" ref="D27:D35" si="2">B27*2</f>
        <v>19200</v>
      </c>
      <c r="E27" s="284">
        <f>A27*F22</f>
        <v>2113400</v>
      </c>
      <c r="F27" s="298">
        <f t="shared" ref="F27:F35" si="3">D27*2</f>
        <v>38400</v>
      </c>
      <c r="G27" s="117">
        <v>3</v>
      </c>
      <c r="H27" s="9">
        <f>'2x3 M1.5  Plan'!P80</f>
        <v>18</v>
      </c>
    </row>
    <row r="28" spans="1:8" x14ac:dyDescent="0.2">
      <c r="A28" s="356">
        <v>300</v>
      </c>
      <c r="B28" s="284">
        <f>A28*B22</f>
        <v>14400</v>
      </c>
      <c r="C28" s="291">
        <f>A28*D22</f>
        <v>1585200</v>
      </c>
      <c r="D28" s="284">
        <f t="shared" si="2"/>
        <v>28800</v>
      </c>
      <c r="E28" s="284">
        <f>A28*F22</f>
        <v>3170100</v>
      </c>
      <c r="F28" s="298">
        <f t="shared" si="3"/>
        <v>57600</v>
      </c>
      <c r="G28" s="117">
        <v>5</v>
      </c>
      <c r="H28" s="9">
        <f>'2x3 M1.5  Plan'!P85</f>
        <v>33</v>
      </c>
    </row>
    <row r="29" spans="1:8" x14ac:dyDescent="0.2">
      <c r="A29" s="356">
        <v>400</v>
      </c>
      <c r="B29" s="284">
        <f>A29*B22</f>
        <v>19200</v>
      </c>
      <c r="C29" s="291">
        <f>A29*D22</f>
        <v>2113600</v>
      </c>
      <c r="D29" s="284">
        <f t="shared" si="2"/>
        <v>38400</v>
      </c>
      <c r="E29" s="284">
        <f>A29*F22</f>
        <v>4226800</v>
      </c>
      <c r="F29" s="298">
        <f t="shared" si="3"/>
        <v>76800</v>
      </c>
      <c r="G29" s="117">
        <v>8</v>
      </c>
      <c r="H29" s="9">
        <f>'2x3 M1.5  Plan'!P90</f>
        <v>57</v>
      </c>
    </row>
    <row r="30" spans="1:8" x14ac:dyDescent="0.2">
      <c r="A30" s="356">
        <v>500</v>
      </c>
      <c r="B30" s="284">
        <f>A30*B22</f>
        <v>24000</v>
      </c>
      <c r="C30" s="291">
        <f>A30*D22</f>
        <v>2642000</v>
      </c>
      <c r="D30" s="284">
        <f t="shared" si="2"/>
        <v>48000</v>
      </c>
      <c r="E30" s="284">
        <f>A30*F22</f>
        <v>5283500</v>
      </c>
      <c r="F30" s="298">
        <f t="shared" si="3"/>
        <v>96000</v>
      </c>
      <c r="G30" s="117">
        <v>12</v>
      </c>
      <c r="H30" s="9">
        <f>'2x3 M1.5  Plan'!P95</f>
        <v>93</v>
      </c>
    </row>
    <row r="31" spans="1:8" x14ac:dyDescent="0.2">
      <c r="A31" s="356">
        <v>600</v>
      </c>
      <c r="B31" s="284">
        <f>A31*B22</f>
        <v>28800</v>
      </c>
      <c r="C31" s="291">
        <f>A31*D22</f>
        <v>3170400</v>
      </c>
      <c r="D31" s="284">
        <f t="shared" si="2"/>
        <v>57600</v>
      </c>
      <c r="E31" s="284">
        <f>A31*F22</f>
        <v>6340200</v>
      </c>
      <c r="F31" s="298">
        <f t="shared" si="3"/>
        <v>115200</v>
      </c>
      <c r="G31" s="117">
        <v>18</v>
      </c>
      <c r="H31" s="9">
        <f>'2x3 M1.5  Plan'!P100</f>
        <v>147</v>
      </c>
    </row>
    <row r="32" spans="1:8" x14ac:dyDescent="0.2">
      <c r="A32" s="356">
        <v>700</v>
      </c>
      <c r="B32" s="284">
        <f>A32*B22</f>
        <v>33600</v>
      </c>
      <c r="C32" s="291">
        <f>A32*D22</f>
        <v>3698800</v>
      </c>
      <c r="D32" s="284">
        <f t="shared" si="2"/>
        <v>67200</v>
      </c>
      <c r="E32" s="284">
        <f>A32*F22</f>
        <v>7396900</v>
      </c>
      <c r="F32" s="298">
        <f t="shared" si="3"/>
        <v>134400</v>
      </c>
      <c r="G32" s="117">
        <v>27</v>
      </c>
      <c r="H32" s="9">
        <f>'2x3 M1.5  Plan'!P105</f>
        <v>228</v>
      </c>
    </row>
    <row r="33" spans="1:8" x14ac:dyDescent="0.2">
      <c r="A33" s="356">
        <v>800</v>
      </c>
      <c r="B33" s="284">
        <f>A33*B22</f>
        <v>38400</v>
      </c>
      <c r="C33" s="291">
        <f>A33*D22</f>
        <v>4227200</v>
      </c>
      <c r="D33" s="284">
        <f t="shared" si="2"/>
        <v>76800</v>
      </c>
      <c r="E33" s="284">
        <f>A33*F22</f>
        <v>8453600</v>
      </c>
      <c r="F33" s="298">
        <f t="shared" si="3"/>
        <v>153600</v>
      </c>
      <c r="G33" s="117">
        <v>41</v>
      </c>
      <c r="H33" s="9">
        <f>'2x3 M1.5  Plan'!P110</f>
        <v>351</v>
      </c>
    </row>
    <row r="34" spans="1:8" x14ac:dyDescent="0.2">
      <c r="A34" s="356">
        <v>900</v>
      </c>
      <c r="B34" s="284">
        <f>A34*B22</f>
        <v>43200</v>
      </c>
      <c r="C34" s="291">
        <f>A34*D22</f>
        <v>4755600</v>
      </c>
      <c r="D34" s="284">
        <f t="shared" si="2"/>
        <v>86400</v>
      </c>
      <c r="E34" s="284">
        <f>A34*F22</f>
        <v>9510300</v>
      </c>
      <c r="F34" s="298">
        <f t="shared" si="3"/>
        <v>172800</v>
      </c>
      <c r="G34" s="117">
        <v>62</v>
      </c>
      <c r="H34" s="9">
        <f>'2x3 M1.5  Plan'!P115</f>
        <v>537</v>
      </c>
    </row>
    <row r="35" spans="1:8" ht="17" thickBot="1" x14ac:dyDescent="0.25">
      <c r="A35" s="357">
        <v>1000</v>
      </c>
      <c r="B35" s="287">
        <f>A35*B22</f>
        <v>48000</v>
      </c>
      <c r="C35" s="363">
        <f>A35*D22</f>
        <v>5284000</v>
      </c>
      <c r="D35" s="287">
        <f t="shared" si="2"/>
        <v>96000</v>
      </c>
      <c r="E35" s="287">
        <f>A35*F22</f>
        <v>10567000</v>
      </c>
      <c r="F35" s="299">
        <f t="shared" si="3"/>
        <v>192000</v>
      </c>
      <c r="G35" s="118"/>
      <c r="H35" s="10"/>
    </row>
    <row r="36" spans="1:8" ht="17" thickBot="1" x14ac:dyDescent="0.25"/>
    <row r="37" spans="1:8" ht="17" thickBot="1" x14ac:dyDescent="0.25">
      <c r="B37" s="451" t="s">
        <v>217</v>
      </c>
      <c r="C37" s="452"/>
      <c r="D37" s="452"/>
      <c r="E37" s="452"/>
      <c r="F37" s="452"/>
      <c r="G37" s="453"/>
    </row>
    <row r="38" spans="1:8" ht="17" thickBot="1" x14ac:dyDescent="0.25">
      <c r="B38" s="376"/>
      <c r="C38" s="376"/>
      <c r="D38" s="376"/>
      <c r="E38" s="376"/>
      <c r="F38" s="376"/>
      <c r="G38" s="376"/>
    </row>
    <row r="39" spans="1:8" ht="17" thickBot="1" x14ac:dyDescent="0.25">
      <c r="A39" s="465"/>
      <c r="B39" s="466" t="s">
        <v>218</v>
      </c>
      <c r="C39" s="467" t="s">
        <v>220</v>
      </c>
      <c r="D39" s="468" t="s">
        <v>219</v>
      </c>
    </row>
    <row r="40" spans="1:8" x14ac:dyDescent="0.2">
      <c r="A40" s="462">
        <v>100</v>
      </c>
      <c r="B40" s="463">
        <f>A40*100</f>
        <v>10000</v>
      </c>
      <c r="C40" s="291">
        <f>B40*4</f>
        <v>40000</v>
      </c>
      <c r="D40" s="464">
        <f>B40*6</f>
        <v>60000</v>
      </c>
    </row>
    <row r="41" spans="1:8" x14ac:dyDescent="0.2">
      <c r="A41" s="306">
        <v>200</v>
      </c>
      <c r="B41" s="460">
        <f t="shared" ref="B41:B44" si="4">A41*100</f>
        <v>20000</v>
      </c>
      <c r="C41" s="469">
        <f t="shared" ref="C41:C44" si="5">B41*4</f>
        <v>80000</v>
      </c>
      <c r="D41" s="458">
        <f t="shared" ref="D41:D44" si="6">B41*6</f>
        <v>120000</v>
      </c>
    </row>
    <row r="42" spans="1:8" x14ac:dyDescent="0.2">
      <c r="A42" s="306">
        <v>300</v>
      </c>
      <c r="B42" s="460">
        <f t="shared" si="4"/>
        <v>30000</v>
      </c>
      <c r="C42" s="469">
        <f t="shared" si="5"/>
        <v>120000</v>
      </c>
      <c r="D42" s="458">
        <f t="shared" si="6"/>
        <v>180000</v>
      </c>
    </row>
    <row r="43" spans="1:8" x14ac:dyDescent="0.2">
      <c r="A43" s="306">
        <v>400</v>
      </c>
      <c r="B43" s="460">
        <f t="shared" si="4"/>
        <v>40000</v>
      </c>
      <c r="C43" s="469">
        <f t="shared" si="5"/>
        <v>160000</v>
      </c>
      <c r="D43" s="458">
        <f t="shared" si="6"/>
        <v>240000</v>
      </c>
    </row>
    <row r="44" spans="1:8" ht="17" thickBot="1" x14ac:dyDescent="0.25">
      <c r="A44" s="307">
        <v>500</v>
      </c>
      <c r="B44" s="461">
        <f t="shared" si="4"/>
        <v>50000</v>
      </c>
      <c r="C44" s="470">
        <f t="shared" si="5"/>
        <v>200000</v>
      </c>
      <c r="D44" s="459">
        <f t="shared" si="6"/>
        <v>300000</v>
      </c>
    </row>
  </sheetData>
  <mergeCells count="4">
    <mergeCell ref="A7:G7"/>
    <mergeCell ref="A24:G24"/>
    <mergeCell ref="A1:H1"/>
    <mergeCell ref="B37:G37"/>
  </mergeCells>
  <phoneticPr fontId="14" type="noConversion"/>
  <pageMargins left="0.25" right="0.25" top="0.75" bottom="0.75" header="0.3" footer="0.3"/>
  <pageSetup paperSize="9" scale="9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Rules</vt:lpstr>
      <vt:lpstr>Analysis</vt:lpstr>
      <vt:lpstr>Dealer</vt:lpstr>
      <vt:lpstr>Stand</vt:lpstr>
      <vt:lpstr>Hit</vt:lpstr>
      <vt:lpstr>HS</vt:lpstr>
      <vt:lpstr>Double</vt:lpstr>
      <vt:lpstr>HSD</vt:lpstr>
      <vt:lpstr>Surrender</vt:lpstr>
      <vt:lpstr>HSDR</vt:lpstr>
      <vt:lpstr>Pair</vt:lpstr>
      <vt:lpstr>Blackjack</vt:lpstr>
      <vt:lpstr>Prob</vt:lpstr>
      <vt:lpstr>5 Cards</vt:lpstr>
      <vt:lpstr>Three 7 Cards</vt:lpstr>
      <vt:lpstr>ER</vt:lpstr>
      <vt:lpstr>EV</vt:lpstr>
      <vt:lpstr>Summary</vt:lpstr>
      <vt:lpstr>WL Prob</vt:lpstr>
      <vt:lpstr>Summary (2)</vt:lpstr>
      <vt:lpstr>2x10 Strategy Analysis</vt:lpstr>
      <vt:lpstr>2x3 M1.5  Plan</vt:lpstr>
      <vt:lpstr>2x3 M2  Plan</vt:lpstr>
      <vt:lpstr>Plan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Atipat Lorwong-ngam</dc:creator>
  <cp:lastModifiedBy>Microsoft Office User</cp:lastModifiedBy>
  <cp:lastPrinted>2018-05-18T08:31:36Z</cp:lastPrinted>
  <dcterms:created xsi:type="dcterms:W3CDTF">2015-03-11T15:17:04Z</dcterms:created>
  <dcterms:modified xsi:type="dcterms:W3CDTF">2018-05-18T09:16:55Z</dcterms:modified>
</cp:coreProperties>
</file>